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threadedComments/threadedComment1.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threadedComments/threadedComment2.xml" ContentType="application/vnd.ms-excel.threadedcomments+xml"/>
  <Override PartName="/xl/comments23.xml" ContentType="application/vnd.openxmlformats-officedocument.spreadsheetml.comments+xml"/>
  <Override PartName="/xl/comments24.xml" ContentType="application/vnd.openxmlformats-officedocument.spreadsheetml.comments+xml"/>
  <Override PartName="/xl/drawings/drawing11.xml" ContentType="application/vnd.openxmlformats-officedocument.drawing+xml"/>
  <Override PartName="/xl/comments2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2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EstaPastaDeTrabalho"/>
  <mc:AlternateContent xmlns:mc="http://schemas.openxmlformats.org/markup-compatibility/2006">
    <mc:Choice Requires="x15">
      <x15ac:absPath xmlns:x15ac="http://schemas.microsoft.com/office/spreadsheetml/2010/11/ac" url="https://petrobrasbr-my.sharepoint.com/personal/viniciusholanda_petrobras_com_br/Documents/Desktop/"/>
    </mc:Choice>
  </mc:AlternateContent>
  <xr:revisionPtr revIDLastSave="41" documentId="11_C80A5332F75DF23D0305C69CBC84A6207FF321BA" xr6:coauthVersionLast="47" xr6:coauthVersionMax="47" xr10:uidLastSave="{25018F34-9DE3-44FF-B3E6-7575CF9A9E4C}"/>
  <bookViews>
    <workbookView xWindow="-110" yWindow="-110" windowWidth="19420" windowHeight="10420" tabRatio="604" firstSheet="28" activeTab="28" xr2:uid="{00000000-000D-0000-FFFF-FFFF00000000}"/>
  </bookViews>
  <sheets>
    <sheet name="Início" sheetId="48" r:id="rId1"/>
    <sheet name="Cadastro Equipamento" sheetId="50" r:id="rId2"/>
    <sheet name="Dados de Inspeção" sheetId="52" r:id="rId3"/>
    <sheet name="pofUI" sheetId="54" r:id="rId4"/>
    <sheet name="cofUI" sheetId="55" r:id="rId5"/>
    <sheet name="RiskUI" sheetId="56" r:id="rId6"/>
    <sheet name="ThinningUI" sheetId="53" r:id="rId7"/>
    <sheet name="Temp" sheetId="58" r:id="rId8"/>
    <sheet name="Tratamento de Dados" sheetId="10" r:id="rId9"/>
    <sheet name="Results" sheetId="17" r:id="rId10"/>
    <sheet name="Risk" sheetId="11" r:id="rId11"/>
    <sheet name="POF" sheetId="9" r:id="rId12"/>
    <sheet name="Thinning" sheetId="12" r:id="rId13"/>
    <sheet name="Thinning_AST" sheetId="43" r:id="rId14"/>
    <sheet name="Lining" sheetId="23" r:id="rId15"/>
    <sheet name="Caustic_Cracking" sheetId="24" r:id="rId16"/>
    <sheet name="Amine_Cracking" sheetId="27" r:id="rId17"/>
    <sheet name="SCC_Sulfide (SSC)" sheetId="28" r:id="rId18"/>
    <sheet name="HIC-SOHIC-H2S" sheetId="13" r:id="rId19"/>
    <sheet name="SCC_Alkaline_Carbonate" sheetId="29" r:id="rId20"/>
    <sheet name="SCC_Polythionic_Acid" sheetId="30" r:id="rId21"/>
    <sheet name="SCC_Chloride" sheetId="31" r:id="rId22"/>
    <sheet name="HSC_Hydrofluoric_Acid" sheetId="32" r:id="rId23"/>
    <sheet name="HIC-SOHIC-HF" sheetId="33" r:id="rId24"/>
    <sheet name="Ext_Corr_Ferritic" sheetId="14" r:id="rId25"/>
    <sheet name="CUI_Ferritic" sheetId="36" r:id="rId26"/>
    <sheet name="Ext_SCC_Chloride" sheetId="38" r:id="rId27"/>
    <sheet name="CUI_SCC_Chloride" sheetId="39" r:id="rId28"/>
    <sheet name="COF" sheetId="3" r:id="rId29"/>
    <sheet name="Test_Fluid" sheetId="41" r:id="rId30"/>
    <sheet name="Planilha1" sheetId="59" r:id="rId31"/>
    <sheet name="Tables - Part 1" sheetId="20" r:id="rId32"/>
    <sheet name="Tables - Part 2" sheetId="6" r:id="rId33"/>
    <sheet name="Tables - Part 3" sheetId="4" r:id="rId34"/>
    <sheet name="Tables - Part 3.B" sheetId="7" r:id="rId35"/>
    <sheet name="Tables - Part 5" sheetId="42" r:id="rId36"/>
    <sheet name="Figures - Part 2" sheetId="25" r:id="rId37"/>
    <sheet name="Revisar" sheetId="8" r:id="rId38"/>
    <sheet name="Consultas" sheetId="15" r:id="rId39"/>
  </sheets>
  <definedNames>
    <definedName name="_xlnm._FilterDatabase" localSheetId="33" hidden="1">'Tables - Part 3'!$AN$3:$AS$30</definedName>
    <definedName name="_xlnm._FilterDatabase" localSheetId="7" hidden="1">Temp!$A$15:$A$50000</definedName>
    <definedName name="_xlnm._FilterDatabase" localSheetId="8" hidden="1">'Tratamento de Dados'!$A$13:$EEE$122</definedName>
    <definedName name="Compressor">'Tables - Part 2'!$C$5:$C$6</definedName>
    <definedName name="CP">'Tables - Part 2'!$C$5:$C$6</definedName>
    <definedName name="HE">'Tables - Part 2'!$C$7:$C$8</definedName>
    <definedName name="Heat_exchanger">'Tables - Part 2'!$C$7:$C$8</definedName>
    <definedName name="Permutador">'Tables - Part 2'!$C$7:$C$8</definedName>
    <definedName name="PIPE">'Tables - Part 2'!$C$9:$C$17</definedName>
    <definedName name="PUMP">'Tables - Part 2'!$C$18:$C$20</definedName>
    <definedName name="Tank650">'Tables - Part 2'!$C$21:$C$22</definedName>
    <definedName name="Vessel">'Tables - Part 2'!$C$23:$C$30</definedName>
    <definedName name="Vessel_FinFan">'Tables - Part 2'!$C$23:$C$30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 i="3" l="1"/>
  <c r="CE7" i="3"/>
  <c r="F1" i="10" l="1"/>
  <c r="A7" i="10" s="1"/>
  <c r="C5" i="52"/>
  <c r="C5" i="53"/>
  <c r="B3" i="10"/>
  <c r="A13" i="58"/>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4" i="9"/>
  <c r="C4" i="9"/>
  <c r="D4" i="9"/>
  <c r="A13" i="10"/>
  <c r="H10" i="56"/>
  <c r="H9" i="56"/>
  <c r="H8" i="56"/>
  <c r="H7" i="56"/>
  <c r="BV12" i="58"/>
  <c r="BU12" i="58"/>
  <c r="BT12" i="58"/>
  <c r="BS12" i="58"/>
  <c r="BR12" i="58"/>
  <c r="BQ12" i="58"/>
  <c r="BP12" i="58"/>
  <c r="BO12" i="58"/>
  <c r="BN12" i="58"/>
  <c r="BM12" i="58"/>
  <c r="BL12" i="58"/>
  <c r="BK12" i="58"/>
  <c r="BJ12" i="58"/>
  <c r="BI12" i="58"/>
  <c r="BH12" i="58"/>
  <c r="BG12" i="58"/>
  <c r="BF12" i="58"/>
  <c r="BE12" i="58"/>
  <c r="BD12" i="58"/>
  <c r="BC12" i="58"/>
  <c r="BB12" i="58"/>
  <c r="BA12" i="58"/>
  <c r="AZ12" i="58"/>
  <c r="AS12" i="58"/>
  <c r="AR12" i="58"/>
  <c r="AQ12" i="58"/>
  <c r="AP12" i="58"/>
  <c r="AO12" i="58"/>
  <c r="AN12" i="58"/>
  <c r="AM12" i="58"/>
  <c r="AL12" i="58"/>
  <c r="AK12" i="58"/>
  <c r="AJ12" i="58"/>
  <c r="AI12" i="58"/>
  <c r="AH12" i="58"/>
  <c r="AG12" i="58"/>
  <c r="AF12" i="58"/>
  <c r="AD12" i="58"/>
  <c r="AC12" i="58"/>
  <c r="AB12" i="58"/>
  <c r="AA12" i="58"/>
  <c r="Z12" i="58"/>
  <c r="Y12" i="58"/>
  <c r="X12" i="58"/>
  <c r="W12" i="58"/>
  <c r="V12" i="58"/>
  <c r="U12" i="58"/>
  <c r="T12" i="58"/>
  <c r="S12" i="58"/>
  <c r="R12" i="58"/>
  <c r="Q12" i="58"/>
  <c r="P12" i="58"/>
  <c r="O12" i="58"/>
  <c r="M12" i="58"/>
  <c r="I12" i="58"/>
  <c r="J12" i="58"/>
  <c r="L12" i="58"/>
  <c r="K12" i="58"/>
  <c r="N12" i="58"/>
  <c r="G12" i="58"/>
  <c r="H12" i="58"/>
  <c r="F12" i="58"/>
  <c r="E12" i="58"/>
  <c r="D12" i="58"/>
  <c r="C12" i="58"/>
  <c r="B12" i="58"/>
  <c r="C7" i="58"/>
  <c r="C6" i="58"/>
  <c r="C5" i="58"/>
  <c r="C4" i="58"/>
  <c r="C3" i="58"/>
  <c r="D8" i="56"/>
  <c r="C8" i="56"/>
  <c r="D5" i="56"/>
  <c r="C5" i="56"/>
  <c r="C5" i="54"/>
  <c r="D5" i="54"/>
  <c r="C8" i="54"/>
  <c r="D8" i="54"/>
  <c r="AF13" i="10"/>
  <c r="AG13" i="10"/>
  <c r="AH13" i="10"/>
  <c r="AI13" i="10"/>
  <c r="AJ13" i="10"/>
  <c r="AK13" i="10"/>
  <c r="AL13" i="10"/>
  <c r="AM13" i="10"/>
  <c r="AN13" i="10"/>
  <c r="AO13" i="10"/>
  <c r="AP13" i="10"/>
  <c r="AQ13" i="10"/>
  <c r="AR13" i="10"/>
  <c r="AS13" i="10"/>
  <c r="BZ13" i="10"/>
  <c r="CB13" i="10"/>
  <c r="CM13" i="10"/>
  <c r="D8" i="55"/>
  <c r="C8" i="55"/>
  <c r="D5" i="55"/>
  <c r="C5" i="55"/>
  <c r="D9" i="48"/>
  <c r="D8" i="48"/>
  <c r="D7" i="48"/>
  <c r="D6" i="48"/>
  <c r="D5" i="48"/>
  <c r="C7" i="3"/>
  <c r="D7" i="3"/>
  <c r="E7" i="3"/>
  <c r="G7" i="3"/>
  <c r="I7" i="3"/>
  <c r="J7" i="3"/>
  <c r="K7" i="3"/>
  <c r="M7" i="3"/>
  <c r="N7" i="3"/>
  <c r="V7" i="3"/>
  <c r="G15" i="53"/>
  <c r="D6" i="12"/>
  <c r="F4" i="9" s="1"/>
  <c r="D7" i="12"/>
  <c r="F5" i="9" s="1"/>
  <c r="D8" i="12"/>
  <c r="F6" i="9" s="1"/>
  <c r="D9" i="12"/>
  <c r="F7" i="9" s="1"/>
  <c r="D10" i="12"/>
  <c r="F8" i="9" s="1"/>
  <c r="D11" i="12"/>
  <c r="F9" i="9" s="1"/>
  <c r="D12" i="12"/>
  <c r="F10" i="9" s="1"/>
  <c r="D13" i="12"/>
  <c r="F11" i="9" s="1"/>
  <c r="D14" i="12"/>
  <c r="F12" i="9" s="1"/>
  <c r="D15" i="12"/>
  <c r="F13" i="9" s="1"/>
  <c r="D16" i="12"/>
  <c r="F14" i="9" s="1"/>
  <c r="D17" i="12"/>
  <c r="F15" i="9" s="1"/>
  <c r="D18" i="12"/>
  <c r="F16" i="9" s="1"/>
  <c r="D19" i="12"/>
  <c r="F17" i="9" s="1"/>
  <c r="D20" i="12"/>
  <c r="F18" i="9" s="1"/>
  <c r="D21" i="12"/>
  <c r="F19" i="9" s="1"/>
  <c r="D22" i="12"/>
  <c r="F20" i="9" s="1"/>
  <c r="D5" i="12"/>
  <c r="C8" i="53"/>
  <c r="D8" i="53"/>
  <c r="D5" i="53"/>
  <c r="D5" i="52"/>
  <c r="A12" i="58" l="1"/>
  <c r="A11" i="10"/>
  <c r="D8" i="52"/>
  <c r="C8" i="52"/>
  <c r="BX3" i="3" l="1"/>
  <c r="BW3" i="3"/>
  <c r="BV3" i="3"/>
  <c r="CZ28" i="3"/>
  <c r="CY28" i="3"/>
  <c r="CX28" i="3"/>
  <c r="CW28" i="3"/>
  <c r="Z7" i="3"/>
  <c r="AC7" i="3"/>
  <c r="BZ28" i="3" l="1"/>
  <c r="BY28" i="3"/>
  <c r="BX28" i="3"/>
  <c r="BW28" i="3"/>
  <c r="BV28" i="3"/>
  <c r="EG28" i="3"/>
  <c r="EF28" i="3"/>
  <c r="EE28" i="3"/>
  <c r="ED28" i="3"/>
  <c r="EC28" i="3"/>
  <c r="EB28" i="3"/>
  <c r="EA28" i="3"/>
  <c r="DZ28" i="3"/>
  <c r="DQ28" i="3"/>
  <c r="DP28" i="3"/>
  <c r="DO28" i="3"/>
  <c r="DN28" i="3"/>
  <c r="DM28" i="3"/>
  <c r="DL28" i="3"/>
  <c r="DK28" i="3"/>
  <c r="DJ28" i="3"/>
  <c r="DB4" i="3"/>
  <c r="DC4" i="3"/>
  <c r="DD4" i="3"/>
  <c r="DE4" i="3"/>
  <c r="DF4" i="3"/>
  <c r="DG4" i="3"/>
  <c r="DH4" i="3"/>
  <c r="DI4" i="3"/>
  <c r="DJ4" i="3"/>
  <c r="DK4" i="3"/>
  <c r="DL4" i="3"/>
  <c r="DM4" i="3"/>
  <c r="DN4" i="3"/>
  <c r="DO4" i="3"/>
  <c r="DP4" i="3"/>
  <c r="DQ4" i="3"/>
  <c r="DR4" i="3"/>
  <c r="DS4" i="3"/>
  <c r="DT4" i="3"/>
  <c r="DU4" i="3"/>
  <c r="DV4" i="3"/>
  <c r="DW4" i="3"/>
  <c r="DX4" i="3"/>
  <c r="DY4" i="3"/>
  <c r="DZ4" i="3"/>
  <c r="EA4" i="3"/>
  <c r="EB4" i="3"/>
  <c r="EC4" i="3"/>
  <c r="ED4" i="3"/>
  <c r="EE4" i="3"/>
  <c r="EF4" i="3"/>
  <c r="EG4" i="3"/>
  <c r="EJ4" i="3"/>
  <c r="EK4" i="3"/>
  <c r="EN4" i="3"/>
  <c r="EO4" i="3"/>
  <c r="EP4" i="3"/>
  <c r="EQ4" i="3"/>
  <c r="ER4" i="3"/>
  <c r="ES4" i="3"/>
  <c r="ET4" i="3"/>
  <c r="EU4" i="3"/>
  <c r="EV4" i="3"/>
  <c r="EW4" i="3"/>
  <c r="EX4" i="3"/>
  <c r="EY4" i="3"/>
  <c r="EZ4" i="3"/>
  <c r="FA4" i="3"/>
  <c r="FB4" i="3"/>
  <c r="FC4" i="3"/>
  <c r="FD4" i="3"/>
  <c r="FE4" i="3"/>
  <c r="FN4" i="3"/>
  <c r="FO4" i="3"/>
  <c r="FG4" i="3"/>
  <c r="FH4" i="3"/>
  <c r="FI4" i="3"/>
  <c r="FJ4" i="3"/>
  <c r="FK4" i="3"/>
  <c r="FL4" i="3"/>
  <c r="FM4" i="3"/>
  <c r="FF4" i="3"/>
  <c r="QR8" i="3" l="1"/>
  <c r="QR9" i="3"/>
  <c r="QR10" i="3"/>
  <c r="QR11" i="3"/>
  <c r="QR12" i="3"/>
  <c r="QR13" i="3"/>
  <c r="QR14" i="3"/>
  <c r="QR15" i="3"/>
  <c r="QR16" i="3"/>
  <c r="QR17" i="3"/>
  <c r="QR18" i="3"/>
  <c r="QR19" i="3"/>
  <c r="QR20" i="3"/>
  <c r="QR21" i="3"/>
  <c r="QR22" i="3"/>
  <c r="QR23" i="3"/>
  <c r="QR24" i="3"/>
  <c r="QR7" i="3"/>
  <c r="QL8" i="3" l="1"/>
  <c r="QL9" i="3"/>
  <c r="QL10" i="3"/>
  <c r="QL11" i="3"/>
  <c r="QL12" i="3"/>
  <c r="QL13" i="3"/>
  <c r="QL14" i="3"/>
  <c r="QL15" i="3"/>
  <c r="QL16" i="3"/>
  <c r="QL17" i="3"/>
  <c r="QL18" i="3"/>
  <c r="QL19" i="3"/>
  <c r="QL20" i="3"/>
  <c r="QL21" i="3"/>
  <c r="QL22" i="3"/>
  <c r="QL23" i="3"/>
  <c r="QL24" i="3"/>
  <c r="QL7" i="3"/>
  <c r="QK8" i="3"/>
  <c r="QK9" i="3"/>
  <c r="QK10" i="3"/>
  <c r="QK11" i="3"/>
  <c r="QK12" i="3"/>
  <c r="QK13" i="3"/>
  <c r="QK14" i="3"/>
  <c r="QK15" i="3"/>
  <c r="QK16" i="3"/>
  <c r="QK17" i="3"/>
  <c r="QK18" i="3"/>
  <c r="QK19" i="3"/>
  <c r="QK20" i="3"/>
  <c r="QK21" i="3"/>
  <c r="QK22" i="3"/>
  <c r="QK23" i="3"/>
  <c r="QK24" i="3"/>
  <c r="QK7" i="3"/>
  <c r="QJ24" i="3"/>
  <c r="QN24" i="3" s="1"/>
  <c r="QS24" i="3" s="1"/>
  <c r="QJ23" i="3"/>
  <c r="QN23" i="3" s="1"/>
  <c r="QS23" i="3" s="1"/>
  <c r="QJ22" i="3"/>
  <c r="QN22" i="3" s="1"/>
  <c r="QS22" i="3" s="1"/>
  <c r="QJ21" i="3"/>
  <c r="QN21" i="3" s="1"/>
  <c r="QS21" i="3" s="1"/>
  <c r="QJ20" i="3"/>
  <c r="QN20" i="3" s="1"/>
  <c r="QS20" i="3" s="1"/>
  <c r="QJ19" i="3"/>
  <c r="QN19" i="3" s="1"/>
  <c r="QS19" i="3" s="1"/>
  <c r="QJ18" i="3"/>
  <c r="QN18" i="3" s="1"/>
  <c r="QS18" i="3" s="1"/>
  <c r="QJ17" i="3"/>
  <c r="QN17" i="3" s="1"/>
  <c r="QS17" i="3" s="1"/>
  <c r="QJ16" i="3"/>
  <c r="QN16" i="3" s="1"/>
  <c r="QS16" i="3" s="1"/>
  <c r="QJ15" i="3"/>
  <c r="QN15" i="3" s="1"/>
  <c r="QS15" i="3" s="1"/>
  <c r="QJ14" i="3"/>
  <c r="QN14" i="3" s="1"/>
  <c r="QS14" i="3" s="1"/>
  <c r="QJ13" i="3"/>
  <c r="QN13" i="3" s="1"/>
  <c r="QS13" i="3" s="1"/>
  <c r="QJ12" i="3"/>
  <c r="QN12" i="3" s="1"/>
  <c r="QS12" i="3" s="1"/>
  <c r="QJ11" i="3"/>
  <c r="QN11" i="3" s="1"/>
  <c r="QS11" i="3" s="1"/>
  <c r="QJ10" i="3"/>
  <c r="QN10" i="3" s="1"/>
  <c r="QS10" i="3" s="1"/>
  <c r="QJ9" i="3"/>
  <c r="QN9" i="3" s="1"/>
  <c r="QS9" i="3" s="1"/>
  <c r="QJ8" i="3"/>
  <c r="QN8" i="3" s="1"/>
  <c r="QS8" i="3" s="1"/>
  <c r="QJ7" i="3"/>
  <c r="QN7" i="3" s="1"/>
  <c r="QS7" i="3" s="1"/>
  <c r="Z6" i="12"/>
  <c r="AA6" i="12"/>
  <c r="AB6" i="12"/>
  <c r="Z7" i="12"/>
  <c r="AA7" i="12"/>
  <c r="AB7" i="12"/>
  <c r="Z8" i="12"/>
  <c r="AA8" i="12"/>
  <c r="AB8" i="12"/>
  <c r="Z9" i="12"/>
  <c r="AA9" i="12"/>
  <c r="AB9" i="12"/>
  <c r="Z10" i="12"/>
  <c r="AA10" i="12"/>
  <c r="AB10" i="12"/>
  <c r="Z11" i="12"/>
  <c r="AA11" i="12"/>
  <c r="AB11" i="12"/>
  <c r="Z12" i="12"/>
  <c r="AA12" i="12"/>
  <c r="AB12" i="12"/>
  <c r="Z13" i="12"/>
  <c r="AA13" i="12"/>
  <c r="AB13" i="12"/>
  <c r="Z14" i="12"/>
  <c r="AA14" i="12"/>
  <c r="AB14" i="12"/>
  <c r="Z15" i="12"/>
  <c r="AA15" i="12"/>
  <c r="AB15" i="12"/>
  <c r="Z16" i="12"/>
  <c r="AA16" i="12"/>
  <c r="AB16" i="12"/>
  <c r="Z17" i="12"/>
  <c r="AA17" i="12"/>
  <c r="AB17" i="12"/>
  <c r="Z18" i="12"/>
  <c r="AA18" i="12"/>
  <c r="AB18" i="12"/>
  <c r="Z19" i="12"/>
  <c r="AA19" i="12"/>
  <c r="AB19" i="12"/>
  <c r="Z20" i="12"/>
  <c r="AA20" i="12"/>
  <c r="AB20" i="12"/>
  <c r="Z21" i="12"/>
  <c r="AA21" i="12"/>
  <c r="AB21" i="12"/>
  <c r="Z22" i="12"/>
  <c r="AA22" i="12"/>
  <c r="AB22" i="12"/>
  <c r="AA5" i="12"/>
  <c r="AB5" i="12"/>
  <c r="Z5" i="12"/>
  <c r="QX9" i="3" l="1"/>
  <c r="RJ9" i="3"/>
  <c r="QX17" i="3"/>
  <c r="RJ17" i="3"/>
  <c r="QX10" i="3"/>
  <c r="RJ10" i="3"/>
  <c r="QX18" i="3"/>
  <c r="RJ18" i="3"/>
  <c r="QX7" i="3"/>
  <c r="RJ7" i="3"/>
  <c r="QX11" i="3"/>
  <c r="RJ11" i="3"/>
  <c r="QX15" i="3"/>
  <c r="RJ15" i="3"/>
  <c r="QX19" i="3"/>
  <c r="RJ19" i="3"/>
  <c r="QX23" i="3"/>
  <c r="RJ23" i="3"/>
  <c r="QX12" i="3"/>
  <c r="RJ12" i="3"/>
  <c r="QX13" i="3"/>
  <c r="RJ13" i="3"/>
  <c r="QX21" i="3"/>
  <c r="RJ21" i="3"/>
  <c r="QX20" i="3"/>
  <c r="RJ20" i="3"/>
  <c r="QX14" i="3"/>
  <c r="RJ14" i="3"/>
  <c r="QX22" i="3"/>
  <c r="RJ22" i="3"/>
  <c r="QX8" i="3"/>
  <c r="RJ8" i="3"/>
  <c r="QX16" i="3"/>
  <c r="RJ16" i="3"/>
  <c r="QX24" i="3"/>
  <c r="RJ24" i="3"/>
  <c r="AQ8" i="3"/>
  <c r="AQ9" i="3"/>
  <c r="AQ10" i="3"/>
  <c r="AQ11" i="3"/>
  <c r="AQ12" i="3"/>
  <c r="AQ13" i="3"/>
  <c r="AQ14" i="3"/>
  <c r="AQ15" i="3"/>
  <c r="AQ16" i="3"/>
  <c r="AQ17" i="3"/>
  <c r="AQ18" i="3"/>
  <c r="AQ19" i="3"/>
  <c r="AQ20" i="3"/>
  <c r="AQ21" i="3"/>
  <c r="AQ22" i="3"/>
  <c r="AQ23" i="3"/>
  <c r="AQ24" i="3"/>
  <c r="AQ7" i="3"/>
  <c r="RB24" i="3" l="1"/>
  <c r="RB8" i="3"/>
  <c r="RB14" i="3"/>
  <c r="RB21" i="3"/>
  <c r="RB12" i="3"/>
  <c r="RB19" i="3"/>
  <c r="RB11" i="3"/>
  <c r="RB18" i="3"/>
  <c r="RB17" i="3"/>
  <c r="RB16" i="3"/>
  <c r="RB22" i="3"/>
  <c r="RB20" i="3"/>
  <c r="RB13" i="3"/>
  <c r="RB23" i="3"/>
  <c r="RB15" i="3"/>
  <c r="RB7" i="3"/>
  <c r="RB10" i="3"/>
  <c r="RB9" i="3"/>
  <c r="AD34" i="3"/>
  <c r="RR9" i="3" l="1"/>
  <c r="RV9" i="3" s="1"/>
  <c r="RZ9" i="3" s="1"/>
  <c r="SD9" i="3"/>
  <c r="SH9" i="3" s="1"/>
  <c r="RR16" i="3"/>
  <c r="RV16" i="3" s="1"/>
  <c r="RZ16" i="3" s="1"/>
  <c r="SD16" i="3"/>
  <c r="SH16" i="3" s="1"/>
  <c r="RR8" i="3"/>
  <c r="RV8" i="3" s="1"/>
  <c r="RZ8" i="3" s="1"/>
  <c r="SD8" i="3"/>
  <c r="SH8" i="3" s="1"/>
  <c r="RR17" i="3"/>
  <c r="RV17" i="3" s="1"/>
  <c r="RZ17" i="3" s="1"/>
  <c r="SD17" i="3"/>
  <c r="SH17" i="3" s="1"/>
  <c r="RR24" i="3"/>
  <c r="RV24" i="3" s="1"/>
  <c r="RZ24" i="3" s="1"/>
  <c r="SD24" i="3"/>
  <c r="SH24" i="3" s="1"/>
  <c r="RR20" i="3"/>
  <c r="RV20" i="3" s="1"/>
  <c r="RZ20" i="3" s="1"/>
  <c r="SD20" i="3"/>
  <c r="SH20" i="3" s="1"/>
  <c r="RR18" i="3"/>
  <c r="RV18" i="3" s="1"/>
  <c r="RZ18" i="3" s="1"/>
  <c r="SD18" i="3"/>
  <c r="SH18" i="3" s="1"/>
  <c r="RR21" i="3"/>
  <c r="RV21" i="3" s="1"/>
  <c r="RZ21" i="3" s="1"/>
  <c r="SD21" i="3"/>
  <c r="SH21" i="3" s="1"/>
  <c r="RR23" i="3"/>
  <c r="RV23" i="3" s="1"/>
  <c r="RZ23" i="3" s="1"/>
  <c r="SD23" i="3"/>
  <c r="SH23" i="3" s="1"/>
  <c r="RR19" i="3"/>
  <c r="RV19" i="3" s="1"/>
  <c r="RZ19" i="3" s="1"/>
  <c r="SD19" i="3"/>
  <c r="SH19" i="3" s="1"/>
  <c r="RR10" i="3"/>
  <c r="RV10" i="3" s="1"/>
  <c r="RZ10" i="3" s="1"/>
  <c r="SD10" i="3"/>
  <c r="SH10" i="3" s="1"/>
  <c r="RR13" i="3"/>
  <c r="RV13" i="3" s="1"/>
  <c r="RZ13" i="3" s="1"/>
  <c r="SD13" i="3"/>
  <c r="SH13" i="3" s="1"/>
  <c r="RR12" i="3"/>
  <c r="RV12" i="3" s="1"/>
  <c r="RZ12" i="3" s="1"/>
  <c r="SD12" i="3"/>
  <c r="SH12" i="3" s="1"/>
  <c r="RR7" i="3"/>
  <c r="RV7" i="3" s="1"/>
  <c r="RZ7" i="3" s="1"/>
  <c r="SD7" i="3"/>
  <c r="SH7" i="3" s="1"/>
  <c r="RR15" i="3"/>
  <c r="RV15" i="3" s="1"/>
  <c r="RZ15" i="3" s="1"/>
  <c r="SD15" i="3"/>
  <c r="SH15" i="3" s="1"/>
  <c r="RR22" i="3"/>
  <c r="RV22" i="3" s="1"/>
  <c r="RZ22" i="3" s="1"/>
  <c r="SD22" i="3"/>
  <c r="SH22" i="3" s="1"/>
  <c r="RR11" i="3"/>
  <c r="RV11" i="3" s="1"/>
  <c r="RZ11" i="3" s="1"/>
  <c r="SD11" i="3"/>
  <c r="SH11" i="3" s="1"/>
  <c r="RR14" i="3"/>
  <c r="RV14" i="3" s="1"/>
  <c r="RZ14" i="3" s="1"/>
  <c r="SD14" i="3"/>
  <c r="SH14" i="3" s="1"/>
  <c r="V5" i="43"/>
  <c r="V6" i="43"/>
  <c r="V7" i="43"/>
  <c r="V8" i="43"/>
  <c r="V9" i="43"/>
  <c r="V10" i="43"/>
  <c r="V11" i="43"/>
  <c r="V12" i="43"/>
  <c r="V13" i="43"/>
  <c r="V14" i="43"/>
  <c r="V15" i="43"/>
  <c r="V16" i="43"/>
  <c r="V17" i="43"/>
  <c r="V18" i="43"/>
  <c r="V19" i="43"/>
  <c r="V20" i="43"/>
  <c r="V21" i="43"/>
  <c r="V22" i="43"/>
  <c r="U22" i="43" l="1"/>
  <c r="T22" i="43"/>
  <c r="L22" i="43"/>
  <c r="K22" i="43"/>
  <c r="J22" i="43"/>
  <c r="H22" i="43"/>
  <c r="G22" i="43"/>
  <c r="F22" i="43"/>
  <c r="E22" i="43"/>
  <c r="D22" i="43"/>
  <c r="C22" i="43"/>
  <c r="B22" i="43"/>
  <c r="U21" i="43"/>
  <c r="T21" i="43"/>
  <c r="L21" i="43"/>
  <c r="K21" i="43"/>
  <c r="J21" i="43"/>
  <c r="H21" i="43"/>
  <c r="G21" i="43"/>
  <c r="F21" i="43"/>
  <c r="E21" i="43"/>
  <c r="D21" i="43"/>
  <c r="C21" i="43"/>
  <c r="B21" i="43"/>
  <c r="U20" i="43"/>
  <c r="T20" i="43"/>
  <c r="L20" i="43"/>
  <c r="K20" i="43"/>
  <c r="J20" i="43"/>
  <c r="H20" i="43"/>
  <c r="G20" i="43"/>
  <c r="F20" i="43"/>
  <c r="E20" i="43"/>
  <c r="D20" i="43"/>
  <c r="C20" i="43"/>
  <c r="B20" i="43"/>
  <c r="U19" i="43"/>
  <c r="T19" i="43"/>
  <c r="L19" i="43"/>
  <c r="K19" i="43"/>
  <c r="J19" i="43"/>
  <c r="H19" i="43"/>
  <c r="G19" i="43"/>
  <c r="F19" i="43"/>
  <c r="E19" i="43"/>
  <c r="D19" i="43"/>
  <c r="C19" i="43"/>
  <c r="B19" i="43"/>
  <c r="U18" i="43"/>
  <c r="T18" i="43"/>
  <c r="L18" i="43"/>
  <c r="K18" i="43"/>
  <c r="J18" i="43"/>
  <c r="H18" i="43"/>
  <c r="G18" i="43"/>
  <c r="F18" i="43"/>
  <c r="E18" i="43"/>
  <c r="D18" i="43"/>
  <c r="C18" i="43"/>
  <c r="B18" i="43"/>
  <c r="U17" i="43"/>
  <c r="T17" i="43"/>
  <c r="L17" i="43"/>
  <c r="K17" i="43"/>
  <c r="J17" i="43"/>
  <c r="H17" i="43"/>
  <c r="G17" i="43"/>
  <c r="F17" i="43"/>
  <c r="E17" i="43"/>
  <c r="D17" i="43"/>
  <c r="C17" i="43"/>
  <c r="B17" i="43"/>
  <c r="U16" i="43"/>
  <c r="T16" i="43"/>
  <c r="L16" i="43"/>
  <c r="K16" i="43"/>
  <c r="J16" i="43"/>
  <c r="H16" i="43"/>
  <c r="G16" i="43"/>
  <c r="F16" i="43"/>
  <c r="E16" i="43"/>
  <c r="D16" i="43"/>
  <c r="C16" i="43"/>
  <c r="B16" i="43"/>
  <c r="U15" i="43"/>
  <c r="T15" i="43"/>
  <c r="L15" i="43"/>
  <c r="K15" i="43"/>
  <c r="J15" i="43"/>
  <c r="H15" i="43"/>
  <c r="G15" i="43"/>
  <c r="F15" i="43"/>
  <c r="E15" i="43"/>
  <c r="D15" i="43"/>
  <c r="C15" i="43"/>
  <c r="B15" i="43"/>
  <c r="U14" i="43"/>
  <c r="T14" i="43"/>
  <c r="L14" i="43"/>
  <c r="K14" i="43"/>
  <c r="J14" i="43"/>
  <c r="H14" i="43"/>
  <c r="G14" i="43"/>
  <c r="F14" i="43"/>
  <c r="E14" i="43"/>
  <c r="D14" i="43"/>
  <c r="C14" i="43"/>
  <c r="B14" i="43"/>
  <c r="U13" i="43"/>
  <c r="T13" i="43"/>
  <c r="L13" i="43"/>
  <c r="K13" i="43"/>
  <c r="J13" i="43"/>
  <c r="H13" i="43"/>
  <c r="G13" i="43"/>
  <c r="F13" i="43"/>
  <c r="E13" i="43"/>
  <c r="D13" i="43"/>
  <c r="C13" i="43"/>
  <c r="B13" i="43"/>
  <c r="U12" i="43"/>
  <c r="T12" i="43"/>
  <c r="L12" i="43"/>
  <c r="K12" i="43"/>
  <c r="J12" i="43"/>
  <c r="H12" i="43"/>
  <c r="G12" i="43"/>
  <c r="F12" i="43"/>
  <c r="E12" i="43"/>
  <c r="D12" i="43"/>
  <c r="C12" i="43"/>
  <c r="B12" i="43"/>
  <c r="U11" i="43"/>
  <c r="T11" i="43"/>
  <c r="L11" i="43"/>
  <c r="K11" i="43"/>
  <c r="J11" i="43"/>
  <c r="H11" i="43"/>
  <c r="G11" i="43"/>
  <c r="F11" i="43"/>
  <c r="E11" i="43"/>
  <c r="D11" i="43"/>
  <c r="C11" i="43"/>
  <c r="B11" i="43"/>
  <c r="U10" i="43"/>
  <c r="T10" i="43"/>
  <c r="L10" i="43"/>
  <c r="K10" i="43"/>
  <c r="J10" i="43"/>
  <c r="H10" i="43"/>
  <c r="G10" i="43"/>
  <c r="F10" i="43"/>
  <c r="E10" i="43"/>
  <c r="D10" i="43"/>
  <c r="C10" i="43"/>
  <c r="B10" i="43"/>
  <c r="U9" i="43"/>
  <c r="T9" i="43"/>
  <c r="L9" i="43"/>
  <c r="K9" i="43"/>
  <c r="J9" i="43"/>
  <c r="H9" i="43"/>
  <c r="G9" i="43"/>
  <c r="F9" i="43"/>
  <c r="E9" i="43"/>
  <c r="D9" i="43"/>
  <c r="C9" i="43"/>
  <c r="B9" i="43"/>
  <c r="U8" i="43"/>
  <c r="T8" i="43"/>
  <c r="L8" i="43"/>
  <c r="K8" i="43"/>
  <c r="J8" i="43"/>
  <c r="H8" i="43"/>
  <c r="G8" i="43"/>
  <c r="F8" i="43"/>
  <c r="E8" i="43"/>
  <c r="D8" i="43"/>
  <c r="C8" i="43"/>
  <c r="B8" i="43"/>
  <c r="U7" i="43"/>
  <c r="T7" i="43"/>
  <c r="L7" i="43"/>
  <c r="K7" i="43"/>
  <c r="J7" i="43"/>
  <c r="H7" i="43"/>
  <c r="G7" i="43"/>
  <c r="F7" i="43"/>
  <c r="E7" i="43"/>
  <c r="D7" i="43"/>
  <c r="C7" i="43"/>
  <c r="B7" i="43"/>
  <c r="U6" i="43"/>
  <c r="T6" i="43"/>
  <c r="L6" i="43"/>
  <c r="K6" i="43"/>
  <c r="J6" i="43"/>
  <c r="H6" i="43"/>
  <c r="G6" i="43"/>
  <c r="F6" i="43"/>
  <c r="E6" i="43"/>
  <c r="C6" i="43"/>
  <c r="B6" i="43"/>
  <c r="U5" i="43"/>
  <c r="T5" i="43"/>
  <c r="L5" i="43"/>
  <c r="K5" i="43"/>
  <c r="R5" i="43" s="1"/>
  <c r="J5" i="43"/>
  <c r="H5" i="43"/>
  <c r="G5" i="43"/>
  <c r="F5" i="43"/>
  <c r="E5" i="43"/>
  <c r="C5" i="43"/>
  <c r="B5" i="43"/>
  <c r="P4" i="23"/>
  <c r="Q5" i="23"/>
  <c r="Q6" i="23"/>
  <c r="Q7" i="23"/>
  <c r="Q8" i="23"/>
  <c r="Q9" i="23"/>
  <c r="Q10" i="23"/>
  <c r="Q11" i="23"/>
  <c r="Q12" i="23"/>
  <c r="Q13" i="23"/>
  <c r="Q14" i="23"/>
  <c r="Q15" i="23"/>
  <c r="Q16" i="23"/>
  <c r="Q17" i="23"/>
  <c r="Q18" i="23"/>
  <c r="Q19" i="23"/>
  <c r="Q20" i="23"/>
  <c r="Q21" i="23"/>
  <c r="Q4" i="23"/>
  <c r="R6" i="43" l="1"/>
  <c r="R7" i="43"/>
  <c r="R8" i="43"/>
  <c r="R9" i="43"/>
  <c r="Q19" i="43"/>
  <c r="Q9" i="43"/>
  <c r="Q12" i="43"/>
  <c r="Q16" i="43"/>
  <c r="R19" i="43"/>
  <c r="Q13" i="43"/>
  <c r="R22" i="43"/>
  <c r="Q11" i="43"/>
  <c r="Q15" i="43"/>
  <c r="R18" i="43"/>
  <c r="Q20" i="43"/>
  <c r="S5" i="43"/>
  <c r="W5" i="43" s="1"/>
  <c r="R14" i="43"/>
  <c r="Q8" i="43"/>
  <c r="R10" i="43"/>
  <c r="Q7" i="43"/>
  <c r="R15" i="43"/>
  <c r="Q17" i="43"/>
  <c r="Q10" i="43"/>
  <c r="R13" i="43"/>
  <c r="Q14" i="43"/>
  <c r="Q18" i="43"/>
  <c r="Q21" i="43"/>
  <c r="Q22" i="43"/>
  <c r="R11" i="43"/>
  <c r="R21" i="43"/>
  <c r="Q6" i="43"/>
  <c r="Q5" i="43"/>
  <c r="R17" i="43"/>
  <c r="R12" i="43"/>
  <c r="R20" i="43"/>
  <c r="R16" i="43"/>
  <c r="O4" i="23"/>
  <c r="S7" i="43" l="1"/>
  <c r="W7" i="43" s="1"/>
  <c r="X7" i="43" s="1"/>
  <c r="S6" i="43"/>
  <c r="W6" i="43" s="1"/>
  <c r="X6" i="43" s="1"/>
  <c r="S9" i="43"/>
  <c r="W9" i="43" s="1"/>
  <c r="X9" i="43" s="1"/>
  <c r="S8" i="43"/>
  <c r="W8" i="43" s="1"/>
  <c r="X8" i="43" s="1"/>
  <c r="S13" i="43"/>
  <c r="W13" i="43" s="1"/>
  <c r="X13" i="43" s="1"/>
  <c r="S19" i="43"/>
  <c r="W19" i="43" s="1"/>
  <c r="X19" i="43" s="1"/>
  <c r="S17" i="43"/>
  <c r="W17" i="43" s="1"/>
  <c r="X17" i="43" s="1"/>
  <c r="S11" i="43"/>
  <c r="W11" i="43" s="1"/>
  <c r="X11" i="43" s="1"/>
  <c r="S22" i="43"/>
  <c r="W22" i="43" s="1"/>
  <c r="X22" i="43" s="1"/>
  <c r="S10" i="43"/>
  <c r="W10" i="43" s="1"/>
  <c r="X10" i="43" s="1"/>
  <c r="S18" i="43"/>
  <c r="W18" i="43" s="1"/>
  <c r="X18" i="43" s="1"/>
  <c r="S14" i="43"/>
  <c r="W14" i="43" s="1"/>
  <c r="X14" i="43" s="1"/>
  <c r="S21" i="43"/>
  <c r="W21" i="43" s="1"/>
  <c r="X21" i="43" s="1"/>
  <c r="S15" i="43"/>
  <c r="W15" i="43" s="1"/>
  <c r="X15" i="43" s="1"/>
  <c r="S20" i="43"/>
  <c r="W20" i="43" s="1"/>
  <c r="X20" i="43" s="1"/>
  <c r="S16" i="43"/>
  <c r="W16" i="43" s="1"/>
  <c r="X16" i="43" s="1"/>
  <c r="S12" i="43"/>
  <c r="W12" i="43" s="1"/>
  <c r="X12" i="43" s="1"/>
  <c r="NR8" i="3" l="1"/>
  <c r="NR9" i="3"/>
  <c r="NR10" i="3"/>
  <c r="NR11" i="3"/>
  <c r="NR12" i="3"/>
  <c r="NR13" i="3"/>
  <c r="NR14" i="3"/>
  <c r="NR15" i="3"/>
  <c r="NR16" i="3"/>
  <c r="NR17" i="3"/>
  <c r="NR18" i="3"/>
  <c r="NR19" i="3"/>
  <c r="NR20" i="3"/>
  <c r="NR21" i="3"/>
  <c r="NR22" i="3"/>
  <c r="NR23" i="3"/>
  <c r="NR24" i="3"/>
  <c r="NR7" i="3"/>
  <c r="NM8" i="3"/>
  <c r="NM9" i="3"/>
  <c r="NM10" i="3"/>
  <c r="NM11" i="3"/>
  <c r="NM12" i="3"/>
  <c r="NM13" i="3"/>
  <c r="NM14" i="3"/>
  <c r="NM15" i="3"/>
  <c r="NM16" i="3"/>
  <c r="NM17" i="3"/>
  <c r="NM18" i="3"/>
  <c r="NM19" i="3"/>
  <c r="NM20" i="3"/>
  <c r="NM21" i="3"/>
  <c r="NM22" i="3"/>
  <c r="NM23" i="3"/>
  <c r="NM24" i="3"/>
  <c r="NM7" i="3"/>
  <c r="NE8" i="3" l="1"/>
  <c r="NE9" i="3"/>
  <c r="NE10" i="3"/>
  <c r="NE11" i="3"/>
  <c r="NE12" i="3"/>
  <c r="NE13" i="3"/>
  <c r="NE14" i="3"/>
  <c r="NE15" i="3"/>
  <c r="NE16" i="3"/>
  <c r="NE17" i="3"/>
  <c r="NE18" i="3"/>
  <c r="NE19" i="3"/>
  <c r="NE20" i="3"/>
  <c r="NE21" i="3"/>
  <c r="NE22" i="3"/>
  <c r="NE23" i="3"/>
  <c r="NE24" i="3"/>
  <c r="NE7" i="3"/>
  <c r="NF8" i="3"/>
  <c r="NF9" i="3"/>
  <c r="NF10" i="3"/>
  <c r="NF11" i="3"/>
  <c r="NF12" i="3"/>
  <c r="NF13" i="3"/>
  <c r="NF14" i="3"/>
  <c r="NF15" i="3"/>
  <c r="NF16" i="3"/>
  <c r="NF17" i="3"/>
  <c r="NF18" i="3"/>
  <c r="NF19" i="3"/>
  <c r="NF20" i="3"/>
  <c r="NF21" i="3"/>
  <c r="NF22" i="3"/>
  <c r="NF23" i="3"/>
  <c r="NF24" i="3"/>
  <c r="NF7" i="3"/>
  <c r="MG8" i="3" l="1"/>
  <c r="MH8" i="3"/>
  <c r="MI8" i="3"/>
  <c r="MJ8" i="3"/>
  <c r="MG9" i="3"/>
  <c r="MH9" i="3"/>
  <c r="MI9" i="3"/>
  <c r="MJ9" i="3"/>
  <c r="MG10" i="3"/>
  <c r="MH10" i="3"/>
  <c r="MI10" i="3"/>
  <c r="MJ10" i="3"/>
  <c r="MG11" i="3"/>
  <c r="MH11" i="3"/>
  <c r="MI11" i="3"/>
  <c r="MJ11" i="3"/>
  <c r="MG12" i="3"/>
  <c r="MH12" i="3"/>
  <c r="MI12" i="3"/>
  <c r="MJ12" i="3"/>
  <c r="MG13" i="3"/>
  <c r="MH13" i="3"/>
  <c r="MI13" i="3"/>
  <c r="MJ13" i="3"/>
  <c r="MG14" i="3"/>
  <c r="MH14" i="3"/>
  <c r="MI14" i="3"/>
  <c r="MJ14" i="3"/>
  <c r="MG15" i="3"/>
  <c r="MH15" i="3"/>
  <c r="MI15" i="3"/>
  <c r="MJ15" i="3"/>
  <c r="MG16" i="3"/>
  <c r="MH16" i="3"/>
  <c r="MI16" i="3"/>
  <c r="MJ16" i="3"/>
  <c r="MG17" i="3"/>
  <c r="MH17" i="3"/>
  <c r="MI17" i="3"/>
  <c r="MJ17" i="3"/>
  <c r="MG18" i="3"/>
  <c r="MH18" i="3"/>
  <c r="MI18" i="3"/>
  <c r="MJ18" i="3"/>
  <c r="MG19" i="3"/>
  <c r="MH19" i="3"/>
  <c r="MI19" i="3"/>
  <c r="MJ19" i="3"/>
  <c r="MG20" i="3"/>
  <c r="MH20" i="3"/>
  <c r="MI20" i="3"/>
  <c r="MJ20" i="3"/>
  <c r="MG21" i="3"/>
  <c r="MH21" i="3"/>
  <c r="MI21" i="3"/>
  <c r="MJ21" i="3"/>
  <c r="MG22" i="3"/>
  <c r="MH22" i="3"/>
  <c r="MI22" i="3"/>
  <c r="MJ22" i="3"/>
  <c r="MG23" i="3"/>
  <c r="MH23" i="3"/>
  <c r="MI23" i="3"/>
  <c r="MJ23" i="3"/>
  <c r="MG24" i="3"/>
  <c r="MH24" i="3"/>
  <c r="MI24" i="3"/>
  <c r="MJ24" i="3"/>
  <c r="MJ7" i="3"/>
  <c r="MI7" i="3"/>
  <c r="MH7" i="3"/>
  <c r="MG7" i="3"/>
  <c r="LQ24" i="3"/>
  <c r="LR24" i="3"/>
  <c r="LS24" i="3"/>
  <c r="LT24" i="3"/>
  <c r="LU24" i="3"/>
  <c r="LV24" i="3"/>
  <c r="LW24" i="3"/>
  <c r="LX24" i="3"/>
  <c r="KO8" i="3"/>
  <c r="KP8" i="3"/>
  <c r="KQ8" i="3"/>
  <c r="KR8" i="3"/>
  <c r="KO9" i="3"/>
  <c r="KP9" i="3"/>
  <c r="KQ9" i="3"/>
  <c r="KR9" i="3"/>
  <c r="KO10" i="3"/>
  <c r="KP10" i="3"/>
  <c r="KQ10" i="3"/>
  <c r="KR10" i="3"/>
  <c r="KO11" i="3"/>
  <c r="KP11" i="3"/>
  <c r="KQ11" i="3"/>
  <c r="KR11" i="3"/>
  <c r="KO12" i="3"/>
  <c r="KP12" i="3"/>
  <c r="KQ12" i="3"/>
  <c r="KR12" i="3"/>
  <c r="KO14" i="3"/>
  <c r="KP14" i="3"/>
  <c r="KQ14" i="3"/>
  <c r="KR14" i="3"/>
  <c r="KO15" i="3"/>
  <c r="KP15" i="3"/>
  <c r="KQ15" i="3"/>
  <c r="KR15" i="3"/>
  <c r="KO16" i="3"/>
  <c r="KP16" i="3"/>
  <c r="KQ16" i="3"/>
  <c r="KR16" i="3"/>
  <c r="KO17" i="3"/>
  <c r="KP17" i="3"/>
  <c r="KQ17" i="3"/>
  <c r="KR17" i="3"/>
  <c r="KO18" i="3"/>
  <c r="KP18" i="3"/>
  <c r="KQ18" i="3"/>
  <c r="KR18" i="3"/>
  <c r="KO19" i="3"/>
  <c r="KP19" i="3"/>
  <c r="KQ19" i="3"/>
  <c r="KR19" i="3"/>
  <c r="KO20" i="3"/>
  <c r="KP20" i="3"/>
  <c r="KQ20" i="3"/>
  <c r="KR20" i="3"/>
  <c r="KO21" i="3"/>
  <c r="KP21" i="3"/>
  <c r="KQ21" i="3"/>
  <c r="KR21" i="3"/>
  <c r="KO22" i="3"/>
  <c r="KP22" i="3"/>
  <c r="KQ22" i="3"/>
  <c r="KR22" i="3"/>
  <c r="KO23" i="3"/>
  <c r="KP23" i="3"/>
  <c r="KQ23" i="3"/>
  <c r="KR23" i="3"/>
  <c r="KO24" i="3"/>
  <c r="KP24" i="3"/>
  <c r="KQ24" i="3"/>
  <c r="KR24" i="3"/>
  <c r="KP7" i="3"/>
  <c r="KQ7" i="3"/>
  <c r="KR7" i="3"/>
  <c r="KO7" i="3"/>
  <c r="JQ8" i="3"/>
  <c r="JR8" i="3"/>
  <c r="JS8" i="3"/>
  <c r="JT8" i="3"/>
  <c r="JQ9" i="3"/>
  <c r="JR9" i="3"/>
  <c r="JS9" i="3"/>
  <c r="JT9" i="3"/>
  <c r="JQ10" i="3"/>
  <c r="JR10" i="3"/>
  <c r="JS10" i="3"/>
  <c r="JT10" i="3"/>
  <c r="JQ11" i="3"/>
  <c r="JR11" i="3"/>
  <c r="JS11" i="3"/>
  <c r="JT11" i="3"/>
  <c r="JQ13" i="3"/>
  <c r="JR13" i="3"/>
  <c r="JS13" i="3"/>
  <c r="JT13" i="3"/>
  <c r="JQ14" i="3"/>
  <c r="JR14" i="3"/>
  <c r="JS14" i="3"/>
  <c r="JT14" i="3"/>
  <c r="JQ15" i="3"/>
  <c r="JR15" i="3"/>
  <c r="JS15" i="3"/>
  <c r="JT15" i="3"/>
  <c r="JQ16" i="3"/>
  <c r="JR16" i="3"/>
  <c r="JS16" i="3"/>
  <c r="JT16" i="3"/>
  <c r="JQ17" i="3"/>
  <c r="JR17" i="3"/>
  <c r="JS17" i="3"/>
  <c r="JT17" i="3"/>
  <c r="JQ18" i="3"/>
  <c r="JR18" i="3"/>
  <c r="JS18" i="3"/>
  <c r="JT18" i="3"/>
  <c r="JQ19" i="3"/>
  <c r="JR19" i="3"/>
  <c r="JS19" i="3"/>
  <c r="JT19" i="3"/>
  <c r="JQ20" i="3"/>
  <c r="JR20" i="3"/>
  <c r="JS20" i="3"/>
  <c r="JT20" i="3"/>
  <c r="JQ21" i="3"/>
  <c r="JR21" i="3"/>
  <c r="JS21" i="3"/>
  <c r="JT21" i="3"/>
  <c r="JQ22" i="3"/>
  <c r="JR22" i="3"/>
  <c r="JS22" i="3"/>
  <c r="JT22" i="3"/>
  <c r="JQ23" i="3"/>
  <c r="JR23" i="3"/>
  <c r="JS23" i="3"/>
  <c r="JT23" i="3"/>
  <c r="JQ24" i="3"/>
  <c r="JR24" i="3"/>
  <c r="JS24" i="3"/>
  <c r="JT24" i="3"/>
  <c r="JR7" i="3"/>
  <c r="JS7" i="3"/>
  <c r="JT7" i="3"/>
  <c r="JQ7" i="3"/>
  <c r="JC24" i="3"/>
  <c r="JB24" i="3"/>
  <c r="JA24" i="3"/>
  <c r="IZ24" i="3"/>
  <c r="JC23" i="3"/>
  <c r="JB23" i="3"/>
  <c r="JA23" i="3"/>
  <c r="IZ23" i="3"/>
  <c r="JC22" i="3"/>
  <c r="JB22" i="3"/>
  <c r="JA22" i="3"/>
  <c r="IZ22" i="3"/>
  <c r="JC21" i="3"/>
  <c r="JB21" i="3"/>
  <c r="JA21" i="3"/>
  <c r="IZ21" i="3"/>
  <c r="JC20" i="3"/>
  <c r="JB20" i="3"/>
  <c r="JA20" i="3"/>
  <c r="IZ20" i="3"/>
  <c r="JC19" i="3"/>
  <c r="JB19" i="3"/>
  <c r="JA19" i="3"/>
  <c r="IZ19" i="3"/>
  <c r="JC18" i="3"/>
  <c r="JB18" i="3"/>
  <c r="JA18" i="3"/>
  <c r="IZ18" i="3"/>
  <c r="JC17" i="3"/>
  <c r="JB17" i="3"/>
  <c r="JA17" i="3"/>
  <c r="IZ17" i="3"/>
  <c r="JC16" i="3"/>
  <c r="JB16" i="3"/>
  <c r="JA16" i="3"/>
  <c r="IZ16" i="3"/>
  <c r="JC15" i="3"/>
  <c r="JB15" i="3"/>
  <c r="JA15" i="3"/>
  <c r="IZ15" i="3"/>
  <c r="JC14" i="3"/>
  <c r="JB14" i="3"/>
  <c r="JA14" i="3"/>
  <c r="IZ14" i="3"/>
  <c r="JC13" i="3"/>
  <c r="JB13" i="3"/>
  <c r="JA13" i="3"/>
  <c r="IZ13" i="3"/>
  <c r="JC12" i="3"/>
  <c r="JB12" i="3"/>
  <c r="JA12" i="3"/>
  <c r="IZ12" i="3"/>
  <c r="JC11" i="3"/>
  <c r="JB11" i="3"/>
  <c r="JA11" i="3"/>
  <c r="IZ11" i="3"/>
  <c r="JC9" i="3"/>
  <c r="JB9" i="3"/>
  <c r="JA9" i="3"/>
  <c r="IZ9" i="3"/>
  <c r="JC8" i="3"/>
  <c r="JB8" i="3"/>
  <c r="JA8" i="3"/>
  <c r="IZ8" i="3"/>
  <c r="JA7" i="3"/>
  <c r="JB7" i="3"/>
  <c r="JC7" i="3"/>
  <c r="IZ7" i="3"/>
  <c r="IW7" i="3"/>
  <c r="IX7" i="3"/>
  <c r="IY7" i="3"/>
  <c r="IW8" i="3"/>
  <c r="IX8" i="3"/>
  <c r="IY8" i="3"/>
  <c r="IW9" i="3"/>
  <c r="IX9" i="3"/>
  <c r="IY9" i="3"/>
  <c r="IW11" i="3"/>
  <c r="IX11" i="3"/>
  <c r="IY11" i="3"/>
  <c r="IW12" i="3"/>
  <c r="IX12" i="3"/>
  <c r="IY12" i="3"/>
  <c r="IW13" i="3"/>
  <c r="IX13" i="3"/>
  <c r="IY13" i="3"/>
  <c r="IW14" i="3"/>
  <c r="IX14" i="3"/>
  <c r="IY14" i="3"/>
  <c r="IW15" i="3"/>
  <c r="IX15" i="3"/>
  <c r="IY15" i="3"/>
  <c r="IW16" i="3"/>
  <c r="IX16" i="3"/>
  <c r="IY16" i="3"/>
  <c r="IW17" i="3"/>
  <c r="IX17" i="3"/>
  <c r="IY17" i="3"/>
  <c r="IW18" i="3"/>
  <c r="IX18" i="3"/>
  <c r="IY18" i="3"/>
  <c r="IW19" i="3"/>
  <c r="IX19" i="3"/>
  <c r="IY19" i="3"/>
  <c r="IW20" i="3"/>
  <c r="IX20" i="3"/>
  <c r="IY20" i="3"/>
  <c r="IW21" i="3"/>
  <c r="IX21" i="3"/>
  <c r="IY21" i="3"/>
  <c r="IW22" i="3"/>
  <c r="IX22" i="3"/>
  <c r="IY22" i="3"/>
  <c r="IW23" i="3"/>
  <c r="IX23" i="3"/>
  <c r="IY23" i="3"/>
  <c r="IW24" i="3"/>
  <c r="IX24" i="3"/>
  <c r="IY24" i="3"/>
  <c r="IV8" i="3"/>
  <c r="IV9" i="3"/>
  <c r="IV11" i="3"/>
  <c r="IV12" i="3"/>
  <c r="IV13" i="3"/>
  <c r="IV14" i="3"/>
  <c r="IV15" i="3"/>
  <c r="IV16" i="3"/>
  <c r="IV17" i="3"/>
  <c r="IV18" i="3"/>
  <c r="IV19" i="3"/>
  <c r="IV20" i="3"/>
  <c r="IV21" i="3"/>
  <c r="IV22" i="3"/>
  <c r="IV23" i="3"/>
  <c r="IV24" i="3"/>
  <c r="IV7" i="3"/>
  <c r="HY7" i="3"/>
  <c r="HZ7" i="3"/>
  <c r="IA7" i="3"/>
  <c r="HY8" i="3"/>
  <c r="HZ8" i="3"/>
  <c r="IA8" i="3"/>
  <c r="HY10" i="3"/>
  <c r="HZ10" i="3"/>
  <c r="IA10" i="3"/>
  <c r="HY11" i="3"/>
  <c r="HZ11" i="3"/>
  <c r="IA11" i="3"/>
  <c r="HY12" i="3"/>
  <c r="HZ12" i="3"/>
  <c r="IA12" i="3"/>
  <c r="HY13" i="3"/>
  <c r="HZ13" i="3"/>
  <c r="IA13" i="3"/>
  <c r="HY14" i="3"/>
  <c r="HZ14" i="3"/>
  <c r="IA14" i="3"/>
  <c r="HY15" i="3"/>
  <c r="HZ15" i="3"/>
  <c r="IA15" i="3"/>
  <c r="HY16" i="3"/>
  <c r="HZ16" i="3"/>
  <c r="IA16" i="3"/>
  <c r="HY17" i="3"/>
  <c r="HZ17" i="3"/>
  <c r="IA17" i="3"/>
  <c r="HY18" i="3"/>
  <c r="HZ18" i="3"/>
  <c r="IA18" i="3"/>
  <c r="HY19" i="3"/>
  <c r="HZ19" i="3"/>
  <c r="IA19" i="3"/>
  <c r="HY20" i="3"/>
  <c r="HZ20" i="3"/>
  <c r="IA20" i="3"/>
  <c r="HY21" i="3"/>
  <c r="HZ21" i="3"/>
  <c r="IA21" i="3"/>
  <c r="HY22" i="3"/>
  <c r="HZ22" i="3"/>
  <c r="IA22" i="3"/>
  <c r="HY23" i="3"/>
  <c r="HZ23" i="3"/>
  <c r="IA23" i="3"/>
  <c r="HY24" i="3"/>
  <c r="HZ24" i="3"/>
  <c r="IA24" i="3"/>
  <c r="HX8" i="3"/>
  <c r="HX10" i="3"/>
  <c r="HX11" i="3"/>
  <c r="HX12" i="3"/>
  <c r="HX13" i="3"/>
  <c r="HX14" i="3"/>
  <c r="HX15" i="3"/>
  <c r="HX16" i="3"/>
  <c r="HX17" i="3"/>
  <c r="HX18" i="3"/>
  <c r="HX19" i="3"/>
  <c r="HX20" i="3"/>
  <c r="HX21" i="3"/>
  <c r="HX22" i="3"/>
  <c r="HX23" i="3"/>
  <c r="HX24" i="3"/>
  <c r="HX7" i="3"/>
  <c r="HT8" i="3"/>
  <c r="HU8" i="3"/>
  <c r="HV8" i="3"/>
  <c r="HW8" i="3"/>
  <c r="HT10" i="3"/>
  <c r="HU10" i="3"/>
  <c r="HV10" i="3"/>
  <c r="HW10" i="3"/>
  <c r="HT11" i="3"/>
  <c r="HU11" i="3"/>
  <c r="HV11" i="3"/>
  <c r="HW11" i="3"/>
  <c r="HT12" i="3"/>
  <c r="HU12" i="3"/>
  <c r="HV12" i="3"/>
  <c r="HW12" i="3"/>
  <c r="HT13" i="3"/>
  <c r="HU13" i="3"/>
  <c r="HV13" i="3"/>
  <c r="HW13" i="3"/>
  <c r="HT14" i="3"/>
  <c r="HU14" i="3"/>
  <c r="HV14" i="3"/>
  <c r="HW14" i="3"/>
  <c r="HT15" i="3"/>
  <c r="HU15" i="3"/>
  <c r="HV15" i="3"/>
  <c r="HW15" i="3"/>
  <c r="HT16" i="3"/>
  <c r="HU16" i="3"/>
  <c r="HV16" i="3"/>
  <c r="HW16" i="3"/>
  <c r="HT17" i="3"/>
  <c r="HU17" i="3"/>
  <c r="HV17" i="3"/>
  <c r="HW17" i="3"/>
  <c r="HT18" i="3"/>
  <c r="HU18" i="3"/>
  <c r="HV18" i="3"/>
  <c r="HW18" i="3"/>
  <c r="HT19" i="3"/>
  <c r="HU19" i="3"/>
  <c r="HV19" i="3"/>
  <c r="HW19" i="3"/>
  <c r="HT20" i="3"/>
  <c r="HU20" i="3"/>
  <c r="HV20" i="3"/>
  <c r="HW20" i="3"/>
  <c r="HT21" i="3"/>
  <c r="HU21" i="3"/>
  <c r="HV21" i="3"/>
  <c r="HW21" i="3"/>
  <c r="HT22" i="3"/>
  <c r="HU22" i="3"/>
  <c r="HV22" i="3"/>
  <c r="HW22" i="3"/>
  <c r="HT23" i="3"/>
  <c r="HU23" i="3"/>
  <c r="HV23" i="3"/>
  <c r="HW23" i="3"/>
  <c r="HT24" i="3"/>
  <c r="HU24" i="3"/>
  <c r="HV24" i="3"/>
  <c r="HW24" i="3"/>
  <c r="HU7" i="3"/>
  <c r="HV7" i="3"/>
  <c r="HW7" i="3"/>
  <c r="HT7" i="3"/>
  <c r="FX9" i="3"/>
  <c r="FY9" i="3"/>
  <c r="FZ9" i="3"/>
  <c r="GA9" i="3"/>
  <c r="FX10" i="3"/>
  <c r="FY10" i="3"/>
  <c r="FZ10" i="3"/>
  <c r="GA10" i="3"/>
  <c r="FX11" i="3"/>
  <c r="FY11" i="3"/>
  <c r="FZ11" i="3"/>
  <c r="GA11" i="3"/>
  <c r="FX12" i="3"/>
  <c r="FY12" i="3"/>
  <c r="FZ12" i="3"/>
  <c r="GA12" i="3"/>
  <c r="FX13" i="3"/>
  <c r="FY13" i="3"/>
  <c r="FZ13" i="3"/>
  <c r="GA13" i="3"/>
  <c r="FX14" i="3"/>
  <c r="FY14" i="3"/>
  <c r="FZ14" i="3"/>
  <c r="GA14" i="3"/>
  <c r="FX15" i="3"/>
  <c r="FY15" i="3"/>
  <c r="FZ15" i="3"/>
  <c r="GA15" i="3"/>
  <c r="FX16" i="3"/>
  <c r="FY16" i="3"/>
  <c r="FZ16" i="3"/>
  <c r="GA16" i="3"/>
  <c r="FX17" i="3"/>
  <c r="FY17" i="3"/>
  <c r="FZ17" i="3"/>
  <c r="GA17" i="3"/>
  <c r="FX18" i="3"/>
  <c r="FY18" i="3"/>
  <c r="FZ18" i="3"/>
  <c r="GA18" i="3"/>
  <c r="FX19" i="3"/>
  <c r="FY19" i="3"/>
  <c r="FZ19" i="3"/>
  <c r="GA19" i="3"/>
  <c r="FX20" i="3"/>
  <c r="FY20" i="3"/>
  <c r="FZ20" i="3"/>
  <c r="GA20" i="3"/>
  <c r="FX21" i="3"/>
  <c r="FY21" i="3"/>
  <c r="FZ21" i="3"/>
  <c r="GA21" i="3"/>
  <c r="FX22" i="3"/>
  <c r="FY22" i="3"/>
  <c r="FZ22" i="3"/>
  <c r="GA22" i="3"/>
  <c r="FX23" i="3"/>
  <c r="FY23" i="3"/>
  <c r="FZ23" i="3"/>
  <c r="GA23" i="3"/>
  <c r="FX24" i="3"/>
  <c r="FY24" i="3"/>
  <c r="FZ24" i="3"/>
  <c r="GA24" i="3"/>
  <c r="FY7" i="3"/>
  <c r="FZ7" i="3"/>
  <c r="GA7" i="3"/>
  <c r="FX7" i="3"/>
  <c r="FT9" i="3"/>
  <c r="FU9" i="3"/>
  <c r="FV9" i="3"/>
  <c r="FW9" i="3"/>
  <c r="FT10" i="3"/>
  <c r="FU10" i="3"/>
  <c r="FV10" i="3"/>
  <c r="FW10" i="3"/>
  <c r="FT11" i="3"/>
  <c r="FU11" i="3"/>
  <c r="FV11" i="3"/>
  <c r="FW11" i="3"/>
  <c r="FT12" i="3"/>
  <c r="FU12" i="3"/>
  <c r="FV12" i="3"/>
  <c r="FW12" i="3"/>
  <c r="FT13" i="3"/>
  <c r="FU13" i="3"/>
  <c r="FV13" i="3"/>
  <c r="FW13" i="3"/>
  <c r="FT14" i="3"/>
  <c r="FU14" i="3"/>
  <c r="FV14" i="3"/>
  <c r="FW14" i="3"/>
  <c r="FT15" i="3"/>
  <c r="FU15" i="3"/>
  <c r="FV15" i="3"/>
  <c r="FW15" i="3"/>
  <c r="FT16" i="3"/>
  <c r="FU16" i="3"/>
  <c r="FV16" i="3"/>
  <c r="FW16" i="3"/>
  <c r="FT17" i="3"/>
  <c r="FU17" i="3"/>
  <c r="FV17" i="3"/>
  <c r="FW17" i="3"/>
  <c r="FT18" i="3"/>
  <c r="FU18" i="3"/>
  <c r="FV18" i="3"/>
  <c r="FW18" i="3"/>
  <c r="FT19" i="3"/>
  <c r="FU19" i="3"/>
  <c r="FV19" i="3"/>
  <c r="FW19" i="3"/>
  <c r="FT20" i="3"/>
  <c r="FU20" i="3"/>
  <c r="FV20" i="3"/>
  <c r="FW20" i="3"/>
  <c r="FT21" i="3"/>
  <c r="FU21" i="3"/>
  <c r="FV21" i="3"/>
  <c r="FW21" i="3"/>
  <c r="FT22" i="3"/>
  <c r="FU22" i="3"/>
  <c r="FV22" i="3"/>
  <c r="FW22" i="3"/>
  <c r="FT23" i="3"/>
  <c r="FU23" i="3"/>
  <c r="FV23" i="3"/>
  <c r="FW23" i="3"/>
  <c r="FT24" i="3"/>
  <c r="FU24" i="3"/>
  <c r="FV24" i="3"/>
  <c r="FW24" i="3"/>
  <c r="FU7" i="3"/>
  <c r="FV7" i="3"/>
  <c r="FW7" i="3"/>
  <c r="FT7" i="3"/>
  <c r="PD8" i="3"/>
  <c r="PE8" i="3"/>
  <c r="PF8" i="3"/>
  <c r="PG8" i="3"/>
  <c r="PH8" i="3"/>
  <c r="PI8" i="3"/>
  <c r="PJ8" i="3"/>
  <c r="PK8" i="3"/>
  <c r="PL8" i="3"/>
  <c r="PM8" i="3"/>
  <c r="PN8" i="3"/>
  <c r="PO8" i="3"/>
  <c r="PP8" i="3"/>
  <c r="PQ8" i="3"/>
  <c r="PR8" i="3"/>
  <c r="PS8" i="3"/>
  <c r="PT8" i="3"/>
  <c r="PU8" i="3"/>
  <c r="PV8" i="3"/>
  <c r="PW8" i="3"/>
  <c r="PX8" i="3"/>
  <c r="PY8" i="3"/>
  <c r="PZ8" i="3"/>
  <c r="QA8" i="3"/>
  <c r="QB8" i="3"/>
  <c r="QC8" i="3"/>
  <c r="QD8" i="3"/>
  <c r="QE8" i="3"/>
  <c r="QF8" i="3"/>
  <c r="QG8" i="3"/>
  <c r="QH8" i="3"/>
  <c r="QI8" i="3"/>
  <c r="PD9" i="3"/>
  <c r="PE9" i="3"/>
  <c r="PF9" i="3"/>
  <c r="PG9" i="3"/>
  <c r="PH9" i="3"/>
  <c r="PI9" i="3"/>
  <c r="PJ9" i="3"/>
  <c r="PK9" i="3"/>
  <c r="PL9" i="3"/>
  <c r="PM9" i="3"/>
  <c r="PN9" i="3"/>
  <c r="PO9" i="3"/>
  <c r="PP9" i="3"/>
  <c r="PQ9" i="3"/>
  <c r="PR9" i="3"/>
  <c r="PS9" i="3"/>
  <c r="PT9" i="3"/>
  <c r="PU9" i="3"/>
  <c r="PV9" i="3"/>
  <c r="PW9" i="3"/>
  <c r="PX9" i="3"/>
  <c r="PY9" i="3"/>
  <c r="PZ9" i="3"/>
  <c r="QA9" i="3"/>
  <c r="QB9" i="3"/>
  <c r="QC9" i="3"/>
  <c r="QD9" i="3"/>
  <c r="QE9" i="3"/>
  <c r="QF9" i="3"/>
  <c r="QG9" i="3"/>
  <c r="QH9" i="3"/>
  <c r="QI9" i="3"/>
  <c r="PD10" i="3"/>
  <c r="PE10" i="3"/>
  <c r="PF10" i="3"/>
  <c r="PG10" i="3"/>
  <c r="PH10" i="3"/>
  <c r="PI10" i="3"/>
  <c r="PJ10" i="3"/>
  <c r="PK10" i="3"/>
  <c r="PL10" i="3"/>
  <c r="PM10" i="3"/>
  <c r="PN10" i="3"/>
  <c r="PO10" i="3"/>
  <c r="PP10" i="3"/>
  <c r="PQ10" i="3"/>
  <c r="PR10" i="3"/>
  <c r="PS10" i="3"/>
  <c r="PT10" i="3"/>
  <c r="PU10" i="3"/>
  <c r="PV10" i="3"/>
  <c r="PW10" i="3"/>
  <c r="PX10" i="3"/>
  <c r="PY10" i="3"/>
  <c r="PZ10" i="3"/>
  <c r="QA10" i="3"/>
  <c r="QB10" i="3"/>
  <c r="QC10" i="3"/>
  <c r="QD10" i="3"/>
  <c r="QE10" i="3"/>
  <c r="QF10" i="3"/>
  <c r="QG10" i="3"/>
  <c r="QH10" i="3"/>
  <c r="QI10" i="3"/>
  <c r="PD11" i="3"/>
  <c r="PE11" i="3"/>
  <c r="PF11" i="3"/>
  <c r="PG11" i="3"/>
  <c r="PH11" i="3"/>
  <c r="PI11" i="3"/>
  <c r="PJ11" i="3"/>
  <c r="PK11" i="3"/>
  <c r="PL11" i="3"/>
  <c r="PM11" i="3"/>
  <c r="PN11" i="3"/>
  <c r="PO11" i="3"/>
  <c r="PP11" i="3"/>
  <c r="PQ11" i="3"/>
  <c r="PR11" i="3"/>
  <c r="PS11" i="3"/>
  <c r="PT11" i="3"/>
  <c r="PU11" i="3"/>
  <c r="PV11" i="3"/>
  <c r="PW11" i="3"/>
  <c r="PX11" i="3"/>
  <c r="PY11" i="3"/>
  <c r="PZ11" i="3"/>
  <c r="QA11" i="3"/>
  <c r="QB11" i="3"/>
  <c r="QC11" i="3"/>
  <c r="QD11" i="3"/>
  <c r="QE11" i="3"/>
  <c r="QF11" i="3"/>
  <c r="QG11" i="3"/>
  <c r="QH11" i="3"/>
  <c r="QI11" i="3"/>
  <c r="PD12" i="3"/>
  <c r="PE12" i="3"/>
  <c r="PF12" i="3"/>
  <c r="PG12" i="3"/>
  <c r="PH12" i="3"/>
  <c r="PI12" i="3"/>
  <c r="PJ12" i="3"/>
  <c r="PK12" i="3"/>
  <c r="PL12" i="3"/>
  <c r="PM12" i="3"/>
  <c r="PN12" i="3"/>
  <c r="PO12" i="3"/>
  <c r="PP12" i="3"/>
  <c r="PQ12" i="3"/>
  <c r="PR12" i="3"/>
  <c r="PS12" i="3"/>
  <c r="PT12" i="3"/>
  <c r="PU12" i="3"/>
  <c r="PV12" i="3"/>
  <c r="PW12" i="3"/>
  <c r="PX12" i="3"/>
  <c r="PY12" i="3"/>
  <c r="PZ12" i="3"/>
  <c r="QA12" i="3"/>
  <c r="QB12" i="3"/>
  <c r="QC12" i="3"/>
  <c r="QD12" i="3"/>
  <c r="QE12" i="3"/>
  <c r="QF12" i="3"/>
  <c r="QG12" i="3"/>
  <c r="QH12" i="3"/>
  <c r="QI12" i="3"/>
  <c r="PD13" i="3"/>
  <c r="PE13" i="3"/>
  <c r="PF13" i="3"/>
  <c r="PG13" i="3"/>
  <c r="PH13" i="3"/>
  <c r="PI13" i="3"/>
  <c r="PJ13" i="3"/>
  <c r="PK13" i="3"/>
  <c r="PL13" i="3"/>
  <c r="PM13" i="3"/>
  <c r="PN13" i="3"/>
  <c r="PO13" i="3"/>
  <c r="PP13" i="3"/>
  <c r="PQ13" i="3"/>
  <c r="PR13" i="3"/>
  <c r="PS13" i="3"/>
  <c r="PT13" i="3"/>
  <c r="PU13" i="3"/>
  <c r="PV13" i="3"/>
  <c r="PW13" i="3"/>
  <c r="PX13" i="3"/>
  <c r="PY13" i="3"/>
  <c r="PZ13" i="3"/>
  <c r="QA13" i="3"/>
  <c r="QB13" i="3"/>
  <c r="QC13" i="3"/>
  <c r="QD13" i="3"/>
  <c r="QE13" i="3"/>
  <c r="QF13" i="3"/>
  <c r="QG13" i="3"/>
  <c r="QH13" i="3"/>
  <c r="QI13" i="3"/>
  <c r="PD14" i="3"/>
  <c r="PE14" i="3"/>
  <c r="PF14" i="3"/>
  <c r="PG14" i="3"/>
  <c r="PH14" i="3"/>
  <c r="PI14" i="3"/>
  <c r="PJ14" i="3"/>
  <c r="PK14" i="3"/>
  <c r="PL14" i="3"/>
  <c r="PM14" i="3"/>
  <c r="PN14" i="3"/>
  <c r="PO14" i="3"/>
  <c r="PP14" i="3"/>
  <c r="PQ14" i="3"/>
  <c r="PR14" i="3"/>
  <c r="PS14" i="3"/>
  <c r="PT14" i="3"/>
  <c r="PU14" i="3"/>
  <c r="PV14" i="3"/>
  <c r="PW14" i="3"/>
  <c r="PX14" i="3"/>
  <c r="PY14" i="3"/>
  <c r="PZ14" i="3"/>
  <c r="QA14" i="3"/>
  <c r="QB14" i="3"/>
  <c r="QC14" i="3"/>
  <c r="QD14" i="3"/>
  <c r="QE14" i="3"/>
  <c r="QF14" i="3"/>
  <c r="QG14" i="3"/>
  <c r="QH14" i="3"/>
  <c r="QI14" i="3"/>
  <c r="PD15" i="3"/>
  <c r="PE15" i="3"/>
  <c r="PF15" i="3"/>
  <c r="PG15" i="3"/>
  <c r="PH15" i="3"/>
  <c r="PI15" i="3"/>
  <c r="PJ15" i="3"/>
  <c r="PK15" i="3"/>
  <c r="PL15" i="3"/>
  <c r="PM15" i="3"/>
  <c r="PN15" i="3"/>
  <c r="PO15" i="3"/>
  <c r="PP15" i="3"/>
  <c r="PQ15" i="3"/>
  <c r="PR15" i="3"/>
  <c r="PS15" i="3"/>
  <c r="PT15" i="3"/>
  <c r="PU15" i="3"/>
  <c r="PV15" i="3"/>
  <c r="PW15" i="3"/>
  <c r="PX15" i="3"/>
  <c r="PY15" i="3"/>
  <c r="PZ15" i="3"/>
  <c r="QA15" i="3"/>
  <c r="QB15" i="3"/>
  <c r="QC15" i="3"/>
  <c r="QD15" i="3"/>
  <c r="QE15" i="3"/>
  <c r="QF15" i="3"/>
  <c r="QG15" i="3"/>
  <c r="QH15" i="3"/>
  <c r="QI15" i="3"/>
  <c r="PD16" i="3"/>
  <c r="PE16" i="3"/>
  <c r="PF16" i="3"/>
  <c r="PG16" i="3"/>
  <c r="PH16" i="3"/>
  <c r="PI16" i="3"/>
  <c r="PJ16" i="3"/>
  <c r="PK16" i="3"/>
  <c r="PL16" i="3"/>
  <c r="PM16" i="3"/>
  <c r="PN16" i="3"/>
  <c r="PO16" i="3"/>
  <c r="PP16" i="3"/>
  <c r="PQ16" i="3"/>
  <c r="PR16" i="3"/>
  <c r="PS16" i="3"/>
  <c r="PT16" i="3"/>
  <c r="PU16" i="3"/>
  <c r="PV16" i="3"/>
  <c r="PW16" i="3"/>
  <c r="PX16" i="3"/>
  <c r="PY16" i="3"/>
  <c r="PZ16" i="3"/>
  <c r="QA16" i="3"/>
  <c r="QB16" i="3"/>
  <c r="QC16" i="3"/>
  <c r="QD16" i="3"/>
  <c r="QE16" i="3"/>
  <c r="QF16" i="3"/>
  <c r="QG16" i="3"/>
  <c r="QH16" i="3"/>
  <c r="QI16" i="3"/>
  <c r="PD17" i="3"/>
  <c r="PE17" i="3"/>
  <c r="PF17" i="3"/>
  <c r="PG17" i="3"/>
  <c r="PH17" i="3"/>
  <c r="PI17" i="3"/>
  <c r="PJ17" i="3"/>
  <c r="PK17" i="3"/>
  <c r="PL17" i="3"/>
  <c r="PM17" i="3"/>
  <c r="PN17" i="3"/>
  <c r="PO17" i="3"/>
  <c r="PP17" i="3"/>
  <c r="PQ17" i="3"/>
  <c r="PR17" i="3"/>
  <c r="PS17" i="3"/>
  <c r="PT17" i="3"/>
  <c r="PU17" i="3"/>
  <c r="PV17" i="3"/>
  <c r="PW17" i="3"/>
  <c r="PX17" i="3"/>
  <c r="PY17" i="3"/>
  <c r="PZ17" i="3"/>
  <c r="QA17" i="3"/>
  <c r="QB17" i="3"/>
  <c r="QC17" i="3"/>
  <c r="QD17" i="3"/>
  <c r="QE17" i="3"/>
  <c r="QF17" i="3"/>
  <c r="QG17" i="3"/>
  <c r="QH17" i="3"/>
  <c r="QI17" i="3"/>
  <c r="PD18" i="3"/>
  <c r="PE18" i="3"/>
  <c r="PF18" i="3"/>
  <c r="PG18" i="3"/>
  <c r="PH18" i="3"/>
  <c r="PI18" i="3"/>
  <c r="PJ18" i="3"/>
  <c r="PK18" i="3"/>
  <c r="PL18" i="3"/>
  <c r="PM18" i="3"/>
  <c r="PN18" i="3"/>
  <c r="PO18" i="3"/>
  <c r="PP18" i="3"/>
  <c r="PQ18" i="3"/>
  <c r="PR18" i="3"/>
  <c r="PS18" i="3"/>
  <c r="PT18" i="3"/>
  <c r="PU18" i="3"/>
  <c r="PV18" i="3"/>
  <c r="PW18" i="3"/>
  <c r="PX18" i="3"/>
  <c r="PY18" i="3"/>
  <c r="PZ18" i="3"/>
  <c r="QA18" i="3"/>
  <c r="QB18" i="3"/>
  <c r="QC18" i="3"/>
  <c r="QD18" i="3"/>
  <c r="QE18" i="3"/>
  <c r="QF18" i="3"/>
  <c r="QG18" i="3"/>
  <c r="QH18" i="3"/>
  <c r="QI18" i="3"/>
  <c r="PD19" i="3"/>
  <c r="PE19" i="3"/>
  <c r="PF19" i="3"/>
  <c r="PG19" i="3"/>
  <c r="PH19" i="3"/>
  <c r="PI19" i="3"/>
  <c r="PJ19" i="3"/>
  <c r="PK19" i="3"/>
  <c r="PL19" i="3"/>
  <c r="PM19" i="3"/>
  <c r="PN19" i="3"/>
  <c r="PO19" i="3"/>
  <c r="PP19" i="3"/>
  <c r="PQ19" i="3"/>
  <c r="PR19" i="3"/>
  <c r="PS19" i="3"/>
  <c r="PT19" i="3"/>
  <c r="PU19" i="3"/>
  <c r="PV19" i="3"/>
  <c r="PW19" i="3"/>
  <c r="PX19" i="3"/>
  <c r="PY19" i="3"/>
  <c r="PZ19" i="3"/>
  <c r="QA19" i="3"/>
  <c r="QB19" i="3"/>
  <c r="QC19" i="3"/>
  <c r="QD19" i="3"/>
  <c r="QE19" i="3"/>
  <c r="QF19" i="3"/>
  <c r="QG19" i="3"/>
  <c r="QH19" i="3"/>
  <c r="QI19" i="3"/>
  <c r="PD20" i="3"/>
  <c r="PE20" i="3"/>
  <c r="PF20" i="3"/>
  <c r="PG20" i="3"/>
  <c r="PH20" i="3"/>
  <c r="PI20" i="3"/>
  <c r="PJ20" i="3"/>
  <c r="PK20" i="3"/>
  <c r="PL20" i="3"/>
  <c r="PM20" i="3"/>
  <c r="PN20" i="3"/>
  <c r="PO20" i="3"/>
  <c r="PP20" i="3"/>
  <c r="PQ20" i="3"/>
  <c r="PR20" i="3"/>
  <c r="PS20" i="3"/>
  <c r="PT20" i="3"/>
  <c r="PU20" i="3"/>
  <c r="PV20" i="3"/>
  <c r="PW20" i="3"/>
  <c r="PX20" i="3"/>
  <c r="PY20" i="3"/>
  <c r="PZ20" i="3"/>
  <c r="QA20" i="3"/>
  <c r="QB20" i="3"/>
  <c r="QC20" i="3"/>
  <c r="QD20" i="3"/>
  <c r="QE20" i="3"/>
  <c r="QF20" i="3"/>
  <c r="QG20" i="3"/>
  <c r="QH20" i="3"/>
  <c r="QI20" i="3"/>
  <c r="PD21" i="3"/>
  <c r="PE21" i="3"/>
  <c r="PF21" i="3"/>
  <c r="PG21" i="3"/>
  <c r="PH21" i="3"/>
  <c r="PI21" i="3"/>
  <c r="PJ21" i="3"/>
  <c r="PK21" i="3"/>
  <c r="PL21" i="3"/>
  <c r="PM21" i="3"/>
  <c r="PN21" i="3"/>
  <c r="PO21" i="3"/>
  <c r="PP21" i="3"/>
  <c r="PQ21" i="3"/>
  <c r="PR21" i="3"/>
  <c r="PS21" i="3"/>
  <c r="PT21" i="3"/>
  <c r="PU21" i="3"/>
  <c r="PV21" i="3"/>
  <c r="PW21" i="3"/>
  <c r="PX21" i="3"/>
  <c r="PY21" i="3"/>
  <c r="PZ21" i="3"/>
  <c r="QA21" i="3"/>
  <c r="QB21" i="3"/>
  <c r="QC21" i="3"/>
  <c r="QD21" i="3"/>
  <c r="QE21" i="3"/>
  <c r="QF21" i="3"/>
  <c r="QG21" i="3"/>
  <c r="QH21" i="3"/>
  <c r="QI21" i="3"/>
  <c r="PD22" i="3"/>
  <c r="PE22" i="3"/>
  <c r="PF22" i="3"/>
  <c r="PG22" i="3"/>
  <c r="PH22" i="3"/>
  <c r="PI22" i="3"/>
  <c r="PJ22" i="3"/>
  <c r="PK22" i="3"/>
  <c r="PL22" i="3"/>
  <c r="PM22" i="3"/>
  <c r="PN22" i="3"/>
  <c r="PO22" i="3"/>
  <c r="PP22" i="3"/>
  <c r="PQ22" i="3"/>
  <c r="PR22" i="3"/>
  <c r="PS22" i="3"/>
  <c r="PT22" i="3"/>
  <c r="PU22" i="3"/>
  <c r="PV22" i="3"/>
  <c r="PW22" i="3"/>
  <c r="PX22" i="3"/>
  <c r="PY22" i="3"/>
  <c r="PZ22" i="3"/>
  <c r="QA22" i="3"/>
  <c r="QB22" i="3"/>
  <c r="QC22" i="3"/>
  <c r="QD22" i="3"/>
  <c r="QE22" i="3"/>
  <c r="QF22" i="3"/>
  <c r="QG22" i="3"/>
  <c r="QH22" i="3"/>
  <c r="QI22" i="3"/>
  <c r="PD23" i="3"/>
  <c r="PE23" i="3"/>
  <c r="PF23" i="3"/>
  <c r="PG23" i="3"/>
  <c r="PH23" i="3"/>
  <c r="PI23" i="3"/>
  <c r="PJ23" i="3"/>
  <c r="PK23" i="3"/>
  <c r="PL23" i="3"/>
  <c r="PM23" i="3"/>
  <c r="PN23" i="3"/>
  <c r="PO23" i="3"/>
  <c r="PP23" i="3"/>
  <c r="PQ23" i="3"/>
  <c r="PR23" i="3"/>
  <c r="PS23" i="3"/>
  <c r="PT23" i="3"/>
  <c r="PU23" i="3"/>
  <c r="PV23" i="3"/>
  <c r="PW23" i="3"/>
  <c r="PX23" i="3"/>
  <c r="PY23" i="3"/>
  <c r="PZ23" i="3"/>
  <c r="QA23" i="3"/>
  <c r="QB23" i="3"/>
  <c r="QC23" i="3"/>
  <c r="QD23" i="3"/>
  <c r="QE23" i="3"/>
  <c r="QF23" i="3"/>
  <c r="QG23" i="3"/>
  <c r="QH23" i="3"/>
  <c r="QI23" i="3"/>
  <c r="PD24" i="3"/>
  <c r="PE24" i="3"/>
  <c r="PF24" i="3"/>
  <c r="PG24" i="3"/>
  <c r="PH24" i="3"/>
  <c r="PI24" i="3"/>
  <c r="PJ24" i="3"/>
  <c r="PK24" i="3"/>
  <c r="PL24" i="3"/>
  <c r="PM24" i="3"/>
  <c r="PN24" i="3"/>
  <c r="PO24" i="3"/>
  <c r="PP24" i="3"/>
  <c r="PQ24" i="3"/>
  <c r="PR24" i="3"/>
  <c r="PS24" i="3"/>
  <c r="PT24" i="3"/>
  <c r="PU24" i="3"/>
  <c r="PV24" i="3"/>
  <c r="PW24" i="3"/>
  <c r="PX24" i="3"/>
  <c r="PY24" i="3"/>
  <c r="PZ24" i="3"/>
  <c r="QA24" i="3"/>
  <c r="QB24" i="3"/>
  <c r="QC24" i="3"/>
  <c r="QD24" i="3"/>
  <c r="QE24" i="3"/>
  <c r="QF24" i="3"/>
  <c r="QG24" i="3"/>
  <c r="QH24" i="3"/>
  <c r="QI24" i="3"/>
  <c r="QI7" i="3"/>
  <c r="QH7" i="3"/>
  <c r="QG7" i="3"/>
  <c r="QF7" i="3"/>
  <c r="QE7" i="3"/>
  <c r="QD7" i="3"/>
  <c r="QC7" i="3"/>
  <c r="QB7" i="3"/>
  <c r="QA7" i="3"/>
  <c r="PZ7" i="3"/>
  <c r="PY7" i="3"/>
  <c r="PX7" i="3"/>
  <c r="PW7" i="3"/>
  <c r="PV7" i="3"/>
  <c r="PU7" i="3"/>
  <c r="PT7" i="3"/>
  <c r="PS7" i="3"/>
  <c r="PR7" i="3"/>
  <c r="PQ7" i="3"/>
  <c r="PP7" i="3"/>
  <c r="PO7" i="3"/>
  <c r="PN7" i="3"/>
  <c r="PM7" i="3"/>
  <c r="PL7" i="3"/>
  <c r="PK7" i="3"/>
  <c r="PJ7" i="3"/>
  <c r="PI7" i="3"/>
  <c r="PH7" i="3"/>
  <c r="PG7" i="3"/>
  <c r="PF7" i="3"/>
  <c r="PE7" i="3"/>
  <c r="PD7" i="3"/>
  <c r="DA8" i="3"/>
  <c r="DA9" i="3"/>
  <c r="DA10" i="3"/>
  <c r="DA11" i="3"/>
  <c r="DA12" i="3"/>
  <c r="DA13" i="3"/>
  <c r="DA14" i="3"/>
  <c r="DA15" i="3"/>
  <c r="DA16" i="3"/>
  <c r="DA17" i="3"/>
  <c r="DA18" i="3"/>
  <c r="DA19" i="3"/>
  <c r="DA20" i="3"/>
  <c r="DA21" i="3"/>
  <c r="DA22" i="3"/>
  <c r="DA23" i="3"/>
  <c r="DA24" i="3"/>
  <c r="DA7" i="3"/>
  <c r="ON8" i="3"/>
  <c r="ON9" i="3"/>
  <c r="ON10" i="3"/>
  <c r="ON11" i="3"/>
  <c r="ON12" i="3"/>
  <c r="ON13" i="3"/>
  <c r="ON14" i="3"/>
  <c r="ON15" i="3"/>
  <c r="ON16" i="3"/>
  <c r="ON17" i="3"/>
  <c r="ON18" i="3"/>
  <c r="ON19" i="3"/>
  <c r="ON20" i="3"/>
  <c r="ON21" i="3"/>
  <c r="ON22" i="3"/>
  <c r="ON23" i="3"/>
  <c r="ON24" i="3"/>
  <c r="ON7" i="3"/>
  <c r="BI8" i="3"/>
  <c r="BI9" i="3"/>
  <c r="BI10" i="3"/>
  <c r="BM10" i="3" s="1"/>
  <c r="BI11" i="3"/>
  <c r="BM11" i="3" s="1"/>
  <c r="BI12" i="3"/>
  <c r="BI13" i="3"/>
  <c r="BI14" i="3"/>
  <c r="BM14" i="3" s="1"/>
  <c r="BI15" i="3"/>
  <c r="BM15" i="3" s="1"/>
  <c r="BI16" i="3"/>
  <c r="BI17" i="3"/>
  <c r="BI18" i="3"/>
  <c r="BM18" i="3" s="1"/>
  <c r="BI19" i="3"/>
  <c r="BM19" i="3" s="1"/>
  <c r="BI20" i="3"/>
  <c r="BI21" i="3"/>
  <c r="BI22" i="3"/>
  <c r="BM22" i="3" s="1"/>
  <c r="BI23" i="3"/>
  <c r="BM23" i="3" s="1"/>
  <c r="BI24" i="3"/>
  <c r="BI7" i="3"/>
  <c r="OR8" i="3"/>
  <c r="OR9" i="3"/>
  <c r="OR10" i="3"/>
  <c r="OR11" i="3"/>
  <c r="OR12" i="3"/>
  <c r="OR13" i="3"/>
  <c r="OR14" i="3"/>
  <c r="OR15" i="3"/>
  <c r="OR16" i="3"/>
  <c r="OR17" i="3"/>
  <c r="OR18" i="3"/>
  <c r="OR19" i="3"/>
  <c r="OR20" i="3"/>
  <c r="OR21" i="3"/>
  <c r="OR22" i="3"/>
  <c r="OR23" i="3"/>
  <c r="OR24" i="3"/>
  <c r="OR7" i="3"/>
  <c r="BM7" i="3" l="1"/>
  <c r="BM21" i="3"/>
  <c r="BM17" i="3"/>
  <c r="BM13" i="3"/>
  <c r="BM9" i="3"/>
  <c r="BM24" i="3"/>
  <c r="BM20" i="3"/>
  <c r="BM16" i="3"/>
  <c r="BM12" i="3"/>
  <c r="BM8" i="3"/>
  <c r="PA8" i="3" l="1"/>
  <c r="PA9" i="3"/>
  <c r="PA10" i="3"/>
  <c r="PA11" i="3"/>
  <c r="PA12" i="3"/>
  <c r="PA13" i="3"/>
  <c r="PA14" i="3"/>
  <c r="PA15" i="3"/>
  <c r="PA16" i="3"/>
  <c r="PA17" i="3"/>
  <c r="PA18" i="3"/>
  <c r="PA19" i="3"/>
  <c r="PA20" i="3"/>
  <c r="PA21" i="3"/>
  <c r="PA22" i="3"/>
  <c r="PA23" i="3"/>
  <c r="PA24" i="3"/>
  <c r="PA7" i="3"/>
  <c r="AR7" i="3" s="1"/>
  <c r="R39" i="4"/>
  <c r="L13" i="4" s="1"/>
  <c r="OV8" i="3"/>
  <c r="OW8" i="3"/>
  <c r="OX8" i="3"/>
  <c r="OY8" i="3"/>
  <c r="OZ8" i="3"/>
  <c r="OV9" i="3"/>
  <c r="OW9" i="3"/>
  <c r="OX9" i="3"/>
  <c r="OY9" i="3"/>
  <c r="OZ9" i="3"/>
  <c r="OV10" i="3"/>
  <c r="OW10" i="3"/>
  <c r="OX10" i="3"/>
  <c r="OY10" i="3"/>
  <c r="OZ10" i="3"/>
  <c r="OV11" i="3"/>
  <c r="OW11" i="3"/>
  <c r="OX11" i="3"/>
  <c r="OY11" i="3"/>
  <c r="OZ11" i="3"/>
  <c r="OV12" i="3"/>
  <c r="OW12" i="3"/>
  <c r="OX12" i="3"/>
  <c r="OY12" i="3"/>
  <c r="OZ12" i="3"/>
  <c r="OV13" i="3"/>
  <c r="OW13" i="3"/>
  <c r="OX13" i="3"/>
  <c r="OY13" i="3"/>
  <c r="OZ13" i="3"/>
  <c r="OV14" i="3"/>
  <c r="OW14" i="3"/>
  <c r="OX14" i="3"/>
  <c r="OY14" i="3"/>
  <c r="OZ14" i="3"/>
  <c r="OV15" i="3"/>
  <c r="OW15" i="3"/>
  <c r="OX15" i="3"/>
  <c r="OY15" i="3"/>
  <c r="OZ15" i="3"/>
  <c r="OV16" i="3"/>
  <c r="OW16" i="3"/>
  <c r="OX16" i="3"/>
  <c r="OY16" i="3"/>
  <c r="OZ16" i="3"/>
  <c r="OV17" i="3"/>
  <c r="OW17" i="3"/>
  <c r="OX17" i="3"/>
  <c r="OY17" i="3"/>
  <c r="OZ17" i="3"/>
  <c r="OV18" i="3"/>
  <c r="OW18" i="3"/>
  <c r="OX18" i="3"/>
  <c r="OY18" i="3"/>
  <c r="OZ18" i="3"/>
  <c r="OV19" i="3"/>
  <c r="OW19" i="3"/>
  <c r="OX19" i="3"/>
  <c r="OY19" i="3"/>
  <c r="OZ19" i="3"/>
  <c r="OV20" i="3"/>
  <c r="OW20" i="3"/>
  <c r="OX20" i="3"/>
  <c r="OY20" i="3"/>
  <c r="OZ20" i="3"/>
  <c r="OV21" i="3"/>
  <c r="OW21" i="3"/>
  <c r="OX21" i="3"/>
  <c r="OY21" i="3"/>
  <c r="OZ21" i="3"/>
  <c r="OV22" i="3"/>
  <c r="OW22" i="3"/>
  <c r="OX22" i="3"/>
  <c r="OY22" i="3"/>
  <c r="OZ22" i="3"/>
  <c r="OV23" i="3"/>
  <c r="OW23" i="3"/>
  <c r="OX23" i="3"/>
  <c r="OY23" i="3"/>
  <c r="OZ23" i="3"/>
  <c r="OV24" i="3"/>
  <c r="OW24" i="3"/>
  <c r="OX24" i="3"/>
  <c r="OY24" i="3"/>
  <c r="OZ24" i="3"/>
  <c r="OZ7" i="3"/>
  <c r="OY7" i="3"/>
  <c r="OX7" i="3"/>
  <c r="OW7" i="3"/>
  <c r="OV7" i="3"/>
  <c r="AU8" i="3"/>
  <c r="AU9" i="3"/>
  <c r="AU10" i="3"/>
  <c r="AU11" i="3"/>
  <c r="AU12" i="3"/>
  <c r="AU13" i="3"/>
  <c r="AU14" i="3"/>
  <c r="AU15" i="3"/>
  <c r="AU16" i="3"/>
  <c r="AU17" i="3"/>
  <c r="AU18" i="3"/>
  <c r="AU19" i="3"/>
  <c r="AU20" i="3"/>
  <c r="AU21" i="3"/>
  <c r="AU22" i="3"/>
  <c r="AU23" i="3"/>
  <c r="AU24" i="3"/>
  <c r="AU7" i="3"/>
  <c r="AD29" i="3" s="1"/>
  <c r="AX8" i="3"/>
  <c r="AX9" i="3"/>
  <c r="AX10" i="3"/>
  <c r="AX11" i="3"/>
  <c r="AX12" i="3"/>
  <c r="AX13" i="3"/>
  <c r="AX14" i="3"/>
  <c r="AX15" i="3"/>
  <c r="AX16" i="3"/>
  <c r="AX17" i="3"/>
  <c r="AX18" i="3"/>
  <c r="AX19" i="3"/>
  <c r="AX20" i="3"/>
  <c r="AX21" i="3"/>
  <c r="AX22" i="3"/>
  <c r="AX23" i="3"/>
  <c r="AX24" i="3"/>
  <c r="AX7" i="3"/>
  <c r="AS8" i="3"/>
  <c r="RF8" i="3" s="1"/>
  <c r="AS9" i="3"/>
  <c r="RF9" i="3" s="1"/>
  <c r="AS10" i="3"/>
  <c r="RF10" i="3" s="1"/>
  <c r="AS11" i="3"/>
  <c r="RF11" i="3" s="1"/>
  <c r="AS12" i="3"/>
  <c r="RF12" i="3" s="1"/>
  <c r="AS13" i="3"/>
  <c r="RF13" i="3" s="1"/>
  <c r="AS14" i="3"/>
  <c r="RF14" i="3" s="1"/>
  <c r="AS15" i="3"/>
  <c r="RF15" i="3" s="1"/>
  <c r="AS16" i="3"/>
  <c r="RF16" i="3" s="1"/>
  <c r="AS17" i="3"/>
  <c r="RF17" i="3" s="1"/>
  <c r="AS18" i="3"/>
  <c r="RF18" i="3" s="1"/>
  <c r="AS19" i="3"/>
  <c r="RF19" i="3" s="1"/>
  <c r="AS20" i="3"/>
  <c r="RF20" i="3" s="1"/>
  <c r="AS21" i="3"/>
  <c r="RF21" i="3" s="1"/>
  <c r="AS22" i="3"/>
  <c r="RF22" i="3" s="1"/>
  <c r="AS23" i="3"/>
  <c r="RF23" i="3" s="1"/>
  <c r="AS24" i="3"/>
  <c r="RF24" i="3" s="1"/>
  <c r="AS7" i="3"/>
  <c r="RF7" i="3" s="1"/>
  <c r="C31" i="41"/>
  <c r="B31" i="41"/>
  <c r="J31" i="41" s="1"/>
  <c r="C30" i="41"/>
  <c r="B30" i="41"/>
  <c r="I30" i="41" s="1"/>
  <c r="D30" i="41" s="1"/>
  <c r="C29" i="41"/>
  <c r="B29" i="41"/>
  <c r="J29" i="41" s="1"/>
  <c r="C28" i="41"/>
  <c r="B28" i="41"/>
  <c r="J28" i="41" s="1"/>
  <c r="C27" i="41"/>
  <c r="B27" i="41"/>
  <c r="J27" i="41" s="1"/>
  <c r="C26" i="41"/>
  <c r="B26" i="41"/>
  <c r="J26" i="41" s="1"/>
  <c r="C25" i="41"/>
  <c r="B25" i="41"/>
  <c r="J25" i="41" s="1"/>
  <c r="C24" i="41"/>
  <c r="B24" i="41"/>
  <c r="I24" i="41" s="1"/>
  <c r="D24" i="41" s="1"/>
  <c r="C23" i="41"/>
  <c r="B23" i="41"/>
  <c r="J23" i="41" s="1"/>
  <c r="C22" i="41"/>
  <c r="B22" i="41"/>
  <c r="J22" i="41" s="1"/>
  <c r="C21" i="41"/>
  <c r="B21" i="41"/>
  <c r="J21" i="41" s="1"/>
  <c r="C20" i="41"/>
  <c r="B20" i="41"/>
  <c r="I20" i="41" s="1"/>
  <c r="D20" i="41" s="1"/>
  <c r="C19" i="41"/>
  <c r="B19" i="41"/>
  <c r="J19" i="41" s="1"/>
  <c r="C18" i="41"/>
  <c r="B18" i="41"/>
  <c r="J18" i="41" s="1"/>
  <c r="C17" i="41"/>
  <c r="B17" i="41"/>
  <c r="J17" i="41" s="1"/>
  <c r="C16" i="41"/>
  <c r="B16" i="41"/>
  <c r="J16" i="41" s="1"/>
  <c r="C15" i="41"/>
  <c r="B15" i="41"/>
  <c r="J15" i="41" s="1"/>
  <c r="C14" i="41"/>
  <c r="B14" i="41"/>
  <c r="J14" i="41" s="1"/>
  <c r="C13" i="41"/>
  <c r="B13" i="41"/>
  <c r="J13" i="41" s="1"/>
  <c r="C12" i="41"/>
  <c r="B12" i="41"/>
  <c r="J12" i="41" s="1"/>
  <c r="C11" i="41"/>
  <c r="B11" i="41"/>
  <c r="I11" i="41" s="1"/>
  <c r="D11" i="41" s="1"/>
  <c r="C10" i="41"/>
  <c r="B10" i="41"/>
  <c r="J10" i="41" s="1"/>
  <c r="C9" i="41"/>
  <c r="B9" i="41"/>
  <c r="J9" i="41" s="1"/>
  <c r="L9" i="41" s="1"/>
  <c r="C8" i="41"/>
  <c r="B8" i="41"/>
  <c r="J8" i="41" s="1"/>
  <c r="C7" i="41"/>
  <c r="B7" i="41"/>
  <c r="J7" i="41" s="1"/>
  <c r="C6" i="41"/>
  <c r="B6" i="41"/>
  <c r="J6" i="41" s="1"/>
  <c r="C5" i="41"/>
  <c r="B5" i="41"/>
  <c r="I5" i="41" s="1"/>
  <c r="D5" i="41" s="1"/>
  <c r="B4" i="41"/>
  <c r="AR23" i="3" l="1"/>
  <c r="QO23" i="3"/>
  <c r="QT23" i="3" s="1"/>
  <c r="QP23" i="3"/>
  <c r="AR19" i="3"/>
  <c r="QO19" i="3"/>
  <c r="QT19" i="3" s="1"/>
  <c r="QP19" i="3"/>
  <c r="AR15" i="3"/>
  <c r="QO15" i="3"/>
  <c r="QT15" i="3" s="1"/>
  <c r="RK15" i="3" s="1"/>
  <c r="QP15" i="3"/>
  <c r="AR11" i="3"/>
  <c r="QO11" i="3"/>
  <c r="QT11" i="3" s="1"/>
  <c r="QP11" i="3"/>
  <c r="AR22" i="3"/>
  <c r="QP22" i="3"/>
  <c r="QO22" i="3"/>
  <c r="QT22" i="3" s="1"/>
  <c r="RK22" i="3" s="1"/>
  <c r="AR18" i="3"/>
  <c r="QP18" i="3"/>
  <c r="QO18" i="3"/>
  <c r="QT18" i="3" s="1"/>
  <c r="RK18" i="3" s="1"/>
  <c r="AR14" i="3"/>
  <c r="QP14" i="3"/>
  <c r="QO14" i="3"/>
  <c r="QT14" i="3" s="1"/>
  <c r="AR10" i="3"/>
  <c r="QP10" i="3"/>
  <c r="QO10" i="3"/>
  <c r="QT10" i="3" s="1"/>
  <c r="RK10" i="3" s="1"/>
  <c r="AR21" i="3"/>
  <c r="QP21" i="3"/>
  <c r="QO21" i="3"/>
  <c r="QT21" i="3" s="1"/>
  <c r="RK21" i="3" s="1"/>
  <c r="AR17" i="3"/>
  <c r="QP17" i="3"/>
  <c r="QO17" i="3"/>
  <c r="QT17" i="3" s="1"/>
  <c r="RK17" i="3" s="1"/>
  <c r="AR13" i="3"/>
  <c r="QP13" i="3"/>
  <c r="QO13" i="3"/>
  <c r="QT13" i="3" s="1"/>
  <c r="AR9" i="3"/>
  <c r="QP9" i="3"/>
  <c r="QO9" i="3"/>
  <c r="QT9" i="3" s="1"/>
  <c r="RK9" i="3" s="1"/>
  <c r="AR24" i="3"/>
  <c r="QP24" i="3"/>
  <c r="QO24" i="3"/>
  <c r="QT24" i="3" s="1"/>
  <c r="RK24" i="3" s="1"/>
  <c r="AR20" i="3"/>
  <c r="QP20" i="3"/>
  <c r="QO20" i="3"/>
  <c r="QT20" i="3" s="1"/>
  <c r="RK20" i="3" s="1"/>
  <c r="AR16" i="3"/>
  <c r="QP16" i="3"/>
  <c r="QO16" i="3"/>
  <c r="QT16" i="3" s="1"/>
  <c r="AR12" i="3"/>
  <c r="QP12" i="3"/>
  <c r="QO12" i="3"/>
  <c r="QT12" i="3" s="1"/>
  <c r="RK12" i="3" s="1"/>
  <c r="AR8" i="3"/>
  <c r="QP8" i="3"/>
  <c r="QO8" i="3"/>
  <c r="QT8" i="3" s="1"/>
  <c r="RK8" i="3" s="1"/>
  <c r="I14" i="41"/>
  <c r="D14" i="41" s="1"/>
  <c r="I6" i="41"/>
  <c r="D6" i="41" s="1"/>
  <c r="I27" i="41"/>
  <c r="D27" i="41" s="1"/>
  <c r="I15" i="41"/>
  <c r="D15" i="41" s="1"/>
  <c r="I8" i="41"/>
  <c r="D8" i="41" s="1"/>
  <c r="I9" i="41"/>
  <c r="D9" i="41" s="1"/>
  <c r="I13" i="41"/>
  <c r="D13" i="41" s="1"/>
  <c r="I19" i="41"/>
  <c r="D19" i="41" s="1"/>
  <c r="I12" i="41"/>
  <c r="D12" i="41" s="1"/>
  <c r="I16" i="41"/>
  <c r="D16" i="41" s="1"/>
  <c r="I23" i="41"/>
  <c r="D23" i="41" s="1"/>
  <c r="T10" i="41"/>
  <c r="L12" i="41"/>
  <c r="K12" i="41"/>
  <c r="L16" i="41"/>
  <c r="K16" i="41"/>
  <c r="L21" i="41"/>
  <c r="K21" i="41"/>
  <c r="L23" i="41"/>
  <c r="K23" i="41"/>
  <c r="L28" i="41"/>
  <c r="K28" i="41"/>
  <c r="L8" i="41"/>
  <c r="K8" i="41"/>
  <c r="L15" i="41"/>
  <c r="K15" i="41"/>
  <c r="K18" i="41"/>
  <c r="L18" i="41"/>
  <c r="L25" i="41"/>
  <c r="K25" i="41"/>
  <c r="L27" i="41"/>
  <c r="K27" i="41"/>
  <c r="L14" i="41"/>
  <c r="K14" i="41"/>
  <c r="K22" i="41"/>
  <c r="L22" i="41"/>
  <c r="L29" i="41"/>
  <c r="K29" i="41"/>
  <c r="K31" i="41"/>
  <c r="L31" i="41"/>
  <c r="L6" i="41"/>
  <c r="K6" i="41"/>
  <c r="K7" i="41"/>
  <c r="L7" i="41"/>
  <c r="K10" i="41"/>
  <c r="L10" i="41"/>
  <c r="L13" i="41"/>
  <c r="K13" i="41"/>
  <c r="L17" i="41"/>
  <c r="K17" i="41"/>
  <c r="L19" i="41"/>
  <c r="K19" i="41"/>
  <c r="K26" i="41"/>
  <c r="L26" i="41"/>
  <c r="T7" i="41"/>
  <c r="T8" i="41"/>
  <c r="K9" i="41"/>
  <c r="T12" i="41"/>
  <c r="T14" i="41"/>
  <c r="T16" i="41"/>
  <c r="I17" i="41"/>
  <c r="D17" i="41" s="1"/>
  <c r="J20" i="41"/>
  <c r="I21" i="41"/>
  <c r="D21" i="41" s="1"/>
  <c r="J24" i="41"/>
  <c r="I25" i="41"/>
  <c r="D25" i="41" s="1"/>
  <c r="I28" i="41"/>
  <c r="D28" i="41" s="1"/>
  <c r="I29" i="41"/>
  <c r="D29" i="41" s="1"/>
  <c r="J30" i="41"/>
  <c r="J5" i="41"/>
  <c r="J4" i="41"/>
  <c r="T3" i="41"/>
  <c r="T4" i="41"/>
  <c r="T5" i="41"/>
  <c r="T6" i="41"/>
  <c r="I7" i="41"/>
  <c r="D7" i="41" s="1"/>
  <c r="T9" i="41"/>
  <c r="I10" i="41"/>
  <c r="D10" i="41" s="1"/>
  <c r="J11" i="41"/>
  <c r="I18" i="41"/>
  <c r="D18" i="41" s="1"/>
  <c r="I22" i="41"/>
  <c r="D22" i="41" s="1"/>
  <c r="I26" i="41"/>
  <c r="D26" i="41" s="1"/>
  <c r="I31" i="41"/>
  <c r="D31" i="41" s="1"/>
  <c r="I4" i="41"/>
  <c r="D4" i="41" s="1"/>
  <c r="T11" i="41"/>
  <c r="T13" i="41"/>
  <c r="T15" i="41"/>
  <c r="AA8" i="9"/>
  <c r="AA9" i="9"/>
  <c r="AA10" i="9"/>
  <c r="AA11" i="9"/>
  <c r="AA12" i="9"/>
  <c r="AA13" i="9"/>
  <c r="AA14" i="9"/>
  <c r="AA15" i="9"/>
  <c r="AA16" i="9"/>
  <c r="AA17" i="9"/>
  <c r="AA18" i="9"/>
  <c r="AA19" i="9"/>
  <c r="AA20" i="9"/>
  <c r="QY11" i="3" l="1"/>
  <c r="RK11" i="3"/>
  <c r="QY23" i="3"/>
  <c r="RK23" i="3"/>
  <c r="QY16" i="3"/>
  <c r="RK16" i="3"/>
  <c r="QY13" i="3"/>
  <c r="RK13" i="3"/>
  <c r="QY14" i="3"/>
  <c r="RK14" i="3"/>
  <c r="QY19" i="3"/>
  <c r="RK19" i="3"/>
  <c r="QU12" i="3"/>
  <c r="QY12" i="3"/>
  <c r="QU10" i="3"/>
  <c r="QY10" i="3"/>
  <c r="QU24" i="3"/>
  <c r="QY24" i="3"/>
  <c r="QU21" i="3"/>
  <c r="QY21" i="3"/>
  <c r="QU22" i="3"/>
  <c r="QY22" i="3"/>
  <c r="QU9" i="3"/>
  <c r="QY9" i="3"/>
  <c r="QU8" i="3"/>
  <c r="QY8" i="3"/>
  <c r="QU20" i="3"/>
  <c r="QY20" i="3"/>
  <c r="QU17" i="3"/>
  <c r="QY17" i="3"/>
  <c r="QU18" i="3"/>
  <c r="QY18" i="3"/>
  <c r="QU15" i="3"/>
  <c r="QY15" i="3"/>
  <c r="QU11" i="3"/>
  <c r="QU23" i="3"/>
  <c r="QU16" i="3"/>
  <c r="QU13" i="3"/>
  <c r="QU14" i="3"/>
  <c r="QU19" i="3"/>
  <c r="L20" i="41"/>
  <c r="K20" i="41"/>
  <c r="L11" i="41"/>
  <c r="K11" i="41"/>
  <c r="L4" i="41"/>
  <c r="L30" i="41"/>
  <c r="K30" i="41"/>
  <c r="L24" i="41"/>
  <c r="K24" i="41"/>
  <c r="K5" i="41"/>
  <c r="L5" i="41"/>
  <c r="U4" i="30"/>
  <c r="AM21" i="39"/>
  <c r="AL21" i="39" s="1"/>
  <c r="AK21" i="39" s="1"/>
  <c r="AJ21" i="39"/>
  <c r="V21" i="39"/>
  <c r="U21" i="39"/>
  <c r="L21" i="39"/>
  <c r="K21" i="39"/>
  <c r="AN21" i="39" s="1"/>
  <c r="F21" i="39"/>
  <c r="Y21" i="39" s="1"/>
  <c r="Z21" i="39" s="1"/>
  <c r="AA21" i="39" s="1"/>
  <c r="C21" i="39"/>
  <c r="AM20" i="39"/>
  <c r="AL20" i="39" s="1"/>
  <c r="AK20" i="39" s="1"/>
  <c r="AJ20" i="39"/>
  <c r="V20" i="39"/>
  <c r="U20" i="39"/>
  <c r="L20" i="39"/>
  <c r="K20" i="39"/>
  <c r="AN20" i="39" s="1"/>
  <c r="F20" i="39"/>
  <c r="Y20" i="39" s="1"/>
  <c r="Z20" i="39" s="1"/>
  <c r="AA20" i="39" s="1"/>
  <c r="C20" i="39"/>
  <c r="AM19" i="39"/>
  <c r="AL19" i="39" s="1"/>
  <c r="AK19" i="39" s="1"/>
  <c r="AJ19" i="39"/>
  <c r="V19" i="39"/>
  <c r="U19" i="39"/>
  <c r="L19" i="39"/>
  <c r="K19" i="39"/>
  <c r="AN19" i="39" s="1"/>
  <c r="F19" i="39"/>
  <c r="Y19" i="39" s="1"/>
  <c r="Z19" i="39" s="1"/>
  <c r="AA19" i="39" s="1"/>
  <c r="C19" i="39"/>
  <c r="AM18" i="39"/>
  <c r="AL18" i="39" s="1"/>
  <c r="AK18" i="39" s="1"/>
  <c r="AJ18" i="39"/>
  <c r="V18" i="39"/>
  <c r="U18" i="39"/>
  <c r="L18" i="39"/>
  <c r="K18" i="39"/>
  <c r="AN18" i="39" s="1"/>
  <c r="F18" i="39"/>
  <c r="Y18" i="39" s="1"/>
  <c r="C18" i="39"/>
  <c r="AM17" i="39"/>
  <c r="AL17" i="39" s="1"/>
  <c r="AK17" i="39" s="1"/>
  <c r="AJ17" i="39"/>
  <c r="V17" i="39"/>
  <c r="U17" i="39"/>
  <c r="L17" i="39"/>
  <c r="K17" i="39"/>
  <c r="AN17" i="39" s="1"/>
  <c r="F17" i="39"/>
  <c r="Y17" i="39" s="1"/>
  <c r="Z17" i="39" s="1"/>
  <c r="AA17" i="39" s="1"/>
  <c r="C17" i="39"/>
  <c r="AM16" i="39"/>
  <c r="AL16" i="39" s="1"/>
  <c r="AK16" i="39" s="1"/>
  <c r="AJ16" i="39"/>
  <c r="V16" i="39"/>
  <c r="U16" i="39"/>
  <c r="L16" i="39"/>
  <c r="K16" i="39"/>
  <c r="AN16" i="39" s="1"/>
  <c r="F16" i="39"/>
  <c r="Y16" i="39" s="1"/>
  <c r="Z16" i="39" s="1"/>
  <c r="AA16" i="39" s="1"/>
  <c r="C16" i="39"/>
  <c r="AM15" i="39"/>
  <c r="AL15" i="39" s="1"/>
  <c r="AK15" i="39" s="1"/>
  <c r="AJ15" i="39"/>
  <c r="V15" i="39"/>
  <c r="U15" i="39"/>
  <c r="L15" i="39"/>
  <c r="K15" i="39"/>
  <c r="AN15" i="39" s="1"/>
  <c r="F15" i="39"/>
  <c r="Y15" i="39" s="1"/>
  <c r="Z15" i="39" s="1"/>
  <c r="AA15" i="39" s="1"/>
  <c r="C15" i="39"/>
  <c r="AM14" i="39"/>
  <c r="AL14" i="39" s="1"/>
  <c r="AK14" i="39" s="1"/>
  <c r="AJ14" i="39"/>
  <c r="V14" i="39"/>
  <c r="U14" i="39"/>
  <c r="L14" i="39"/>
  <c r="K14" i="39"/>
  <c r="AN14" i="39" s="1"/>
  <c r="F14" i="39"/>
  <c r="Y14" i="39" s="1"/>
  <c r="Z14" i="39" s="1"/>
  <c r="AB14" i="39" s="1"/>
  <c r="C14" i="39"/>
  <c r="AM13" i="39"/>
  <c r="AL13" i="39" s="1"/>
  <c r="AK13" i="39" s="1"/>
  <c r="AJ13" i="39"/>
  <c r="V13" i="39"/>
  <c r="U13" i="39"/>
  <c r="L13" i="39"/>
  <c r="K13" i="39"/>
  <c r="AN13" i="39" s="1"/>
  <c r="F13" i="39"/>
  <c r="Y13" i="39" s="1"/>
  <c r="Z13" i="39" s="1"/>
  <c r="AA13" i="39" s="1"/>
  <c r="C13" i="39"/>
  <c r="AM12" i="39"/>
  <c r="AL12" i="39" s="1"/>
  <c r="AK12" i="39" s="1"/>
  <c r="AJ12" i="39"/>
  <c r="V12" i="39"/>
  <c r="U12" i="39"/>
  <c r="L12" i="39"/>
  <c r="K12" i="39"/>
  <c r="AN12" i="39" s="1"/>
  <c r="F12" i="39"/>
  <c r="Y12" i="39" s="1"/>
  <c r="Z12" i="39" s="1"/>
  <c r="AA12" i="39" s="1"/>
  <c r="C12" i="39"/>
  <c r="AM11" i="39"/>
  <c r="AL11" i="39" s="1"/>
  <c r="AK11" i="39" s="1"/>
  <c r="AJ11" i="39"/>
  <c r="V11" i="39"/>
  <c r="U11" i="39"/>
  <c r="L11" i="39"/>
  <c r="K11" i="39"/>
  <c r="AN11" i="39" s="1"/>
  <c r="F11" i="39"/>
  <c r="Y11" i="39" s="1"/>
  <c r="Z11" i="39" s="1"/>
  <c r="AA11" i="39" s="1"/>
  <c r="C11" i="39"/>
  <c r="AM10" i="39"/>
  <c r="AL10" i="39" s="1"/>
  <c r="AK10" i="39" s="1"/>
  <c r="AJ10" i="39"/>
  <c r="V10" i="39"/>
  <c r="U10" i="39"/>
  <c r="L10" i="39"/>
  <c r="K10" i="39"/>
  <c r="AN10" i="39" s="1"/>
  <c r="F10" i="39"/>
  <c r="Y10" i="39" s="1"/>
  <c r="Z10" i="39" s="1"/>
  <c r="AB10" i="39" s="1"/>
  <c r="C10" i="39"/>
  <c r="AM9" i="39"/>
  <c r="AL9" i="39" s="1"/>
  <c r="AK9" i="39" s="1"/>
  <c r="AJ9" i="39"/>
  <c r="V9" i="39"/>
  <c r="U9" i="39"/>
  <c r="L9" i="39"/>
  <c r="K9" i="39"/>
  <c r="AN9" i="39" s="1"/>
  <c r="F9" i="39"/>
  <c r="Y9" i="39" s="1"/>
  <c r="Z9" i="39" s="1"/>
  <c r="AA9" i="39" s="1"/>
  <c r="C9" i="39"/>
  <c r="AM8" i="39"/>
  <c r="AL8" i="39" s="1"/>
  <c r="AK8" i="39" s="1"/>
  <c r="AJ8" i="39"/>
  <c r="V8" i="39"/>
  <c r="U8" i="39"/>
  <c r="L8" i="39"/>
  <c r="K8" i="39"/>
  <c r="AN8" i="39" s="1"/>
  <c r="F8" i="39"/>
  <c r="Y8" i="39" s="1"/>
  <c r="C8" i="39"/>
  <c r="AM7" i="39"/>
  <c r="AL7" i="39" s="1"/>
  <c r="AK7" i="39" s="1"/>
  <c r="AJ7" i="39"/>
  <c r="V7" i="39"/>
  <c r="U7" i="39"/>
  <c r="L7" i="39"/>
  <c r="K7" i="39"/>
  <c r="AN7" i="39" s="1"/>
  <c r="F7" i="39"/>
  <c r="Y7" i="39" s="1"/>
  <c r="C7" i="39"/>
  <c r="AM6" i="39"/>
  <c r="AL6" i="39" s="1"/>
  <c r="AK6" i="39" s="1"/>
  <c r="AJ6" i="39"/>
  <c r="V6" i="39"/>
  <c r="U6" i="39"/>
  <c r="L6" i="39"/>
  <c r="K6" i="39"/>
  <c r="AN6" i="39" s="1"/>
  <c r="F6" i="39"/>
  <c r="Y6" i="39" s="1"/>
  <c r="Z6" i="39" s="1"/>
  <c r="AA6" i="39" s="1"/>
  <c r="AC6" i="39" s="1"/>
  <c r="C6" i="39"/>
  <c r="AM5" i="39"/>
  <c r="AL5" i="39" s="1"/>
  <c r="AK5" i="39" s="1"/>
  <c r="AJ5" i="39"/>
  <c r="V5" i="39"/>
  <c r="U5" i="39"/>
  <c r="L5" i="39"/>
  <c r="K5" i="39"/>
  <c r="AN5" i="39" s="1"/>
  <c r="F5" i="39"/>
  <c r="Y5" i="39" s="1"/>
  <c r="Z5" i="39" s="1"/>
  <c r="AA5" i="39" s="1"/>
  <c r="AC5" i="39" s="1"/>
  <c r="C5" i="39"/>
  <c r="AM4" i="39"/>
  <c r="AL4" i="39" s="1"/>
  <c r="AK4" i="39" s="1"/>
  <c r="AJ4" i="39"/>
  <c r="V4" i="39"/>
  <c r="U4" i="39"/>
  <c r="L4" i="39"/>
  <c r="AO4" i="39" s="1"/>
  <c r="K4" i="39"/>
  <c r="AN4" i="39" s="1"/>
  <c r="F4" i="39"/>
  <c r="Y4" i="39" s="1"/>
  <c r="Z4" i="39" s="1"/>
  <c r="AB4" i="39" s="1"/>
  <c r="C4" i="39"/>
  <c r="QZ23" i="3" l="1"/>
  <c r="RL23" i="3"/>
  <c r="RG20" i="3"/>
  <c r="RC20" i="3"/>
  <c r="RC21" i="3"/>
  <c r="RG21" i="3"/>
  <c r="QZ11" i="3"/>
  <c r="RL11" i="3"/>
  <c r="QZ20" i="3"/>
  <c r="RL20" i="3"/>
  <c r="QZ9" i="3"/>
  <c r="RL9" i="3"/>
  <c r="QZ10" i="3"/>
  <c r="RL10" i="3"/>
  <c r="RG23" i="3"/>
  <c r="RC23" i="3"/>
  <c r="QZ13" i="3"/>
  <c r="RL13" i="3"/>
  <c r="RG15" i="3"/>
  <c r="RC15" i="3"/>
  <c r="RC17" i="3"/>
  <c r="RG17" i="3"/>
  <c r="RG8" i="3"/>
  <c r="RC8" i="3"/>
  <c r="RC22" i="3"/>
  <c r="RG22" i="3"/>
  <c r="RG24" i="3"/>
  <c r="RC24" i="3"/>
  <c r="RG12" i="3"/>
  <c r="RC12" i="3"/>
  <c r="QZ19" i="3"/>
  <c r="RL19" i="3"/>
  <c r="RC18" i="3"/>
  <c r="RG18" i="3"/>
  <c r="RC9" i="3"/>
  <c r="RG9" i="3"/>
  <c r="RC10" i="3"/>
  <c r="RG10" i="3"/>
  <c r="QZ14" i="3"/>
  <c r="RL14" i="3"/>
  <c r="QZ18" i="3"/>
  <c r="RL18" i="3"/>
  <c r="QZ21" i="3"/>
  <c r="RL21" i="3"/>
  <c r="RG19" i="3"/>
  <c r="RC19" i="3"/>
  <c r="RC13" i="3"/>
  <c r="RG13" i="3"/>
  <c r="QZ16" i="3"/>
  <c r="RL16" i="3"/>
  <c r="QZ15" i="3"/>
  <c r="RL15" i="3"/>
  <c r="QZ17" i="3"/>
  <c r="RL17" i="3"/>
  <c r="QZ8" i="3"/>
  <c r="RL8" i="3"/>
  <c r="QZ22" i="3"/>
  <c r="RL22" i="3"/>
  <c r="QZ24" i="3"/>
  <c r="RL24" i="3"/>
  <c r="QZ12" i="3"/>
  <c r="RL12" i="3"/>
  <c r="RG14" i="3"/>
  <c r="RC14" i="3"/>
  <c r="RG16" i="3"/>
  <c r="RC16" i="3"/>
  <c r="RG11" i="3"/>
  <c r="RC11" i="3"/>
  <c r="O27" i="41"/>
  <c r="N27" i="41" s="1"/>
  <c r="O23" i="41"/>
  <c r="N23" i="41" s="1"/>
  <c r="O19" i="41"/>
  <c r="N19" i="41" s="1"/>
  <c r="O16" i="41"/>
  <c r="N16" i="41" s="1"/>
  <c r="O14" i="41"/>
  <c r="N14" i="41" s="1"/>
  <c r="O12" i="41"/>
  <c r="N12" i="41" s="1"/>
  <c r="O9" i="41"/>
  <c r="N9" i="41" s="1"/>
  <c r="O6" i="41"/>
  <c r="N6" i="41" s="1"/>
  <c r="O4" i="41"/>
  <c r="N4" i="41" s="1"/>
  <c r="O31" i="41"/>
  <c r="N31" i="41" s="1"/>
  <c r="O26" i="41"/>
  <c r="N26" i="41" s="1"/>
  <c r="O22" i="41"/>
  <c r="N22" i="41" s="1"/>
  <c r="O18" i="41"/>
  <c r="N18" i="41" s="1"/>
  <c r="O10" i="41"/>
  <c r="N10" i="41" s="1"/>
  <c r="O7" i="41"/>
  <c r="N7" i="41" s="1"/>
  <c r="O5" i="41"/>
  <c r="N5" i="41" s="1"/>
  <c r="O29" i="41"/>
  <c r="N29" i="41" s="1"/>
  <c r="O28" i="41"/>
  <c r="N28" i="41" s="1"/>
  <c r="O25" i="41"/>
  <c r="N25" i="41" s="1"/>
  <c r="O21" i="41"/>
  <c r="N21" i="41" s="1"/>
  <c r="O17" i="41"/>
  <c r="N17" i="41" s="1"/>
  <c r="O15" i="41"/>
  <c r="N15" i="41" s="1"/>
  <c r="O13" i="41"/>
  <c r="N13" i="41" s="1"/>
  <c r="O11" i="41"/>
  <c r="N11" i="41" s="1"/>
  <c r="O8" i="41"/>
  <c r="N8" i="41" s="1"/>
  <c r="O30" i="41"/>
  <c r="N30" i="41" s="1"/>
  <c r="O24" i="41"/>
  <c r="N24" i="41" s="1"/>
  <c r="O20" i="41"/>
  <c r="N20" i="41" s="1"/>
  <c r="AF5" i="39"/>
  <c r="AE5" i="39"/>
  <c r="AG5" i="39" s="1"/>
  <c r="AH5" i="39" s="1"/>
  <c r="AE6" i="39"/>
  <c r="AG6" i="39" s="1"/>
  <c r="AH6" i="39" s="1"/>
  <c r="AF6" i="39"/>
  <c r="AO5" i="39"/>
  <c r="AO7" i="39"/>
  <c r="AP9" i="39"/>
  <c r="AO9" i="39"/>
  <c r="AP15" i="39"/>
  <c r="AO15" i="39"/>
  <c r="AO19" i="39"/>
  <c r="AP19" i="39"/>
  <c r="AP21" i="39"/>
  <c r="AO21" i="39"/>
  <c r="AO11" i="39"/>
  <c r="AP11" i="39"/>
  <c r="AP13" i="39"/>
  <c r="AO13" i="39"/>
  <c r="AP17" i="39"/>
  <c r="AO17" i="39"/>
  <c r="AD6" i="39"/>
  <c r="AO6" i="39"/>
  <c r="AO8" i="39"/>
  <c r="AO10" i="39"/>
  <c r="AO12" i="39"/>
  <c r="AP12" i="39"/>
  <c r="AP14" i="39"/>
  <c r="AO14" i="39"/>
  <c r="AO16" i="39"/>
  <c r="AP16" i="39"/>
  <c r="AP18" i="39"/>
  <c r="AO18" i="39"/>
  <c r="AO20" i="39"/>
  <c r="AP20" i="39"/>
  <c r="AD5" i="39"/>
  <c r="AC12" i="39"/>
  <c r="AD12" i="39"/>
  <c r="AC16" i="39"/>
  <c r="AD16" i="39"/>
  <c r="AC20" i="39"/>
  <c r="AD20" i="39"/>
  <c r="AD9" i="39"/>
  <c r="AC9" i="39"/>
  <c r="AC11" i="39"/>
  <c r="AD11" i="39"/>
  <c r="AD13" i="39"/>
  <c r="AC13" i="39"/>
  <c r="AC15" i="39"/>
  <c r="AD15" i="39"/>
  <c r="AD17" i="39"/>
  <c r="AC17" i="39"/>
  <c r="AC19" i="39"/>
  <c r="AD19" i="39"/>
  <c r="AD21" i="39"/>
  <c r="AC21" i="39"/>
  <c r="AB21" i="39"/>
  <c r="AB17" i="39"/>
  <c r="AB13" i="39"/>
  <c r="AB9" i="39"/>
  <c r="AA14" i="39"/>
  <c r="AA10" i="39"/>
  <c r="AB20" i="39"/>
  <c r="AB16" i="39"/>
  <c r="AB12" i="39"/>
  <c r="AB19" i="39"/>
  <c r="AB15" i="39"/>
  <c r="AB11" i="39"/>
  <c r="AA4" i="39"/>
  <c r="AB6" i="39"/>
  <c r="AB5" i="39"/>
  <c r="W21" i="39"/>
  <c r="CF21" i="39" s="1"/>
  <c r="Z7" i="39"/>
  <c r="X9" i="39"/>
  <c r="X15" i="39"/>
  <c r="Z18" i="39"/>
  <c r="W6" i="39"/>
  <c r="CC6" i="39" s="1"/>
  <c r="Z8" i="39"/>
  <c r="W10" i="39"/>
  <c r="AT10" i="39" s="1"/>
  <c r="W19" i="39"/>
  <c r="CB19" i="39" s="1"/>
  <c r="W8" i="39"/>
  <c r="BA8" i="39" s="1"/>
  <c r="W12" i="39"/>
  <c r="BQ12" i="39" s="1"/>
  <c r="X16" i="39"/>
  <c r="W14" i="39"/>
  <c r="CH14" i="39" s="1"/>
  <c r="X18" i="39"/>
  <c r="X5" i="39"/>
  <c r="W4" i="39"/>
  <c r="BS4" i="39" s="1"/>
  <c r="X7" i="39"/>
  <c r="W17" i="39"/>
  <c r="BH17" i="39" s="1"/>
  <c r="W20" i="39"/>
  <c r="BZ20" i="39" s="1"/>
  <c r="X11" i="39"/>
  <c r="X13" i="39"/>
  <c r="X17" i="39"/>
  <c r="X8" i="39"/>
  <c r="X10" i="39"/>
  <c r="W5" i="39"/>
  <c r="BY5" i="39" s="1"/>
  <c r="W9" i="39"/>
  <c r="BS9" i="39" s="1"/>
  <c r="X12" i="39"/>
  <c r="X14" i="39"/>
  <c r="W16" i="39"/>
  <c r="BW16" i="39" s="1"/>
  <c r="X19" i="39"/>
  <c r="X21" i="39"/>
  <c r="X4" i="39"/>
  <c r="W7" i="39"/>
  <c r="X6" i="39"/>
  <c r="W11" i="39"/>
  <c r="X20" i="39"/>
  <c r="W13" i="39"/>
  <c r="W15" i="39"/>
  <c r="W18" i="39"/>
  <c r="Z8" i="9"/>
  <c r="Z9" i="9"/>
  <c r="Z10" i="9"/>
  <c r="Z11" i="9"/>
  <c r="Z12" i="9"/>
  <c r="Z13" i="9"/>
  <c r="Z14" i="9"/>
  <c r="Z15" i="9"/>
  <c r="Z16" i="9"/>
  <c r="Z17" i="9"/>
  <c r="Z18" i="9"/>
  <c r="Z19" i="9"/>
  <c r="Z20" i="9"/>
  <c r="S4" i="38"/>
  <c r="L21" i="38"/>
  <c r="AE21" i="38" s="1"/>
  <c r="K21" i="38"/>
  <c r="AD21" i="38" s="1"/>
  <c r="L20" i="38"/>
  <c r="AE20" i="38" s="1"/>
  <c r="K20" i="38"/>
  <c r="AD20" i="38" s="1"/>
  <c r="L19" i="38"/>
  <c r="AF19" i="38" s="1"/>
  <c r="K19" i="38"/>
  <c r="AD19" i="38" s="1"/>
  <c r="L18" i="38"/>
  <c r="AF18" i="38" s="1"/>
  <c r="K18" i="38"/>
  <c r="AD18" i="38" s="1"/>
  <c r="L17" i="38"/>
  <c r="AE17" i="38" s="1"/>
  <c r="K17" i="38"/>
  <c r="AD17" i="38" s="1"/>
  <c r="L16" i="38"/>
  <c r="AE16" i="38" s="1"/>
  <c r="K16" i="38"/>
  <c r="AD16" i="38" s="1"/>
  <c r="L15" i="38"/>
  <c r="AF15" i="38" s="1"/>
  <c r="K15" i="38"/>
  <c r="AD15" i="38" s="1"/>
  <c r="L14" i="38"/>
  <c r="AF14" i="38" s="1"/>
  <c r="K14" i="38"/>
  <c r="AD14" i="38" s="1"/>
  <c r="L13" i="38"/>
  <c r="AE13" i="38" s="1"/>
  <c r="K13" i="38"/>
  <c r="AD13" i="38" s="1"/>
  <c r="L12" i="38"/>
  <c r="AE12" i="38" s="1"/>
  <c r="K12" i="38"/>
  <c r="AD12" i="38" s="1"/>
  <c r="L11" i="38"/>
  <c r="AF11" i="38" s="1"/>
  <c r="K11" i="38"/>
  <c r="AD11" i="38" s="1"/>
  <c r="L10" i="38"/>
  <c r="K10" i="38"/>
  <c r="AD10" i="38" s="1"/>
  <c r="L9" i="38"/>
  <c r="AE9" i="38" s="1"/>
  <c r="K9" i="38"/>
  <c r="AD9" i="38" s="1"/>
  <c r="L8" i="38"/>
  <c r="AE8" i="38" s="1"/>
  <c r="K8" i="38"/>
  <c r="AD8" i="38" s="1"/>
  <c r="L7" i="38"/>
  <c r="K7" i="38"/>
  <c r="AD7" i="38" s="1"/>
  <c r="L6" i="38"/>
  <c r="K6" i="38"/>
  <c r="AD6" i="38" s="1"/>
  <c r="L5" i="38"/>
  <c r="AE5" i="38" s="1"/>
  <c r="K5" i="38"/>
  <c r="AD5" i="38" s="1"/>
  <c r="L4" i="38"/>
  <c r="K4" i="38"/>
  <c r="AD4" i="38" s="1"/>
  <c r="AC21" i="38"/>
  <c r="AB21" i="38" s="1"/>
  <c r="AA21" i="38" s="1"/>
  <c r="Z21" i="38"/>
  <c r="S21" i="38"/>
  <c r="R21" i="38"/>
  <c r="F21" i="38"/>
  <c r="V21" i="38" s="1"/>
  <c r="W21" i="38" s="1"/>
  <c r="X21" i="38" s="1"/>
  <c r="C21" i="38"/>
  <c r="AC20" i="38"/>
  <c r="AB20" i="38" s="1"/>
  <c r="AA20" i="38" s="1"/>
  <c r="Z20" i="38"/>
  <c r="S20" i="38"/>
  <c r="R20" i="38"/>
  <c r="F20" i="38"/>
  <c r="V20" i="38" s="1"/>
  <c r="W20" i="38" s="1"/>
  <c r="X20" i="38" s="1"/>
  <c r="C20" i="38"/>
  <c r="AC19" i="38"/>
  <c r="AB19" i="38" s="1"/>
  <c r="AA19" i="38" s="1"/>
  <c r="Z19" i="38"/>
  <c r="S19" i="38"/>
  <c r="R19" i="38"/>
  <c r="F19" i="38"/>
  <c r="V19" i="38" s="1"/>
  <c r="W19" i="38" s="1"/>
  <c r="X19" i="38" s="1"/>
  <c r="C19" i="38"/>
  <c r="AC18" i="38"/>
  <c r="AB18" i="38" s="1"/>
  <c r="AA18" i="38" s="1"/>
  <c r="Z18" i="38"/>
  <c r="S18" i="38"/>
  <c r="R18" i="38"/>
  <c r="F18" i="38"/>
  <c r="V18" i="38" s="1"/>
  <c r="W18" i="38" s="1"/>
  <c r="X18" i="38" s="1"/>
  <c r="C18" i="38"/>
  <c r="AC17" i="38"/>
  <c r="AB17" i="38" s="1"/>
  <c r="AA17" i="38" s="1"/>
  <c r="Z17" i="38"/>
  <c r="S17" i="38"/>
  <c r="R17" i="38"/>
  <c r="F17" i="38"/>
  <c r="V17" i="38" s="1"/>
  <c r="W17" i="38" s="1"/>
  <c r="X17" i="38" s="1"/>
  <c r="C17" i="38"/>
  <c r="AC16" i="38"/>
  <c r="AB16" i="38" s="1"/>
  <c r="AA16" i="38" s="1"/>
  <c r="Z16" i="38"/>
  <c r="S16" i="38"/>
  <c r="R16" i="38"/>
  <c r="F16" i="38"/>
  <c r="C16" i="38"/>
  <c r="AC15" i="38"/>
  <c r="AB15" i="38" s="1"/>
  <c r="AA15" i="38" s="1"/>
  <c r="Z15" i="38"/>
  <c r="S15" i="38"/>
  <c r="R15" i="38"/>
  <c r="F15" i="38"/>
  <c r="V15" i="38" s="1"/>
  <c r="W15" i="38" s="1"/>
  <c r="X15" i="38" s="1"/>
  <c r="C15" i="38"/>
  <c r="AC14" i="38"/>
  <c r="AB14" i="38" s="1"/>
  <c r="AA14" i="38" s="1"/>
  <c r="Z14" i="38"/>
  <c r="S14" i="38"/>
  <c r="R14" i="38"/>
  <c r="F14" i="38"/>
  <c r="V14" i="38" s="1"/>
  <c r="W14" i="38" s="1"/>
  <c r="X14" i="38" s="1"/>
  <c r="C14" i="38"/>
  <c r="AC13" i="38"/>
  <c r="AB13" i="38" s="1"/>
  <c r="AA13" i="38" s="1"/>
  <c r="Z13" i="38"/>
  <c r="S13" i="38"/>
  <c r="R13" i="38"/>
  <c r="F13" i="38"/>
  <c r="C13" i="38"/>
  <c r="AC12" i="38"/>
  <c r="AB12" i="38" s="1"/>
  <c r="AA12" i="38" s="1"/>
  <c r="Z12" i="38"/>
  <c r="S12" i="38"/>
  <c r="R12" i="38"/>
  <c r="F12" i="38"/>
  <c r="V12" i="38" s="1"/>
  <c r="W12" i="38" s="1"/>
  <c r="X12" i="38" s="1"/>
  <c r="C12" i="38"/>
  <c r="AC11" i="38"/>
  <c r="AB11" i="38" s="1"/>
  <c r="AA11" i="38" s="1"/>
  <c r="Z11" i="38"/>
  <c r="S11" i="38"/>
  <c r="R11" i="38"/>
  <c r="F11" i="38"/>
  <c r="V11" i="38" s="1"/>
  <c r="W11" i="38" s="1"/>
  <c r="X11" i="38" s="1"/>
  <c r="C11" i="38"/>
  <c r="AC10" i="38"/>
  <c r="AB10" i="38" s="1"/>
  <c r="AA10" i="38" s="1"/>
  <c r="Z10" i="38"/>
  <c r="S10" i="38"/>
  <c r="R10" i="38"/>
  <c r="F10" i="38"/>
  <c r="C10" i="38"/>
  <c r="AC9" i="38"/>
  <c r="AB9" i="38" s="1"/>
  <c r="AA9" i="38" s="1"/>
  <c r="Z9" i="38"/>
  <c r="S9" i="38"/>
  <c r="R9" i="38"/>
  <c r="F9" i="38"/>
  <c r="C9" i="38"/>
  <c r="AC8" i="38"/>
  <c r="AB8" i="38" s="1"/>
  <c r="AA8" i="38" s="1"/>
  <c r="Z8" i="38"/>
  <c r="S8" i="38"/>
  <c r="R8" i="38"/>
  <c r="F8" i="38"/>
  <c r="V8" i="38" s="1"/>
  <c r="W8" i="38" s="1"/>
  <c r="X8" i="38" s="1"/>
  <c r="C8" i="38"/>
  <c r="AC7" i="38"/>
  <c r="AB7" i="38" s="1"/>
  <c r="AA7" i="38" s="1"/>
  <c r="Z7" i="38"/>
  <c r="S7" i="38"/>
  <c r="R7" i="38"/>
  <c r="F7" i="38"/>
  <c r="V7" i="38" s="1"/>
  <c r="W7" i="38" s="1"/>
  <c r="X7" i="38" s="1"/>
  <c r="C7" i="38"/>
  <c r="AC6" i="38"/>
  <c r="AB6" i="38" s="1"/>
  <c r="AA6" i="38" s="1"/>
  <c r="Z6" i="38"/>
  <c r="S6" i="38"/>
  <c r="R6" i="38"/>
  <c r="F6" i="38"/>
  <c r="C6" i="38"/>
  <c r="AC5" i="38"/>
  <c r="AB5" i="38" s="1"/>
  <c r="AA5" i="38" s="1"/>
  <c r="Z5" i="38"/>
  <c r="S5" i="38"/>
  <c r="R5" i="38"/>
  <c r="F5" i="38"/>
  <c r="V5" i="38" s="1"/>
  <c r="W5" i="38" s="1"/>
  <c r="X5" i="38" s="1"/>
  <c r="C5" i="38"/>
  <c r="AC4" i="38"/>
  <c r="AB4" i="38" s="1"/>
  <c r="AA4" i="38" s="1"/>
  <c r="Z4" i="38"/>
  <c r="R4" i="38"/>
  <c r="F4" i="38"/>
  <c r="V4" i="38" s="1"/>
  <c r="W4" i="38" s="1"/>
  <c r="X4" i="38" s="1"/>
  <c r="C4" i="38"/>
  <c r="CG6" i="39" l="1"/>
  <c r="RS12" i="3"/>
  <c r="RW12" i="3" s="1"/>
  <c r="SA12" i="3" s="1"/>
  <c r="SE12" i="3"/>
  <c r="SI12" i="3" s="1"/>
  <c r="RS10" i="3"/>
  <c r="RW10" i="3" s="1"/>
  <c r="SA10" i="3" s="1"/>
  <c r="SE10" i="3"/>
  <c r="SI10" i="3" s="1"/>
  <c r="RS18" i="3"/>
  <c r="RW18" i="3" s="1"/>
  <c r="SA18" i="3" s="1"/>
  <c r="SE18" i="3"/>
  <c r="SI18" i="3" s="1"/>
  <c r="RS22" i="3"/>
  <c r="RW22" i="3" s="1"/>
  <c r="SA22" i="3" s="1"/>
  <c r="SE22" i="3"/>
  <c r="SI22" i="3" s="1"/>
  <c r="RS17" i="3"/>
  <c r="RW17" i="3" s="1"/>
  <c r="SA17" i="3" s="1"/>
  <c r="SE17" i="3"/>
  <c r="SI17" i="3" s="1"/>
  <c r="RS21" i="3"/>
  <c r="RW21" i="3" s="1"/>
  <c r="SA21" i="3" s="1"/>
  <c r="SE21" i="3"/>
  <c r="SI21" i="3" s="1"/>
  <c r="RS11" i="3"/>
  <c r="RW11" i="3" s="1"/>
  <c r="SA11" i="3" s="1"/>
  <c r="SE11" i="3"/>
  <c r="SI11" i="3" s="1"/>
  <c r="RS14" i="3"/>
  <c r="RW14" i="3" s="1"/>
  <c r="SA14" i="3" s="1"/>
  <c r="SE14" i="3"/>
  <c r="SI14" i="3" s="1"/>
  <c r="RS24" i="3"/>
  <c r="RW24" i="3" s="1"/>
  <c r="SA24" i="3" s="1"/>
  <c r="SE24" i="3"/>
  <c r="SI24" i="3" s="1"/>
  <c r="RS8" i="3"/>
  <c r="RW8" i="3" s="1"/>
  <c r="SA8" i="3" s="1"/>
  <c r="SE8" i="3"/>
  <c r="SI8" i="3" s="1"/>
  <c r="RS15" i="3"/>
  <c r="RW15" i="3" s="1"/>
  <c r="SA15" i="3" s="1"/>
  <c r="SE15" i="3"/>
  <c r="SI15" i="3" s="1"/>
  <c r="RS23" i="3"/>
  <c r="RW23" i="3" s="1"/>
  <c r="SA23" i="3" s="1"/>
  <c r="SE23" i="3"/>
  <c r="SI23" i="3" s="1"/>
  <c r="RS20" i="3"/>
  <c r="RW20" i="3" s="1"/>
  <c r="SA20" i="3" s="1"/>
  <c r="SE20" i="3"/>
  <c r="SI20" i="3" s="1"/>
  <c r="RS16" i="3"/>
  <c r="RW16" i="3" s="1"/>
  <c r="SA16" i="3" s="1"/>
  <c r="SE16" i="3"/>
  <c r="SI16" i="3" s="1"/>
  <c r="RS19" i="3"/>
  <c r="RW19" i="3" s="1"/>
  <c r="SA19" i="3" s="1"/>
  <c r="SE19" i="3"/>
  <c r="SI19" i="3" s="1"/>
  <c r="RS13" i="3"/>
  <c r="RW13" i="3" s="1"/>
  <c r="SA13" i="3" s="1"/>
  <c r="SE13" i="3"/>
  <c r="SI13" i="3" s="1"/>
  <c r="RS9" i="3"/>
  <c r="RW9" i="3" s="1"/>
  <c r="SA9" i="3" s="1"/>
  <c r="SE9" i="3"/>
  <c r="SI9" i="3" s="1"/>
  <c r="RH21" i="3"/>
  <c r="RD21" i="3"/>
  <c r="RD14" i="3"/>
  <c r="RH14" i="3"/>
  <c r="RD9" i="3"/>
  <c r="RH9" i="3"/>
  <c r="RH24" i="3"/>
  <c r="RD24" i="3"/>
  <c r="RH8" i="3"/>
  <c r="RD8" i="3"/>
  <c r="RD15" i="3"/>
  <c r="RH15" i="3"/>
  <c r="RH19" i="3"/>
  <c r="RD19" i="3"/>
  <c r="RH11" i="3"/>
  <c r="RD11" i="3"/>
  <c r="RH12" i="3"/>
  <c r="RD12" i="3"/>
  <c r="RD22" i="3"/>
  <c r="RH22" i="3"/>
  <c r="RH17" i="3"/>
  <c r="RD17" i="3"/>
  <c r="RH16" i="3"/>
  <c r="RD16" i="3"/>
  <c r="RD18" i="3"/>
  <c r="RH18" i="3"/>
  <c r="RH13" i="3"/>
  <c r="RD13" i="3"/>
  <c r="RD10" i="3"/>
  <c r="RH10" i="3"/>
  <c r="RH20" i="3"/>
  <c r="RD20" i="3"/>
  <c r="RD23" i="3"/>
  <c r="RH23" i="3"/>
  <c r="AQ16" i="39"/>
  <c r="AQ12" i="39"/>
  <c r="AQ21" i="39"/>
  <c r="BS10" i="39"/>
  <c r="AZ8" i="39"/>
  <c r="AU8" i="39"/>
  <c r="BS20" i="39"/>
  <c r="BL6" i="39"/>
  <c r="CD20" i="39"/>
  <c r="CG8" i="39"/>
  <c r="AQ17" i="39"/>
  <c r="AQ19" i="39"/>
  <c r="AQ9" i="39"/>
  <c r="AZ16" i="39"/>
  <c r="BS17" i="39"/>
  <c r="AW16" i="39"/>
  <c r="BN16" i="39"/>
  <c r="BN10" i="39"/>
  <c r="BN17" i="39"/>
  <c r="BW10" i="39"/>
  <c r="BL10" i="39"/>
  <c r="CG5" i="39"/>
  <c r="CH10" i="39"/>
  <c r="BP10" i="39"/>
  <c r="BX21" i="39"/>
  <c r="AS10" i="39"/>
  <c r="BF10" i="39"/>
  <c r="AV10" i="39"/>
  <c r="CB10" i="39"/>
  <c r="BI20" i="39"/>
  <c r="AW10" i="39"/>
  <c r="AX10" i="39"/>
  <c r="AZ10" i="39"/>
  <c r="CF10" i="39"/>
  <c r="AY10" i="39"/>
  <c r="BV5" i="39"/>
  <c r="BA10" i="39"/>
  <c r="BU21" i="39"/>
  <c r="BC5" i="39"/>
  <c r="BG5" i="39"/>
  <c r="BJ5" i="39"/>
  <c r="BA5" i="39"/>
  <c r="AE19" i="38"/>
  <c r="AG19" i="38" s="1"/>
  <c r="CE21" i="39"/>
  <c r="AT5" i="39"/>
  <c r="BZ5" i="39"/>
  <c r="BS5" i="39"/>
  <c r="BW5" i="39"/>
  <c r="BM5" i="39"/>
  <c r="AY21" i="39"/>
  <c r="BO5" i="39"/>
  <c r="AU5" i="39"/>
  <c r="BX5" i="39"/>
  <c r="CB5" i="39"/>
  <c r="BQ5" i="39"/>
  <c r="BJ21" i="39"/>
  <c r="AY5" i="39"/>
  <c r="BK5" i="39"/>
  <c r="AX5" i="39"/>
  <c r="BB5" i="39"/>
  <c r="AW5" i="39"/>
  <c r="CC5" i="39"/>
  <c r="AF21" i="38"/>
  <c r="AG21" i="38" s="1"/>
  <c r="BT21" i="39"/>
  <c r="CA21" i="39"/>
  <c r="AU21" i="39"/>
  <c r="BF21" i="39"/>
  <c r="BQ21" i="39"/>
  <c r="AZ20" i="39"/>
  <c r="BY20" i="39"/>
  <c r="BO19" i="39"/>
  <c r="BH21" i="39"/>
  <c r="BO21" i="39"/>
  <c r="BZ21" i="39"/>
  <c r="AT21" i="39"/>
  <c r="BA21" i="39"/>
  <c r="BP20" i="39"/>
  <c r="AX20" i="39"/>
  <c r="BK19" i="39"/>
  <c r="BD14" i="39"/>
  <c r="BZ4" i="39"/>
  <c r="BV10" i="39"/>
  <c r="BD21" i="39"/>
  <c r="BK21" i="39"/>
  <c r="BV21" i="39"/>
  <c r="CG21" i="39"/>
  <c r="AW21" i="39"/>
  <c r="CF20" i="39"/>
  <c r="BN20" i="39"/>
  <c r="BT14" i="39"/>
  <c r="BK10" i="39"/>
  <c r="AQ14" i="39"/>
  <c r="AE15" i="38"/>
  <c r="AG15" i="38" s="1"/>
  <c r="AF17" i="38"/>
  <c r="AG17" i="38" s="1"/>
  <c r="BD17" i="39"/>
  <c r="BM12" i="39"/>
  <c r="BN4" i="39"/>
  <c r="AE11" i="38"/>
  <c r="AG11" i="38" s="1"/>
  <c r="AF13" i="38"/>
  <c r="AG13" i="38" s="1"/>
  <c r="BI17" i="39"/>
  <c r="BT17" i="39"/>
  <c r="AZ12" i="39"/>
  <c r="AU4" i="39"/>
  <c r="AC4" i="39"/>
  <c r="AD4" i="39"/>
  <c r="AE7" i="38"/>
  <c r="AF9" i="38"/>
  <c r="AG9" i="38" s="1"/>
  <c r="AX17" i="39"/>
  <c r="CA4" i="39"/>
  <c r="AE17" i="39"/>
  <c r="AG17" i="39" s="1"/>
  <c r="AH17" i="39" s="1"/>
  <c r="BE17" i="39" s="1"/>
  <c r="AF17" i="39"/>
  <c r="AE16" i="39"/>
  <c r="AG16" i="39" s="1"/>
  <c r="AH16" i="39" s="1"/>
  <c r="BE16" i="39" s="1"/>
  <c r="AF16" i="39"/>
  <c r="AE9" i="39"/>
  <c r="AG9" i="39" s="1"/>
  <c r="AH9" i="39" s="1"/>
  <c r="BE9" i="39" s="1"/>
  <c r="AF9" i="39"/>
  <c r="AB18" i="39"/>
  <c r="AA18" i="39"/>
  <c r="AC10" i="39"/>
  <c r="AD10" i="39"/>
  <c r="AE21" i="39"/>
  <c r="AG21" i="39" s="1"/>
  <c r="AH21" i="39" s="1"/>
  <c r="BE21" i="39" s="1"/>
  <c r="AF21" i="39"/>
  <c r="AE13" i="39"/>
  <c r="AG13" i="39" s="1"/>
  <c r="AH13" i="39" s="1"/>
  <c r="BE13" i="39" s="1"/>
  <c r="AF13" i="39"/>
  <c r="AC14" i="39"/>
  <c r="AD14" i="39"/>
  <c r="AE19" i="39"/>
  <c r="AG19" i="39" s="1"/>
  <c r="AH19" i="39" s="1"/>
  <c r="BE19" i="39" s="1"/>
  <c r="AF19" i="39"/>
  <c r="AE15" i="39"/>
  <c r="AG15" i="39" s="1"/>
  <c r="AH15" i="39" s="1"/>
  <c r="BE15" i="39" s="1"/>
  <c r="AF15" i="39"/>
  <c r="AE11" i="39"/>
  <c r="AG11" i="39" s="1"/>
  <c r="AH11" i="39" s="1"/>
  <c r="BE11" i="39" s="1"/>
  <c r="AF11" i="39"/>
  <c r="AE20" i="39"/>
  <c r="AG20" i="39" s="1"/>
  <c r="AH20" i="39" s="1"/>
  <c r="BE20" i="39" s="1"/>
  <c r="AF20" i="39"/>
  <c r="AE12" i="39"/>
  <c r="AG12" i="39" s="1"/>
  <c r="AH12" i="39" s="1"/>
  <c r="BE12" i="39" s="1"/>
  <c r="AF12" i="39"/>
  <c r="AA7" i="39"/>
  <c r="AB7" i="39"/>
  <c r="AB8" i="39"/>
  <c r="AA8" i="39" s="1"/>
  <c r="AD8" i="39" s="1"/>
  <c r="AC8" i="39" s="1"/>
  <c r="AF8" i="39" s="1"/>
  <c r="AE8" i="39" s="1"/>
  <c r="AG8" i="39" s="1"/>
  <c r="AH8" i="39" s="1"/>
  <c r="BE8" i="39" s="1"/>
  <c r="AW8" i="39"/>
  <c r="BL8" i="39"/>
  <c r="BN19" i="39"/>
  <c r="BF14" i="39"/>
  <c r="BK6" i="39"/>
  <c r="BX8" i="39"/>
  <c r="BR6" i="39"/>
  <c r="BO8" i="39"/>
  <c r="CD19" i="39"/>
  <c r="AU14" i="39"/>
  <c r="CE9" i="39"/>
  <c r="CA6" i="39"/>
  <c r="BD8" i="39"/>
  <c r="BP8" i="39"/>
  <c r="CC8" i="39"/>
  <c r="BN8" i="39"/>
  <c r="AY8" i="39"/>
  <c r="BS8" i="39"/>
  <c r="CB8" i="39"/>
  <c r="BM19" i="39"/>
  <c r="BD19" i="39"/>
  <c r="BY14" i="39"/>
  <c r="BK14" i="39"/>
  <c r="BA14" i="39"/>
  <c r="BF9" i="39"/>
  <c r="BP6" i="39"/>
  <c r="AV8" i="39"/>
  <c r="BU8" i="39"/>
  <c r="BH8" i="39"/>
  <c r="AS8" i="39"/>
  <c r="BT8" i="39"/>
  <c r="BC8" i="39"/>
  <c r="CA8" i="39"/>
  <c r="BI6" i="39"/>
  <c r="BY6" i="39"/>
  <c r="BV8" i="39"/>
  <c r="BB8" i="39"/>
  <c r="BQ19" i="39"/>
  <c r="BI19" i="39"/>
  <c r="AX19" i="39"/>
  <c r="BT19" i="39"/>
  <c r="BM14" i="39"/>
  <c r="CA14" i="39"/>
  <c r="BB6" i="39"/>
  <c r="AX6" i="39"/>
  <c r="AU6" i="39"/>
  <c r="AT8" i="39"/>
  <c r="BZ8" i="39"/>
  <c r="BR8" i="39"/>
  <c r="AX8" i="39"/>
  <c r="BY8" i="39"/>
  <c r="BK8" i="39"/>
  <c r="CE8" i="39"/>
  <c r="AU10" i="39"/>
  <c r="BF8" i="39"/>
  <c r="BA19" i="39"/>
  <c r="BS19" i="39"/>
  <c r="BU19" i="39"/>
  <c r="BR19" i="39"/>
  <c r="BH19" i="39"/>
  <c r="BX19" i="39"/>
  <c r="BU14" i="39"/>
  <c r="BN14" i="39"/>
  <c r="BO14" i="39"/>
  <c r="BH14" i="39"/>
  <c r="AV6" i="39"/>
  <c r="BU6" i="39"/>
  <c r="BO6" i="39"/>
  <c r="BB14" i="39"/>
  <c r="BP21" i="39"/>
  <c r="BW21" i="39"/>
  <c r="BG21" i="39"/>
  <c r="BR21" i="39"/>
  <c r="BB21" i="39"/>
  <c r="CC21" i="39"/>
  <c r="BM21" i="39"/>
  <c r="AS21" i="39"/>
  <c r="CB21" i="39"/>
  <c r="BL21" i="39"/>
  <c r="AV21" i="39"/>
  <c r="BS21" i="39"/>
  <c r="BC21" i="39"/>
  <c r="CD21" i="39"/>
  <c r="BN21" i="39"/>
  <c r="AX21" i="39"/>
  <c r="BY21" i="39"/>
  <c r="BI21" i="39"/>
  <c r="BY19" i="39"/>
  <c r="BG19" i="39"/>
  <c r="CG19" i="39"/>
  <c r="CE19" i="39"/>
  <c r="BC19" i="39"/>
  <c r="AW19" i="39"/>
  <c r="AT19" i="39"/>
  <c r="BJ19" i="39"/>
  <c r="BZ19" i="39"/>
  <c r="AZ19" i="39"/>
  <c r="BP19" i="39"/>
  <c r="CF19" i="39"/>
  <c r="AT14" i="39"/>
  <c r="BO10" i="39"/>
  <c r="BM10" i="39"/>
  <c r="CC10" i="39"/>
  <c r="BI10" i="39"/>
  <c r="CD10" i="39"/>
  <c r="BH10" i="39"/>
  <c r="BX10" i="39"/>
  <c r="AW14" i="39"/>
  <c r="AX14" i="39"/>
  <c r="CD14" i="39"/>
  <c r="BG14" i="39"/>
  <c r="BW14" i="39"/>
  <c r="AZ14" i="39"/>
  <c r="BP14" i="39"/>
  <c r="CF14" i="39"/>
  <c r="BT16" i="39"/>
  <c r="BQ14" i="39"/>
  <c r="BG10" i="39"/>
  <c r="BA9" i="39"/>
  <c r="BT6" i="39"/>
  <c r="BF6" i="39"/>
  <c r="CB6" i="39"/>
  <c r="BJ6" i="39"/>
  <c r="CF6" i="39"/>
  <c r="BG6" i="39"/>
  <c r="BW6" i="39"/>
  <c r="AS6" i="39"/>
  <c r="BM6" i="39"/>
  <c r="BU10" i="39"/>
  <c r="CE10" i="39"/>
  <c r="CA10" i="39"/>
  <c r="AS19" i="39"/>
  <c r="AY19" i="39"/>
  <c r="BB19" i="39"/>
  <c r="CH19" i="39"/>
  <c r="BZ14" i="39"/>
  <c r="BI14" i="39"/>
  <c r="AY14" i="39"/>
  <c r="CE14" i="39"/>
  <c r="BX14" i="39"/>
  <c r="BQ6" i="39"/>
  <c r="AT6" i="39"/>
  <c r="AY6" i="39"/>
  <c r="CE6" i="39"/>
  <c r="BH6" i="39"/>
  <c r="BN6" i="39"/>
  <c r="CH6" i="39"/>
  <c r="AZ21" i="39"/>
  <c r="CH21" i="39"/>
  <c r="BW19" i="39"/>
  <c r="AU19" i="39"/>
  <c r="CA19" i="39"/>
  <c r="CC19" i="39"/>
  <c r="BF19" i="39"/>
  <c r="BV19" i="39"/>
  <c r="AV19" i="39"/>
  <c r="BL19" i="39"/>
  <c r="BJ14" i="39"/>
  <c r="BZ10" i="39"/>
  <c r="BB10" i="39"/>
  <c r="BR10" i="39"/>
  <c r="BC10" i="39"/>
  <c r="BY10" i="39"/>
  <c r="BD10" i="39"/>
  <c r="BT10" i="39"/>
  <c r="AS14" i="39"/>
  <c r="CC14" i="39"/>
  <c r="BV14" i="39"/>
  <c r="BC14" i="39"/>
  <c r="BS14" i="39"/>
  <c r="AV14" i="39"/>
  <c r="BL14" i="39"/>
  <c r="CB14" i="39"/>
  <c r="BC16" i="39"/>
  <c r="CD16" i="39"/>
  <c r="BQ10" i="39"/>
  <c r="BM9" i="39"/>
  <c r="CD6" i="39"/>
  <c r="BA6" i="39"/>
  <c r="BV6" i="39"/>
  <c r="AZ6" i="39"/>
  <c r="BZ6" i="39"/>
  <c r="BC6" i="39"/>
  <c r="BS6" i="39"/>
  <c r="AW6" i="39"/>
  <c r="BD6" i="39"/>
  <c r="BX6" i="39"/>
  <c r="CG14" i="39"/>
  <c r="BJ10" i="39"/>
  <c r="CG10" i="39"/>
  <c r="BG20" i="39"/>
  <c r="BD20" i="39"/>
  <c r="BT20" i="39"/>
  <c r="AS20" i="39"/>
  <c r="BM20" i="39"/>
  <c r="CC20" i="39"/>
  <c r="BB20" i="39"/>
  <c r="BR20" i="39"/>
  <c r="CH20" i="39"/>
  <c r="AY20" i="39"/>
  <c r="BY12" i="39"/>
  <c r="BF12" i="39"/>
  <c r="BL12" i="39"/>
  <c r="BR14" i="39"/>
  <c r="BZ12" i="39"/>
  <c r="BK20" i="39"/>
  <c r="BW20" i="39"/>
  <c r="BH20" i="39"/>
  <c r="BX20" i="39"/>
  <c r="AW20" i="39"/>
  <c r="BQ20" i="39"/>
  <c r="CG20" i="39"/>
  <c r="BF20" i="39"/>
  <c r="BV20" i="39"/>
  <c r="BO20" i="39"/>
  <c r="BG12" i="39"/>
  <c r="CF12" i="39"/>
  <c r="BJ12" i="39"/>
  <c r="BC20" i="39"/>
  <c r="AV20" i="39"/>
  <c r="BL20" i="39"/>
  <c r="CB20" i="39"/>
  <c r="BA20" i="39"/>
  <c r="BU20" i="39"/>
  <c r="AT20" i="39"/>
  <c r="BJ20" i="39"/>
  <c r="BB12" i="39"/>
  <c r="BS12" i="39"/>
  <c r="BN12" i="39"/>
  <c r="BP12" i="39"/>
  <c r="BU16" i="39"/>
  <c r="CC9" i="39"/>
  <c r="BI12" i="39"/>
  <c r="AX12" i="39"/>
  <c r="BW12" i="39"/>
  <c r="BG16" i="39"/>
  <c r="AV9" i="39"/>
  <c r="BV9" i="39"/>
  <c r="AW9" i="39"/>
  <c r="CD17" i="39"/>
  <c r="BL16" i="39"/>
  <c r="AS12" i="39"/>
  <c r="BC12" i="39"/>
  <c r="AV12" i="39"/>
  <c r="CB12" i="39"/>
  <c r="AY16" i="39"/>
  <c r="AX16" i="39"/>
  <c r="BE6" i="39"/>
  <c r="BX9" i="39"/>
  <c r="BI9" i="39"/>
  <c r="BQ8" i="39"/>
  <c r="BJ8" i="39"/>
  <c r="CF8" i="39"/>
  <c r="BM8" i="39"/>
  <c r="CH8" i="39"/>
  <c r="BI8" i="39"/>
  <c r="CD8" i="39"/>
  <c r="BG8" i="39"/>
  <c r="BW8" i="39"/>
  <c r="AW4" i="39"/>
  <c r="CG12" i="39"/>
  <c r="CF9" i="39"/>
  <c r="AS9" i="39"/>
  <c r="AT9" i="39"/>
  <c r="BJ9" i="39"/>
  <c r="BY4" i="39"/>
  <c r="AT4" i="39"/>
  <c r="BM4" i="39"/>
  <c r="AU12" i="39"/>
  <c r="CH12" i="39"/>
  <c r="BU12" i="39"/>
  <c r="AT12" i="39"/>
  <c r="BV12" i="39"/>
  <c r="BK12" i="39"/>
  <c r="CA12" i="39"/>
  <c r="BD12" i="39"/>
  <c r="BT12" i="39"/>
  <c r="CC16" i="39"/>
  <c r="BX16" i="39"/>
  <c r="CB16" i="39"/>
  <c r="BI16" i="39"/>
  <c r="CE16" i="39"/>
  <c r="BK16" i="39"/>
  <c r="CF16" i="39"/>
  <c r="BF16" i="39"/>
  <c r="BV16" i="39"/>
  <c r="BA16" i="39"/>
  <c r="AW12" i="39"/>
  <c r="BK9" i="39"/>
  <c r="AZ9" i="39"/>
  <c r="CB9" i="39"/>
  <c r="BP9" i="39"/>
  <c r="AY9" i="39"/>
  <c r="BT9" i="39"/>
  <c r="AX9" i="39"/>
  <c r="BN9" i="39"/>
  <c r="CD9" i="39"/>
  <c r="CF4" i="39"/>
  <c r="BJ4" i="39"/>
  <c r="BI4" i="39"/>
  <c r="BR4" i="39"/>
  <c r="BK4" i="39"/>
  <c r="BA12" i="39"/>
  <c r="BM16" i="39"/>
  <c r="BQ16" i="39"/>
  <c r="BD16" i="39"/>
  <c r="BY16" i="39"/>
  <c r="CA16" i="39"/>
  <c r="BB16" i="39"/>
  <c r="BR16" i="39"/>
  <c r="CH16" i="39"/>
  <c r="BC9" i="39"/>
  <c r="BU9" i="39"/>
  <c r="BH9" i="39"/>
  <c r="BO9" i="39"/>
  <c r="BZ9" i="39"/>
  <c r="BV4" i="39"/>
  <c r="BG4" i="39"/>
  <c r="BS16" i="39"/>
  <c r="CG16" i="39"/>
  <c r="BR12" i="39"/>
  <c r="CC12" i="39"/>
  <c r="AY12" i="39"/>
  <c r="CD12" i="39"/>
  <c r="BO12" i="39"/>
  <c r="CE12" i="39"/>
  <c r="BH12" i="39"/>
  <c r="BX12" i="39"/>
  <c r="BH16" i="39"/>
  <c r="AV16" i="39"/>
  <c r="AS16" i="39"/>
  <c r="BO16" i="39"/>
  <c r="AU16" i="39"/>
  <c r="BP16" i="39"/>
  <c r="AT16" i="39"/>
  <c r="BJ16" i="39"/>
  <c r="BZ16" i="39"/>
  <c r="BQ9" i="39"/>
  <c r="BG9" i="39"/>
  <c r="AU9" i="39"/>
  <c r="BW9" i="39"/>
  <c r="BD9" i="39"/>
  <c r="BY9" i="39"/>
  <c r="BB9" i="39"/>
  <c r="BR9" i="39"/>
  <c r="CH9" i="39"/>
  <c r="CA9" i="39"/>
  <c r="BL9" i="39"/>
  <c r="CG9" i="39"/>
  <c r="BT4" i="39"/>
  <c r="BF4" i="39"/>
  <c r="BQ4" i="39"/>
  <c r="CH4" i="39"/>
  <c r="BW4" i="39"/>
  <c r="BA17" i="39"/>
  <c r="CC17" i="39"/>
  <c r="BM17" i="39"/>
  <c r="CE17" i="39"/>
  <c r="BO17" i="39"/>
  <c r="AW17" i="39"/>
  <c r="BW17" i="39"/>
  <c r="BG17" i="39"/>
  <c r="BU17" i="39"/>
  <c r="AY17" i="39"/>
  <c r="CG17" i="39"/>
  <c r="BR17" i="39"/>
  <c r="CH17" i="39"/>
  <c r="BC17" i="39"/>
  <c r="BY17" i="39"/>
  <c r="AS17" i="39"/>
  <c r="BF17" i="39"/>
  <c r="BV17" i="39"/>
  <c r="AV17" i="39"/>
  <c r="BL17" i="39"/>
  <c r="CB17" i="39"/>
  <c r="AQ13" i="39"/>
  <c r="BT5" i="39"/>
  <c r="BF5" i="39"/>
  <c r="CF5" i="39"/>
  <c r="BP5" i="39"/>
  <c r="BH5" i="39"/>
  <c r="CD5" i="39"/>
  <c r="BL5" i="39"/>
  <c r="CH5" i="39"/>
  <c r="BE5" i="39"/>
  <c r="BU5" i="39"/>
  <c r="AV4" i="39"/>
  <c r="AX4" i="39"/>
  <c r="CG4" i="39"/>
  <c r="AS4" i="39"/>
  <c r="BU4" i="39"/>
  <c r="CD4" i="39"/>
  <c r="BB4" i="39"/>
  <c r="BX4" i="39"/>
  <c r="AY4" i="39"/>
  <c r="BO4" i="39"/>
  <c r="CE4" i="39"/>
  <c r="BK17" i="39"/>
  <c r="BB17" i="39"/>
  <c r="BX17" i="39"/>
  <c r="CA17" i="39"/>
  <c r="AU17" i="39"/>
  <c r="BQ17" i="39"/>
  <c r="AT17" i="39"/>
  <c r="BJ17" i="39"/>
  <c r="BZ17" i="39"/>
  <c r="AZ17" i="39"/>
  <c r="BP17" i="39"/>
  <c r="CF17" i="39"/>
  <c r="CE5" i="39"/>
  <c r="AZ5" i="39"/>
  <c r="BD5" i="39"/>
  <c r="CA5" i="39"/>
  <c r="BN5" i="39"/>
  <c r="AV5" i="39"/>
  <c r="BR5" i="39"/>
  <c r="AS5" i="39"/>
  <c r="BI5" i="39"/>
  <c r="BD4" i="39"/>
  <c r="BL4" i="39"/>
  <c r="BA4" i="39"/>
  <c r="AZ4" i="39"/>
  <c r="CB4" i="39"/>
  <c r="BP4" i="39"/>
  <c r="BH4" i="39"/>
  <c r="CC4" i="39"/>
  <c r="BC4" i="39"/>
  <c r="CE20" i="39"/>
  <c r="AU20" i="39"/>
  <c r="CA20" i="39"/>
  <c r="AQ20" i="39"/>
  <c r="AQ11" i="39"/>
  <c r="CH18" i="39"/>
  <c r="CD18" i="39"/>
  <c r="BZ18" i="39"/>
  <c r="BV18" i="39"/>
  <c r="BR18" i="39"/>
  <c r="BN18" i="39"/>
  <c r="BJ18" i="39"/>
  <c r="BF18" i="39"/>
  <c r="BB18" i="39"/>
  <c r="AX18" i="39"/>
  <c r="AT18" i="39"/>
  <c r="CF18" i="39"/>
  <c r="CB18" i="39"/>
  <c r="BX18" i="39"/>
  <c r="BT18" i="39"/>
  <c r="BP18" i="39"/>
  <c r="BL18" i="39"/>
  <c r="BH18" i="39"/>
  <c r="BD18" i="39"/>
  <c r="AZ18" i="39"/>
  <c r="AV18" i="39"/>
  <c r="CE18" i="39"/>
  <c r="BW18" i="39"/>
  <c r="BO18" i="39"/>
  <c r="BG18" i="39"/>
  <c r="AY18" i="39"/>
  <c r="CC18" i="39"/>
  <c r="BU18" i="39"/>
  <c r="BM18" i="39"/>
  <c r="AW18" i="39"/>
  <c r="CA18" i="39"/>
  <c r="BK18" i="39"/>
  <c r="AU18" i="39"/>
  <c r="BY18" i="39"/>
  <c r="BI18" i="39"/>
  <c r="AS18" i="39"/>
  <c r="BS18" i="39"/>
  <c r="BC18" i="39"/>
  <c r="CG18" i="39"/>
  <c r="BQ18" i="39"/>
  <c r="BA18" i="39"/>
  <c r="AQ15" i="39"/>
  <c r="CH11" i="39"/>
  <c r="CD11" i="39"/>
  <c r="BZ11" i="39"/>
  <c r="BV11" i="39"/>
  <c r="BR11" i="39"/>
  <c r="BN11" i="39"/>
  <c r="BJ11" i="39"/>
  <c r="BF11" i="39"/>
  <c r="BB11" i="39"/>
  <c r="AX11" i="39"/>
  <c r="AT11" i="39"/>
  <c r="CF11" i="39"/>
  <c r="CA11" i="39"/>
  <c r="BU11" i="39"/>
  <c r="BP11" i="39"/>
  <c r="BK11" i="39"/>
  <c r="AZ11" i="39"/>
  <c r="AU11" i="39"/>
  <c r="CE11" i="39"/>
  <c r="BY11" i="39"/>
  <c r="BT11" i="39"/>
  <c r="BO11" i="39"/>
  <c r="BI11" i="39"/>
  <c r="AY11" i="39"/>
  <c r="AS11" i="39"/>
  <c r="BD11" i="39"/>
  <c r="CB11" i="39"/>
  <c r="BQ11" i="39"/>
  <c r="BG11" i="39"/>
  <c r="AV11" i="39"/>
  <c r="BX11" i="39"/>
  <c r="BM11" i="39"/>
  <c r="BC11" i="39"/>
  <c r="CG11" i="39"/>
  <c r="BW11" i="39"/>
  <c r="BL11" i="39"/>
  <c r="BA11" i="39"/>
  <c r="CC11" i="39"/>
  <c r="BS11" i="39"/>
  <c r="BH11" i="39"/>
  <c r="AW11" i="39"/>
  <c r="CH15" i="39"/>
  <c r="CD15" i="39"/>
  <c r="BZ15" i="39"/>
  <c r="BV15" i="39"/>
  <c r="BR15" i="39"/>
  <c r="BN15" i="39"/>
  <c r="BJ15" i="39"/>
  <c r="BF15" i="39"/>
  <c r="BB15" i="39"/>
  <c r="AX15" i="39"/>
  <c r="AT15" i="39"/>
  <c r="CG15" i="39"/>
  <c r="CC15" i="39"/>
  <c r="BY15" i="39"/>
  <c r="BU15" i="39"/>
  <c r="BQ15" i="39"/>
  <c r="BM15" i="39"/>
  <c r="BI15" i="39"/>
  <c r="BA15" i="39"/>
  <c r="AW15" i="39"/>
  <c r="AS15" i="39"/>
  <c r="CE15" i="39"/>
  <c r="BW15" i="39"/>
  <c r="BO15" i="39"/>
  <c r="BG15" i="39"/>
  <c r="AY15" i="39"/>
  <c r="CB15" i="39"/>
  <c r="BT15" i="39"/>
  <c r="BL15" i="39"/>
  <c r="BD15" i="39"/>
  <c r="AV15" i="39"/>
  <c r="BX15" i="39"/>
  <c r="BH15" i="39"/>
  <c r="BS15" i="39"/>
  <c r="BC15" i="39"/>
  <c r="CF15" i="39"/>
  <c r="BP15" i="39"/>
  <c r="AZ15" i="39"/>
  <c r="CA15" i="39"/>
  <c r="BK15" i="39"/>
  <c r="AU15" i="39"/>
  <c r="AQ18" i="39"/>
  <c r="CH13" i="39"/>
  <c r="CD13" i="39"/>
  <c r="BZ13" i="39"/>
  <c r="BV13" i="39"/>
  <c r="BR13" i="39"/>
  <c r="BN13" i="39"/>
  <c r="BJ13" i="39"/>
  <c r="BF13" i="39"/>
  <c r="BB13" i="39"/>
  <c r="AX13" i="39"/>
  <c r="AT13" i="39"/>
  <c r="CG13" i="39"/>
  <c r="CC13" i="39"/>
  <c r="BY13" i="39"/>
  <c r="BU13" i="39"/>
  <c r="BQ13" i="39"/>
  <c r="BM13" i="39"/>
  <c r="BI13" i="39"/>
  <c r="BA13" i="39"/>
  <c r="AW13" i="39"/>
  <c r="AS13" i="39"/>
  <c r="CE13" i="39"/>
  <c r="BW13" i="39"/>
  <c r="BO13" i="39"/>
  <c r="BG13" i="39"/>
  <c r="AY13" i="39"/>
  <c r="CB13" i="39"/>
  <c r="BT13" i="39"/>
  <c r="BL13" i="39"/>
  <c r="BD13" i="39"/>
  <c r="AV13" i="39"/>
  <c r="BS13" i="39"/>
  <c r="BC13" i="39"/>
  <c r="CF13" i="39"/>
  <c r="BP13" i="39"/>
  <c r="AZ13" i="39"/>
  <c r="CA13" i="39"/>
  <c r="BK13" i="39"/>
  <c r="AU13" i="39"/>
  <c r="BX13" i="39"/>
  <c r="BH13" i="39"/>
  <c r="CG7" i="39"/>
  <c r="CC7" i="39"/>
  <c r="BY7" i="39"/>
  <c r="BU7" i="39"/>
  <c r="BQ7" i="39"/>
  <c r="BM7" i="39"/>
  <c r="BI7" i="39"/>
  <c r="BA7" i="39"/>
  <c r="AW7" i="39"/>
  <c r="AS7" i="39"/>
  <c r="CF7" i="39"/>
  <c r="CA7" i="39"/>
  <c r="BV7" i="39"/>
  <c r="BP7" i="39"/>
  <c r="BK7" i="39"/>
  <c r="BF7" i="39"/>
  <c r="AZ7" i="39"/>
  <c r="AU7" i="39"/>
  <c r="CE7" i="39"/>
  <c r="BZ7" i="39"/>
  <c r="BT7" i="39"/>
  <c r="BO7" i="39"/>
  <c r="BJ7" i="39"/>
  <c r="BD7" i="39"/>
  <c r="AY7" i="39"/>
  <c r="AT7" i="39"/>
  <c r="CH7" i="39"/>
  <c r="CB7" i="39"/>
  <c r="BW7" i="39"/>
  <c r="BR7" i="39"/>
  <c r="BL7" i="39"/>
  <c r="BG7" i="39"/>
  <c r="BB7" i="39"/>
  <c r="AV7" i="39"/>
  <c r="BN7" i="39"/>
  <c r="CD7" i="39"/>
  <c r="BH7" i="39"/>
  <c r="BX7" i="39"/>
  <c r="BC7" i="39"/>
  <c r="BS7" i="39"/>
  <c r="AX7" i="39"/>
  <c r="AE4" i="38"/>
  <c r="AE18" i="38"/>
  <c r="AG18" i="38" s="1"/>
  <c r="AE14" i="38"/>
  <c r="AG14" i="38" s="1"/>
  <c r="AE10" i="38"/>
  <c r="AE6" i="38"/>
  <c r="AF20" i="38"/>
  <c r="AG20" i="38" s="1"/>
  <c r="AF16" i="38"/>
  <c r="AG16" i="38" s="1"/>
  <c r="AF12" i="38"/>
  <c r="AG12" i="38" s="1"/>
  <c r="V13" i="38"/>
  <c r="W13" i="38" s="1"/>
  <c r="X13" i="38" s="1"/>
  <c r="V9" i="38"/>
  <c r="W9" i="38" s="1"/>
  <c r="X9" i="38" s="1"/>
  <c r="V16" i="38"/>
  <c r="W16" i="38" s="1"/>
  <c r="X16" i="38" s="1"/>
  <c r="T18" i="38"/>
  <c r="BV18" i="38" s="1"/>
  <c r="T21" i="38"/>
  <c r="BV21" i="38" s="1"/>
  <c r="V10" i="38"/>
  <c r="W10" i="38" s="1"/>
  <c r="X10" i="38" s="1"/>
  <c r="V6" i="38"/>
  <c r="W6" i="38" s="1"/>
  <c r="X6" i="38" s="1"/>
  <c r="U11" i="38"/>
  <c r="U18" i="38"/>
  <c r="U7" i="38"/>
  <c r="T13" i="38"/>
  <c r="BR13" i="38" s="1"/>
  <c r="T4" i="38"/>
  <c r="BQ4" i="38" s="1"/>
  <c r="T11" i="38"/>
  <c r="BQ11" i="38" s="1"/>
  <c r="U15" i="38"/>
  <c r="U20" i="38"/>
  <c r="U13" i="38"/>
  <c r="T5" i="38"/>
  <c r="BX5" i="38" s="1"/>
  <c r="U16" i="38"/>
  <c r="T9" i="38"/>
  <c r="BJ9" i="38" s="1"/>
  <c r="T10" i="38"/>
  <c r="BW10" i="38" s="1"/>
  <c r="T17" i="38"/>
  <c r="BV17" i="38" s="1"/>
  <c r="T19" i="38"/>
  <c r="BX19" i="38" s="1"/>
  <c r="T8" i="38"/>
  <c r="BI8" i="38" s="1"/>
  <c r="U9" i="38"/>
  <c r="U4" i="38"/>
  <c r="U5" i="38"/>
  <c r="U8" i="38"/>
  <c r="T16" i="38"/>
  <c r="AR16" i="38" s="1"/>
  <c r="T6" i="38"/>
  <c r="U6" i="38"/>
  <c r="T7" i="38"/>
  <c r="U10" i="38"/>
  <c r="U14" i="38"/>
  <c r="T15" i="38"/>
  <c r="T12" i="38"/>
  <c r="U12" i="38"/>
  <c r="T14" i="38"/>
  <c r="U19" i="38"/>
  <c r="T20" i="38"/>
  <c r="U21" i="38"/>
  <c r="U17" i="38"/>
  <c r="RT23" i="3" l="1"/>
  <c r="RX23" i="3" s="1"/>
  <c r="SB23" i="3" s="1"/>
  <c r="SF23" i="3"/>
  <c r="SJ23" i="3" s="1"/>
  <c r="RT9" i="3"/>
  <c r="RX9" i="3" s="1"/>
  <c r="SB9" i="3" s="1"/>
  <c r="SF9" i="3"/>
  <c r="SJ9" i="3" s="1"/>
  <c r="RT20" i="3"/>
  <c r="RX20" i="3" s="1"/>
  <c r="SB20" i="3" s="1"/>
  <c r="SF20" i="3"/>
  <c r="SJ20" i="3" s="1"/>
  <c r="RT13" i="3"/>
  <c r="RX13" i="3" s="1"/>
  <c r="SB13" i="3" s="1"/>
  <c r="SF13" i="3"/>
  <c r="SJ13" i="3" s="1"/>
  <c r="RT16" i="3"/>
  <c r="RX16" i="3" s="1"/>
  <c r="SB16" i="3" s="1"/>
  <c r="SF16" i="3"/>
  <c r="SJ16" i="3" s="1"/>
  <c r="RT11" i="3"/>
  <c r="RX11" i="3" s="1"/>
  <c r="SB11" i="3" s="1"/>
  <c r="SF11" i="3"/>
  <c r="SJ11" i="3" s="1"/>
  <c r="RT24" i="3"/>
  <c r="RX24" i="3" s="1"/>
  <c r="SB24" i="3" s="1"/>
  <c r="SF24" i="3"/>
  <c r="SJ24" i="3" s="1"/>
  <c r="RT18" i="3"/>
  <c r="RX18" i="3" s="1"/>
  <c r="SB18" i="3" s="1"/>
  <c r="SF18" i="3"/>
  <c r="SJ18" i="3" s="1"/>
  <c r="RT22" i="3"/>
  <c r="RX22" i="3" s="1"/>
  <c r="SB22" i="3" s="1"/>
  <c r="SF22" i="3"/>
  <c r="SJ22" i="3" s="1"/>
  <c r="RT15" i="3"/>
  <c r="RX15" i="3" s="1"/>
  <c r="SB15" i="3" s="1"/>
  <c r="SF15" i="3"/>
  <c r="SJ15" i="3" s="1"/>
  <c r="RT14" i="3"/>
  <c r="RX14" i="3" s="1"/>
  <c r="SB14" i="3" s="1"/>
  <c r="SF14" i="3"/>
  <c r="SJ14" i="3" s="1"/>
  <c r="RT10" i="3"/>
  <c r="RX10" i="3" s="1"/>
  <c r="SB10" i="3" s="1"/>
  <c r="SF10" i="3"/>
  <c r="SJ10" i="3" s="1"/>
  <c r="RT17" i="3"/>
  <c r="RX17" i="3" s="1"/>
  <c r="SB17" i="3" s="1"/>
  <c r="SF17" i="3"/>
  <c r="SJ17" i="3" s="1"/>
  <c r="RT12" i="3"/>
  <c r="RX12" i="3" s="1"/>
  <c r="SB12" i="3" s="1"/>
  <c r="SF12" i="3"/>
  <c r="SJ12" i="3" s="1"/>
  <c r="RT19" i="3"/>
  <c r="RX19" i="3" s="1"/>
  <c r="SB19" i="3" s="1"/>
  <c r="SF19" i="3"/>
  <c r="SJ19" i="3" s="1"/>
  <c r="RT8" i="3"/>
  <c r="RX8" i="3" s="1"/>
  <c r="SB8" i="3" s="1"/>
  <c r="SF8" i="3"/>
  <c r="SJ8" i="3" s="1"/>
  <c r="RT21" i="3"/>
  <c r="RX21" i="3" s="1"/>
  <c r="SB21" i="3" s="1"/>
  <c r="SF21" i="3"/>
  <c r="SJ21" i="3" s="1"/>
  <c r="AR13" i="38"/>
  <c r="BC9" i="38"/>
  <c r="AI21" i="38"/>
  <c r="BL21" i="38"/>
  <c r="BI9" i="38"/>
  <c r="AR9" i="38"/>
  <c r="AT21" i="38"/>
  <c r="BN18" i="38"/>
  <c r="BN9" i="38"/>
  <c r="BX9" i="38"/>
  <c r="AK19" i="38"/>
  <c r="AS19" i="38"/>
  <c r="AV19" i="38"/>
  <c r="BC21" i="38"/>
  <c r="AK21" i="38"/>
  <c r="BJ21" i="38"/>
  <c r="AL11" i="38"/>
  <c r="AS9" i="38"/>
  <c r="BS9" i="38"/>
  <c r="BW21" i="38"/>
  <c r="BA21" i="38"/>
  <c r="BK11" i="38"/>
  <c r="BM13" i="38"/>
  <c r="AV21" i="38"/>
  <c r="BQ21" i="38"/>
  <c r="AI9" i="38"/>
  <c r="BH9" i="38"/>
  <c r="AE4" i="39"/>
  <c r="AG4" i="39" s="1"/>
  <c r="AH4" i="39" s="1"/>
  <c r="BE4" i="39" s="1"/>
  <c r="CI4" i="39" s="1"/>
  <c r="AF4" i="39"/>
  <c r="AU21" i="38"/>
  <c r="BS13" i="38"/>
  <c r="BV13" i="38"/>
  <c r="AY21" i="38"/>
  <c r="BS21" i="38"/>
  <c r="AJ21" i="38"/>
  <c r="AZ21" i="38"/>
  <c r="BP21" i="38"/>
  <c r="AO21" i="38"/>
  <c r="BE21" i="38"/>
  <c r="BU21" i="38"/>
  <c r="AX21" i="38"/>
  <c r="BN21" i="38"/>
  <c r="BB11" i="38"/>
  <c r="AJ11" i="38"/>
  <c r="BA11" i="38"/>
  <c r="BE9" i="38"/>
  <c r="AY9" i="38"/>
  <c r="AN9" i="38"/>
  <c r="BT9" i="38"/>
  <c r="AP9" i="38"/>
  <c r="BO21" i="38"/>
  <c r="AN21" i="38"/>
  <c r="BD21" i="38"/>
  <c r="AS21" i="38"/>
  <c r="BI21" i="38"/>
  <c r="BR21" i="38"/>
  <c r="BR11" i="38"/>
  <c r="AZ11" i="38"/>
  <c r="AW11" i="38"/>
  <c r="AQ21" i="38"/>
  <c r="BT21" i="38"/>
  <c r="AL21" i="38"/>
  <c r="BB21" i="38"/>
  <c r="BI11" i="38"/>
  <c r="AW13" i="38"/>
  <c r="BK21" i="38"/>
  <c r="AM21" i="38"/>
  <c r="BG21" i="38"/>
  <c r="AR21" i="38"/>
  <c r="BH21" i="38"/>
  <c r="BX21" i="38"/>
  <c r="AW21" i="38"/>
  <c r="BM21" i="38"/>
  <c r="AP21" i="38"/>
  <c r="BF21" i="38"/>
  <c r="AQ11" i="38"/>
  <c r="BP11" i="38"/>
  <c r="AO9" i="38"/>
  <c r="BU9" i="38"/>
  <c r="BO9" i="38"/>
  <c r="BD9" i="38"/>
  <c r="AL9" i="38"/>
  <c r="AC7" i="39"/>
  <c r="AD7" i="39"/>
  <c r="AE10" i="39"/>
  <c r="AG10" i="39" s="1"/>
  <c r="AH10" i="39" s="1"/>
  <c r="BE10" i="39" s="1"/>
  <c r="CI10" i="39" s="1"/>
  <c r="AF10" i="39"/>
  <c r="AC18" i="39"/>
  <c r="AD18" i="39"/>
  <c r="AE14" i="39"/>
  <c r="AG14" i="39" s="1"/>
  <c r="AH14" i="39" s="1"/>
  <c r="BE14" i="39" s="1"/>
  <c r="CI14" i="39" s="1"/>
  <c r="AF14" i="39"/>
  <c r="CI19" i="39"/>
  <c r="CI6" i="39"/>
  <c r="CI8" i="39"/>
  <c r="CI21" i="39"/>
  <c r="CI20" i="39"/>
  <c r="CI12" i="39"/>
  <c r="CI16" i="39"/>
  <c r="CI9" i="39"/>
  <c r="CI17" i="39"/>
  <c r="CI5" i="39"/>
  <c r="CI13" i="39"/>
  <c r="CI11" i="39"/>
  <c r="CI15" i="39"/>
  <c r="AZ18" i="38"/>
  <c r="BV16" i="38"/>
  <c r="BU18" i="38"/>
  <c r="BJ10" i="38"/>
  <c r="BF9" i="38"/>
  <c r="AQ18" i="38"/>
  <c r="BC10" i="38"/>
  <c r="BK18" i="38"/>
  <c r="AO18" i="38"/>
  <c r="BN19" i="38"/>
  <c r="AM13" i="38"/>
  <c r="BH13" i="38"/>
  <c r="AP13" i="38"/>
  <c r="AX9" i="38"/>
  <c r="AW9" i="38"/>
  <c r="BM9" i="38"/>
  <c r="AM9" i="38"/>
  <c r="BG9" i="38"/>
  <c r="BW9" i="38"/>
  <c r="AV9" i="38"/>
  <c r="BL9" i="38"/>
  <c r="BQ10" i="38"/>
  <c r="BT10" i="38"/>
  <c r="BH8" i="38"/>
  <c r="AP18" i="38"/>
  <c r="BP18" i="38"/>
  <c r="AJ10" i="38"/>
  <c r="AJ18" i="38"/>
  <c r="BE18" i="38"/>
  <c r="BG19" i="38"/>
  <c r="BC13" i="38"/>
  <c r="BX13" i="38"/>
  <c r="BF13" i="38"/>
  <c r="AK9" i="38"/>
  <c r="BA9" i="38"/>
  <c r="BQ9" i="38"/>
  <c r="AQ9" i="38"/>
  <c r="BK9" i="38"/>
  <c r="AJ9" i="38"/>
  <c r="AZ9" i="38"/>
  <c r="BP9" i="38"/>
  <c r="AT9" i="38"/>
  <c r="BM10" i="38"/>
  <c r="BV9" i="38"/>
  <c r="BR9" i="38"/>
  <c r="AU9" i="38"/>
  <c r="BK16" i="38"/>
  <c r="AX18" i="38"/>
  <c r="AY18" i="38"/>
  <c r="BO18" i="38"/>
  <c r="AN18" i="38"/>
  <c r="BD18" i="38"/>
  <c r="BT18" i="38"/>
  <c r="AS18" i="38"/>
  <c r="BI18" i="38"/>
  <c r="AQ13" i="38"/>
  <c r="BG13" i="38"/>
  <c r="BW13" i="38"/>
  <c r="AV13" i="38"/>
  <c r="AK13" i="38"/>
  <c r="BA13" i="38"/>
  <c r="AT13" i="38"/>
  <c r="BR18" i="38"/>
  <c r="AW16" i="38"/>
  <c r="AI18" i="38"/>
  <c r="BC18" i="38"/>
  <c r="BS18" i="38"/>
  <c r="AR18" i="38"/>
  <c r="BH18" i="38"/>
  <c r="BX18" i="38"/>
  <c r="AW18" i="38"/>
  <c r="BM18" i="38"/>
  <c r="AU13" i="38"/>
  <c r="BK13" i="38"/>
  <c r="AJ13" i="38"/>
  <c r="AZ13" i="38"/>
  <c r="BP13" i="38"/>
  <c r="AO13" i="38"/>
  <c r="BE13" i="38"/>
  <c r="BU13" i="38"/>
  <c r="AX13" i="38"/>
  <c r="BN13" i="38"/>
  <c r="BS17" i="38"/>
  <c r="BB9" i="38"/>
  <c r="BV8" i="38"/>
  <c r="AT18" i="38"/>
  <c r="BF18" i="38"/>
  <c r="BL13" i="38"/>
  <c r="BQ13" i="38"/>
  <c r="BJ13" i="38"/>
  <c r="AP16" i="38"/>
  <c r="AM18" i="38"/>
  <c r="BG18" i="38"/>
  <c r="BW18" i="38"/>
  <c r="AV18" i="38"/>
  <c r="BL18" i="38"/>
  <c r="AK18" i="38"/>
  <c r="BA18" i="38"/>
  <c r="BQ18" i="38"/>
  <c r="AI13" i="38"/>
  <c r="AY13" i="38"/>
  <c r="BO13" i="38"/>
  <c r="AN13" i="38"/>
  <c r="BD13" i="38"/>
  <c r="BT13" i="38"/>
  <c r="AS13" i="38"/>
  <c r="BI13" i="38"/>
  <c r="AL13" i="38"/>
  <c r="BB13" i="38"/>
  <c r="BA17" i="38"/>
  <c r="BB18" i="38"/>
  <c r="BJ18" i="38"/>
  <c r="AL18" i="38"/>
  <c r="AU18" i="38"/>
  <c r="BB5" i="38"/>
  <c r="AP5" i="38"/>
  <c r="BE5" i="38"/>
  <c r="BU5" i="38"/>
  <c r="BL5" i="38"/>
  <c r="AL19" i="38"/>
  <c r="BR19" i="38"/>
  <c r="BK19" i="38"/>
  <c r="AZ19" i="38"/>
  <c r="AS11" i="38"/>
  <c r="BU11" i="38"/>
  <c r="AP11" i="38"/>
  <c r="BF11" i="38"/>
  <c r="BV11" i="38"/>
  <c r="AY11" i="38"/>
  <c r="BO11" i="38"/>
  <c r="AN11" i="38"/>
  <c r="BD11" i="38"/>
  <c r="BT11" i="38"/>
  <c r="AK11" i="38"/>
  <c r="AN10" i="38"/>
  <c r="AK10" i="38"/>
  <c r="BR10" i="38"/>
  <c r="BN10" i="38"/>
  <c r="BG10" i="38"/>
  <c r="BX10" i="38"/>
  <c r="BW5" i="38"/>
  <c r="BJ5" i="38"/>
  <c r="BC5" i="38"/>
  <c r="AX5" i="38"/>
  <c r="AQ5" i="38"/>
  <c r="AS5" i="38"/>
  <c r="BI5" i="38"/>
  <c r="AJ5" i="38"/>
  <c r="AZ5" i="38"/>
  <c r="BP5" i="38"/>
  <c r="BO5" i="38"/>
  <c r="AU5" i="38"/>
  <c r="BV5" i="38"/>
  <c r="AO5" i="38"/>
  <c r="AV5" i="38"/>
  <c r="BU19" i="38"/>
  <c r="AX19" i="38"/>
  <c r="AM19" i="38"/>
  <c r="BW19" i="38"/>
  <c r="BL19" i="38"/>
  <c r="BE11" i="38"/>
  <c r="AT11" i="38"/>
  <c r="BJ11" i="38"/>
  <c r="AI11" i="38"/>
  <c r="BC11" i="38"/>
  <c r="BS11" i="38"/>
  <c r="AR11" i="38"/>
  <c r="BH11" i="38"/>
  <c r="BX11" i="38"/>
  <c r="AU11" i="38"/>
  <c r="AZ10" i="38"/>
  <c r="AW10" i="38"/>
  <c r="AT10" i="38"/>
  <c r="AM10" i="38"/>
  <c r="BV10" i="38"/>
  <c r="AI5" i="38"/>
  <c r="AL5" i="38"/>
  <c r="BR5" i="38"/>
  <c r="BK5" i="38"/>
  <c r="BF5" i="38"/>
  <c r="BG5" i="38"/>
  <c r="AW5" i="38"/>
  <c r="BM5" i="38"/>
  <c r="AN5" i="38"/>
  <c r="BD5" i="38"/>
  <c r="BT5" i="38"/>
  <c r="AW19" i="38"/>
  <c r="BI19" i="38"/>
  <c r="BE19" i="38"/>
  <c r="BB19" i="38"/>
  <c r="AQ19" i="38"/>
  <c r="AJ19" i="38"/>
  <c r="BP19" i="38"/>
  <c r="BM11" i="38"/>
  <c r="AO11" i="38"/>
  <c r="AX11" i="38"/>
  <c r="BN11" i="38"/>
  <c r="AM11" i="38"/>
  <c r="BG11" i="38"/>
  <c r="BW11" i="38"/>
  <c r="AV11" i="38"/>
  <c r="BL11" i="38"/>
  <c r="BD10" i="38"/>
  <c r="BA10" i="38"/>
  <c r="AX10" i="38"/>
  <c r="AQ10" i="38"/>
  <c r="BO10" i="38"/>
  <c r="AY5" i="38"/>
  <c r="AT5" i="38"/>
  <c r="AM5" i="38"/>
  <c r="BS5" i="38"/>
  <c r="BN5" i="38"/>
  <c r="AK5" i="38"/>
  <c r="BA5" i="38"/>
  <c r="BQ5" i="38"/>
  <c r="AR5" i="38"/>
  <c r="BH5" i="38"/>
  <c r="AP4" i="38"/>
  <c r="BJ4" i="38"/>
  <c r="AM4" i="38"/>
  <c r="BF4" i="38"/>
  <c r="AJ4" i="38"/>
  <c r="BB4" i="38"/>
  <c r="BW4" i="38"/>
  <c r="AX4" i="38"/>
  <c r="BS4" i="38"/>
  <c r="BE4" i="38"/>
  <c r="BU4" i="38"/>
  <c r="BA16" i="38"/>
  <c r="AT16" i="38"/>
  <c r="AI16" i="38"/>
  <c r="BO16" i="38"/>
  <c r="AV17" i="38"/>
  <c r="BQ17" i="38"/>
  <c r="BD8" i="38"/>
  <c r="BC8" i="38"/>
  <c r="AW8" i="38"/>
  <c r="AT4" i="38"/>
  <c r="BO4" i="38"/>
  <c r="AQ4" i="38"/>
  <c r="BK4" i="38"/>
  <c r="AN4" i="38"/>
  <c r="BG4" i="38"/>
  <c r="AK4" i="38"/>
  <c r="BC4" i="38"/>
  <c r="BX4" i="38"/>
  <c r="BI4" i="38"/>
  <c r="AV16" i="38"/>
  <c r="BM16" i="38"/>
  <c r="BF16" i="38"/>
  <c r="AU16" i="38"/>
  <c r="AO19" i="38"/>
  <c r="BH16" i="38"/>
  <c r="BQ19" i="38"/>
  <c r="AP19" i="38"/>
  <c r="BF19" i="38"/>
  <c r="BV19" i="38"/>
  <c r="AY19" i="38"/>
  <c r="BO19" i="38"/>
  <c r="AN19" i="38"/>
  <c r="BD19" i="38"/>
  <c r="BT19" i="38"/>
  <c r="BG17" i="38"/>
  <c r="BL17" i="38"/>
  <c r="AT17" i="38"/>
  <c r="AR10" i="38"/>
  <c r="BH10" i="38"/>
  <c r="AO10" i="38"/>
  <c r="BE10" i="38"/>
  <c r="AL10" i="38"/>
  <c r="BB10" i="38"/>
  <c r="BU10" i="38"/>
  <c r="AU10" i="38"/>
  <c r="BK10" i="38"/>
  <c r="BS10" i="38"/>
  <c r="AQ8" i="38"/>
  <c r="AP8" i="38"/>
  <c r="BM8" i="38"/>
  <c r="AY4" i="38"/>
  <c r="BT4" i="38"/>
  <c r="AU4" i="38"/>
  <c r="BP4" i="38"/>
  <c r="AR4" i="38"/>
  <c r="BL4" i="38"/>
  <c r="AO4" i="38"/>
  <c r="BH4" i="38"/>
  <c r="AW4" i="38"/>
  <c r="BM4" i="38"/>
  <c r="BM19" i="38"/>
  <c r="AK16" i="38"/>
  <c r="BQ16" i="38"/>
  <c r="BJ16" i="38"/>
  <c r="AY16" i="38"/>
  <c r="AU19" i="38"/>
  <c r="BA19" i="38"/>
  <c r="AT19" i="38"/>
  <c r="BJ19" i="38"/>
  <c r="AI19" i="38"/>
  <c r="BC19" i="38"/>
  <c r="BS19" i="38"/>
  <c r="AR19" i="38"/>
  <c r="BH19" i="38"/>
  <c r="AY17" i="38"/>
  <c r="AK17" i="38"/>
  <c r="BJ17" i="38"/>
  <c r="AV10" i="38"/>
  <c r="BL10" i="38"/>
  <c r="AS10" i="38"/>
  <c r="BI10" i="38"/>
  <c r="AP10" i="38"/>
  <c r="BF10" i="38"/>
  <c r="AI10" i="38"/>
  <c r="AY10" i="38"/>
  <c r="BP10" i="38"/>
  <c r="BW8" i="38"/>
  <c r="BF8" i="38"/>
  <c r="AL4" i="38"/>
  <c r="BD4" i="38"/>
  <c r="AI4" i="38"/>
  <c r="AZ4" i="38"/>
  <c r="BV4" i="38"/>
  <c r="AV4" i="38"/>
  <c r="BR4" i="38"/>
  <c r="AS4" i="38"/>
  <c r="BN4" i="38"/>
  <c r="BA4" i="38"/>
  <c r="BX16" i="38"/>
  <c r="BT16" i="38"/>
  <c r="AN16" i="38"/>
  <c r="BP16" i="38"/>
  <c r="AJ16" i="38"/>
  <c r="AZ16" i="38"/>
  <c r="BD16" i="38"/>
  <c r="AU17" i="38"/>
  <c r="AO16" i="38"/>
  <c r="BE16" i="38"/>
  <c r="BU16" i="38"/>
  <c r="AX16" i="38"/>
  <c r="BN16" i="38"/>
  <c r="AM16" i="38"/>
  <c r="BC16" i="38"/>
  <c r="BS16" i="38"/>
  <c r="BW17" i="38"/>
  <c r="BO17" i="38"/>
  <c r="AJ17" i="38"/>
  <c r="AZ17" i="38"/>
  <c r="BP17" i="38"/>
  <c r="AO17" i="38"/>
  <c r="BE17" i="38"/>
  <c r="BU17" i="38"/>
  <c r="AX17" i="38"/>
  <c r="BN17" i="38"/>
  <c r="BL8" i="38"/>
  <c r="AY8" i="38"/>
  <c r="AJ8" i="38"/>
  <c r="BP8" i="38"/>
  <c r="BK8" i="38"/>
  <c r="AT8" i="38"/>
  <c r="BJ8" i="38"/>
  <c r="AK8" i="38"/>
  <c r="BA8" i="38"/>
  <c r="BQ8" i="38"/>
  <c r="BL16" i="38"/>
  <c r="AS16" i="38"/>
  <c r="BI16" i="38"/>
  <c r="AL16" i="38"/>
  <c r="BB16" i="38"/>
  <c r="BR16" i="38"/>
  <c r="AQ16" i="38"/>
  <c r="BG16" i="38"/>
  <c r="BW16" i="38"/>
  <c r="BK17" i="38"/>
  <c r="AM17" i="38"/>
  <c r="AN17" i="38"/>
  <c r="BD17" i="38"/>
  <c r="BT17" i="38"/>
  <c r="AS17" i="38"/>
  <c r="BI17" i="38"/>
  <c r="AL17" i="38"/>
  <c r="BB17" i="38"/>
  <c r="BR17" i="38"/>
  <c r="AN8" i="38"/>
  <c r="BT8" i="38"/>
  <c r="BG8" i="38"/>
  <c r="AR8" i="38"/>
  <c r="BX8" i="38"/>
  <c r="BS8" i="38"/>
  <c r="AX8" i="38"/>
  <c r="BN8" i="38"/>
  <c r="AO8" i="38"/>
  <c r="BE8" i="38"/>
  <c r="BU8" i="38"/>
  <c r="AQ17" i="38"/>
  <c r="AI17" i="38"/>
  <c r="BC17" i="38"/>
  <c r="AR17" i="38"/>
  <c r="BH17" i="38"/>
  <c r="BX17" i="38"/>
  <c r="AW17" i="38"/>
  <c r="BM17" i="38"/>
  <c r="AP17" i="38"/>
  <c r="BF17" i="38"/>
  <c r="AU8" i="38"/>
  <c r="AV8" i="38"/>
  <c r="AI8" i="38"/>
  <c r="BO8" i="38"/>
  <c r="AZ8" i="38"/>
  <c r="AM8" i="38"/>
  <c r="AL8" i="38"/>
  <c r="BB8" i="38"/>
  <c r="BR8" i="38"/>
  <c r="AS8" i="38"/>
  <c r="BV7" i="38"/>
  <c r="BR7" i="38"/>
  <c r="BN7" i="38"/>
  <c r="BJ7" i="38"/>
  <c r="BF7" i="38"/>
  <c r="BB7" i="38"/>
  <c r="AX7" i="38"/>
  <c r="AT7" i="38"/>
  <c r="AP7" i="38"/>
  <c r="AL7" i="38"/>
  <c r="BW7" i="38"/>
  <c r="BS7" i="38"/>
  <c r="BO7" i="38"/>
  <c r="BK7" i="38"/>
  <c r="BG7" i="38"/>
  <c r="BC7" i="38"/>
  <c r="AY7" i="38"/>
  <c r="AU7" i="38"/>
  <c r="AQ7" i="38"/>
  <c r="AM7" i="38"/>
  <c r="AI7" i="38"/>
  <c r="BT7" i="38"/>
  <c r="BL7" i="38"/>
  <c r="BD7" i="38"/>
  <c r="AV7" i="38"/>
  <c r="AN7" i="38"/>
  <c r="BQ7" i="38"/>
  <c r="BI7" i="38"/>
  <c r="BA7" i="38"/>
  <c r="AS7" i="38"/>
  <c r="AK7" i="38"/>
  <c r="BX7" i="38"/>
  <c r="BP7" i="38"/>
  <c r="BH7" i="38"/>
  <c r="AZ7" i="38"/>
  <c r="AR7" i="38"/>
  <c r="AJ7" i="38"/>
  <c r="BU7" i="38"/>
  <c r="BM7" i="38"/>
  <c r="BE7" i="38"/>
  <c r="AW7" i="38"/>
  <c r="AO7" i="38"/>
  <c r="BU14" i="38"/>
  <c r="BQ14" i="38"/>
  <c r="BM14" i="38"/>
  <c r="BI14" i="38"/>
  <c r="BE14" i="38"/>
  <c r="BA14" i="38"/>
  <c r="AW14" i="38"/>
  <c r="AS14" i="38"/>
  <c r="AO14" i="38"/>
  <c r="AK14" i="38"/>
  <c r="BX14" i="38"/>
  <c r="BT14" i="38"/>
  <c r="BP14" i="38"/>
  <c r="BL14" i="38"/>
  <c r="BH14" i="38"/>
  <c r="BD14" i="38"/>
  <c r="AZ14" i="38"/>
  <c r="AV14" i="38"/>
  <c r="AR14" i="38"/>
  <c r="AN14" i="38"/>
  <c r="AJ14" i="38"/>
  <c r="BW14" i="38"/>
  <c r="BS14" i="38"/>
  <c r="BO14" i="38"/>
  <c r="BK14" i="38"/>
  <c r="BG14" i="38"/>
  <c r="BC14" i="38"/>
  <c r="AY14" i="38"/>
  <c r="AU14" i="38"/>
  <c r="AQ14" i="38"/>
  <c r="AM14" i="38"/>
  <c r="AI14" i="38"/>
  <c r="BV14" i="38"/>
  <c r="BR14" i="38"/>
  <c r="BN14" i="38"/>
  <c r="BJ14" i="38"/>
  <c r="BF14" i="38"/>
  <c r="BB14" i="38"/>
  <c r="AX14" i="38"/>
  <c r="AT14" i="38"/>
  <c r="AP14" i="38"/>
  <c r="AL14" i="38"/>
  <c r="BW12" i="38"/>
  <c r="BS12" i="38"/>
  <c r="BO12" i="38"/>
  <c r="BK12" i="38"/>
  <c r="BG12" i="38"/>
  <c r="BC12" i="38"/>
  <c r="AY12" i="38"/>
  <c r="AU12" i="38"/>
  <c r="AQ12" i="38"/>
  <c r="AM12" i="38"/>
  <c r="AI12" i="38"/>
  <c r="BV12" i="38"/>
  <c r="BR12" i="38"/>
  <c r="BN12" i="38"/>
  <c r="BJ12" i="38"/>
  <c r="BF12" i="38"/>
  <c r="BB12" i="38"/>
  <c r="AX12" i="38"/>
  <c r="AT12" i="38"/>
  <c r="AP12" i="38"/>
  <c r="AL12" i="38"/>
  <c r="BU12" i="38"/>
  <c r="BQ12" i="38"/>
  <c r="BM12" i="38"/>
  <c r="BI12" i="38"/>
  <c r="BE12" i="38"/>
  <c r="BA12" i="38"/>
  <c r="AW12" i="38"/>
  <c r="AS12" i="38"/>
  <c r="AO12" i="38"/>
  <c r="AK12" i="38"/>
  <c r="BX12" i="38"/>
  <c r="BT12" i="38"/>
  <c r="BP12" i="38"/>
  <c r="BL12" i="38"/>
  <c r="BH12" i="38"/>
  <c r="BD12" i="38"/>
  <c r="AZ12" i="38"/>
  <c r="AV12" i="38"/>
  <c r="AR12" i="38"/>
  <c r="AN12" i="38"/>
  <c r="AJ12" i="38"/>
  <c r="BW6" i="38"/>
  <c r="BS6" i="38"/>
  <c r="BO6" i="38"/>
  <c r="BK6" i="38"/>
  <c r="BG6" i="38"/>
  <c r="BC6" i="38"/>
  <c r="AY6" i="38"/>
  <c r="AU6" i="38"/>
  <c r="AQ6" i="38"/>
  <c r="AM6" i="38"/>
  <c r="AI6" i="38"/>
  <c r="BX6" i="38"/>
  <c r="BT6" i="38"/>
  <c r="BP6" i="38"/>
  <c r="BL6" i="38"/>
  <c r="BH6" i="38"/>
  <c r="BD6" i="38"/>
  <c r="AZ6" i="38"/>
  <c r="AV6" i="38"/>
  <c r="AR6" i="38"/>
  <c r="AN6" i="38"/>
  <c r="AJ6" i="38"/>
  <c r="BU6" i="38"/>
  <c r="BM6" i="38"/>
  <c r="BE6" i="38"/>
  <c r="AW6" i="38"/>
  <c r="AO6" i="38"/>
  <c r="BR6" i="38"/>
  <c r="BJ6" i="38"/>
  <c r="BB6" i="38"/>
  <c r="AT6" i="38"/>
  <c r="AL6" i="38"/>
  <c r="BQ6" i="38"/>
  <c r="BI6" i="38"/>
  <c r="BA6" i="38"/>
  <c r="AS6" i="38"/>
  <c r="AK6" i="38"/>
  <c r="BV6" i="38"/>
  <c r="BN6" i="38"/>
  <c r="BF6" i="38"/>
  <c r="AX6" i="38"/>
  <c r="AP6" i="38"/>
  <c r="BW20" i="38"/>
  <c r="BS20" i="38"/>
  <c r="BO20" i="38"/>
  <c r="BK20" i="38"/>
  <c r="BG20" i="38"/>
  <c r="BC20" i="38"/>
  <c r="AY20" i="38"/>
  <c r="AU20" i="38"/>
  <c r="AQ20" i="38"/>
  <c r="AM20" i="38"/>
  <c r="AI20" i="38"/>
  <c r="BV20" i="38"/>
  <c r="BR20" i="38"/>
  <c r="BN20" i="38"/>
  <c r="BJ20" i="38"/>
  <c r="BF20" i="38"/>
  <c r="BB20" i="38"/>
  <c r="AX20" i="38"/>
  <c r="AT20" i="38"/>
  <c r="AP20" i="38"/>
  <c r="AL20" i="38"/>
  <c r="BU20" i="38"/>
  <c r="BQ20" i="38"/>
  <c r="BM20" i="38"/>
  <c r="BI20" i="38"/>
  <c r="BE20" i="38"/>
  <c r="BA20" i="38"/>
  <c r="AW20" i="38"/>
  <c r="AS20" i="38"/>
  <c r="AO20" i="38"/>
  <c r="AK20" i="38"/>
  <c r="BT20" i="38"/>
  <c r="BD20" i="38"/>
  <c r="AN20" i="38"/>
  <c r="BP20" i="38"/>
  <c r="AZ20" i="38"/>
  <c r="AJ20" i="38"/>
  <c r="BL20" i="38"/>
  <c r="AV20" i="38"/>
  <c r="BX20" i="38"/>
  <c r="BH20" i="38"/>
  <c r="AR20" i="38"/>
  <c r="BX15" i="38"/>
  <c r="BT15" i="38"/>
  <c r="BP15" i="38"/>
  <c r="BL15" i="38"/>
  <c r="BH15" i="38"/>
  <c r="BD15" i="38"/>
  <c r="AZ15" i="38"/>
  <c r="BV15" i="38"/>
  <c r="BQ15" i="38"/>
  <c r="BK15" i="38"/>
  <c r="BF15" i="38"/>
  <c r="BA15" i="38"/>
  <c r="AV15" i="38"/>
  <c r="AR15" i="38"/>
  <c r="AN15" i="38"/>
  <c r="AJ15" i="38"/>
  <c r="BU15" i="38"/>
  <c r="BO15" i="38"/>
  <c r="BJ15" i="38"/>
  <c r="BE15" i="38"/>
  <c r="AY15" i="38"/>
  <c r="AU15" i="38"/>
  <c r="AQ15" i="38"/>
  <c r="AM15" i="38"/>
  <c r="AI15" i="38"/>
  <c r="BS15" i="38"/>
  <c r="BN15" i="38"/>
  <c r="BI15" i="38"/>
  <c r="BC15" i="38"/>
  <c r="AX15" i="38"/>
  <c r="AT15" i="38"/>
  <c r="AP15" i="38"/>
  <c r="AL15" i="38"/>
  <c r="BW15" i="38"/>
  <c r="BR15" i="38"/>
  <c r="BM15" i="38"/>
  <c r="BG15" i="38"/>
  <c r="BB15" i="38"/>
  <c r="AW15" i="38"/>
  <c r="AS15" i="38"/>
  <c r="AO15" i="38"/>
  <c r="AK15" i="38"/>
  <c r="BY21" i="38" l="1"/>
  <c r="AF7" i="39"/>
  <c r="AE7" i="39"/>
  <c r="AG7" i="39" s="1"/>
  <c r="AH7" i="39" s="1"/>
  <c r="BE7" i="39" s="1"/>
  <c r="CI7" i="39" s="1"/>
  <c r="AE18" i="39"/>
  <c r="AG18" i="39" s="1"/>
  <c r="AH18" i="39" s="1"/>
  <c r="BE18" i="39" s="1"/>
  <c r="CI18" i="39" s="1"/>
  <c r="AF18" i="39"/>
  <c r="BY9" i="38"/>
  <c r="BY13" i="38"/>
  <c r="BY18" i="38"/>
  <c r="BY5" i="38"/>
  <c r="BY11" i="38"/>
  <c r="BY19" i="38"/>
  <c r="BY4" i="38"/>
  <c r="BY10" i="38"/>
  <c r="BY17" i="38"/>
  <c r="BY8" i="38"/>
  <c r="BY16" i="38"/>
  <c r="BY6" i="38"/>
  <c r="BY14" i="38"/>
  <c r="BY15" i="38"/>
  <c r="BY20" i="38"/>
  <c r="BY7" i="38"/>
  <c r="BY12" i="38"/>
  <c r="D5" i="36"/>
  <c r="D6" i="36"/>
  <c r="D7" i="36"/>
  <c r="D8" i="36"/>
  <c r="D9" i="36"/>
  <c r="D10" i="36"/>
  <c r="D11" i="36"/>
  <c r="D12" i="36"/>
  <c r="D13" i="36"/>
  <c r="D14" i="36"/>
  <c r="D15" i="36"/>
  <c r="D16" i="36"/>
  <c r="D17" i="36"/>
  <c r="D18" i="36"/>
  <c r="D19" i="36"/>
  <c r="D20" i="36"/>
  <c r="D21" i="36"/>
  <c r="D4" i="36"/>
  <c r="G4" i="14"/>
  <c r="Y8" i="9"/>
  <c r="Y9" i="9"/>
  <c r="Y10" i="9"/>
  <c r="Y11" i="9"/>
  <c r="Y12" i="9"/>
  <c r="Y13" i="9"/>
  <c r="Y14" i="9"/>
  <c r="Y15" i="9"/>
  <c r="Y16" i="9"/>
  <c r="Y17" i="9"/>
  <c r="Y18" i="9"/>
  <c r="Y19" i="9"/>
  <c r="Y20" i="9"/>
  <c r="AK5" i="36"/>
  <c r="AK6" i="36"/>
  <c r="AK7" i="36"/>
  <c r="AK8" i="36"/>
  <c r="AK9" i="36"/>
  <c r="AK10" i="36"/>
  <c r="AK11" i="36"/>
  <c r="AK12" i="36"/>
  <c r="AK13" i="36"/>
  <c r="AK14" i="36"/>
  <c r="AK15" i="36"/>
  <c r="AK16" i="36"/>
  <c r="AK17" i="36"/>
  <c r="AK18" i="36"/>
  <c r="AK19" i="36"/>
  <c r="AK20" i="36"/>
  <c r="AK21" i="36"/>
  <c r="AK4" i="36"/>
  <c r="E4" i="14"/>
  <c r="AV21" i="36"/>
  <c r="BK21" i="36" s="1"/>
  <c r="N21" i="36"/>
  <c r="M21" i="36"/>
  <c r="AP21" i="36" s="1"/>
  <c r="L21" i="36"/>
  <c r="F21" i="36"/>
  <c r="C21" i="36"/>
  <c r="AX20" i="36"/>
  <c r="BM20" i="36" s="1"/>
  <c r="N20" i="36"/>
  <c r="M20" i="36"/>
  <c r="AO20" i="36" s="1"/>
  <c r="L20" i="36"/>
  <c r="F20" i="36"/>
  <c r="AE20" i="36" s="1"/>
  <c r="C20" i="36"/>
  <c r="AX19" i="36"/>
  <c r="N19" i="36"/>
  <c r="M19" i="36"/>
  <c r="AP19" i="36" s="1"/>
  <c r="L19" i="36"/>
  <c r="F19" i="36"/>
  <c r="AF19" i="36" s="1"/>
  <c r="C19" i="36"/>
  <c r="AX18" i="36"/>
  <c r="N18" i="36"/>
  <c r="M18" i="36"/>
  <c r="L18" i="36"/>
  <c r="F18" i="36"/>
  <c r="AF18" i="36" s="1"/>
  <c r="C18" i="36"/>
  <c r="AV17" i="36"/>
  <c r="N17" i="36"/>
  <c r="M17" i="36"/>
  <c r="AP17" i="36" s="1"/>
  <c r="L17" i="36"/>
  <c r="F17" i="36"/>
  <c r="C17" i="36"/>
  <c r="N16" i="36"/>
  <c r="M16" i="36"/>
  <c r="AO16" i="36" s="1"/>
  <c r="L16" i="36"/>
  <c r="F16" i="36"/>
  <c r="AE16" i="36" s="1"/>
  <c r="C16" i="36"/>
  <c r="AX15" i="36"/>
  <c r="N15" i="36"/>
  <c r="M15" i="36"/>
  <c r="AP15" i="36" s="1"/>
  <c r="L15" i="36"/>
  <c r="F15" i="36"/>
  <c r="AF15" i="36" s="1"/>
  <c r="C15" i="36"/>
  <c r="AV14" i="36"/>
  <c r="AX14" i="36"/>
  <c r="N14" i="36"/>
  <c r="M14" i="36"/>
  <c r="L14" i="36"/>
  <c r="F14" i="36"/>
  <c r="AF14" i="36" s="1"/>
  <c r="C14" i="36"/>
  <c r="AW13" i="36"/>
  <c r="AV13" i="36"/>
  <c r="N13" i="36"/>
  <c r="M13" i="36"/>
  <c r="AP13" i="36" s="1"/>
  <c r="L13" i="36"/>
  <c r="F13" i="36"/>
  <c r="C13" i="36"/>
  <c r="N12" i="36"/>
  <c r="M12" i="36"/>
  <c r="AO12" i="36" s="1"/>
  <c r="L12" i="36"/>
  <c r="F12" i="36"/>
  <c r="AE12" i="36" s="1"/>
  <c r="C12" i="36"/>
  <c r="N11" i="36"/>
  <c r="M11" i="36"/>
  <c r="L11" i="36"/>
  <c r="F11" i="36"/>
  <c r="AF11" i="36" s="1"/>
  <c r="C11" i="36"/>
  <c r="N10" i="36"/>
  <c r="M10" i="36"/>
  <c r="L10" i="36"/>
  <c r="F10" i="36"/>
  <c r="AF10" i="36" s="1"/>
  <c r="C10" i="36"/>
  <c r="AV9" i="36"/>
  <c r="AX9" i="36"/>
  <c r="N9" i="36"/>
  <c r="M9" i="36"/>
  <c r="AP9" i="36" s="1"/>
  <c r="L9" i="36"/>
  <c r="F9" i="36"/>
  <c r="C9" i="36"/>
  <c r="AX8" i="36"/>
  <c r="BM8" i="36" s="1"/>
  <c r="N8" i="36"/>
  <c r="M8" i="36"/>
  <c r="L8" i="36"/>
  <c r="F8" i="36"/>
  <c r="AE8" i="36" s="1"/>
  <c r="C8" i="36"/>
  <c r="AV7" i="36"/>
  <c r="N7" i="36"/>
  <c r="M7" i="36"/>
  <c r="AO7" i="36" s="1"/>
  <c r="L7" i="36"/>
  <c r="F7" i="36"/>
  <c r="AF7" i="36" s="1"/>
  <c r="C7" i="36"/>
  <c r="N6" i="36"/>
  <c r="M6" i="36"/>
  <c r="AO6" i="36" s="1"/>
  <c r="L6" i="36"/>
  <c r="F6" i="36"/>
  <c r="AF6" i="36" s="1"/>
  <c r="C6" i="36"/>
  <c r="AX5" i="36"/>
  <c r="BM5" i="36" s="1"/>
  <c r="N5" i="36"/>
  <c r="M5" i="36"/>
  <c r="L5" i="36"/>
  <c r="F5" i="36"/>
  <c r="C5" i="36"/>
  <c r="AV4" i="36"/>
  <c r="AX4" i="36"/>
  <c r="N4" i="36"/>
  <c r="M4" i="36"/>
  <c r="L4" i="36"/>
  <c r="F4" i="36"/>
  <c r="AE4" i="36" s="1"/>
  <c r="C4" i="36"/>
  <c r="E5" i="14"/>
  <c r="E6" i="14"/>
  <c r="E7" i="14"/>
  <c r="E8" i="14"/>
  <c r="E9" i="14"/>
  <c r="E10" i="14"/>
  <c r="E11" i="14"/>
  <c r="E12" i="14"/>
  <c r="E13" i="14"/>
  <c r="E14" i="14"/>
  <c r="E15" i="14"/>
  <c r="E16" i="14"/>
  <c r="E17" i="14"/>
  <c r="E18" i="14"/>
  <c r="E19" i="14"/>
  <c r="E20" i="14"/>
  <c r="E21" i="14"/>
  <c r="D4" i="14"/>
  <c r="AH14" i="36" l="1"/>
  <c r="AH18" i="36"/>
  <c r="AG16" i="36"/>
  <c r="AH19" i="36"/>
  <c r="AH6" i="36"/>
  <c r="AH7" i="36"/>
  <c r="AH10" i="36"/>
  <c r="AH11" i="36"/>
  <c r="AG12" i="36"/>
  <c r="AH15" i="36"/>
  <c r="AG20" i="36"/>
  <c r="AG4" i="36"/>
  <c r="AG8" i="36"/>
  <c r="AE19" i="36"/>
  <c r="AG19" i="36" s="1"/>
  <c r="AE15" i="36"/>
  <c r="AG15" i="36" s="1"/>
  <c r="AE7" i="36"/>
  <c r="AG7" i="36" s="1"/>
  <c r="AP20" i="36"/>
  <c r="AQ20" i="36" s="1"/>
  <c r="AF4" i="36"/>
  <c r="AH4" i="36" s="1"/>
  <c r="AW4" i="36"/>
  <c r="BL4" i="36" s="1"/>
  <c r="BM9" i="36"/>
  <c r="BM14" i="36"/>
  <c r="AP16" i="36"/>
  <c r="AQ16" i="36" s="1"/>
  <c r="AO17" i="36"/>
  <c r="AQ17" i="36" s="1"/>
  <c r="AV18" i="36"/>
  <c r="BK18" i="36" s="1"/>
  <c r="AO21" i="36"/>
  <c r="AQ21" i="36" s="1"/>
  <c r="AF21" i="36"/>
  <c r="AH21" i="36" s="1"/>
  <c r="AF17" i="36"/>
  <c r="AH17" i="36" s="1"/>
  <c r="AF13" i="36"/>
  <c r="AH13" i="36" s="1"/>
  <c r="AF9" i="36"/>
  <c r="AH9" i="36" s="1"/>
  <c r="AF5" i="36"/>
  <c r="AH5" i="36" s="1"/>
  <c r="AE18" i="36"/>
  <c r="AG18" i="36" s="1"/>
  <c r="AE14" i="36"/>
  <c r="AG14" i="36" s="1"/>
  <c r="AE10" i="36"/>
  <c r="AG10" i="36" s="1"/>
  <c r="AE6" i="36"/>
  <c r="AG6" i="36" s="1"/>
  <c r="AE11" i="36"/>
  <c r="AG11" i="36" s="1"/>
  <c r="BM4" i="36"/>
  <c r="AV5" i="36"/>
  <c r="BK5" i="36" s="1"/>
  <c r="AW7" i="36"/>
  <c r="BL7" i="36" s="1"/>
  <c r="AV8" i="36"/>
  <c r="BK8" i="36" s="1"/>
  <c r="AO10" i="36"/>
  <c r="AP12" i="36"/>
  <c r="AQ12" i="36" s="1"/>
  <c r="AO13" i="36"/>
  <c r="AQ13" i="36" s="1"/>
  <c r="AW17" i="36"/>
  <c r="BL17" i="36" s="1"/>
  <c r="AW21" i="36"/>
  <c r="BL21" i="36" s="1"/>
  <c r="AF20" i="36"/>
  <c r="AH20" i="36" s="1"/>
  <c r="AF16" i="36"/>
  <c r="AF12" i="36"/>
  <c r="AF8" i="36"/>
  <c r="AE21" i="36"/>
  <c r="AG21" i="36" s="1"/>
  <c r="AE17" i="36"/>
  <c r="AG17" i="36" s="1"/>
  <c r="AE13" i="36"/>
  <c r="AG13" i="36" s="1"/>
  <c r="AE9" i="36"/>
  <c r="AG9" i="36" s="1"/>
  <c r="AE5" i="36"/>
  <c r="AG5" i="36" s="1"/>
  <c r="AW8" i="36"/>
  <c r="BL8" i="36" s="1"/>
  <c r="BK9" i="36"/>
  <c r="BK14" i="36"/>
  <c r="BM19" i="36"/>
  <c r="AW6" i="36"/>
  <c r="BL6" i="36" s="1"/>
  <c r="AV6" i="36"/>
  <c r="BK6" i="36" s="1"/>
  <c r="AW16" i="36"/>
  <c r="BL16" i="36" s="1"/>
  <c r="AV16" i="36"/>
  <c r="BK16" i="36" s="1"/>
  <c r="AX16" i="36"/>
  <c r="BM16" i="36" s="1"/>
  <c r="AW10" i="36"/>
  <c r="BL10" i="36" s="1"/>
  <c r="AV10" i="36"/>
  <c r="BK10" i="36" s="1"/>
  <c r="AX6" i="36"/>
  <c r="BM6" i="36" s="1"/>
  <c r="BK7" i="36"/>
  <c r="AX10" i="36"/>
  <c r="BM10" i="36" s="1"/>
  <c r="AO4" i="36"/>
  <c r="BK4" i="36"/>
  <c r="AO8" i="36"/>
  <c r="AX7" i="36"/>
  <c r="BM7" i="36" s="1"/>
  <c r="AX11" i="36"/>
  <c r="BM11" i="36" s="1"/>
  <c r="AW11" i="36"/>
  <c r="BL11" i="36" s="1"/>
  <c r="AV11" i="36"/>
  <c r="BK11" i="36" s="1"/>
  <c r="AW12" i="36"/>
  <c r="BL12" i="36" s="1"/>
  <c r="AV12" i="36"/>
  <c r="BK12" i="36" s="1"/>
  <c r="BK17" i="36"/>
  <c r="AP18" i="36"/>
  <c r="AO18" i="36"/>
  <c r="AO5" i="36"/>
  <c r="AW5" i="36"/>
  <c r="BL5" i="36" s="1"/>
  <c r="AO9" i="36"/>
  <c r="AQ9" i="36" s="1"/>
  <c r="AW9" i="36"/>
  <c r="BL9" i="36" s="1"/>
  <c r="AX12" i="36"/>
  <c r="BM12" i="36" s="1"/>
  <c r="BK13" i="36"/>
  <c r="AP14" i="36"/>
  <c r="AO14" i="36"/>
  <c r="BM15" i="36"/>
  <c r="AP11" i="36"/>
  <c r="AO11" i="36"/>
  <c r="BL13" i="36"/>
  <c r="BM18" i="36"/>
  <c r="AW20" i="36"/>
  <c r="BL20" i="36" s="1"/>
  <c r="AV20" i="36"/>
  <c r="BK20" i="36" s="1"/>
  <c r="AX13" i="36"/>
  <c r="BM13" i="36" s="1"/>
  <c r="AW14" i="36"/>
  <c r="BL14" i="36" s="1"/>
  <c r="AV15" i="36"/>
  <c r="BK15" i="36" s="1"/>
  <c r="AX17" i="36"/>
  <c r="BM17" i="36" s="1"/>
  <c r="AW18" i="36"/>
  <c r="BL18" i="36" s="1"/>
  <c r="AV19" i="36"/>
  <c r="BK19" i="36" s="1"/>
  <c r="AX21" i="36"/>
  <c r="BM21" i="36" s="1"/>
  <c r="AO15" i="36"/>
  <c r="AQ15" i="36" s="1"/>
  <c r="AW15" i="36"/>
  <c r="BL15" i="36" s="1"/>
  <c r="AO19" i="36"/>
  <c r="AQ19" i="36" s="1"/>
  <c r="AW19" i="36"/>
  <c r="BL19" i="36" s="1"/>
  <c r="X8" i="9"/>
  <c r="AJ8" i="9" s="1"/>
  <c r="X9" i="9"/>
  <c r="AJ9" i="9" s="1"/>
  <c r="X10" i="9"/>
  <c r="AJ10" i="9" s="1"/>
  <c r="X11" i="9"/>
  <c r="AJ11" i="9" s="1"/>
  <c r="X12" i="9"/>
  <c r="AJ12" i="9" s="1"/>
  <c r="X13" i="9"/>
  <c r="AJ13" i="9" s="1"/>
  <c r="X14" i="9"/>
  <c r="AJ14" i="9" s="1"/>
  <c r="X15" i="9"/>
  <c r="AJ15" i="9" s="1"/>
  <c r="X16" i="9"/>
  <c r="AJ16" i="9" s="1"/>
  <c r="X17" i="9"/>
  <c r="AJ17" i="9" s="1"/>
  <c r="X18" i="9"/>
  <c r="AJ18" i="9" s="1"/>
  <c r="X19" i="9"/>
  <c r="AJ19" i="9" s="1"/>
  <c r="X20" i="9"/>
  <c r="AJ20" i="9" s="1"/>
  <c r="H20" i="9" l="1"/>
  <c r="I20" i="9"/>
  <c r="J20" i="9"/>
  <c r="H19" i="9"/>
  <c r="I19" i="9"/>
  <c r="J19" i="9"/>
  <c r="I18" i="9"/>
  <c r="J18" i="9"/>
  <c r="H18" i="9"/>
  <c r="J17" i="9"/>
  <c r="I17" i="9"/>
  <c r="H17" i="9"/>
  <c r="J16" i="9"/>
  <c r="H16" i="9"/>
  <c r="I16" i="9"/>
  <c r="H15" i="9"/>
  <c r="I15" i="9"/>
  <c r="J15" i="9"/>
  <c r="I14" i="9"/>
  <c r="J14" i="9"/>
  <c r="H14" i="9"/>
  <c r="J13" i="9"/>
  <c r="H13" i="9"/>
  <c r="I13" i="9"/>
  <c r="H12" i="9"/>
  <c r="I12" i="9"/>
  <c r="J12" i="9"/>
  <c r="H11" i="9"/>
  <c r="I11" i="9"/>
  <c r="J11" i="9"/>
  <c r="I10" i="9"/>
  <c r="H10" i="9"/>
  <c r="J10" i="9"/>
  <c r="J9" i="9"/>
  <c r="I9" i="9"/>
  <c r="H9" i="9"/>
  <c r="H8" i="9"/>
  <c r="J8" i="9"/>
  <c r="I8" i="9"/>
  <c r="AI19" i="36"/>
  <c r="AJ19" i="36" s="1"/>
  <c r="AI4" i="36"/>
  <c r="AJ4" i="36" s="1"/>
  <c r="AI15" i="36"/>
  <c r="AJ15" i="36" s="1"/>
  <c r="BO5" i="36"/>
  <c r="AI7" i="36"/>
  <c r="AJ7" i="36" s="1"/>
  <c r="AI9" i="36"/>
  <c r="AJ9" i="36" s="1"/>
  <c r="BP21" i="36"/>
  <c r="AI10" i="36"/>
  <c r="AJ10" i="36" s="1"/>
  <c r="BP13" i="36"/>
  <c r="BN20" i="36"/>
  <c r="BO9" i="36"/>
  <c r="BN8" i="36"/>
  <c r="AH12" i="36"/>
  <c r="AI12" i="36" s="1"/>
  <c r="AI5" i="36"/>
  <c r="AJ5" i="36" s="1"/>
  <c r="AQ11" i="36"/>
  <c r="AI11" i="36"/>
  <c r="AJ11" i="36" s="1"/>
  <c r="AI20" i="36"/>
  <c r="AI21" i="36"/>
  <c r="AJ21" i="36" s="1"/>
  <c r="AI6" i="36"/>
  <c r="AI18" i="36"/>
  <c r="AJ18" i="36" s="1"/>
  <c r="BN4" i="36"/>
  <c r="AH16" i="36"/>
  <c r="AI16" i="36" s="1"/>
  <c r="AJ16" i="36" s="1"/>
  <c r="BP17" i="36"/>
  <c r="BO14" i="36"/>
  <c r="AQ18" i="36"/>
  <c r="AH8" i="36"/>
  <c r="AI8" i="36" s="1"/>
  <c r="AJ8" i="36" s="1"/>
  <c r="AI14" i="36"/>
  <c r="AJ14" i="36" s="1"/>
  <c r="AI17" i="36"/>
  <c r="AI13" i="36"/>
  <c r="AJ13" i="36" s="1"/>
  <c r="BN7" i="36"/>
  <c r="BO18" i="36"/>
  <c r="BN18" i="36"/>
  <c r="BP11" i="36"/>
  <c r="BO16" i="36"/>
  <c r="BO10" i="36"/>
  <c r="BN9" i="36"/>
  <c r="BO12" i="36"/>
  <c r="BO4" i="36"/>
  <c r="BN19" i="36"/>
  <c r="BP15" i="36"/>
  <c r="BO6" i="36"/>
  <c r="BN13" i="36"/>
  <c r="BN15" i="36"/>
  <c r="BO13" i="36"/>
  <c r="BO17" i="36"/>
  <c r="BO21" i="36"/>
  <c r="BN11" i="36"/>
  <c r="BP7" i="36"/>
  <c r="BP9" i="36"/>
  <c r="BP8" i="36"/>
  <c r="BO15" i="36"/>
  <c r="BO20" i="36"/>
  <c r="BP18" i="36"/>
  <c r="BP20" i="36"/>
  <c r="AQ14" i="36"/>
  <c r="BP12" i="36"/>
  <c r="BO11" i="36"/>
  <c r="BP10" i="36"/>
  <c r="BP6" i="36"/>
  <c r="BO7" i="36"/>
  <c r="BP16" i="36"/>
  <c r="BP14" i="36"/>
  <c r="BO8" i="36"/>
  <c r="BP4" i="36"/>
  <c r="BO19" i="36"/>
  <c r="BP19" i="36"/>
  <c r="BN17" i="36"/>
  <c r="BN14" i="36"/>
  <c r="BN12" i="36"/>
  <c r="BN21" i="36"/>
  <c r="BP5" i="36"/>
  <c r="BN10" i="36"/>
  <c r="BN5" i="36"/>
  <c r="BN16" i="36"/>
  <c r="BN6" i="36"/>
  <c r="W8" i="9"/>
  <c r="W9" i="9"/>
  <c r="W10" i="9"/>
  <c r="W11" i="9"/>
  <c r="W12" i="9"/>
  <c r="W13" i="9"/>
  <c r="W14" i="9"/>
  <c r="W15" i="9"/>
  <c r="W16" i="9"/>
  <c r="W17" i="9"/>
  <c r="W18" i="9"/>
  <c r="W19" i="9"/>
  <c r="W20" i="9"/>
  <c r="V5" i="33"/>
  <c r="V6" i="33"/>
  <c r="V7" i="33"/>
  <c r="V8" i="33"/>
  <c r="V9" i="33"/>
  <c r="V10" i="33"/>
  <c r="V11" i="33"/>
  <c r="V12" i="33"/>
  <c r="V13" i="33"/>
  <c r="V14" i="33"/>
  <c r="V15" i="33"/>
  <c r="V16" i="33"/>
  <c r="V17" i="33"/>
  <c r="V18" i="33"/>
  <c r="V19" i="33"/>
  <c r="V20" i="33"/>
  <c r="V21" i="33"/>
  <c r="V4" i="33"/>
  <c r="T5" i="33" a="1"/>
  <c r="T5" i="33" s="1"/>
  <c r="U5" i="33" s="1"/>
  <c r="T6" i="33" a="1"/>
  <c r="T6" i="33" s="1"/>
  <c r="U6" i="33" s="1"/>
  <c r="T7" i="33" a="1"/>
  <c r="T7" i="33" s="1"/>
  <c r="U7" i="33" s="1"/>
  <c r="T8" i="33" a="1"/>
  <c r="T8" i="33" s="1"/>
  <c r="U8" i="33" s="1"/>
  <c r="T9" i="33" a="1"/>
  <c r="T9" i="33" s="1"/>
  <c r="U9" i="33" s="1"/>
  <c r="T10" i="33" a="1"/>
  <c r="T10" i="33" s="1"/>
  <c r="U10" i="33" s="1"/>
  <c r="T11" i="33" a="1"/>
  <c r="T11" i="33" s="1"/>
  <c r="U11" i="33" s="1"/>
  <c r="T12" i="33" a="1"/>
  <c r="T12" i="33" s="1"/>
  <c r="U12" i="33" s="1"/>
  <c r="T13" i="33" a="1"/>
  <c r="T13" i="33" s="1"/>
  <c r="U13" i="33" s="1"/>
  <c r="T14" i="33" a="1"/>
  <c r="T14" i="33" s="1"/>
  <c r="U14" i="33" s="1"/>
  <c r="T15" i="33" a="1"/>
  <c r="T15" i="33" s="1"/>
  <c r="U15" i="33" s="1"/>
  <c r="T16" i="33" a="1"/>
  <c r="T16" i="33" s="1"/>
  <c r="U16" i="33" s="1"/>
  <c r="T17" i="33" a="1"/>
  <c r="T17" i="33" s="1"/>
  <c r="U17" i="33" s="1"/>
  <c r="T18" i="33" a="1"/>
  <c r="T18" i="33" s="1"/>
  <c r="U18" i="33" s="1"/>
  <c r="T19" i="33" a="1"/>
  <c r="T19" i="33" s="1"/>
  <c r="U19" i="33" s="1"/>
  <c r="T20" i="33" a="1"/>
  <c r="T20" i="33" s="1"/>
  <c r="U20" i="33" s="1"/>
  <c r="T21" i="33" a="1"/>
  <c r="T21" i="33" s="1"/>
  <c r="U21" i="33" s="1"/>
  <c r="T4" i="33" a="1"/>
  <c r="T4" i="33" s="1"/>
  <c r="U4" i="33" s="1"/>
  <c r="AA21" i="33"/>
  <c r="Z21" i="33" s="1"/>
  <c r="Y21" i="33" s="1"/>
  <c r="X21" i="33"/>
  <c r="Q21" i="33"/>
  <c r="P21" i="33"/>
  <c r="C21" i="33"/>
  <c r="AA20" i="33"/>
  <c r="Z20" i="33"/>
  <c r="Y20" i="33" s="1"/>
  <c r="X20" i="33"/>
  <c r="Q20" i="33"/>
  <c r="P20" i="33"/>
  <c r="C20" i="33"/>
  <c r="AA19" i="33"/>
  <c r="Z19" i="33" s="1"/>
  <c r="Y19" i="33" s="1"/>
  <c r="X19" i="33"/>
  <c r="Q19" i="33"/>
  <c r="P19" i="33"/>
  <c r="C19" i="33"/>
  <c r="AA18" i="33"/>
  <c r="Z18" i="33" s="1"/>
  <c r="Y18" i="33" s="1"/>
  <c r="X18" i="33"/>
  <c r="Q18" i="33"/>
  <c r="P18" i="33"/>
  <c r="C18" i="33"/>
  <c r="AA17" i="33"/>
  <c r="Z17" i="33"/>
  <c r="Y17" i="33" s="1"/>
  <c r="X17" i="33"/>
  <c r="Q17" i="33"/>
  <c r="P17" i="33"/>
  <c r="C17" i="33"/>
  <c r="AA16" i="33"/>
  <c r="Z16" i="33" s="1"/>
  <c r="Y16" i="33" s="1"/>
  <c r="X16" i="33"/>
  <c r="Q16" i="33"/>
  <c r="P16" i="33"/>
  <c r="C16" i="33"/>
  <c r="AA15" i="33"/>
  <c r="Z15" i="33" s="1"/>
  <c r="Y15" i="33" s="1"/>
  <c r="X15" i="33"/>
  <c r="Q15" i="33"/>
  <c r="P15" i="33"/>
  <c r="C15" i="33"/>
  <c r="AA14" i="33"/>
  <c r="Z14" i="33" s="1"/>
  <c r="Y14" i="33" s="1"/>
  <c r="X14" i="33"/>
  <c r="Q14" i="33"/>
  <c r="P14" i="33"/>
  <c r="C14" i="33"/>
  <c r="AA13" i="33"/>
  <c r="Z13" i="33" s="1"/>
  <c r="Y13" i="33" s="1"/>
  <c r="X13" i="33"/>
  <c r="Q13" i="33"/>
  <c r="P13" i="33"/>
  <c r="C13" i="33"/>
  <c r="AA12" i="33"/>
  <c r="Z12" i="33" s="1"/>
  <c r="Y12" i="33" s="1"/>
  <c r="X12" i="33"/>
  <c r="Q12" i="33"/>
  <c r="P12" i="33"/>
  <c r="C12" i="33"/>
  <c r="AA11" i="33"/>
  <c r="Z11" i="33" s="1"/>
  <c r="Y11" i="33" s="1"/>
  <c r="X11" i="33"/>
  <c r="Q11" i="33"/>
  <c r="S11" i="33" s="1"/>
  <c r="P11" i="33"/>
  <c r="C11" i="33"/>
  <c r="AA10" i="33"/>
  <c r="Z10" i="33" s="1"/>
  <c r="Y10" i="33" s="1"/>
  <c r="X10" i="33"/>
  <c r="Q10" i="33"/>
  <c r="P10" i="33"/>
  <c r="C10" i="33"/>
  <c r="AA9" i="33"/>
  <c r="Z9" i="33" s="1"/>
  <c r="Y9" i="33" s="1"/>
  <c r="X9" i="33"/>
  <c r="Q9" i="33"/>
  <c r="P9" i="33"/>
  <c r="C9" i="33"/>
  <c r="AA8" i="33"/>
  <c r="Z8" i="33" s="1"/>
  <c r="Y8" i="33" s="1"/>
  <c r="X8" i="33"/>
  <c r="Q8" i="33"/>
  <c r="P8" i="33"/>
  <c r="C8" i="33"/>
  <c r="AA7" i="33"/>
  <c r="Z7" i="33" s="1"/>
  <c r="Y7" i="33" s="1"/>
  <c r="X7" i="33"/>
  <c r="Q7" i="33"/>
  <c r="P7" i="33"/>
  <c r="C7" i="33"/>
  <c r="AA6" i="33"/>
  <c r="Z6" i="33" s="1"/>
  <c r="Y6" i="33" s="1"/>
  <c r="X6" i="33"/>
  <c r="Q6" i="33"/>
  <c r="P6" i="33"/>
  <c r="C6" i="33"/>
  <c r="AA5" i="33"/>
  <c r="Z5" i="33" s="1"/>
  <c r="Y5" i="33" s="1"/>
  <c r="X5" i="33"/>
  <c r="Q5" i="33"/>
  <c r="P5" i="33"/>
  <c r="C5" i="33"/>
  <c r="AA4" i="33"/>
  <c r="Z4" i="33" s="1"/>
  <c r="Y4" i="33" s="1"/>
  <c r="X4" i="33"/>
  <c r="Q4" i="33"/>
  <c r="P4" i="33"/>
  <c r="C4" i="33"/>
  <c r="R21" i="33" l="1"/>
  <c r="R8" i="33"/>
  <c r="BO8" i="33" s="1"/>
  <c r="AJ17" i="36"/>
  <c r="AJ20" i="36"/>
  <c r="AJ12" i="36"/>
  <c r="AJ6" i="36"/>
  <c r="R9" i="33"/>
  <c r="BG9" i="33" s="1"/>
  <c r="S4" i="33"/>
  <c r="R6" i="33"/>
  <c r="BJ6" i="33" s="1"/>
  <c r="S7" i="33"/>
  <c r="R4" i="33"/>
  <c r="BQ4" i="33" s="1"/>
  <c r="R18" i="33"/>
  <c r="AL18" i="33" s="1"/>
  <c r="R16" i="33"/>
  <c r="BE16" i="33" s="1"/>
  <c r="R5" i="33"/>
  <c r="BH5" i="33" s="1"/>
  <c r="S9" i="33"/>
  <c r="AN9" i="33" s="1"/>
  <c r="R12" i="33"/>
  <c r="BN12" i="33" s="1"/>
  <c r="S16" i="33"/>
  <c r="S5" i="33"/>
  <c r="R10" i="33"/>
  <c r="BK10" i="33" s="1"/>
  <c r="R19" i="33"/>
  <c r="BH19" i="33" s="1"/>
  <c r="S19" i="33"/>
  <c r="S6" i="33"/>
  <c r="S8" i="33"/>
  <c r="AN8" i="33" s="1"/>
  <c r="R20" i="33"/>
  <c r="BQ20" i="33" s="1"/>
  <c r="R7" i="33"/>
  <c r="AE8" i="33"/>
  <c r="AM8" i="33"/>
  <c r="AU8" i="33"/>
  <c r="BC8" i="33"/>
  <c r="BK8" i="33"/>
  <c r="S15" i="33"/>
  <c r="R15" i="33"/>
  <c r="AG8" i="33"/>
  <c r="AO8" i="33"/>
  <c r="AW8" i="33"/>
  <c r="BE8" i="33"/>
  <c r="BM8" i="33"/>
  <c r="S10" i="33"/>
  <c r="S13" i="33"/>
  <c r="R13" i="33"/>
  <c r="AI8" i="33"/>
  <c r="AQ8" i="33"/>
  <c r="AY8" i="33"/>
  <c r="BG8" i="33"/>
  <c r="R11" i="33"/>
  <c r="BN8" i="33"/>
  <c r="BJ8" i="33"/>
  <c r="BF8" i="33"/>
  <c r="BB8" i="33"/>
  <c r="AX8" i="33"/>
  <c r="AT8" i="33"/>
  <c r="AP8" i="33"/>
  <c r="AL8" i="33"/>
  <c r="AH8" i="33"/>
  <c r="AD8" i="33"/>
  <c r="BP8" i="33"/>
  <c r="BL8" i="33"/>
  <c r="BH8" i="33"/>
  <c r="BD8" i="33"/>
  <c r="AZ8" i="33"/>
  <c r="AV8" i="33"/>
  <c r="AR8" i="33"/>
  <c r="AJ8" i="33"/>
  <c r="AF8" i="33"/>
  <c r="AB8" i="33"/>
  <c r="AC8" i="33"/>
  <c r="AK8" i="33"/>
  <c r="AS8" i="33"/>
  <c r="BA8" i="33"/>
  <c r="BI8" i="33"/>
  <c r="BQ8" i="33"/>
  <c r="BM18" i="33"/>
  <c r="AW18" i="33"/>
  <c r="AQ18" i="33"/>
  <c r="AF18" i="33"/>
  <c r="AZ19" i="33"/>
  <c r="BO21" i="33"/>
  <c r="BK21" i="33"/>
  <c r="BG21" i="33"/>
  <c r="BC21" i="33"/>
  <c r="AY21" i="33"/>
  <c r="AU21" i="33"/>
  <c r="AQ21" i="33"/>
  <c r="AM21" i="33"/>
  <c r="AI21" i="33"/>
  <c r="AE21" i="33"/>
  <c r="BQ21" i="33"/>
  <c r="BM21" i="33"/>
  <c r="BI21" i="33"/>
  <c r="BE21" i="33"/>
  <c r="BA21" i="33"/>
  <c r="AW21" i="33"/>
  <c r="AS21" i="33"/>
  <c r="AO21" i="33"/>
  <c r="AK21" i="33"/>
  <c r="AG21" i="33"/>
  <c r="AC21" i="33"/>
  <c r="BP21" i="33"/>
  <c r="BH21" i="33"/>
  <c r="AZ21" i="33"/>
  <c r="AR21" i="33"/>
  <c r="AJ21" i="33"/>
  <c r="AB21" i="33"/>
  <c r="BN21" i="33"/>
  <c r="BF21" i="33"/>
  <c r="AX21" i="33"/>
  <c r="AP21" i="33"/>
  <c r="AH21" i="33"/>
  <c r="BL21" i="33"/>
  <c r="BD21" i="33"/>
  <c r="AV21" i="33"/>
  <c r="AF21" i="33"/>
  <c r="BJ21" i="33"/>
  <c r="BB21" i="33"/>
  <c r="AT21" i="33"/>
  <c r="AL21" i="33"/>
  <c r="AD21" i="33"/>
  <c r="R14" i="33"/>
  <c r="BO20" i="33"/>
  <c r="S12" i="33"/>
  <c r="S14" i="33"/>
  <c r="R17" i="33"/>
  <c r="BI19" i="33"/>
  <c r="AS19" i="33"/>
  <c r="AX19" i="33"/>
  <c r="S17" i="33"/>
  <c r="S18" i="33"/>
  <c r="S21" i="33"/>
  <c r="AN21" i="33" s="1"/>
  <c r="S20" i="33"/>
  <c r="V8" i="9"/>
  <c r="V9" i="9"/>
  <c r="V10" i="9"/>
  <c r="V11" i="9"/>
  <c r="V12" i="9"/>
  <c r="V13" i="9"/>
  <c r="V14" i="9"/>
  <c r="V15" i="9"/>
  <c r="V16" i="9"/>
  <c r="V17" i="9"/>
  <c r="V18" i="9"/>
  <c r="V19" i="9"/>
  <c r="V20" i="9"/>
  <c r="S5" i="32" a="1"/>
  <c r="S5" i="32" s="1"/>
  <c r="T5" i="32" s="1"/>
  <c r="S6" i="32" a="1"/>
  <c r="S6" i="32" s="1"/>
  <c r="T6" i="32" s="1"/>
  <c r="S7" i="32" a="1"/>
  <c r="S7" i="32" s="1"/>
  <c r="T7" i="32" s="1"/>
  <c r="S8" i="32" a="1"/>
  <c r="S8" i="32" s="1"/>
  <c r="T8" i="32" s="1"/>
  <c r="S9" i="32" a="1"/>
  <c r="S9" i="32" s="1"/>
  <c r="T9" i="32" s="1"/>
  <c r="S10" i="32" a="1"/>
  <c r="S10" i="32" s="1"/>
  <c r="T10" i="32" s="1"/>
  <c r="S11" i="32" a="1"/>
  <c r="S11" i="32" s="1"/>
  <c r="T11" i="32" s="1"/>
  <c r="S12" i="32" a="1"/>
  <c r="S12" i="32" s="1"/>
  <c r="T12" i="32" s="1"/>
  <c r="S13" i="32" a="1"/>
  <c r="S13" i="32" s="1"/>
  <c r="T13" i="32" s="1"/>
  <c r="S14" i="32" a="1"/>
  <c r="S14" i="32" s="1"/>
  <c r="T14" i="32" s="1"/>
  <c r="S15" i="32" a="1"/>
  <c r="S15" i="32" s="1"/>
  <c r="T15" i="32" s="1"/>
  <c r="S16" i="32" a="1"/>
  <c r="S16" i="32" s="1"/>
  <c r="T16" i="32" s="1"/>
  <c r="S17" i="32" a="1"/>
  <c r="S17" i="32" s="1"/>
  <c r="T17" i="32" s="1"/>
  <c r="S18" i="32" a="1"/>
  <c r="S18" i="32" s="1"/>
  <c r="T18" i="32" s="1"/>
  <c r="S19" i="32" a="1"/>
  <c r="S19" i="32" s="1"/>
  <c r="T19" i="32" s="1"/>
  <c r="S20" i="32" a="1"/>
  <c r="S20" i="32" s="1"/>
  <c r="T20" i="32" s="1"/>
  <c r="S21" i="32" a="1"/>
  <c r="S21" i="32" s="1"/>
  <c r="T21" i="32" s="1"/>
  <c r="S4" i="32" a="1"/>
  <c r="S4" i="32" s="1"/>
  <c r="T4" i="32" s="1"/>
  <c r="Y21" i="32"/>
  <c r="X21" i="32" s="1"/>
  <c r="W21" i="32" s="1"/>
  <c r="V21" i="32"/>
  <c r="P21" i="32"/>
  <c r="O21" i="32"/>
  <c r="C21" i="32"/>
  <c r="Y20" i="32"/>
  <c r="X20" i="32" s="1"/>
  <c r="W20" i="32" s="1"/>
  <c r="V20" i="32"/>
  <c r="P20" i="32"/>
  <c r="O20" i="32"/>
  <c r="C20" i="32"/>
  <c r="Y19" i="32"/>
  <c r="X19" i="32" s="1"/>
  <c r="W19" i="32" s="1"/>
  <c r="V19" i="32"/>
  <c r="P19" i="32"/>
  <c r="O19" i="32"/>
  <c r="C19" i="32"/>
  <c r="Y18" i="32"/>
  <c r="X18" i="32" s="1"/>
  <c r="W18" i="32" s="1"/>
  <c r="V18" i="32"/>
  <c r="P18" i="32"/>
  <c r="O18" i="32"/>
  <c r="C18" i="32"/>
  <c r="Y17" i="32"/>
  <c r="X17" i="32"/>
  <c r="W17" i="32" s="1"/>
  <c r="V17" i="32"/>
  <c r="P17" i="32"/>
  <c r="O17" i="32"/>
  <c r="C17" i="32"/>
  <c r="Y16" i="32"/>
  <c r="X16" i="32" s="1"/>
  <c r="W16" i="32" s="1"/>
  <c r="V16" i="32"/>
  <c r="P16" i="32"/>
  <c r="O16" i="32"/>
  <c r="C16" i="32"/>
  <c r="Y15" i="32"/>
  <c r="X15" i="32" s="1"/>
  <c r="W15" i="32" s="1"/>
  <c r="V15" i="32"/>
  <c r="P15" i="32"/>
  <c r="O15" i="32"/>
  <c r="C15" i="32"/>
  <c r="Y14" i="32"/>
  <c r="X14" i="32" s="1"/>
  <c r="W14" i="32" s="1"/>
  <c r="V14" i="32"/>
  <c r="P14" i="32"/>
  <c r="O14" i="32"/>
  <c r="C14" i="32"/>
  <c r="Y13" i="32"/>
  <c r="X13" i="32" s="1"/>
  <c r="W13" i="32" s="1"/>
  <c r="V13" i="32"/>
  <c r="P13" i="32"/>
  <c r="O13" i="32"/>
  <c r="C13" i="32"/>
  <c r="Y12" i="32"/>
  <c r="X12" i="32" s="1"/>
  <c r="W12" i="32" s="1"/>
  <c r="V12" i="32"/>
  <c r="P12" i="32"/>
  <c r="O12" i="32"/>
  <c r="C12" i="32"/>
  <c r="Y11" i="32"/>
  <c r="X11" i="32" s="1"/>
  <c r="W11" i="32" s="1"/>
  <c r="V11" i="32"/>
  <c r="P11" i="32"/>
  <c r="R11" i="32" s="1"/>
  <c r="O11" i="32"/>
  <c r="C11" i="32"/>
  <c r="Y10" i="32"/>
  <c r="X10" i="32" s="1"/>
  <c r="W10" i="32" s="1"/>
  <c r="V10" i="32"/>
  <c r="P10" i="32"/>
  <c r="O10" i="32"/>
  <c r="C10" i="32"/>
  <c r="Y9" i="32"/>
  <c r="X9" i="32" s="1"/>
  <c r="W9" i="32" s="1"/>
  <c r="V9" i="32"/>
  <c r="P9" i="32"/>
  <c r="O9" i="32"/>
  <c r="C9" i="32"/>
  <c r="Y8" i="32"/>
  <c r="X8" i="32" s="1"/>
  <c r="W8" i="32" s="1"/>
  <c r="V8" i="32"/>
  <c r="P8" i="32"/>
  <c r="O8" i="32"/>
  <c r="Q8" i="32" s="1"/>
  <c r="C8" i="32"/>
  <c r="Y7" i="32"/>
  <c r="X7" i="32" s="1"/>
  <c r="W7" i="32" s="1"/>
  <c r="V7" i="32"/>
  <c r="P7" i="32"/>
  <c r="O7" i="32"/>
  <c r="C7" i="32"/>
  <c r="Y6" i="32"/>
  <c r="X6" i="32" s="1"/>
  <c r="W6" i="32" s="1"/>
  <c r="V6" i="32"/>
  <c r="P6" i="32"/>
  <c r="O6" i="32"/>
  <c r="C6" i="32"/>
  <c r="Y5" i="32"/>
  <c r="X5" i="32"/>
  <c r="W5" i="32" s="1"/>
  <c r="V5" i="32"/>
  <c r="P5" i="32"/>
  <c r="O5" i="32"/>
  <c r="C5" i="32"/>
  <c r="Y4" i="32"/>
  <c r="X4" i="32" s="1"/>
  <c r="W4" i="32" s="1"/>
  <c r="V4" i="32"/>
  <c r="P4" i="32"/>
  <c r="O4" i="32"/>
  <c r="C4" i="32"/>
  <c r="BE20" i="33" l="1"/>
  <c r="AF20" i="33"/>
  <c r="AB20" i="33"/>
  <c r="BH20" i="33"/>
  <c r="AI20" i="33"/>
  <c r="Q18" i="32"/>
  <c r="R21" i="32"/>
  <c r="AY20" i="33"/>
  <c r="AF19" i="33"/>
  <c r="BO19" i="33"/>
  <c r="AL19" i="33"/>
  <c r="AI19" i="33"/>
  <c r="AB19" i="33"/>
  <c r="BN18" i="33"/>
  <c r="AS6" i="33"/>
  <c r="AT9" i="33"/>
  <c r="AC9" i="33"/>
  <c r="AJ9" i="33"/>
  <c r="BI9" i="33"/>
  <c r="AB6" i="33"/>
  <c r="AU9" i="33"/>
  <c r="BB9" i="33"/>
  <c r="AV9" i="33"/>
  <c r="AK9" i="33"/>
  <c r="BQ9" i="33"/>
  <c r="AD9" i="33"/>
  <c r="BJ9" i="33"/>
  <c r="BD9" i="33"/>
  <c r="AS9" i="33"/>
  <c r="AL9" i="33"/>
  <c r="AB9" i="33"/>
  <c r="BL9" i="33"/>
  <c r="BA9" i="33"/>
  <c r="AC12" i="33"/>
  <c r="AJ12" i="33"/>
  <c r="AR18" i="33"/>
  <c r="BG18" i="33"/>
  <c r="AN20" i="33"/>
  <c r="BP19" i="33"/>
  <c r="AC19" i="33"/>
  <c r="AY19" i="33"/>
  <c r="AT20" i="33"/>
  <c r="AO20" i="33"/>
  <c r="AH18" i="33"/>
  <c r="AG18" i="33"/>
  <c r="AI12" i="33"/>
  <c r="BC12" i="33"/>
  <c r="BQ12" i="33"/>
  <c r="AL12" i="33"/>
  <c r="AO12" i="33"/>
  <c r="BF12" i="33"/>
  <c r="BB16" i="33"/>
  <c r="AM16" i="33"/>
  <c r="AS16" i="33"/>
  <c r="BI16" i="33"/>
  <c r="AF16" i="33"/>
  <c r="BC16" i="33"/>
  <c r="AZ16" i="33"/>
  <c r="BL16" i="33"/>
  <c r="AC16" i="33"/>
  <c r="AM6" i="33"/>
  <c r="AC5" i="33"/>
  <c r="BO4" i="33"/>
  <c r="AP4" i="33"/>
  <c r="AR4" i="33"/>
  <c r="BJ4" i="33"/>
  <c r="AS4" i="33"/>
  <c r="AU4" i="33"/>
  <c r="AQ9" i="33"/>
  <c r="BC9" i="33"/>
  <c r="AI9" i="33"/>
  <c r="BC6" i="33"/>
  <c r="AH6" i="33"/>
  <c r="BB4" i="33"/>
  <c r="BC4" i="33"/>
  <c r="AG4" i="33"/>
  <c r="AC6" i="33"/>
  <c r="AD4" i="33"/>
  <c r="AI4" i="33"/>
  <c r="AJ4" i="33"/>
  <c r="BD4" i="33"/>
  <c r="BE4" i="33"/>
  <c r="BP4" i="33"/>
  <c r="BM4" i="33"/>
  <c r="AN5" i="33"/>
  <c r="AJ19" i="33"/>
  <c r="BF19" i="33"/>
  <c r="AT19" i="33"/>
  <c r="AV19" i="33"/>
  <c r="AG19" i="33"/>
  <c r="AW19" i="33"/>
  <c r="BM19" i="33"/>
  <c r="AM19" i="33"/>
  <c r="BC19" i="33"/>
  <c r="BJ18" i="33"/>
  <c r="AN12" i="33"/>
  <c r="AV20" i="33"/>
  <c r="AJ20" i="33"/>
  <c r="BP20" i="33"/>
  <c r="BB20" i="33"/>
  <c r="AM20" i="33"/>
  <c r="BC20" i="33"/>
  <c r="AC20" i="33"/>
  <c r="AS20" i="33"/>
  <c r="BI20" i="33"/>
  <c r="BB18" i="33"/>
  <c r="AT18" i="33"/>
  <c r="AZ18" i="33"/>
  <c r="AV18" i="33"/>
  <c r="AP18" i="33"/>
  <c r="AE18" i="33"/>
  <c r="AU18" i="33"/>
  <c r="BK18" i="33"/>
  <c r="AK18" i="33"/>
  <c r="BA18" i="33"/>
  <c r="BQ18" i="33"/>
  <c r="AR12" i="33"/>
  <c r="AK12" i="33"/>
  <c r="AV12" i="33"/>
  <c r="AW12" i="33"/>
  <c r="AM12" i="33"/>
  <c r="BK12" i="33"/>
  <c r="AP12" i="33"/>
  <c r="BJ12" i="33"/>
  <c r="BD6" i="33"/>
  <c r="BN6" i="33"/>
  <c r="AN18" i="33"/>
  <c r="AH19" i="33"/>
  <c r="BN19" i="33"/>
  <c r="BB19" i="33"/>
  <c r="BD19" i="33"/>
  <c r="AK19" i="33"/>
  <c r="BA19" i="33"/>
  <c r="BQ19" i="33"/>
  <c r="AQ19" i="33"/>
  <c r="BG19" i="33"/>
  <c r="AD18" i="33"/>
  <c r="BN20" i="33"/>
  <c r="BD20" i="33"/>
  <c r="AR20" i="33"/>
  <c r="AD20" i="33"/>
  <c r="BJ20" i="33"/>
  <c r="AQ20" i="33"/>
  <c r="BG20" i="33"/>
  <c r="AG20" i="33"/>
  <c r="AW20" i="33"/>
  <c r="BM20" i="33"/>
  <c r="AB18" i="33"/>
  <c r="BH18" i="33"/>
  <c r="BD18" i="33"/>
  <c r="AX18" i="33"/>
  <c r="AI18" i="33"/>
  <c r="AY18" i="33"/>
  <c r="BO18" i="33"/>
  <c r="AO18" i="33"/>
  <c r="BE18" i="33"/>
  <c r="AX20" i="33"/>
  <c r="AZ12" i="33"/>
  <c r="BA12" i="33"/>
  <c r="BD12" i="33"/>
  <c r="BE12" i="33"/>
  <c r="AU12" i="33"/>
  <c r="BO12" i="33"/>
  <c r="AT12" i="33"/>
  <c r="AP19" i="33"/>
  <c r="AD19" i="33"/>
  <c r="BJ19" i="33"/>
  <c r="BL19" i="33"/>
  <c r="AO19" i="33"/>
  <c r="BE19" i="33"/>
  <c r="AE19" i="33"/>
  <c r="AU19" i="33"/>
  <c r="BK19" i="33"/>
  <c r="AH20" i="33"/>
  <c r="BL20" i="33"/>
  <c r="AZ20" i="33"/>
  <c r="AL20" i="33"/>
  <c r="AE20" i="33"/>
  <c r="AU20" i="33"/>
  <c r="BK20" i="33"/>
  <c r="AK20" i="33"/>
  <c r="BA20" i="33"/>
  <c r="AJ18" i="33"/>
  <c r="BP18" i="33"/>
  <c r="BL18" i="33"/>
  <c r="BF18" i="33"/>
  <c r="AM18" i="33"/>
  <c r="BC18" i="33"/>
  <c r="AC18" i="33"/>
  <c r="AS18" i="33"/>
  <c r="BI18" i="33"/>
  <c r="AR19" i="33"/>
  <c r="BP12" i="33"/>
  <c r="BI12" i="33"/>
  <c r="BL12" i="33"/>
  <c r="AE12" i="33"/>
  <c r="AY12" i="33"/>
  <c r="AD12" i="33"/>
  <c r="BB12" i="33"/>
  <c r="BH16" i="33"/>
  <c r="AD16" i="33"/>
  <c r="AQ16" i="33"/>
  <c r="AG16" i="33"/>
  <c r="BM16" i="33"/>
  <c r="BK9" i="33"/>
  <c r="AH9" i="33"/>
  <c r="AX9" i="33"/>
  <c r="BN9" i="33"/>
  <c r="AR9" i="33"/>
  <c r="BH9" i="33"/>
  <c r="AG9" i="33"/>
  <c r="AW9" i="33"/>
  <c r="BM9" i="33"/>
  <c r="AM9" i="33"/>
  <c r="BO9" i="33"/>
  <c r="AI6" i="33"/>
  <c r="BO6" i="33"/>
  <c r="BH6" i="33"/>
  <c r="BI6" i="33"/>
  <c r="AL4" i="33"/>
  <c r="BF4" i="33"/>
  <c r="AM4" i="33"/>
  <c r="BK4" i="33"/>
  <c r="AN4" i="33"/>
  <c r="BH4" i="33"/>
  <c r="AO4" i="33"/>
  <c r="BI4" i="33"/>
  <c r="AN6" i="33"/>
  <c r="AN16" i="33"/>
  <c r="BJ16" i="33"/>
  <c r="BG16" i="33"/>
  <c r="AW16" i="33"/>
  <c r="AE9" i="33"/>
  <c r="AP9" i="33"/>
  <c r="BF9" i="33"/>
  <c r="AF9" i="33"/>
  <c r="AZ9" i="33"/>
  <c r="BP9" i="33"/>
  <c r="AO9" i="33"/>
  <c r="BE9" i="33"/>
  <c r="AY6" i="33"/>
  <c r="AR6" i="33"/>
  <c r="AG6" i="33"/>
  <c r="AX6" i="33"/>
  <c r="BO10" i="33"/>
  <c r="AT4" i="33"/>
  <c r="AE4" i="33"/>
  <c r="AY4" i="33"/>
  <c r="AB4" i="33"/>
  <c r="AZ4" i="33"/>
  <c r="AC4" i="33"/>
  <c r="AW4" i="33"/>
  <c r="AB12" i="33"/>
  <c r="BH12" i="33"/>
  <c r="AS12" i="33"/>
  <c r="AF12" i="33"/>
  <c r="AG12" i="33"/>
  <c r="BM12" i="33"/>
  <c r="AQ12" i="33"/>
  <c r="BG12" i="33"/>
  <c r="AH12" i="33"/>
  <c r="AX12" i="33"/>
  <c r="AY9" i="33"/>
  <c r="AH4" i="33"/>
  <c r="AX4" i="33"/>
  <c r="BN4" i="33"/>
  <c r="AQ4" i="33"/>
  <c r="BG4" i="33"/>
  <c r="AF4" i="33"/>
  <c r="AV4" i="33"/>
  <c r="BL4" i="33"/>
  <c r="AK4" i="33"/>
  <c r="BA4" i="33"/>
  <c r="BI5" i="33"/>
  <c r="BQ10" i="33"/>
  <c r="BF5" i="33"/>
  <c r="AP10" i="33"/>
  <c r="AQ5" i="33"/>
  <c r="AC10" i="33"/>
  <c r="AZ10" i="33"/>
  <c r="AI10" i="33"/>
  <c r="AN19" i="33"/>
  <c r="Q4" i="32"/>
  <c r="AZ4" i="32" s="1"/>
  <c r="Q9" i="32"/>
  <c r="BK9" i="32" s="1"/>
  <c r="AW10" i="33"/>
  <c r="BP10" i="33"/>
  <c r="AY10" i="33"/>
  <c r="Q12" i="32"/>
  <c r="AK12" i="32" s="1"/>
  <c r="Q19" i="32"/>
  <c r="BC19" i="32" s="1"/>
  <c r="AF10" i="33"/>
  <c r="BF10" i="33"/>
  <c r="AR16" i="33"/>
  <c r="AV16" i="33"/>
  <c r="AL16" i="33"/>
  <c r="AE16" i="33"/>
  <c r="AU16" i="33"/>
  <c r="BK16" i="33"/>
  <c r="AK16" i="33"/>
  <c r="BA16" i="33"/>
  <c r="BQ16" i="33"/>
  <c r="AJ16" i="33"/>
  <c r="AQ6" i="33"/>
  <c r="BG6" i="33"/>
  <c r="AF6" i="33"/>
  <c r="AV6" i="33"/>
  <c r="BL6" i="33"/>
  <c r="AK6" i="33"/>
  <c r="BA6" i="33"/>
  <c r="BQ6" i="33"/>
  <c r="AP6" i="33"/>
  <c r="BF6" i="33"/>
  <c r="AV5" i="33"/>
  <c r="AS5" i="33"/>
  <c r="AP5" i="33"/>
  <c r="AH5" i="33"/>
  <c r="BG5" i="33"/>
  <c r="AW6" i="33"/>
  <c r="BM6" i="33"/>
  <c r="AL6" i="33"/>
  <c r="BB6" i="33"/>
  <c r="AR5" i="33"/>
  <c r="AO5" i="33"/>
  <c r="AL5" i="33"/>
  <c r="AD5" i="33"/>
  <c r="BC5" i="33"/>
  <c r="AB16" i="33"/>
  <c r="BD16" i="33"/>
  <c r="AT16" i="33"/>
  <c r="AI16" i="33"/>
  <c r="AY16" i="33"/>
  <c r="BO16" i="33"/>
  <c r="AO16" i="33"/>
  <c r="AE6" i="33"/>
  <c r="AU6" i="33"/>
  <c r="BK6" i="33"/>
  <c r="AJ6" i="33"/>
  <c r="AZ6" i="33"/>
  <c r="BP6" i="33"/>
  <c r="AO6" i="33"/>
  <c r="BE6" i="33"/>
  <c r="AD6" i="33"/>
  <c r="AT6" i="33"/>
  <c r="BP5" i="33"/>
  <c r="BE5" i="33"/>
  <c r="BB5" i="33"/>
  <c r="AM5" i="33"/>
  <c r="AB5" i="33"/>
  <c r="AN10" i="33"/>
  <c r="AS10" i="33"/>
  <c r="AO10" i="33"/>
  <c r="BD10" i="33"/>
  <c r="AT10" i="33"/>
  <c r="AM10" i="33"/>
  <c r="AF5" i="33"/>
  <c r="BD5" i="33"/>
  <c r="AG5" i="33"/>
  <c r="AW5" i="33"/>
  <c r="BM5" i="33"/>
  <c r="AT5" i="33"/>
  <c r="BJ5" i="33"/>
  <c r="AE5" i="33"/>
  <c r="AU5" i="33"/>
  <c r="BK5" i="33"/>
  <c r="AZ5" i="33"/>
  <c r="BI10" i="33"/>
  <c r="AK10" i="33"/>
  <c r="BE10" i="33"/>
  <c r="AR10" i="33"/>
  <c r="BH10" i="33"/>
  <c r="AH10" i="33"/>
  <c r="AX10" i="33"/>
  <c r="BN10" i="33"/>
  <c r="AQ10" i="33"/>
  <c r="BG10" i="33"/>
  <c r="BP16" i="33"/>
  <c r="BF16" i="33"/>
  <c r="BN16" i="33"/>
  <c r="AX16" i="33"/>
  <c r="AP16" i="33"/>
  <c r="AH16" i="33"/>
  <c r="BM10" i="33"/>
  <c r="AJ10" i="33"/>
  <c r="AD10" i="33"/>
  <c r="BJ10" i="33"/>
  <c r="BC10" i="33"/>
  <c r="AJ5" i="33"/>
  <c r="BL5" i="33"/>
  <c r="AK5" i="33"/>
  <c r="BA5" i="33"/>
  <c r="BQ5" i="33"/>
  <c r="AX5" i="33"/>
  <c r="BN5" i="33"/>
  <c r="AI5" i="33"/>
  <c r="AY5" i="33"/>
  <c r="BO5" i="33"/>
  <c r="AG10" i="33"/>
  <c r="BA10" i="33"/>
  <c r="AB10" i="33"/>
  <c r="AV10" i="33"/>
  <c r="BL10" i="33"/>
  <c r="AL10" i="33"/>
  <c r="BB10" i="33"/>
  <c r="AE10" i="33"/>
  <c r="AU10" i="33"/>
  <c r="BF20" i="33"/>
  <c r="AP20" i="33"/>
  <c r="BP13" i="33"/>
  <c r="BL13" i="33"/>
  <c r="BH13" i="33"/>
  <c r="BD13" i="33"/>
  <c r="AZ13" i="33"/>
  <c r="AV13" i="33"/>
  <c r="AR13" i="33"/>
  <c r="AN13" i="33"/>
  <c r="AJ13" i="33"/>
  <c r="AF13" i="33"/>
  <c r="AB13" i="33"/>
  <c r="BQ13" i="33"/>
  <c r="BM13" i="33"/>
  <c r="BI13" i="33"/>
  <c r="BE13" i="33"/>
  <c r="BA13" i="33"/>
  <c r="AW13" i="33"/>
  <c r="AS13" i="33"/>
  <c r="AO13" i="33"/>
  <c r="AK13" i="33"/>
  <c r="AG13" i="33"/>
  <c r="AC13" i="33"/>
  <c r="BK13" i="33"/>
  <c r="BC13" i="33"/>
  <c r="AU13" i="33"/>
  <c r="AM13" i="33"/>
  <c r="AE13" i="33"/>
  <c r="BJ13" i="33"/>
  <c r="BB13" i="33"/>
  <c r="AT13" i="33"/>
  <c r="AL13" i="33"/>
  <c r="AD13" i="33"/>
  <c r="BO13" i="33"/>
  <c r="BG13" i="33"/>
  <c r="AY13" i="33"/>
  <c r="AQ13" i="33"/>
  <c r="AI13" i="33"/>
  <c r="BN13" i="33"/>
  <c r="BF13" i="33"/>
  <c r="AX13" i="33"/>
  <c r="AP13" i="33"/>
  <c r="AH13" i="33"/>
  <c r="BO15" i="33"/>
  <c r="BK15" i="33"/>
  <c r="BG15" i="33"/>
  <c r="BC15" i="33"/>
  <c r="AY15" i="33"/>
  <c r="AU15" i="33"/>
  <c r="AQ15" i="33"/>
  <c r="AM15" i="33"/>
  <c r="AI15" i="33"/>
  <c r="BQ15" i="33"/>
  <c r="BM15" i="33"/>
  <c r="BI15" i="33"/>
  <c r="BE15" i="33"/>
  <c r="BA15" i="33"/>
  <c r="AW15" i="33"/>
  <c r="AS15" i="33"/>
  <c r="AO15" i="33"/>
  <c r="AK15" i="33"/>
  <c r="AG15" i="33"/>
  <c r="BL15" i="33"/>
  <c r="BD15" i="33"/>
  <c r="AV15" i="33"/>
  <c r="AN15" i="33"/>
  <c r="AF15" i="33"/>
  <c r="AB15" i="33"/>
  <c r="BN15" i="33"/>
  <c r="BF15" i="33"/>
  <c r="AX15" i="33"/>
  <c r="AP15" i="33"/>
  <c r="AH15" i="33"/>
  <c r="AC15" i="33"/>
  <c r="BB15" i="33"/>
  <c r="AL15" i="33"/>
  <c r="BP15" i="33"/>
  <c r="AZ15" i="33"/>
  <c r="AJ15" i="33"/>
  <c r="BJ15" i="33"/>
  <c r="AT15" i="33"/>
  <c r="AE15" i="33"/>
  <c r="BH15" i="33"/>
  <c r="AR15" i="33"/>
  <c r="AD15" i="33"/>
  <c r="BO17" i="33"/>
  <c r="BK17" i="33"/>
  <c r="BG17" i="33"/>
  <c r="BC17" i="33"/>
  <c r="AY17" i="33"/>
  <c r="AU17" i="33"/>
  <c r="AQ17" i="33"/>
  <c r="AM17" i="33"/>
  <c r="AI17" i="33"/>
  <c r="AE17" i="33"/>
  <c r="BQ17" i="33"/>
  <c r="BM17" i="33"/>
  <c r="BI17" i="33"/>
  <c r="BE17" i="33"/>
  <c r="BA17" i="33"/>
  <c r="AW17" i="33"/>
  <c r="AS17" i="33"/>
  <c r="AO17" i="33"/>
  <c r="AK17" i="33"/>
  <c r="AG17" i="33"/>
  <c r="AC17" i="33"/>
  <c r="BP17" i="33"/>
  <c r="BH17" i="33"/>
  <c r="AZ17" i="33"/>
  <c r="AR17" i="33"/>
  <c r="AJ17" i="33"/>
  <c r="AB17" i="33"/>
  <c r="BJ17" i="33"/>
  <c r="BB17" i="33"/>
  <c r="AT17" i="33"/>
  <c r="AL17" i="33"/>
  <c r="AD17" i="33"/>
  <c r="BL17" i="33"/>
  <c r="AV17" i="33"/>
  <c r="AF17" i="33"/>
  <c r="BF17" i="33"/>
  <c r="AP17" i="33"/>
  <c r="BD17" i="33"/>
  <c r="AN17" i="33"/>
  <c r="BN17" i="33"/>
  <c r="AX17" i="33"/>
  <c r="AH17" i="33"/>
  <c r="BR8" i="33"/>
  <c r="BN14" i="33"/>
  <c r="BJ14" i="33"/>
  <c r="BF14" i="33"/>
  <c r="BB14" i="33"/>
  <c r="AX14" i="33"/>
  <c r="AT14" i="33"/>
  <c r="AP14" i="33"/>
  <c r="AL14" i="33"/>
  <c r="AH14" i="33"/>
  <c r="AD14" i="33"/>
  <c r="BO14" i="33"/>
  <c r="BK14" i="33"/>
  <c r="BG14" i="33"/>
  <c r="BC14" i="33"/>
  <c r="AY14" i="33"/>
  <c r="AU14" i="33"/>
  <c r="AQ14" i="33"/>
  <c r="AM14" i="33"/>
  <c r="AI14" i="33"/>
  <c r="AE14" i="33"/>
  <c r="BQ14" i="33"/>
  <c r="BI14" i="33"/>
  <c r="BA14" i="33"/>
  <c r="AS14" i="33"/>
  <c r="AK14" i="33"/>
  <c r="AC14" i="33"/>
  <c r="BP14" i="33"/>
  <c r="BH14" i="33"/>
  <c r="AZ14" i="33"/>
  <c r="AR14" i="33"/>
  <c r="AJ14" i="33"/>
  <c r="AB14" i="33"/>
  <c r="BM14" i="33"/>
  <c r="BE14" i="33"/>
  <c r="AW14" i="33"/>
  <c r="AO14" i="33"/>
  <c r="AG14" i="33"/>
  <c r="BL14" i="33"/>
  <c r="BD14" i="33"/>
  <c r="AV14" i="33"/>
  <c r="AN14" i="33"/>
  <c r="AF14" i="33"/>
  <c r="BR21" i="33"/>
  <c r="BQ11" i="33"/>
  <c r="BM11" i="33"/>
  <c r="BN11" i="33"/>
  <c r="BI11" i="33"/>
  <c r="BE11" i="33"/>
  <c r="BA11" i="33"/>
  <c r="AW11" i="33"/>
  <c r="AS11" i="33"/>
  <c r="AO11" i="33"/>
  <c r="AK11" i="33"/>
  <c r="AG11" i="33"/>
  <c r="AC11" i="33"/>
  <c r="BL11" i="33"/>
  <c r="BH11" i="33"/>
  <c r="BD11" i="33"/>
  <c r="AZ11" i="33"/>
  <c r="AV11" i="33"/>
  <c r="AR11" i="33"/>
  <c r="AN11" i="33"/>
  <c r="AJ11" i="33"/>
  <c r="AF11" i="33"/>
  <c r="AB11" i="33"/>
  <c r="BP11" i="33"/>
  <c r="BK11" i="33"/>
  <c r="BG11" i="33"/>
  <c r="BC11" i="33"/>
  <c r="AY11" i="33"/>
  <c r="AU11" i="33"/>
  <c r="AQ11" i="33"/>
  <c r="AM11" i="33"/>
  <c r="AI11" i="33"/>
  <c r="AE11" i="33"/>
  <c r="BO11" i="33"/>
  <c r="BJ11" i="33"/>
  <c r="BF11" i="33"/>
  <c r="BB11" i="33"/>
  <c r="AX11" i="33"/>
  <c r="AT11" i="33"/>
  <c r="AP11" i="33"/>
  <c r="AL11" i="33"/>
  <c r="AH11" i="33"/>
  <c r="AD11" i="33"/>
  <c r="BP7" i="33"/>
  <c r="BL7" i="33"/>
  <c r="BH7" i="33"/>
  <c r="BD7" i="33"/>
  <c r="AZ7" i="33"/>
  <c r="AV7" i="33"/>
  <c r="AR7" i="33"/>
  <c r="AN7" i="33"/>
  <c r="AJ7" i="33"/>
  <c r="AF7" i="33"/>
  <c r="AB7" i="33"/>
  <c r="BO7" i="33"/>
  <c r="BK7" i="33"/>
  <c r="BG7" i="33"/>
  <c r="BC7" i="33"/>
  <c r="AY7" i="33"/>
  <c r="AU7" i="33"/>
  <c r="AQ7" i="33"/>
  <c r="AM7" i="33"/>
  <c r="AI7" i="33"/>
  <c r="AE7" i="33"/>
  <c r="BN7" i="33"/>
  <c r="BJ7" i="33"/>
  <c r="BF7" i="33"/>
  <c r="BB7" i="33"/>
  <c r="AX7" i="33"/>
  <c r="AT7" i="33"/>
  <c r="AP7" i="33"/>
  <c r="AL7" i="33"/>
  <c r="AH7" i="33"/>
  <c r="AD7" i="33"/>
  <c r="BQ7" i="33"/>
  <c r="BM7" i="33"/>
  <c r="BI7" i="33"/>
  <c r="BE7" i="33"/>
  <c r="BA7" i="33"/>
  <c r="AW7" i="33"/>
  <c r="AS7" i="33"/>
  <c r="AO7" i="33"/>
  <c r="AK7" i="33"/>
  <c r="AG7" i="33"/>
  <c r="AC7" i="33"/>
  <c r="BI8" i="32"/>
  <c r="BN8" i="32"/>
  <c r="AH8" i="32"/>
  <c r="BF8" i="32"/>
  <c r="Z8" i="32"/>
  <c r="AX8" i="32"/>
  <c r="AP8" i="32"/>
  <c r="R4" i="32"/>
  <c r="Q6" i="32"/>
  <c r="BB6" i="32" s="1"/>
  <c r="R8" i="32"/>
  <c r="AL8" i="32" s="1"/>
  <c r="R15" i="32"/>
  <c r="R18" i="32"/>
  <c r="AL18" i="32" s="1"/>
  <c r="Q16" i="32"/>
  <c r="BF16" i="32" s="1"/>
  <c r="R7" i="32"/>
  <c r="R13" i="32"/>
  <c r="R17" i="32"/>
  <c r="R5" i="32"/>
  <c r="R14" i="32"/>
  <c r="Q14" i="32"/>
  <c r="AI9" i="32"/>
  <c r="Q5" i="32"/>
  <c r="BL18" i="32"/>
  <c r="BH18" i="32"/>
  <c r="BD18" i="32"/>
  <c r="AZ18" i="32"/>
  <c r="AV18" i="32"/>
  <c r="AR18" i="32"/>
  <c r="AN18" i="32"/>
  <c r="AJ18" i="32"/>
  <c r="AF18" i="32"/>
  <c r="AB18" i="32"/>
  <c r="BO18" i="32"/>
  <c r="BK18" i="32"/>
  <c r="BG18" i="32"/>
  <c r="BC18" i="32"/>
  <c r="AY18" i="32"/>
  <c r="AU18" i="32"/>
  <c r="AQ18" i="32"/>
  <c r="AM18" i="32"/>
  <c r="AI18" i="32"/>
  <c r="AE18" i="32"/>
  <c r="AA18" i="32"/>
  <c r="BM18" i="32"/>
  <c r="BE18" i="32"/>
  <c r="AW18" i="32"/>
  <c r="AO18" i="32"/>
  <c r="AG18" i="32"/>
  <c r="BJ18" i="32"/>
  <c r="BB18" i="32"/>
  <c r="AT18" i="32"/>
  <c r="BI18" i="32"/>
  <c r="BA18" i="32"/>
  <c r="AS18" i="32"/>
  <c r="AK18" i="32"/>
  <c r="AC18" i="32"/>
  <c r="BN18" i="32"/>
  <c r="AH18" i="32"/>
  <c r="BF18" i="32"/>
  <c r="AD18" i="32"/>
  <c r="R6" i="32"/>
  <c r="Q7" i="32"/>
  <c r="AC8" i="32"/>
  <c r="AK8" i="32"/>
  <c r="AS8" i="32"/>
  <c r="BA8" i="32"/>
  <c r="R9" i="32"/>
  <c r="Q10" i="32"/>
  <c r="Z18" i="32"/>
  <c r="BL8" i="32"/>
  <c r="BH8" i="32"/>
  <c r="BD8" i="32"/>
  <c r="AZ8" i="32"/>
  <c r="AV8" i="32"/>
  <c r="AR8" i="32"/>
  <c r="AN8" i="32"/>
  <c r="AJ8" i="32"/>
  <c r="AF8" i="32"/>
  <c r="AB8" i="32"/>
  <c r="BO8" i="32"/>
  <c r="BK8" i="32"/>
  <c r="BG8" i="32"/>
  <c r="BC8" i="32"/>
  <c r="AY8" i="32"/>
  <c r="AU8" i="32"/>
  <c r="AQ8" i="32"/>
  <c r="AM8" i="32"/>
  <c r="AI8" i="32"/>
  <c r="AE8" i="32"/>
  <c r="AA8" i="32"/>
  <c r="AD8" i="32"/>
  <c r="AT8" i="32"/>
  <c r="BB8" i="32"/>
  <c r="BJ8" i="32"/>
  <c r="R10" i="32"/>
  <c r="Q11" i="32"/>
  <c r="AP18" i="32"/>
  <c r="AG8" i="32"/>
  <c r="AO8" i="32"/>
  <c r="AW8" i="32"/>
  <c r="BE8" i="32"/>
  <c r="BM8" i="32"/>
  <c r="Q15" i="32"/>
  <c r="AX18" i="32"/>
  <c r="R12" i="32"/>
  <c r="Q13" i="32"/>
  <c r="R19" i="32"/>
  <c r="Q20" i="32"/>
  <c r="R20" i="32"/>
  <c r="Q21" i="32"/>
  <c r="R16" i="32"/>
  <c r="Q17" i="32"/>
  <c r="U8" i="9"/>
  <c r="U9" i="9"/>
  <c r="U10" i="9"/>
  <c r="U11" i="9"/>
  <c r="U12" i="9"/>
  <c r="U13" i="9"/>
  <c r="U14" i="9"/>
  <c r="U15" i="9"/>
  <c r="U16" i="9"/>
  <c r="U17" i="9"/>
  <c r="U18" i="9"/>
  <c r="U19" i="9"/>
  <c r="U20" i="9"/>
  <c r="H4" i="31"/>
  <c r="R4" i="31" s="1"/>
  <c r="H5" i="31"/>
  <c r="R5" i="31" s="1"/>
  <c r="T5" i="31" s="1"/>
  <c r="U5" i="31" s="1"/>
  <c r="V5" i="31" s="1"/>
  <c r="H6" i="31"/>
  <c r="R6" i="31" s="1"/>
  <c r="T6" i="31" s="1"/>
  <c r="U6" i="31" s="1"/>
  <c r="V6" i="31" s="1"/>
  <c r="H7" i="31"/>
  <c r="R7" i="31" s="1"/>
  <c r="T7" i="31" s="1"/>
  <c r="U7" i="31" s="1"/>
  <c r="V7" i="31" s="1"/>
  <c r="H8" i="31"/>
  <c r="S8" i="31" s="1"/>
  <c r="AP12" i="32" l="1"/>
  <c r="BJ9" i="32"/>
  <c r="AN12" i="32"/>
  <c r="BF12" i="32"/>
  <c r="AG9" i="32"/>
  <c r="AO9" i="32"/>
  <c r="BI12" i="32"/>
  <c r="AN9" i="32"/>
  <c r="BO4" i="32"/>
  <c r="BF4" i="32"/>
  <c r="BI4" i="32"/>
  <c r="AO4" i="32"/>
  <c r="AN4" i="32"/>
  <c r="BM4" i="32"/>
  <c r="AI4" i="32"/>
  <c r="BD4" i="32"/>
  <c r="AP4" i="32"/>
  <c r="AY4" i="32"/>
  <c r="BL12" i="32"/>
  <c r="AO12" i="32"/>
  <c r="AR9" i="32"/>
  <c r="Z9" i="32"/>
  <c r="AY9" i="32"/>
  <c r="AR12" i="32"/>
  <c r="AM12" i="32"/>
  <c r="BK12" i="32"/>
  <c r="AL9" i="32"/>
  <c r="AK9" i="32"/>
  <c r="AT9" i="32"/>
  <c r="BO9" i="32"/>
  <c r="AG4" i="32"/>
  <c r="Z4" i="32"/>
  <c r="AT4" i="32"/>
  <c r="BJ4" i="32"/>
  <c r="BE4" i="32"/>
  <c r="AM4" i="32"/>
  <c r="BC4" i="32"/>
  <c r="AB4" i="32"/>
  <c r="AR4" i="32"/>
  <c r="BH4" i="32"/>
  <c r="AK4" i="32"/>
  <c r="AW4" i="32"/>
  <c r="AD4" i="32"/>
  <c r="AX4" i="32"/>
  <c r="BN4" i="32"/>
  <c r="AA4" i="32"/>
  <c r="AQ4" i="32"/>
  <c r="BG4" i="32"/>
  <c r="AF4" i="32"/>
  <c r="AV4" i="32"/>
  <c r="BL4" i="32"/>
  <c r="AS4" i="32"/>
  <c r="BA4" i="32"/>
  <c r="AH4" i="32"/>
  <c r="BB4" i="32"/>
  <c r="AC4" i="32"/>
  <c r="AE4" i="32"/>
  <c r="AU4" i="32"/>
  <c r="BK4" i="32"/>
  <c r="AJ4" i="32"/>
  <c r="AL4" i="32"/>
  <c r="AK19" i="32"/>
  <c r="AL19" i="32"/>
  <c r="AA16" i="32"/>
  <c r="AH19" i="32"/>
  <c r="S6" i="31"/>
  <c r="BJ16" i="32"/>
  <c r="BG19" i="32"/>
  <c r="BN6" i="32"/>
  <c r="BL16" i="32"/>
  <c r="AB19" i="32"/>
  <c r="BB19" i="32"/>
  <c r="AC19" i="32"/>
  <c r="AR19" i="32"/>
  <c r="AA19" i="32"/>
  <c r="BM16" i="32"/>
  <c r="Z16" i="32"/>
  <c r="BI19" i="32"/>
  <c r="BH19" i="32"/>
  <c r="AQ19" i="32"/>
  <c r="AK6" i="32"/>
  <c r="BR18" i="33"/>
  <c r="S5" i="31"/>
  <c r="AN16" i="32"/>
  <c r="AG16" i="32"/>
  <c r="AJ16" i="32"/>
  <c r="AH16" i="32"/>
  <c r="AG12" i="32"/>
  <c r="BA12" i="32"/>
  <c r="AB12" i="32"/>
  <c r="AS12" i="32"/>
  <c r="BO12" i="32"/>
  <c r="AU12" i="32"/>
  <c r="Z12" i="32"/>
  <c r="AT12" i="32"/>
  <c r="BJ12" i="32"/>
  <c r="BE9" i="32"/>
  <c r="AZ9" i="32"/>
  <c r="AS9" i="32"/>
  <c r="AW9" i="32"/>
  <c r="AV9" i="32"/>
  <c r="AD9" i="32"/>
  <c r="AX9" i="32"/>
  <c r="BN9" i="32"/>
  <c r="AM9" i="32"/>
  <c r="BC9" i="32"/>
  <c r="BI6" i="32"/>
  <c r="BG6" i="32"/>
  <c r="AL12" i="32"/>
  <c r="BI16" i="32"/>
  <c r="AR16" i="32"/>
  <c r="AU16" i="32"/>
  <c r="AT16" i="32"/>
  <c r="BM12" i="32"/>
  <c r="AQ12" i="32"/>
  <c r="BH12" i="32"/>
  <c r="AC12" i="32"/>
  <c r="AY12" i="32"/>
  <c r="AE12" i="32"/>
  <c r="AZ12" i="32"/>
  <c r="AD12" i="32"/>
  <c r="AX12" i="32"/>
  <c r="BN12" i="32"/>
  <c r="AB9" i="32"/>
  <c r="BH9" i="32"/>
  <c r="BA9" i="32"/>
  <c r="BM9" i="32"/>
  <c r="BD9" i="32"/>
  <c r="AH9" i="32"/>
  <c r="BB9" i="32"/>
  <c r="AA9" i="32"/>
  <c r="AQ9" i="32"/>
  <c r="BG9" i="32"/>
  <c r="AJ6" i="32"/>
  <c r="AW6" i="32"/>
  <c r="BG12" i="32"/>
  <c r="BR19" i="33"/>
  <c r="AQ16" i="32"/>
  <c r="BC16" i="32"/>
  <c r="BE16" i="32"/>
  <c r="BB16" i="32"/>
  <c r="BC12" i="32"/>
  <c r="AF12" i="32"/>
  <c r="AW12" i="32"/>
  <c r="AI12" i="32"/>
  <c r="BD12" i="32"/>
  <c r="AJ12" i="32"/>
  <c r="BE12" i="32"/>
  <c r="AH12" i="32"/>
  <c r="BB12" i="32"/>
  <c r="AJ9" i="32"/>
  <c r="AC9" i="32"/>
  <c r="BI9" i="32"/>
  <c r="AF9" i="32"/>
  <c r="BL9" i="32"/>
  <c r="AP9" i="32"/>
  <c r="BF9" i="32"/>
  <c r="AE9" i="32"/>
  <c r="AU9" i="32"/>
  <c r="AC6" i="32"/>
  <c r="AH6" i="32"/>
  <c r="AA12" i="32"/>
  <c r="AY6" i="32"/>
  <c r="BD6" i="32"/>
  <c r="AM6" i="32"/>
  <c r="AP6" i="32"/>
  <c r="R8" i="31"/>
  <c r="T8" i="31" s="1"/>
  <c r="U8" i="31" s="1"/>
  <c r="V8" i="31" s="1"/>
  <c r="BR4" i="33"/>
  <c r="BR12" i="33"/>
  <c r="BR9" i="33"/>
  <c r="BE6" i="32"/>
  <c r="AV6" i="32"/>
  <c r="BH6" i="32"/>
  <c r="AV12" i="32"/>
  <c r="BR16" i="33"/>
  <c r="AG19" i="32"/>
  <c r="BA19" i="32"/>
  <c r="AF19" i="32"/>
  <c r="AV19" i="32"/>
  <c r="BL19" i="32"/>
  <c r="AP19" i="32"/>
  <c r="BF19" i="32"/>
  <c r="AE19" i="32"/>
  <c r="AU19" i="32"/>
  <c r="BK19" i="32"/>
  <c r="AX6" i="32"/>
  <c r="AW19" i="32"/>
  <c r="AO19" i="32"/>
  <c r="AJ19" i="32"/>
  <c r="AZ19" i="32"/>
  <c r="Z19" i="32"/>
  <c r="AT19" i="32"/>
  <c r="BJ19" i="32"/>
  <c r="AI19" i="32"/>
  <c r="AY19" i="32"/>
  <c r="BO19" i="32"/>
  <c r="AU6" i="32"/>
  <c r="AA6" i="32"/>
  <c r="AB6" i="32"/>
  <c r="Z6" i="32"/>
  <c r="BF6" i="32"/>
  <c r="AS19" i="32"/>
  <c r="BM19" i="32"/>
  <c r="BE19" i="32"/>
  <c r="AN19" i="32"/>
  <c r="BD19" i="32"/>
  <c r="AD19" i="32"/>
  <c r="AX19" i="32"/>
  <c r="BN19" i="32"/>
  <c r="AM19" i="32"/>
  <c r="BR20" i="33"/>
  <c r="BR6" i="33"/>
  <c r="AC16" i="32"/>
  <c r="AF16" i="32"/>
  <c r="AB16" i="32"/>
  <c r="AW16" i="32"/>
  <c r="AE16" i="32"/>
  <c r="AZ16" i="32"/>
  <c r="AD16" i="32"/>
  <c r="AX16" i="32"/>
  <c r="BN16" i="32"/>
  <c r="AS16" i="32"/>
  <c r="AN6" i="32"/>
  <c r="AE6" i="32"/>
  <c r="AZ6" i="32"/>
  <c r="AS6" i="32"/>
  <c r="AF6" i="32"/>
  <c r="BA6" i="32"/>
  <c r="AG6" i="32"/>
  <c r="BC6" i="32"/>
  <c r="AD6" i="32"/>
  <c r="AT6" i="32"/>
  <c r="BJ6" i="32"/>
  <c r="S4" i="31"/>
  <c r="AL16" i="32"/>
  <c r="AV16" i="32"/>
  <c r="AY16" i="32"/>
  <c r="BA16" i="32"/>
  <c r="AM16" i="32"/>
  <c r="BH16" i="32"/>
  <c r="AO16" i="32"/>
  <c r="BK16" i="32"/>
  <c r="AP16" i="32"/>
  <c r="AI6" i="32"/>
  <c r="AO6" i="32"/>
  <c r="BK6" i="32"/>
  <c r="BO6" i="32"/>
  <c r="AQ6" i="32"/>
  <c r="BL6" i="32"/>
  <c r="AR6" i="32"/>
  <c r="BM6" i="32"/>
  <c r="AL6" i="32"/>
  <c r="T4" i="31"/>
  <c r="U4" i="31" s="1"/>
  <c r="BR5" i="33"/>
  <c r="BR10" i="33"/>
  <c r="BR17" i="33"/>
  <c r="BR15" i="33"/>
  <c r="BR13" i="33"/>
  <c r="BR7" i="33"/>
  <c r="BR11" i="33"/>
  <c r="BR14" i="33"/>
  <c r="BO16" i="32"/>
  <c r="AI16" i="32"/>
  <c r="BG16" i="32"/>
  <c r="AK16" i="32"/>
  <c r="BD16" i="32"/>
  <c r="BP8" i="32"/>
  <c r="BO11" i="32"/>
  <c r="BK11" i="32"/>
  <c r="BG11" i="32"/>
  <c r="BC11" i="32"/>
  <c r="AY11" i="32"/>
  <c r="AU11" i="32"/>
  <c r="AQ11" i="32"/>
  <c r="AM11" i="32"/>
  <c r="BL11" i="32"/>
  <c r="BF11" i="32"/>
  <c r="BA11" i="32"/>
  <c r="AV11" i="32"/>
  <c r="AP11" i="32"/>
  <c r="AK11" i="32"/>
  <c r="AG11" i="32"/>
  <c r="AC11" i="32"/>
  <c r="BJ11" i="32"/>
  <c r="BE11" i="32"/>
  <c r="AZ11" i="32"/>
  <c r="AT11" i="32"/>
  <c r="AO11" i="32"/>
  <c r="AJ11" i="32"/>
  <c r="AF11" i="32"/>
  <c r="AB11" i="32"/>
  <c r="BM11" i="32"/>
  <c r="BB11" i="32"/>
  <c r="AR11" i="32"/>
  <c r="AH11" i="32"/>
  <c r="Z11" i="32"/>
  <c r="BI11" i="32"/>
  <c r="AX11" i="32"/>
  <c r="AN11" i="32"/>
  <c r="AE11" i="32"/>
  <c r="BH11" i="32"/>
  <c r="AW11" i="32"/>
  <c r="AL11" i="32"/>
  <c r="AD11" i="32"/>
  <c r="BN11" i="32"/>
  <c r="BD11" i="32"/>
  <c r="AS11" i="32"/>
  <c r="AI11" i="32"/>
  <c r="AA11" i="32"/>
  <c r="BN10" i="32"/>
  <c r="BJ10" i="32"/>
  <c r="BF10" i="32"/>
  <c r="BB10" i="32"/>
  <c r="AX10" i="32"/>
  <c r="AT10" i="32"/>
  <c r="AP10" i="32"/>
  <c r="AL10" i="32"/>
  <c r="AH10" i="32"/>
  <c r="AD10" i="32"/>
  <c r="Z10" i="32"/>
  <c r="BM10" i="32"/>
  <c r="BI10" i="32"/>
  <c r="BE10" i="32"/>
  <c r="BA10" i="32"/>
  <c r="AW10" i="32"/>
  <c r="AS10" i="32"/>
  <c r="AO10" i="32"/>
  <c r="AK10" i="32"/>
  <c r="AG10" i="32"/>
  <c r="AC10" i="32"/>
  <c r="BH10" i="32"/>
  <c r="AZ10" i="32"/>
  <c r="AR10" i="32"/>
  <c r="AJ10" i="32"/>
  <c r="AB10" i="32"/>
  <c r="BC10" i="32"/>
  <c r="BO10" i="32"/>
  <c r="BG10" i="32"/>
  <c r="AY10" i="32"/>
  <c r="AQ10" i="32"/>
  <c r="AI10" i="32"/>
  <c r="AA10" i="32"/>
  <c r="BL10" i="32"/>
  <c r="BD10" i="32"/>
  <c r="AV10" i="32"/>
  <c r="AN10" i="32"/>
  <c r="AF10" i="32"/>
  <c r="BK10" i="32"/>
  <c r="AU10" i="32"/>
  <c r="AM10" i="32"/>
  <c r="AE10" i="32"/>
  <c r="BM17" i="32"/>
  <c r="BI17" i="32"/>
  <c r="BE17" i="32"/>
  <c r="BA17" i="32"/>
  <c r="AW17" i="32"/>
  <c r="AS17" i="32"/>
  <c r="AO17" i="32"/>
  <c r="AK17" i="32"/>
  <c r="AG17" i="32"/>
  <c r="AC17" i="32"/>
  <c r="BL17" i="32"/>
  <c r="BH17" i="32"/>
  <c r="BD17" i="32"/>
  <c r="AZ17" i="32"/>
  <c r="AV17" i="32"/>
  <c r="AR17" i="32"/>
  <c r="AN17" i="32"/>
  <c r="BK17" i="32"/>
  <c r="BC17" i="32"/>
  <c r="AU17" i="32"/>
  <c r="AM17" i="32"/>
  <c r="AH17" i="32"/>
  <c r="AB17" i="32"/>
  <c r="BO17" i="32"/>
  <c r="BG17" i="32"/>
  <c r="AY17" i="32"/>
  <c r="AQ17" i="32"/>
  <c r="AJ17" i="32"/>
  <c r="AE17" i="32"/>
  <c r="Z17" i="32"/>
  <c r="BN17" i="32"/>
  <c r="AX17" i="32"/>
  <c r="AI17" i="32"/>
  <c r="BJ17" i="32"/>
  <c r="AT17" i="32"/>
  <c r="AF17" i="32"/>
  <c r="BF17" i="32"/>
  <c r="AD17" i="32"/>
  <c r="BB17" i="32"/>
  <c r="AA17" i="32"/>
  <c r="AP17" i="32"/>
  <c r="AL17" i="32"/>
  <c r="BO15" i="32"/>
  <c r="BK15" i="32"/>
  <c r="BG15" i="32"/>
  <c r="BC15" i="32"/>
  <c r="AY15" i="32"/>
  <c r="AU15" i="32"/>
  <c r="AQ15" i="32"/>
  <c r="AM15" i="32"/>
  <c r="AI15" i="32"/>
  <c r="AE15" i="32"/>
  <c r="AA15" i="32"/>
  <c r="BL15" i="32"/>
  <c r="BF15" i="32"/>
  <c r="BA15" i="32"/>
  <c r="AV15" i="32"/>
  <c r="AP15" i="32"/>
  <c r="AK15" i="32"/>
  <c r="AF15" i="32"/>
  <c r="Z15" i="32"/>
  <c r="BN15" i="32"/>
  <c r="BI15" i="32"/>
  <c r="BD15" i="32"/>
  <c r="AX15" i="32"/>
  <c r="AS15" i="32"/>
  <c r="AN15" i="32"/>
  <c r="AH15" i="32"/>
  <c r="AC15" i="32"/>
  <c r="BJ15" i="32"/>
  <c r="AZ15" i="32"/>
  <c r="AO15" i="32"/>
  <c r="AD15" i="32"/>
  <c r="BH15" i="32"/>
  <c r="AW15" i="32"/>
  <c r="AL15" i="32"/>
  <c r="AB15" i="32"/>
  <c r="BM15" i="32"/>
  <c r="AR15" i="32"/>
  <c r="BE15" i="32"/>
  <c r="AJ15" i="32"/>
  <c r="BB15" i="32"/>
  <c r="AG15" i="32"/>
  <c r="AT15" i="32"/>
  <c r="BM7" i="32"/>
  <c r="BI7" i="32"/>
  <c r="BE7" i="32"/>
  <c r="BA7" i="32"/>
  <c r="AW7" i="32"/>
  <c r="AS7" i="32"/>
  <c r="AO7" i="32"/>
  <c r="AK7" i="32"/>
  <c r="AG7" i="32"/>
  <c r="AC7" i="32"/>
  <c r="BL7" i="32"/>
  <c r="BK7" i="32"/>
  <c r="BF7" i="32"/>
  <c r="AZ7" i="32"/>
  <c r="AU7" i="32"/>
  <c r="AP7" i="32"/>
  <c r="AJ7" i="32"/>
  <c r="AE7" i="32"/>
  <c r="Z7" i="32"/>
  <c r="BB7" i="32"/>
  <c r="AQ7" i="32"/>
  <c r="AA7" i="32"/>
  <c r="BJ7" i="32"/>
  <c r="BD7" i="32"/>
  <c r="AY7" i="32"/>
  <c r="AT7" i="32"/>
  <c r="AN7" i="32"/>
  <c r="AI7" i="32"/>
  <c r="AD7" i="32"/>
  <c r="BO7" i="32"/>
  <c r="BH7" i="32"/>
  <c r="BC7" i="32"/>
  <c r="AX7" i="32"/>
  <c r="AR7" i="32"/>
  <c r="AM7" i="32"/>
  <c r="AH7" i="32"/>
  <c r="AB7" i="32"/>
  <c r="BN7" i="32"/>
  <c r="AV7" i="32"/>
  <c r="AF7" i="32"/>
  <c r="BG7" i="32"/>
  <c r="AL7" i="32"/>
  <c r="BO5" i="32"/>
  <c r="BK5" i="32"/>
  <c r="BG5" i="32"/>
  <c r="BC5" i="32"/>
  <c r="AY5" i="32"/>
  <c r="AU5" i="32"/>
  <c r="AQ5" i="32"/>
  <c r="AM5" i="32"/>
  <c r="AI5" i="32"/>
  <c r="AE5" i="32"/>
  <c r="AA5" i="32"/>
  <c r="AN5" i="32"/>
  <c r="BN5" i="32"/>
  <c r="BJ5" i="32"/>
  <c r="BF5" i="32"/>
  <c r="BB5" i="32"/>
  <c r="AX5" i="32"/>
  <c r="AT5" i="32"/>
  <c r="AP5" i="32"/>
  <c r="AL5" i="32"/>
  <c r="AH5" i="32"/>
  <c r="AD5" i="32"/>
  <c r="Z5" i="32"/>
  <c r="BM5" i="32"/>
  <c r="BI5" i="32"/>
  <c r="BE5" i="32"/>
  <c r="BA5" i="32"/>
  <c r="AW5" i="32"/>
  <c r="AS5" i="32"/>
  <c r="AO5" i="32"/>
  <c r="AK5" i="32"/>
  <c r="AG5" i="32"/>
  <c r="AC5" i="32"/>
  <c r="BH5" i="32"/>
  <c r="AZ5" i="32"/>
  <c r="AR5" i="32"/>
  <c r="AF5" i="32"/>
  <c r="AB5" i="32"/>
  <c r="BL5" i="32"/>
  <c r="BD5" i="32"/>
  <c r="AV5" i="32"/>
  <c r="AJ5" i="32"/>
  <c r="BN14" i="32"/>
  <c r="BJ14" i="32"/>
  <c r="BF14" i="32"/>
  <c r="BB14" i="32"/>
  <c r="AX14" i="32"/>
  <c r="AT14" i="32"/>
  <c r="AP14" i="32"/>
  <c r="AL14" i="32"/>
  <c r="AH14" i="32"/>
  <c r="AD14" i="32"/>
  <c r="Z14" i="32"/>
  <c r="BL14" i="32"/>
  <c r="BH14" i="32"/>
  <c r="BD14" i="32"/>
  <c r="AZ14" i="32"/>
  <c r="AV14" i="32"/>
  <c r="AR14" i="32"/>
  <c r="AN14" i="32"/>
  <c r="AJ14" i="32"/>
  <c r="AF14" i="32"/>
  <c r="AB14" i="32"/>
  <c r="BI14" i="32"/>
  <c r="BA14" i="32"/>
  <c r="AS14" i="32"/>
  <c r="AK14" i="32"/>
  <c r="AC14" i="32"/>
  <c r="BO14" i="32"/>
  <c r="BG14" i="32"/>
  <c r="AY14" i="32"/>
  <c r="AQ14" i="32"/>
  <c r="AI14" i="32"/>
  <c r="AA14" i="32"/>
  <c r="BC14" i="32"/>
  <c r="AM14" i="32"/>
  <c r="BM14" i="32"/>
  <c r="AW14" i="32"/>
  <c r="AG14" i="32"/>
  <c r="BK14" i="32"/>
  <c r="AU14" i="32"/>
  <c r="AE14" i="32"/>
  <c r="BE14" i="32"/>
  <c r="AO14" i="32"/>
  <c r="BM21" i="32"/>
  <c r="BI21" i="32"/>
  <c r="BE21" i="32"/>
  <c r="BA21" i="32"/>
  <c r="AW21" i="32"/>
  <c r="AS21" i="32"/>
  <c r="AO21" i="32"/>
  <c r="AK21" i="32"/>
  <c r="AG21" i="32"/>
  <c r="AC21" i="32"/>
  <c r="BL21" i="32"/>
  <c r="BH21" i="32"/>
  <c r="BD21" i="32"/>
  <c r="AZ21" i="32"/>
  <c r="AV21" i="32"/>
  <c r="AR21" i="32"/>
  <c r="AN21" i="32"/>
  <c r="AJ21" i="32"/>
  <c r="AF21" i="32"/>
  <c r="AB21" i="32"/>
  <c r="BO21" i="32"/>
  <c r="BK21" i="32"/>
  <c r="BG21" i="32"/>
  <c r="BC21" i="32"/>
  <c r="AY21" i="32"/>
  <c r="AU21" i="32"/>
  <c r="AQ21" i="32"/>
  <c r="AM21" i="32"/>
  <c r="AI21" i="32"/>
  <c r="AE21" i="32"/>
  <c r="AA21" i="32"/>
  <c r="BN21" i="32"/>
  <c r="BJ21" i="32"/>
  <c r="BF21" i="32"/>
  <c r="BB21" i="32"/>
  <c r="AX21" i="32"/>
  <c r="AT21" i="32"/>
  <c r="AP21" i="32"/>
  <c r="AL21" i="32"/>
  <c r="AH21" i="32"/>
  <c r="AD21" i="32"/>
  <c r="Z21" i="32"/>
  <c r="BO13" i="32"/>
  <c r="BK13" i="32"/>
  <c r="BG13" i="32"/>
  <c r="BC13" i="32"/>
  <c r="AY13" i="32"/>
  <c r="AU13" i="32"/>
  <c r="AQ13" i="32"/>
  <c r="AM13" i="32"/>
  <c r="AI13" i="32"/>
  <c r="AE13" i="32"/>
  <c r="BM13" i="32"/>
  <c r="BI13" i="32"/>
  <c r="BE13" i="32"/>
  <c r="BA13" i="32"/>
  <c r="AW13" i="32"/>
  <c r="AS13" i="32"/>
  <c r="AO13" i="32"/>
  <c r="AK13" i="32"/>
  <c r="AG13" i="32"/>
  <c r="AC13" i="32"/>
  <c r="BH13" i="32"/>
  <c r="AZ13" i="32"/>
  <c r="AR13" i="32"/>
  <c r="AJ13" i="32"/>
  <c r="AB13" i="32"/>
  <c r="BN13" i="32"/>
  <c r="BF13" i="32"/>
  <c r="AX13" i="32"/>
  <c r="AP13" i="32"/>
  <c r="AH13" i="32"/>
  <c r="AA13" i="32"/>
  <c r="BB13" i="32"/>
  <c r="AL13" i="32"/>
  <c r="BL13" i="32"/>
  <c r="AV13" i="32"/>
  <c r="AF13" i="32"/>
  <c r="BJ13" i="32"/>
  <c r="AT13" i="32"/>
  <c r="AD13" i="32"/>
  <c r="BD13" i="32"/>
  <c r="AN13" i="32"/>
  <c r="Z13" i="32"/>
  <c r="BN20" i="32"/>
  <c r="BJ20" i="32"/>
  <c r="BF20" i="32"/>
  <c r="BB20" i="32"/>
  <c r="AX20" i="32"/>
  <c r="AT20" i="32"/>
  <c r="AP20" i="32"/>
  <c r="AL20" i="32"/>
  <c r="AH20" i="32"/>
  <c r="AD20" i="32"/>
  <c r="Z20" i="32"/>
  <c r="BM20" i="32"/>
  <c r="BI20" i="32"/>
  <c r="BE20" i="32"/>
  <c r="BA20" i="32"/>
  <c r="AW20" i="32"/>
  <c r="AS20" i="32"/>
  <c r="AO20" i="32"/>
  <c r="AK20" i="32"/>
  <c r="AG20" i="32"/>
  <c r="AC20" i="32"/>
  <c r="BO20" i="32"/>
  <c r="BK20" i="32"/>
  <c r="BG20" i="32"/>
  <c r="BC20" i="32"/>
  <c r="AY20" i="32"/>
  <c r="AU20" i="32"/>
  <c r="AQ20" i="32"/>
  <c r="AM20" i="32"/>
  <c r="AI20" i="32"/>
  <c r="AE20" i="32"/>
  <c r="AA20" i="32"/>
  <c r="AZ20" i="32"/>
  <c r="AJ20" i="32"/>
  <c r="BL20" i="32"/>
  <c r="AV20" i="32"/>
  <c r="AF20" i="32"/>
  <c r="BH20" i="32"/>
  <c r="AR20" i="32"/>
  <c r="AB20" i="32"/>
  <c r="BD20" i="32"/>
  <c r="AN20" i="32"/>
  <c r="BP18" i="32"/>
  <c r="S7" i="31"/>
  <c r="BP4" i="32" l="1"/>
  <c r="BP9" i="32"/>
  <c r="BP12" i="32"/>
  <c r="BP6" i="32"/>
  <c r="BP19" i="32"/>
  <c r="BP16" i="32"/>
  <c r="BP21" i="32"/>
  <c r="BP13" i="32"/>
  <c r="BP20" i="32"/>
  <c r="BP7" i="32"/>
  <c r="BP17" i="32"/>
  <c r="BP14" i="32"/>
  <c r="BP5" i="32"/>
  <c r="BP15" i="32"/>
  <c r="BP10" i="32"/>
  <c r="BP11" i="32"/>
  <c r="AA21" i="31"/>
  <c r="Z21" i="31" s="1"/>
  <c r="Y21" i="31" s="1"/>
  <c r="X21" i="31"/>
  <c r="O21" i="31"/>
  <c r="N21" i="31"/>
  <c r="H21" i="31"/>
  <c r="C21" i="31"/>
  <c r="AA20" i="31"/>
  <c r="Z20" i="31" s="1"/>
  <c r="Y20" i="31" s="1"/>
  <c r="X20" i="31"/>
  <c r="O20" i="31"/>
  <c r="N20" i="31"/>
  <c r="H20" i="31"/>
  <c r="C20" i="31"/>
  <c r="AA19" i="31"/>
  <c r="Z19" i="31" s="1"/>
  <c r="Y19" i="31" s="1"/>
  <c r="X19" i="31"/>
  <c r="O19" i="31"/>
  <c r="N19" i="31"/>
  <c r="H19" i="31"/>
  <c r="C19" i="31"/>
  <c r="AA18" i="31"/>
  <c r="Z18" i="31" s="1"/>
  <c r="Y18" i="31" s="1"/>
  <c r="X18" i="31"/>
  <c r="O18" i="31"/>
  <c r="N18" i="31"/>
  <c r="H18" i="31"/>
  <c r="C18" i="31"/>
  <c r="AA17" i="31"/>
  <c r="Z17" i="31" s="1"/>
  <c r="Y17" i="31" s="1"/>
  <c r="X17" i="31"/>
  <c r="O17" i="31"/>
  <c r="N17" i="31"/>
  <c r="H17" i="31"/>
  <c r="C17" i="31"/>
  <c r="AA16" i="31"/>
  <c r="Z16" i="31" s="1"/>
  <c r="Y16" i="31" s="1"/>
  <c r="X16" i="31"/>
  <c r="O16" i="31"/>
  <c r="N16" i="31"/>
  <c r="H16" i="31"/>
  <c r="C16" i="31"/>
  <c r="AA15" i="31"/>
  <c r="Z15" i="31" s="1"/>
  <c r="Y15" i="31" s="1"/>
  <c r="X15" i="31"/>
  <c r="O15" i="31"/>
  <c r="N15" i="31"/>
  <c r="H15" i="31"/>
  <c r="C15" i="31"/>
  <c r="AA14" i="31"/>
  <c r="Z14" i="31" s="1"/>
  <c r="Y14" i="31" s="1"/>
  <c r="X14" i="31"/>
  <c r="O14" i="31"/>
  <c r="N14" i="31"/>
  <c r="H14" i="31"/>
  <c r="C14" i="31"/>
  <c r="AA13" i="31"/>
  <c r="Z13" i="31" s="1"/>
  <c r="Y13" i="31" s="1"/>
  <c r="X13" i="31"/>
  <c r="O13" i="31"/>
  <c r="N13" i="31"/>
  <c r="H13" i="31"/>
  <c r="C13" i="31"/>
  <c r="AA12" i="31"/>
  <c r="Z12" i="31" s="1"/>
  <c r="Y12" i="31" s="1"/>
  <c r="X12" i="31"/>
  <c r="O12" i="31"/>
  <c r="N12" i="31"/>
  <c r="H12" i="31"/>
  <c r="C12" i="31"/>
  <c r="AA11" i="31"/>
  <c r="Z11" i="31" s="1"/>
  <c r="Y11" i="31" s="1"/>
  <c r="X11" i="31"/>
  <c r="O11" i="31"/>
  <c r="N11" i="31"/>
  <c r="H11" i="31"/>
  <c r="C11" i="31"/>
  <c r="AA10" i="31"/>
  <c r="Z10" i="31" s="1"/>
  <c r="Y10" i="31" s="1"/>
  <c r="X10" i="31"/>
  <c r="O10" i="31"/>
  <c r="N10" i="31"/>
  <c r="H10" i="31"/>
  <c r="C10" i="31"/>
  <c r="AA9" i="31"/>
  <c r="Z9" i="31" s="1"/>
  <c r="Y9" i="31" s="1"/>
  <c r="X9" i="31"/>
  <c r="O9" i="31"/>
  <c r="N9" i="31"/>
  <c r="H9" i="31"/>
  <c r="C9" i="31"/>
  <c r="AA8" i="31"/>
  <c r="Z8" i="31" s="1"/>
  <c r="Y8" i="31" s="1"/>
  <c r="X8" i="31"/>
  <c r="O8" i="31"/>
  <c r="N8" i="31"/>
  <c r="C8" i="31"/>
  <c r="AA7" i="31"/>
  <c r="Z7" i="31" s="1"/>
  <c r="Y7" i="31" s="1"/>
  <c r="X7" i="31"/>
  <c r="O7" i="31"/>
  <c r="N7" i="31"/>
  <c r="C7" i="31"/>
  <c r="AA6" i="31"/>
  <c r="Z6" i="31" s="1"/>
  <c r="Y6" i="31" s="1"/>
  <c r="X6" i="31"/>
  <c r="O6" i="31"/>
  <c r="N6" i="31"/>
  <c r="C6" i="31"/>
  <c r="AA5" i="31"/>
  <c r="Z5" i="31" s="1"/>
  <c r="Y5" i="31" s="1"/>
  <c r="X5" i="31"/>
  <c r="O5" i="31"/>
  <c r="N5" i="31"/>
  <c r="C5" i="31"/>
  <c r="AA4" i="31"/>
  <c r="Z4" i="31" s="1"/>
  <c r="Y4" i="31" s="1"/>
  <c r="X4" i="31"/>
  <c r="O4" i="31"/>
  <c r="N4" i="31"/>
  <c r="V4" i="31"/>
  <c r="C4" i="31"/>
  <c r="I4" i="30"/>
  <c r="T8" i="9"/>
  <c r="T9" i="9"/>
  <c r="T10" i="9"/>
  <c r="T11" i="9"/>
  <c r="T12" i="9"/>
  <c r="T13" i="9"/>
  <c r="T14" i="9"/>
  <c r="T15" i="9"/>
  <c r="T16" i="9"/>
  <c r="T17" i="9"/>
  <c r="T18" i="9"/>
  <c r="T19" i="9"/>
  <c r="T20" i="9"/>
  <c r="T5" i="30"/>
  <c r="U5" i="30"/>
  <c r="V5" i="30" s="1"/>
  <c r="T6" i="30"/>
  <c r="U6" i="30"/>
  <c r="V6" i="30" s="1"/>
  <c r="T7" i="30"/>
  <c r="U7" i="30"/>
  <c r="V7" i="30" s="1"/>
  <c r="T8" i="30"/>
  <c r="U8" i="30"/>
  <c r="V8" i="30" s="1"/>
  <c r="T9" i="30"/>
  <c r="U9" i="30"/>
  <c r="V9" i="30" s="1"/>
  <c r="T10" i="30"/>
  <c r="U10" i="30"/>
  <c r="V10" i="30" s="1"/>
  <c r="T11" i="30"/>
  <c r="U11" i="30"/>
  <c r="V11" i="30" s="1"/>
  <c r="T12" i="30"/>
  <c r="U12" i="30"/>
  <c r="V12" i="30" s="1"/>
  <c r="T13" i="30"/>
  <c r="U13" i="30"/>
  <c r="V13" i="30" s="1"/>
  <c r="T14" i="30"/>
  <c r="U14" i="30"/>
  <c r="V14" i="30" s="1"/>
  <c r="T15" i="30"/>
  <c r="U15" i="30"/>
  <c r="V15" i="30" s="1"/>
  <c r="T16" i="30"/>
  <c r="U16" i="30"/>
  <c r="V16" i="30" s="1"/>
  <c r="T17" i="30"/>
  <c r="U17" i="30"/>
  <c r="V17" i="30" s="1"/>
  <c r="T18" i="30"/>
  <c r="U18" i="30"/>
  <c r="V18" i="30" s="1"/>
  <c r="T19" i="30"/>
  <c r="U19" i="30"/>
  <c r="V19" i="30" s="1"/>
  <c r="T20" i="30"/>
  <c r="U20" i="30"/>
  <c r="V20" i="30" s="1"/>
  <c r="T21" i="30"/>
  <c r="U21" i="30"/>
  <c r="V21" i="30" s="1"/>
  <c r="Q18" i="31" l="1"/>
  <c r="S13" i="31"/>
  <c r="R13" i="31"/>
  <c r="T13" i="31" s="1"/>
  <c r="U13" i="31" s="1"/>
  <c r="V13" i="31" s="1"/>
  <c r="R15" i="31"/>
  <c r="T15" i="31" s="1"/>
  <c r="U15" i="31" s="1"/>
  <c r="V15" i="31" s="1"/>
  <c r="S15" i="31"/>
  <c r="R16" i="31"/>
  <c r="T16" i="31" s="1"/>
  <c r="U16" i="31" s="1"/>
  <c r="V16" i="31" s="1"/>
  <c r="S16" i="31"/>
  <c r="S17" i="31"/>
  <c r="R17" i="31"/>
  <c r="T17" i="31" s="1"/>
  <c r="U17" i="31" s="1"/>
  <c r="V17" i="31" s="1"/>
  <c r="R18" i="31"/>
  <c r="T18" i="31" s="1"/>
  <c r="U18" i="31" s="1"/>
  <c r="V18" i="31" s="1"/>
  <c r="S18" i="31"/>
  <c r="S19" i="31"/>
  <c r="R19" i="31"/>
  <c r="T19" i="31" s="1"/>
  <c r="U19" i="31" s="1"/>
  <c r="V19" i="31" s="1"/>
  <c r="R20" i="31"/>
  <c r="T20" i="31" s="1"/>
  <c r="U20" i="31" s="1"/>
  <c r="V20" i="31" s="1"/>
  <c r="S20" i="31"/>
  <c r="S21" i="31"/>
  <c r="R21" i="31"/>
  <c r="T21" i="31" s="1"/>
  <c r="U21" i="31" s="1"/>
  <c r="V21" i="31" s="1"/>
  <c r="S9" i="31"/>
  <c r="R9" i="31"/>
  <c r="T9" i="31" s="1"/>
  <c r="U9" i="31" s="1"/>
  <c r="V9" i="31" s="1"/>
  <c r="R10" i="31"/>
  <c r="T10" i="31" s="1"/>
  <c r="U10" i="31" s="1"/>
  <c r="V10" i="31" s="1"/>
  <c r="S10" i="31"/>
  <c r="S11" i="31"/>
  <c r="R11" i="31"/>
  <c r="T11" i="31" s="1"/>
  <c r="U11" i="31" s="1"/>
  <c r="V11" i="31" s="1"/>
  <c r="R12" i="31"/>
  <c r="T12" i="31" s="1"/>
  <c r="U12" i="31" s="1"/>
  <c r="V12" i="31" s="1"/>
  <c r="S12" i="31"/>
  <c r="R14" i="31"/>
  <c r="T14" i="31" s="1"/>
  <c r="U14" i="31" s="1"/>
  <c r="V14" i="31" s="1"/>
  <c r="S14" i="31"/>
  <c r="P16" i="31"/>
  <c r="BD16" i="31" s="1"/>
  <c r="P6" i="31"/>
  <c r="BP6" i="31" s="1"/>
  <c r="Q5" i="31"/>
  <c r="P8" i="31"/>
  <c r="BL8" i="31" s="1"/>
  <c r="P13" i="31"/>
  <c r="BH13" i="31" s="1"/>
  <c r="P14" i="31"/>
  <c r="BE14" i="31" s="1"/>
  <c r="P15" i="31"/>
  <c r="BN15" i="31" s="1"/>
  <c r="Q14" i="31"/>
  <c r="P10" i="31"/>
  <c r="BB10" i="31" s="1"/>
  <c r="Q16" i="31"/>
  <c r="Q8" i="31"/>
  <c r="P9" i="31"/>
  <c r="BI9" i="31" s="1"/>
  <c r="Q10" i="31"/>
  <c r="P19" i="31"/>
  <c r="BE19" i="31" s="1"/>
  <c r="Q13" i="31"/>
  <c r="Q17" i="31"/>
  <c r="Q4" i="31"/>
  <c r="P4" i="31"/>
  <c r="BN4" i="31" s="1"/>
  <c r="P5" i="31"/>
  <c r="BM5" i="31" s="1"/>
  <c r="Q9" i="31"/>
  <c r="P12" i="31"/>
  <c r="BC12" i="31" s="1"/>
  <c r="P17" i="31"/>
  <c r="BK17" i="31" s="1"/>
  <c r="Q7" i="31"/>
  <c r="P7" i="31"/>
  <c r="Q11" i="31"/>
  <c r="P11" i="31"/>
  <c r="Q6" i="31"/>
  <c r="Q12" i="31"/>
  <c r="P18" i="31"/>
  <c r="Q15" i="31"/>
  <c r="P20" i="31"/>
  <c r="Q20" i="31"/>
  <c r="P21" i="31"/>
  <c r="Q19" i="31"/>
  <c r="Q21" i="31"/>
  <c r="T4" i="30"/>
  <c r="I5" i="30"/>
  <c r="I6" i="30"/>
  <c r="I7" i="30"/>
  <c r="I8" i="30"/>
  <c r="I9" i="30"/>
  <c r="I10" i="30"/>
  <c r="I11" i="30"/>
  <c r="I12" i="30"/>
  <c r="I13" i="30"/>
  <c r="I14" i="30"/>
  <c r="I15" i="30"/>
  <c r="I16" i="30"/>
  <c r="I17" i="30"/>
  <c r="I18" i="30"/>
  <c r="I19" i="30"/>
  <c r="I20" i="30"/>
  <c r="I21" i="30"/>
  <c r="AA21" i="30"/>
  <c r="Z21" i="30" s="1"/>
  <c r="Y21" i="30" s="1"/>
  <c r="X21" i="30"/>
  <c r="Q21" i="30"/>
  <c r="P21" i="30"/>
  <c r="C21" i="30"/>
  <c r="AA20" i="30"/>
  <c r="Z20" i="30" s="1"/>
  <c r="Y20" i="30" s="1"/>
  <c r="X20" i="30"/>
  <c r="Q20" i="30"/>
  <c r="P20" i="30"/>
  <c r="C20" i="30"/>
  <c r="AA19" i="30"/>
  <c r="Z19" i="30" s="1"/>
  <c r="Y19" i="30" s="1"/>
  <c r="X19" i="30"/>
  <c r="Q19" i="30"/>
  <c r="P19" i="30"/>
  <c r="C19" i="30"/>
  <c r="AA18" i="30"/>
  <c r="Z18" i="30" s="1"/>
  <c r="Y18" i="30" s="1"/>
  <c r="X18" i="30"/>
  <c r="Q18" i="30"/>
  <c r="P18" i="30"/>
  <c r="C18" i="30"/>
  <c r="AA17" i="30"/>
  <c r="Z17" i="30" s="1"/>
  <c r="Y17" i="30" s="1"/>
  <c r="X17" i="30"/>
  <c r="Q17" i="30"/>
  <c r="P17" i="30"/>
  <c r="C17" i="30"/>
  <c r="AA16" i="30"/>
  <c r="Z16" i="30" s="1"/>
  <c r="Y16" i="30" s="1"/>
  <c r="X16" i="30"/>
  <c r="Q16" i="30"/>
  <c r="P16" i="30"/>
  <c r="C16" i="30"/>
  <c r="AA15" i="30"/>
  <c r="Z15" i="30" s="1"/>
  <c r="Y15" i="30" s="1"/>
  <c r="X15" i="30"/>
  <c r="Q15" i="30"/>
  <c r="P15" i="30"/>
  <c r="C15" i="30"/>
  <c r="AA14" i="30"/>
  <c r="Z14" i="30" s="1"/>
  <c r="Y14" i="30" s="1"/>
  <c r="X14" i="30"/>
  <c r="Q14" i="30"/>
  <c r="P14" i="30"/>
  <c r="C14" i="30"/>
  <c r="AA13" i="30"/>
  <c r="Z13" i="30" s="1"/>
  <c r="Y13" i="30" s="1"/>
  <c r="X13" i="30"/>
  <c r="Q13" i="30"/>
  <c r="P13" i="30"/>
  <c r="C13" i="30"/>
  <c r="AA12" i="30"/>
  <c r="Z12" i="30" s="1"/>
  <c r="Y12" i="30" s="1"/>
  <c r="X12" i="30"/>
  <c r="Q12" i="30"/>
  <c r="P12" i="30"/>
  <c r="C12" i="30"/>
  <c r="AA11" i="30"/>
  <c r="Z11" i="30" s="1"/>
  <c r="Y11" i="30" s="1"/>
  <c r="X11" i="30"/>
  <c r="Q11" i="30"/>
  <c r="P11" i="30"/>
  <c r="C11" i="30"/>
  <c r="AA10" i="30"/>
  <c r="Z10" i="30" s="1"/>
  <c r="Y10" i="30" s="1"/>
  <c r="X10" i="30"/>
  <c r="Q10" i="30"/>
  <c r="P10" i="30"/>
  <c r="C10" i="30"/>
  <c r="AA9" i="30"/>
  <c r="Z9" i="30" s="1"/>
  <c r="Y9" i="30" s="1"/>
  <c r="X9" i="30"/>
  <c r="Q9" i="30"/>
  <c r="P9" i="30"/>
  <c r="C9" i="30"/>
  <c r="AA8" i="30"/>
  <c r="Z8" i="30" s="1"/>
  <c r="Y8" i="30" s="1"/>
  <c r="X8" i="30"/>
  <c r="Q8" i="30"/>
  <c r="P8" i="30"/>
  <c r="C8" i="30"/>
  <c r="AA7" i="30"/>
  <c r="Z7" i="30" s="1"/>
  <c r="Y7" i="30" s="1"/>
  <c r="X7" i="30"/>
  <c r="Q7" i="30"/>
  <c r="P7" i="30"/>
  <c r="C7" i="30"/>
  <c r="AA6" i="30"/>
  <c r="Z6" i="30" s="1"/>
  <c r="Y6" i="30" s="1"/>
  <c r="X6" i="30"/>
  <c r="Q6" i="30"/>
  <c r="P6" i="30"/>
  <c r="C6" i="30"/>
  <c r="AA5" i="30"/>
  <c r="Z5" i="30" s="1"/>
  <c r="Y5" i="30" s="1"/>
  <c r="X5" i="30"/>
  <c r="Q5" i="30"/>
  <c r="P5" i="30"/>
  <c r="C5" i="30"/>
  <c r="AA4" i="30"/>
  <c r="Z4" i="30" s="1"/>
  <c r="Y4" i="30" s="1"/>
  <c r="X4" i="30"/>
  <c r="Q4" i="30"/>
  <c r="P4" i="30"/>
  <c r="C4" i="30"/>
  <c r="BI14" i="31" l="1"/>
  <c r="AH19" i="31"/>
  <c r="AL17" i="31"/>
  <c r="AM17" i="31"/>
  <c r="BJ19" i="31"/>
  <c r="BL14" i="31"/>
  <c r="AU17" i="31"/>
  <c r="AF14" i="31"/>
  <c r="AP17" i="31"/>
  <c r="AK14" i="31"/>
  <c r="AC6" i="31"/>
  <c r="AS19" i="31"/>
  <c r="AD8" i="31"/>
  <c r="BQ19" i="31"/>
  <c r="AV17" i="31"/>
  <c r="AN6" i="31"/>
  <c r="BG19" i="31"/>
  <c r="AI14" i="31"/>
  <c r="BI6" i="31"/>
  <c r="BP17" i="31"/>
  <c r="BQ17" i="31"/>
  <c r="BH17" i="31"/>
  <c r="AZ4" i="31"/>
  <c r="AV19" i="31"/>
  <c r="AE14" i="31"/>
  <c r="AF6" i="31"/>
  <c r="AD17" i="31"/>
  <c r="AK17" i="31"/>
  <c r="AJ4" i="31"/>
  <c r="BB19" i="31"/>
  <c r="BD19" i="31"/>
  <c r="AH14" i="31"/>
  <c r="AP14" i="31"/>
  <c r="BQ14" i="31"/>
  <c r="AL6" i="31"/>
  <c r="AX6" i="31"/>
  <c r="AT17" i="31"/>
  <c r="AS17" i="31"/>
  <c r="BC4" i="31"/>
  <c r="AB19" i="31"/>
  <c r="AY19" i="31"/>
  <c r="AK19" i="31"/>
  <c r="BN14" i="31"/>
  <c r="AC14" i="31"/>
  <c r="BB6" i="31"/>
  <c r="AI6" i="31"/>
  <c r="AQ4" i="31"/>
  <c r="BI4" i="31"/>
  <c r="BQ4" i="31"/>
  <c r="BD17" i="31"/>
  <c r="BA17" i="31"/>
  <c r="BD4" i="31"/>
  <c r="BO19" i="31"/>
  <c r="BL19" i="31"/>
  <c r="BA19" i="31"/>
  <c r="AQ14" i="31"/>
  <c r="AY14" i="31"/>
  <c r="AK6" i="31"/>
  <c r="AQ6" i="31"/>
  <c r="BN17" i="31"/>
  <c r="BG17" i="31"/>
  <c r="AN5" i="31"/>
  <c r="AP19" i="31"/>
  <c r="AI19" i="31"/>
  <c r="AR14" i="31"/>
  <c r="AZ14" i="31"/>
  <c r="AS14" i="31"/>
  <c r="AT4" i="31"/>
  <c r="AH6" i="31"/>
  <c r="AO6" i="31"/>
  <c r="AR17" i="31"/>
  <c r="BO17" i="31"/>
  <c r="AC17" i="31"/>
  <c r="BI17" i="31"/>
  <c r="AY5" i="31"/>
  <c r="BP4" i="31"/>
  <c r="AU4" i="31"/>
  <c r="AD19" i="31"/>
  <c r="AQ19" i="31"/>
  <c r="AJ19" i="31"/>
  <c r="AC19" i="31"/>
  <c r="BI19" i="31"/>
  <c r="BG4" i="31"/>
  <c r="BB14" i="31"/>
  <c r="BC14" i="31"/>
  <c r="BJ14" i="31"/>
  <c r="BK14" i="31"/>
  <c r="BA14" i="31"/>
  <c r="AK4" i="31"/>
  <c r="BB4" i="31"/>
  <c r="BQ6" i="31"/>
  <c r="BF6" i="31"/>
  <c r="BE6" i="31"/>
  <c r="BO6" i="31"/>
  <c r="AS4" i="31"/>
  <c r="AD4" i="31"/>
  <c r="BJ4" i="31"/>
  <c r="AY6" i="31"/>
  <c r="AR6" i="31"/>
  <c r="AV4" i="31"/>
  <c r="BA4" i="31"/>
  <c r="AL4" i="31"/>
  <c r="BG6" i="31"/>
  <c r="AZ6" i="31"/>
  <c r="BF17" i="31"/>
  <c r="BC17" i="31"/>
  <c r="AI17" i="31"/>
  <c r="BJ17" i="31"/>
  <c r="AQ17" i="31"/>
  <c r="BL17" i="31"/>
  <c r="AO17" i="31"/>
  <c r="BE17" i="31"/>
  <c r="AZ17" i="31"/>
  <c r="AB17" i="31"/>
  <c r="AM4" i="31"/>
  <c r="BH4" i="31"/>
  <c r="AB4" i="31"/>
  <c r="AE4" i="31"/>
  <c r="BN19" i="31"/>
  <c r="AT19" i="31"/>
  <c r="AE19" i="31"/>
  <c r="AU19" i="31"/>
  <c r="BK19" i="31"/>
  <c r="AR19" i="31"/>
  <c r="BH19" i="31"/>
  <c r="AG19" i="31"/>
  <c r="AW19" i="31"/>
  <c r="BM19" i="31"/>
  <c r="BO4" i="31"/>
  <c r="AI4" i="31"/>
  <c r="AV14" i="31"/>
  <c r="AB14" i="31"/>
  <c r="AX14" i="31"/>
  <c r="AD14" i="31"/>
  <c r="BD14" i="31"/>
  <c r="AJ14" i="31"/>
  <c r="BF14" i="31"/>
  <c r="AG14" i="31"/>
  <c r="AW14" i="31"/>
  <c r="BM14" i="31"/>
  <c r="AF4" i="31"/>
  <c r="AO4" i="31"/>
  <c r="BE4" i="31"/>
  <c r="AG4" i="31"/>
  <c r="AP4" i="31"/>
  <c r="BF4" i="31"/>
  <c r="AD6" i="31"/>
  <c r="BJ6" i="31"/>
  <c r="BN6" i="31"/>
  <c r="AG6" i="31"/>
  <c r="BM6" i="31"/>
  <c r="AM6" i="31"/>
  <c r="BC6" i="31"/>
  <c r="AB6" i="31"/>
  <c r="AV6" i="31"/>
  <c r="AJ17" i="31"/>
  <c r="AH17" i="31"/>
  <c r="AY17" i="31"/>
  <c r="AF17" i="31"/>
  <c r="BB17" i="31"/>
  <c r="AG17" i="31"/>
  <c r="AW17" i="31"/>
  <c r="BM17" i="31"/>
  <c r="AE17" i="31"/>
  <c r="AX17" i="31"/>
  <c r="AR4" i="31"/>
  <c r="BK4" i="31"/>
  <c r="BF19" i="31"/>
  <c r="AX19" i="31"/>
  <c r="AL19" i="31"/>
  <c r="AM19" i="31"/>
  <c r="BC19" i="31"/>
  <c r="AF19" i="31"/>
  <c r="AZ19" i="31"/>
  <c r="BP19" i="31"/>
  <c r="AO19" i="31"/>
  <c r="AY4" i="31"/>
  <c r="AL14" i="31"/>
  <c r="BG14" i="31"/>
  <c r="AM14" i="31"/>
  <c r="BH14" i="31"/>
  <c r="AT14" i="31"/>
  <c r="BO14" i="31"/>
  <c r="AU14" i="31"/>
  <c r="BP14" i="31"/>
  <c r="AO14" i="31"/>
  <c r="BL4" i="31"/>
  <c r="AC4" i="31"/>
  <c r="AW4" i="31"/>
  <c r="BM4" i="31"/>
  <c r="AH4" i="31"/>
  <c r="AX4" i="31"/>
  <c r="BA6" i="31"/>
  <c r="AT6" i="31"/>
  <c r="AP6" i="31"/>
  <c r="AS6" i="31"/>
  <c r="AW6" i="31"/>
  <c r="AE6" i="31"/>
  <c r="AU6" i="31"/>
  <c r="BK6" i="31"/>
  <c r="AJ6" i="31"/>
  <c r="BL6" i="31"/>
  <c r="BL15" i="31"/>
  <c r="AB15" i="31"/>
  <c r="BC15" i="31"/>
  <c r="BI15" i="31"/>
  <c r="BO10" i="31"/>
  <c r="BN10" i="31"/>
  <c r="BK16" i="31"/>
  <c r="BH6" i="31"/>
  <c r="AG13" i="31"/>
  <c r="AT16" i="31"/>
  <c r="BD10" i="31"/>
  <c r="AI13" i="31"/>
  <c r="AY16" i="31"/>
  <c r="AS10" i="31"/>
  <c r="BL13" i="31"/>
  <c r="AH13" i="31"/>
  <c r="AZ16" i="31"/>
  <c r="AE13" i="31"/>
  <c r="AF13" i="31"/>
  <c r="BC8" i="31"/>
  <c r="BI16" i="31"/>
  <c r="AI10" i="31"/>
  <c r="AH10" i="31"/>
  <c r="AO15" i="31"/>
  <c r="BJ15" i="31"/>
  <c r="AI5" i="31"/>
  <c r="AL15" i="31"/>
  <c r="BK15" i="31"/>
  <c r="AS15" i="31"/>
  <c r="AP15" i="31"/>
  <c r="BN12" i="31"/>
  <c r="AV15" i="31"/>
  <c r="AD15" i="31"/>
  <c r="AM15" i="31"/>
  <c r="BF5" i="31"/>
  <c r="BH15" i="31"/>
  <c r="AE15" i="31"/>
  <c r="R19" i="30"/>
  <c r="BB19" i="30" s="1"/>
  <c r="AJ8" i="31"/>
  <c r="AI9" i="31"/>
  <c r="AY8" i="31"/>
  <c r="AZ8" i="31"/>
  <c r="AN17" i="31"/>
  <c r="BO9" i="31"/>
  <c r="BE8" i="31"/>
  <c r="BD6" i="31"/>
  <c r="AN15" i="31"/>
  <c r="AN14" i="31"/>
  <c r="AN19" i="31"/>
  <c r="AQ13" i="31"/>
  <c r="AS13" i="31"/>
  <c r="BO16" i="31"/>
  <c r="AE16" i="31"/>
  <c r="BH16" i="31"/>
  <c r="AF10" i="31"/>
  <c r="BA10" i="31"/>
  <c r="BG12" i="31"/>
  <c r="AB9" i="31"/>
  <c r="BA13" i="31"/>
  <c r="BB13" i="31"/>
  <c r="BC13" i="31"/>
  <c r="BE13" i="31"/>
  <c r="AV13" i="31"/>
  <c r="BH9" i="31"/>
  <c r="AQ16" i="31"/>
  <c r="AW16" i="31"/>
  <c r="AM16" i="31"/>
  <c r="AP16" i="31"/>
  <c r="AJ16" i="31"/>
  <c r="BP16" i="31"/>
  <c r="AY10" i="31"/>
  <c r="AN10" i="31"/>
  <c r="AC10" i="31"/>
  <c r="BI10" i="31"/>
  <c r="AX10" i="31"/>
  <c r="BL12" i="31"/>
  <c r="AE8" i="31"/>
  <c r="AT8" i="31"/>
  <c r="BP8" i="31"/>
  <c r="AP13" i="31"/>
  <c r="AT13" i="31"/>
  <c r="AN13" i="31"/>
  <c r="AC16" i="31"/>
  <c r="AB16" i="31"/>
  <c r="AQ10" i="31"/>
  <c r="BL10" i="31"/>
  <c r="AP10" i="31"/>
  <c r="BJ12" i="31"/>
  <c r="BK13" i="31"/>
  <c r="BM13" i="31"/>
  <c r="BN13" i="31"/>
  <c r="BO13" i="31"/>
  <c r="BD13" i="31"/>
  <c r="AP9" i="31"/>
  <c r="AW9" i="31"/>
  <c r="BM16" i="31"/>
  <c r="AD16" i="31"/>
  <c r="AX16" i="31"/>
  <c r="BA16" i="31"/>
  <c r="AR16" i="31"/>
  <c r="BG10" i="31"/>
  <c r="AV10" i="31"/>
  <c r="AK10" i="31"/>
  <c r="BQ10" i="31"/>
  <c r="BF10" i="31"/>
  <c r="BH12" i="31"/>
  <c r="AO8" i="31"/>
  <c r="BJ8" i="31"/>
  <c r="BG8" i="31"/>
  <c r="AT9" i="31"/>
  <c r="AM9" i="31"/>
  <c r="AF9" i="31"/>
  <c r="BL9" i="31"/>
  <c r="BA9" i="31"/>
  <c r="AM8" i="31"/>
  <c r="AI8" i="31"/>
  <c r="AC8" i="31"/>
  <c r="AS8" i="31"/>
  <c r="BI8" i="31"/>
  <c r="AH8" i="31"/>
  <c r="AX8" i="31"/>
  <c r="BN8" i="31"/>
  <c r="AN8" i="31"/>
  <c r="BD8" i="31"/>
  <c r="AQ8" i="31"/>
  <c r="BF9" i="31"/>
  <c r="AY9" i="31"/>
  <c r="AR9" i="31"/>
  <c r="AG9" i="31"/>
  <c r="BM9" i="31"/>
  <c r="BK8" i="31"/>
  <c r="AG8" i="31"/>
  <c r="AW8" i="31"/>
  <c r="BM8" i="31"/>
  <c r="AL8" i="31"/>
  <c r="BB8" i="31"/>
  <c r="AB8" i="31"/>
  <c r="AR8" i="31"/>
  <c r="BH8" i="31"/>
  <c r="AD9" i="31"/>
  <c r="BJ9" i="31"/>
  <c r="BC9" i="31"/>
  <c r="AV9" i="31"/>
  <c r="AK9" i="31"/>
  <c r="BQ9" i="31"/>
  <c r="BO8" i="31"/>
  <c r="AU8" i="31"/>
  <c r="AK8" i="31"/>
  <c r="BA8" i="31"/>
  <c r="BQ8" i="31"/>
  <c r="AP8" i="31"/>
  <c r="BF8" i="31"/>
  <c r="AF8" i="31"/>
  <c r="AV8" i="31"/>
  <c r="BH5" i="31"/>
  <c r="AK13" i="31"/>
  <c r="BF13" i="31"/>
  <c r="AL13" i="31"/>
  <c r="BG13" i="31"/>
  <c r="AM13" i="31"/>
  <c r="BI13" i="31"/>
  <c r="AO13" i="31"/>
  <c r="BJ13" i="31"/>
  <c r="AJ13" i="31"/>
  <c r="AZ13" i="31"/>
  <c r="BP13" i="31"/>
  <c r="AG16" i="31"/>
  <c r="AI16" i="31"/>
  <c r="AL16" i="31"/>
  <c r="AO16" i="31"/>
  <c r="AH16" i="31"/>
  <c r="BC16" i="31"/>
  <c r="AK16" i="31"/>
  <c r="BF16" i="31"/>
  <c r="AF16" i="31"/>
  <c r="AV16" i="31"/>
  <c r="BL16" i="31"/>
  <c r="AE10" i="31"/>
  <c r="AU10" i="31"/>
  <c r="BK10" i="31"/>
  <c r="AJ10" i="31"/>
  <c r="AZ10" i="31"/>
  <c r="BP10" i="31"/>
  <c r="AO10" i="31"/>
  <c r="BE10" i="31"/>
  <c r="AD10" i="31"/>
  <c r="AT10" i="31"/>
  <c r="BJ10" i="31"/>
  <c r="AO12" i="31"/>
  <c r="AL12" i="31"/>
  <c r="AQ12" i="31"/>
  <c r="BQ15" i="31"/>
  <c r="AW15" i="31"/>
  <c r="AZ15" i="31"/>
  <c r="AU15" i="31"/>
  <c r="AP5" i="31"/>
  <c r="BO5" i="31"/>
  <c r="BE5" i="31"/>
  <c r="AU13" i="31"/>
  <c r="BQ13" i="31"/>
  <c r="AW13" i="31"/>
  <c r="AC13" i="31"/>
  <c r="AX13" i="31"/>
  <c r="AD13" i="31"/>
  <c r="AY13" i="31"/>
  <c r="AB13" i="31"/>
  <c r="AR13" i="31"/>
  <c r="AS5" i="31"/>
  <c r="BB16" i="31"/>
  <c r="BE16" i="31"/>
  <c r="BG16" i="31"/>
  <c r="BJ16" i="31"/>
  <c r="AS16" i="31"/>
  <c r="BN16" i="31"/>
  <c r="AU16" i="31"/>
  <c r="BQ16" i="31"/>
  <c r="AN16" i="31"/>
  <c r="AM10" i="31"/>
  <c r="BC10" i="31"/>
  <c r="AB10" i="31"/>
  <c r="AR10" i="31"/>
  <c r="BH10" i="31"/>
  <c r="AG10" i="31"/>
  <c r="AW10" i="31"/>
  <c r="BM10" i="31"/>
  <c r="AL10" i="31"/>
  <c r="AP12" i="31"/>
  <c r="AS12" i="31"/>
  <c r="AX15" i="31"/>
  <c r="AK15" i="31"/>
  <c r="AR15" i="31"/>
  <c r="BM15" i="31"/>
  <c r="AT15" i="31"/>
  <c r="BP15" i="31"/>
  <c r="AQ15" i="31"/>
  <c r="BG15" i="31"/>
  <c r="AH15" i="31"/>
  <c r="BA15" i="31"/>
  <c r="AD5" i="31"/>
  <c r="AT5" i="31"/>
  <c r="BJ5" i="31"/>
  <c r="AM5" i="31"/>
  <c r="BC5" i="31"/>
  <c r="AW5" i="31"/>
  <c r="BL5" i="31"/>
  <c r="AF5" i="31"/>
  <c r="AR5" i="31"/>
  <c r="AG5" i="31"/>
  <c r="BQ5" i="31"/>
  <c r="AK5" i="31"/>
  <c r="BP5" i="31"/>
  <c r="AX5" i="31"/>
  <c r="AQ5" i="31"/>
  <c r="AO5" i="31"/>
  <c r="BI5" i="31"/>
  <c r="AC5" i="31"/>
  <c r="AZ5" i="31"/>
  <c r="AH5" i="31"/>
  <c r="BN5" i="31"/>
  <c r="BG5" i="31"/>
  <c r="BD5" i="31"/>
  <c r="AJ5" i="31"/>
  <c r="AC15" i="31"/>
  <c r="BF15" i="31"/>
  <c r="AG15" i="31"/>
  <c r="BB15" i="31"/>
  <c r="AJ15" i="31"/>
  <c r="BE15" i="31"/>
  <c r="AI15" i="31"/>
  <c r="AY15" i="31"/>
  <c r="BO15" i="31"/>
  <c r="BD15" i="31"/>
  <c r="AF15" i="31"/>
  <c r="AL5" i="31"/>
  <c r="BB5" i="31"/>
  <c r="AE5" i="31"/>
  <c r="AU5" i="31"/>
  <c r="BK5" i="31"/>
  <c r="AV5" i="31"/>
  <c r="BA5" i="31"/>
  <c r="AB5" i="31"/>
  <c r="AT12" i="31"/>
  <c r="BP12" i="31"/>
  <c r="AV12" i="31"/>
  <c r="BQ12" i="31"/>
  <c r="AR12" i="31"/>
  <c r="BM12" i="31"/>
  <c r="AX12" i="31"/>
  <c r="AE12" i="31"/>
  <c r="AU12" i="31"/>
  <c r="BK12" i="31"/>
  <c r="AH9" i="31"/>
  <c r="AX9" i="31"/>
  <c r="BN9" i="31"/>
  <c r="AQ9" i="31"/>
  <c r="BG9" i="31"/>
  <c r="AJ9" i="31"/>
  <c r="AZ9" i="31"/>
  <c r="BP9" i="31"/>
  <c r="AO9" i="31"/>
  <c r="BE9" i="31"/>
  <c r="AD12" i="31"/>
  <c r="AZ12" i="31"/>
  <c r="AF12" i="31"/>
  <c r="BA12" i="31"/>
  <c r="AB12" i="31"/>
  <c r="AW12" i="31"/>
  <c r="AC12" i="31"/>
  <c r="BD12" i="31"/>
  <c r="AI12" i="31"/>
  <c r="AY12" i="31"/>
  <c r="BO12" i="31"/>
  <c r="AN12" i="31"/>
  <c r="AL9" i="31"/>
  <c r="BB9" i="31"/>
  <c r="AE9" i="31"/>
  <c r="AU9" i="31"/>
  <c r="BK9" i="31"/>
  <c r="AN9" i="31"/>
  <c r="BD9" i="31"/>
  <c r="AC9" i="31"/>
  <c r="AS9" i="31"/>
  <c r="AJ12" i="31"/>
  <c r="BE12" i="31"/>
  <c r="AK12" i="31"/>
  <c r="BF12" i="31"/>
  <c r="AG12" i="31"/>
  <c r="BB12" i="31"/>
  <c r="AH12" i="31"/>
  <c r="BI12" i="31"/>
  <c r="AM12" i="31"/>
  <c r="BN11" i="31"/>
  <c r="BJ11" i="31"/>
  <c r="BF11" i="31"/>
  <c r="BB11" i="31"/>
  <c r="AX11" i="31"/>
  <c r="AT11" i="31"/>
  <c r="AP11" i="31"/>
  <c r="BM11" i="31"/>
  <c r="BH11" i="31"/>
  <c r="BC11" i="31"/>
  <c r="AW11" i="31"/>
  <c r="AR11" i="31"/>
  <c r="AM11" i="31"/>
  <c r="AI11" i="31"/>
  <c r="AE11" i="31"/>
  <c r="BQ11" i="31"/>
  <c r="BL11" i="31"/>
  <c r="BG11" i="31"/>
  <c r="BA11" i="31"/>
  <c r="AV11" i="31"/>
  <c r="AQ11" i="31"/>
  <c r="AL11" i="31"/>
  <c r="AH11" i="31"/>
  <c r="AD11" i="31"/>
  <c r="BP11" i="31"/>
  <c r="BK11" i="31"/>
  <c r="BE11" i="31"/>
  <c r="AZ11" i="31"/>
  <c r="AU11" i="31"/>
  <c r="AO11" i="31"/>
  <c r="AK11" i="31"/>
  <c r="AG11" i="31"/>
  <c r="AC11" i="31"/>
  <c r="BO11" i="31"/>
  <c r="BI11" i="31"/>
  <c r="BD11" i="31"/>
  <c r="AY11" i="31"/>
  <c r="AS11" i="31"/>
  <c r="AN11" i="31"/>
  <c r="AJ11" i="31"/>
  <c r="AF11" i="31"/>
  <c r="AB11" i="31"/>
  <c r="BO21" i="31"/>
  <c r="BK21" i="31"/>
  <c r="BG21" i="31"/>
  <c r="BC21" i="31"/>
  <c r="AY21" i="31"/>
  <c r="AU21" i="31"/>
  <c r="AQ21" i="31"/>
  <c r="AM21" i="31"/>
  <c r="AI21" i="31"/>
  <c r="AE21" i="31"/>
  <c r="BN21" i="31"/>
  <c r="BJ21" i="31"/>
  <c r="BF21" i="31"/>
  <c r="BB21" i="31"/>
  <c r="AX21" i="31"/>
  <c r="AT21" i="31"/>
  <c r="AP21" i="31"/>
  <c r="AL21" i="31"/>
  <c r="AH21" i="31"/>
  <c r="AD21" i="31"/>
  <c r="BQ21" i="31"/>
  <c r="BM21" i="31"/>
  <c r="BI21" i="31"/>
  <c r="BE21" i="31"/>
  <c r="BA21" i="31"/>
  <c r="AW21" i="31"/>
  <c r="AS21" i="31"/>
  <c r="AO21" i="31"/>
  <c r="AK21" i="31"/>
  <c r="AG21" i="31"/>
  <c r="AC21" i="31"/>
  <c r="BD21" i="31"/>
  <c r="AN21" i="31"/>
  <c r="BP21" i="31"/>
  <c r="AZ21" i="31"/>
  <c r="AJ21" i="31"/>
  <c r="BL21" i="31"/>
  <c r="AV21" i="31"/>
  <c r="AF21" i="31"/>
  <c r="BH21" i="31"/>
  <c r="AR21" i="31"/>
  <c r="AB21" i="31"/>
  <c r="BO7" i="31"/>
  <c r="BQ7" i="31"/>
  <c r="BM7" i="31"/>
  <c r="BI7" i="31"/>
  <c r="BE7" i="31"/>
  <c r="BA7" i="31"/>
  <c r="AW7" i="31"/>
  <c r="AS7" i="31"/>
  <c r="AO7" i="31"/>
  <c r="AK7" i="31"/>
  <c r="AG7" i="31"/>
  <c r="AC7" i="31"/>
  <c r="BP7" i="31"/>
  <c r="BL7" i="31"/>
  <c r="BH7" i="31"/>
  <c r="BD7" i="31"/>
  <c r="AZ7" i="31"/>
  <c r="AV7" i="31"/>
  <c r="AR7" i="31"/>
  <c r="AN7" i="31"/>
  <c r="AJ7" i="31"/>
  <c r="AF7" i="31"/>
  <c r="AB7" i="31"/>
  <c r="AI7" i="31"/>
  <c r="BN7" i="31"/>
  <c r="BF7" i="31"/>
  <c r="AX7" i="31"/>
  <c r="AP7" i="31"/>
  <c r="AH7" i="31"/>
  <c r="BJ7" i="31"/>
  <c r="AT7" i="31"/>
  <c r="AD7" i="31"/>
  <c r="BK7" i="31"/>
  <c r="BC7" i="31"/>
  <c r="AU7" i="31"/>
  <c r="AM7" i="31"/>
  <c r="AE7" i="31"/>
  <c r="BB7" i="31"/>
  <c r="AL7" i="31"/>
  <c r="BG7" i="31"/>
  <c r="AY7" i="31"/>
  <c r="AQ7" i="31"/>
  <c r="BN20" i="31"/>
  <c r="BJ20" i="31"/>
  <c r="BF20" i="31"/>
  <c r="BB20" i="31"/>
  <c r="AX20" i="31"/>
  <c r="AT20" i="31"/>
  <c r="AP20" i="31"/>
  <c r="AL20" i="31"/>
  <c r="AH20" i="31"/>
  <c r="AD20" i="31"/>
  <c r="BQ20" i="31"/>
  <c r="BM20" i="31"/>
  <c r="BI20" i="31"/>
  <c r="BE20" i="31"/>
  <c r="BA20" i="31"/>
  <c r="AW20" i="31"/>
  <c r="AS20" i="31"/>
  <c r="AO20" i="31"/>
  <c r="AK20" i="31"/>
  <c r="AG20" i="31"/>
  <c r="AC20" i="31"/>
  <c r="BP20" i="31"/>
  <c r="BL20" i="31"/>
  <c r="BH20" i="31"/>
  <c r="BD20" i="31"/>
  <c r="AZ20" i="31"/>
  <c r="AV20" i="31"/>
  <c r="AR20" i="31"/>
  <c r="AN20" i="31"/>
  <c r="AJ20" i="31"/>
  <c r="AF20" i="31"/>
  <c r="AB20" i="31"/>
  <c r="BK20" i="31"/>
  <c r="AU20" i="31"/>
  <c r="AE20" i="31"/>
  <c r="BG20" i="31"/>
  <c r="AQ20" i="31"/>
  <c r="BC20" i="31"/>
  <c r="AM20" i="31"/>
  <c r="BO20" i="31"/>
  <c r="AY20" i="31"/>
  <c r="AI20" i="31"/>
  <c r="BP18" i="31"/>
  <c r="BL18" i="31"/>
  <c r="BH18" i="31"/>
  <c r="BD18" i="31"/>
  <c r="AZ18" i="31"/>
  <c r="AV18" i="31"/>
  <c r="AR18" i="31"/>
  <c r="AN18" i="31"/>
  <c r="AJ18" i="31"/>
  <c r="AF18" i="31"/>
  <c r="AB18" i="31"/>
  <c r="BN18" i="31"/>
  <c r="BJ18" i="31"/>
  <c r="BF18" i="31"/>
  <c r="BB18" i="31"/>
  <c r="AX18" i="31"/>
  <c r="AT18" i="31"/>
  <c r="AP18" i="31"/>
  <c r="AL18" i="31"/>
  <c r="AH18" i="31"/>
  <c r="AD18" i="31"/>
  <c r="BM18" i="31"/>
  <c r="BE18" i="31"/>
  <c r="AW18" i="31"/>
  <c r="AO18" i="31"/>
  <c r="AG18" i="31"/>
  <c r="BQ18" i="31"/>
  <c r="BI18" i="31"/>
  <c r="BA18" i="31"/>
  <c r="AS18" i="31"/>
  <c r="AK18" i="31"/>
  <c r="AC18" i="31"/>
  <c r="BG18" i="31"/>
  <c r="AQ18" i="31"/>
  <c r="BC18" i="31"/>
  <c r="AM18" i="31"/>
  <c r="BO18" i="31"/>
  <c r="AY18" i="31"/>
  <c r="AI18" i="31"/>
  <c r="BK18" i="31"/>
  <c r="AU18" i="31"/>
  <c r="AE18" i="31"/>
  <c r="AN4" i="31"/>
  <c r="S15" i="30"/>
  <c r="R12" i="30"/>
  <c r="BL12" i="30" s="1"/>
  <c r="S9" i="30"/>
  <c r="R10" i="30"/>
  <c r="BK10" i="30" s="1"/>
  <c r="R14" i="30"/>
  <c r="AU14" i="30" s="1"/>
  <c r="S13" i="30"/>
  <c r="R15" i="30"/>
  <c r="AQ15" i="30" s="1"/>
  <c r="R18" i="30"/>
  <c r="BI18" i="30" s="1"/>
  <c r="S6" i="30"/>
  <c r="S17" i="30"/>
  <c r="S18" i="30"/>
  <c r="S14" i="30"/>
  <c r="S20" i="30"/>
  <c r="R21" i="30"/>
  <c r="BK21" i="30" s="1"/>
  <c r="S21" i="30"/>
  <c r="R17" i="30"/>
  <c r="BO17" i="30" s="1"/>
  <c r="S7" i="30"/>
  <c r="R11" i="30"/>
  <c r="BI11" i="30" s="1"/>
  <c r="S4" i="30"/>
  <c r="R4" i="30"/>
  <c r="R6" i="30"/>
  <c r="BQ6" i="30" s="1"/>
  <c r="S10" i="30"/>
  <c r="S11" i="30"/>
  <c r="R5" i="30"/>
  <c r="R7" i="30"/>
  <c r="R8" i="30"/>
  <c r="S5" i="30"/>
  <c r="S8" i="30"/>
  <c r="R9" i="30"/>
  <c r="S12" i="30"/>
  <c r="R13" i="30"/>
  <c r="R16" i="30"/>
  <c r="S16" i="30"/>
  <c r="S19" i="30"/>
  <c r="R20" i="30"/>
  <c r="S8" i="9"/>
  <c r="S9" i="9"/>
  <c r="S10" i="9"/>
  <c r="S11" i="9"/>
  <c r="S12" i="9"/>
  <c r="S13" i="9"/>
  <c r="S14" i="9"/>
  <c r="S15" i="9"/>
  <c r="S16" i="9"/>
  <c r="S17" i="9"/>
  <c r="S18" i="9"/>
  <c r="S19" i="9"/>
  <c r="S20" i="9"/>
  <c r="R5" i="29"/>
  <c r="S5" i="29" s="1"/>
  <c r="R6" i="29"/>
  <c r="S6" i="29" s="1"/>
  <c r="R7" i="29"/>
  <c r="S7" i="29" s="1"/>
  <c r="R8" i="29"/>
  <c r="S8" i="29" s="1"/>
  <c r="R9" i="29"/>
  <c r="S9" i="29" s="1"/>
  <c r="R10" i="29"/>
  <c r="S10" i="29" s="1"/>
  <c r="R11" i="29"/>
  <c r="S11" i="29" s="1"/>
  <c r="R12" i="29"/>
  <c r="S12" i="29" s="1"/>
  <c r="R13" i="29"/>
  <c r="S13" i="29" s="1"/>
  <c r="R14" i="29"/>
  <c r="S14" i="29" s="1"/>
  <c r="R15" i="29"/>
  <c r="S15" i="29" s="1"/>
  <c r="R16" i="29"/>
  <c r="S16" i="29" s="1"/>
  <c r="R17" i="29"/>
  <c r="S17" i="29" s="1"/>
  <c r="R18" i="29"/>
  <c r="S18" i="29" s="1"/>
  <c r="R19" i="29"/>
  <c r="S19" i="29" s="1"/>
  <c r="R20" i="29"/>
  <c r="S20" i="29" s="1"/>
  <c r="R21" i="29"/>
  <c r="S21" i="29" s="1"/>
  <c r="R4" i="29"/>
  <c r="S4" i="29" s="1"/>
  <c r="R8" i="9"/>
  <c r="R9" i="9"/>
  <c r="R10" i="9"/>
  <c r="R11" i="9"/>
  <c r="R12" i="9"/>
  <c r="R13" i="9"/>
  <c r="R14" i="9"/>
  <c r="R15" i="9"/>
  <c r="R16" i="9"/>
  <c r="R17" i="9"/>
  <c r="R18" i="9"/>
  <c r="R19" i="9"/>
  <c r="R20" i="9"/>
  <c r="X21" i="29"/>
  <c r="W21" i="29" s="1"/>
  <c r="V21" i="29" s="1"/>
  <c r="U21" i="29"/>
  <c r="O21" i="29"/>
  <c r="N21" i="29"/>
  <c r="C21" i="29"/>
  <c r="X20" i="29"/>
  <c r="W20" i="29" s="1"/>
  <c r="V20" i="29" s="1"/>
  <c r="U20" i="29"/>
  <c r="O20" i="29"/>
  <c r="N20" i="29"/>
  <c r="C20" i="29"/>
  <c r="X19" i="29"/>
  <c r="W19" i="29" s="1"/>
  <c r="V19" i="29" s="1"/>
  <c r="U19" i="29"/>
  <c r="O19" i="29"/>
  <c r="N19" i="29"/>
  <c r="C19" i="29"/>
  <c r="X18" i="29"/>
  <c r="W18" i="29" s="1"/>
  <c r="V18" i="29" s="1"/>
  <c r="U18" i="29"/>
  <c r="O18" i="29"/>
  <c r="N18" i="29"/>
  <c r="C18" i="29"/>
  <c r="X17" i="29"/>
  <c r="W17" i="29" s="1"/>
  <c r="V17" i="29" s="1"/>
  <c r="U17" i="29"/>
  <c r="O17" i="29"/>
  <c r="N17" i="29"/>
  <c r="C17" i="29"/>
  <c r="X16" i="29"/>
  <c r="W16" i="29" s="1"/>
  <c r="V16" i="29" s="1"/>
  <c r="U16" i="29"/>
  <c r="O16" i="29"/>
  <c r="N16" i="29"/>
  <c r="C16" i="29"/>
  <c r="X15" i="29"/>
  <c r="W15" i="29" s="1"/>
  <c r="V15" i="29" s="1"/>
  <c r="U15" i="29"/>
  <c r="O15" i="29"/>
  <c r="N15" i="29"/>
  <c r="C15" i="29"/>
  <c r="X14" i="29"/>
  <c r="W14" i="29"/>
  <c r="V14" i="29" s="1"/>
  <c r="U14" i="29"/>
  <c r="O14" i="29"/>
  <c r="N14" i="29"/>
  <c r="C14" i="29"/>
  <c r="X13" i="29"/>
  <c r="W13" i="29" s="1"/>
  <c r="V13" i="29" s="1"/>
  <c r="U13" i="29"/>
  <c r="O13" i="29"/>
  <c r="N13" i="29"/>
  <c r="C13" i="29"/>
  <c r="X12" i="29"/>
  <c r="W12" i="29" s="1"/>
  <c r="V12" i="29" s="1"/>
  <c r="U12" i="29"/>
  <c r="O12" i="29"/>
  <c r="N12" i="29"/>
  <c r="C12" i="29"/>
  <c r="X11" i="29"/>
  <c r="W11" i="29" s="1"/>
  <c r="V11" i="29" s="1"/>
  <c r="U11" i="29"/>
  <c r="O11" i="29"/>
  <c r="N11" i="29"/>
  <c r="C11" i="29"/>
  <c r="X10" i="29"/>
  <c r="W10" i="29" s="1"/>
  <c r="V10" i="29" s="1"/>
  <c r="U10" i="29"/>
  <c r="O10" i="29"/>
  <c r="N10" i="29"/>
  <c r="C10" i="29"/>
  <c r="X9" i="29"/>
  <c r="W9" i="29" s="1"/>
  <c r="V9" i="29" s="1"/>
  <c r="U9" i="29"/>
  <c r="O9" i="29"/>
  <c r="N9" i="29"/>
  <c r="C9" i="29"/>
  <c r="X8" i="29"/>
  <c r="W8" i="29" s="1"/>
  <c r="V8" i="29" s="1"/>
  <c r="U8" i="29"/>
  <c r="O8" i="29"/>
  <c r="N8" i="29"/>
  <c r="C8" i="29"/>
  <c r="X7" i="29"/>
  <c r="W7" i="29" s="1"/>
  <c r="V7" i="29" s="1"/>
  <c r="U7" i="29"/>
  <c r="O7" i="29"/>
  <c r="N7" i="29"/>
  <c r="C7" i="29"/>
  <c r="X6" i="29"/>
  <c r="W6" i="29" s="1"/>
  <c r="V6" i="29" s="1"/>
  <c r="U6" i="29"/>
  <c r="O6" i="29"/>
  <c r="N6" i="29"/>
  <c r="C6" i="29"/>
  <c r="X5" i="29"/>
  <c r="W5" i="29" s="1"/>
  <c r="V5" i="29" s="1"/>
  <c r="U5" i="29"/>
  <c r="O5" i="29"/>
  <c r="N5" i="29"/>
  <c r="C5" i="29"/>
  <c r="X4" i="29"/>
  <c r="W4" i="29" s="1"/>
  <c r="V4" i="29" s="1"/>
  <c r="U4" i="29"/>
  <c r="O4" i="29"/>
  <c r="N4" i="29"/>
  <c r="C4" i="29"/>
  <c r="BG19" i="30" l="1"/>
  <c r="AD19" i="30"/>
  <c r="AK19" i="30"/>
  <c r="AZ19" i="30"/>
  <c r="AE19" i="30"/>
  <c r="AM19" i="30"/>
  <c r="BD19" i="30"/>
  <c r="AT19" i="30"/>
  <c r="BJ19" i="30"/>
  <c r="AU19" i="30"/>
  <c r="AF19" i="30"/>
  <c r="BL19" i="30"/>
  <c r="BE19" i="30"/>
  <c r="AB19" i="30"/>
  <c r="BA19" i="30"/>
  <c r="AN19" i="30"/>
  <c r="BN19" i="30"/>
  <c r="BC19" i="30"/>
  <c r="AJ19" i="30"/>
  <c r="AC19" i="30"/>
  <c r="AO19" i="30"/>
  <c r="BI19" i="30"/>
  <c r="AP19" i="30"/>
  <c r="AX19" i="30"/>
  <c r="AQ19" i="30"/>
  <c r="BK19" i="30"/>
  <c r="AV19" i="30"/>
  <c r="BP19" i="30"/>
  <c r="AS19" i="30"/>
  <c r="BQ19" i="30"/>
  <c r="BR4" i="31"/>
  <c r="BR14" i="31"/>
  <c r="BR17" i="31"/>
  <c r="BR19" i="31"/>
  <c r="BK18" i="30"/>
  <c r="BR6" i="31"/>
  <c r="BD10" i="30"/>
  <c r="AG12" i="30"/>
  <c r="BO21" i="30"/>
  <c r="BJ12" i="30"/>
  <c r="AU6" i="30"/>
  <c r="BN15" i="30"/>
  <c r="AP14" i="30"/>
  <c r="AS6" i="30"/>
  <c r="AP6" i="30"/>
  <c r="AV14" i="30"/>
  <c r="AJ6" i="30"/>
  <c r="AY15" i="30"/>
  <c r="AO15" i="30"/>
  <c r="AZ11" i="30"/>
  <c r="AJ18" i="30"/>
  <c r="BO15" i="30"/>
  <c r="AX18" i="30"/>
  <c r="BP15" i="30"/>
  <c r="BG15" i="30"/>
  <c r="AE10" i="30"/>
  <c r="AU15" i="30"/>
  <c r="AV15" i="30"/>
  <c r="AU12" i="30"/>
  <c r="AH15" i="30"/>
  <c r="AS15" i="30"/>
  <c r="BA21" i="30"/>
  <c r="AB15" i="30"/>
  <c r="AF11" i="30"/>
  <c r="BG12" i="30"/>
  <c r="AT15" i="30"/>
  <c r="AZ15" i="30"/>
  <c r="BE15" i="30"/>
  <c r="BQ21" i="30"/>
  <c r="BF19" i="30"/>
  <c r="AH19" i="30"/>
  <c r="AI19" i="30"/>
  <c r="AY19" i="30"/>
  <c r="BO19" i="30"/>
  <c r="AR19" i="30"/>
  <c r="BH19" i="30"/>
  <c r="AG19" i="30"/>
  <c r="AW19" i="30"/>
  <c r="BM19" i="30"/>
  <c r="AL19" i="30"/>
  <c r="AS12" i="30"/>
  <c r="AF12" i="30"/>
  <c r="AN6" i="30"/>
  <c r="AY21" i="30"/>
  <c r="AI12" i="30"/>
  <c r="BD12" i="30"/>
  <c r="AR14" i="30"/>
  <c r="AG14" i="30"/>
  <c r="BB14" i="30"/>
  <c r="AC18" i="30"/>
  <c r="AF21" i="30"/>
  <c r="BM11" i="30"/>
  <c r="BE10" i="30"/>
  <c r="BA14" i="30"/>
  <c r="AP21" i="30"/>
  <c r="AB11" i="30"/>
  <c r="BD21" i="30"/>
  <c r="AD15" i="30"/>
  <c r="AE15" i="30"/>
  <c r="AC15" i="30"/>
  <c r="BI15" i="30"/>
  <c r="BM14" i="30"/>
  <c r="AZ21" i="30"/>
  <c r="AI21" i="30"/>
  <c r="BO14" i="30"/>
  <c r="AX11" i="30"/>
  <c r="AL10" i="30"/>
  <c r="AI6" i="30"/>
  <c r="AC6" i="30"/>
  <c r="BL15" i="30"/>
  <c r="AD11" i="30"/>
  <c r="AG11" i="30"/>
  <c r="BB6" i="30"/>
  <c r="AY6" i="30"/>
  <c r="BD6" i="30"/>
  <c r="BE6" i="30"/>
  <c r="AE11" i="30"/>
  <c r="AW11" i="30"/>
  <c r="BF6" i="30"/>
  <c r="BO6" i="30"/>
  <c r="BP6" i="30"/>
  <c r="BI6" i="30"/>
  <c r="BB15" i="30"/>
  <c r="AL12" i="30"/>
  <c r="BM12" i="30"/>
  <c r="BC12" i="30"/>
  <c r="AO12" i="30"/>
  <c r="BO12" i="30"/>
  <c r="BF12" i="30"/>
  <c r="AJ12" i="30"/>
  <c r="BH12" i="30"/>
  <c r="BK14" i="30"/>
  <c r="AK14" i="30"/>
  <c r="BQ14" i="30"/>
  <c r="BF14" i="30"/>
  <c r="AQ14" i="30"/>
  <c r="AQ12" i="30"/>
  <c r="AH12" i="30"/>
  <c r="BI12" i="30"/>
  <c r="AT12" i="30"/>
  <c r="AK12" i="30"/>
  <c r="BK12" i="30"/>
  <c r="AR12" i="30"/>
  <c r="BP12" i="30"/>
  <c r="AL6" i="30"/>
  <c r="AE6" i="30"/>
  <c r="BK6" i="30"/>
  <c r="AZ6" i="30"/>
  <c r="AO6" i="30"/>
  <c r="BH15" i="30"/>
  <c r="AN21" i="30"/>
  <c r="BD14" i="30"/>
  <c r="AW14" i="30"/>
  <c r="AL14" i="30"/>
  <c r="AI14" i="30"/>
  <c r="BB12" i="30"/>
  <c r="AM12" i="30"/>
  <c r="BN12" i="30"/>
  <c r="BE12" i="30"/>
  <c r="AP12" i="30"/>
  <c r="BQ12" i="30"/>
  <c r="AZ12" i="30"/>
  <c r="AM14" i="30"/>
  <c r="BR15" i="31"/>
  <c r="BR10" i="31"/>
  <c r="BR13" i="31"/>
  <c r="BR16" i="31"/>
  <c r="BR8" i="31"/>
  <c r="BR5" i="31"/>
  <c r="BR9" i="31"/>
  <c r="BR12" i="31"/>
  <c r="BR11" i="31"/>
  <c r="BR20" i="31"/>
  <c r="BR21" i="31"/>
  <c r="BR18" i="31"/>
  <c r="BR7" i="31"/>
  <c r="V4" i="30"/>
  <c r="AN4" i="30" s="1"/>
  <c r="BG18" i="30"/>
  <c r="BJ18" i="30"/>
  <c r="AT18" i="30"/>
  <c r="AD18" i="30"/>
  <c r="BE18" i="30"/>
  <c r="AO18" i="30"/>
  <c r="BP18" i="30"/>
  <c r="AZ18" i="30"/>
  <c r="AF18" i="30"/>
  <c r="BO18" i="30"/>
  <c r="AU18" i="30"/>
  <c r="AQ18" i="30"/>
  <c r="BF18" i="30"/>
  <c r="AP18" i="30"/>
  <c r="BQ18" i="30"/>
  <c r="BA18" i="30"/>
  <c r="AK18" i="30"/>
  <c r="BL18" i="30"/>
  <c r="AV18" i="30"/>
  <c r="AB18" i="30"/>
  <c r="AY18" i="30"/>
  <c r="AE18" i="30"/>
  <c r="BN10" i="30"/>
  <c r="BA10" i="30"/>
  <c r="AK10" i="30"/>
  <c r="BL10" i="30"/>
  <c r="AV10" i="30"/>
  <c r="AB10" i="30"/>
  <c r="BC10" i="30"/>
  <c r="AM10" i="30"/>
  <c r="BJ10" i="30"/>
  <c r="AT10" i="30"/>
  <c r="AD10" i="30"/>
  <c r="BM10" i="30"/>
  <c r="AW10" i="30"/>
  <c r="AG10" i="30"/>
  <c r="BH10" i="30"/>
  <c r="AR10" i="30"/>
  <c r="BP10" i="30"/>
  <c r="AY10" i="30"/>
  <c r="AI10" i="30"/>
  <c r="BF10" i="30"/>
  <c r="AP10" i="30"/>
  <c r="BI10" i="30"/>
  <c r="AS10" i="30"/>
  <c r="AI18" i="30"/>
  <c r="AR18" i="30"/>
  <c r="AG18" i="30"/>
  <c r="BM18" i="30"/>
  <c r="BB18" i="30"/>
  <c r="AX10" i="30"/>
  <c r="AQ10" i="30"/>
  <c r="AF10" i="30"/>
  <c r="BQ10" i="30"/>
  <c r="AM18" i="30"/>
  <c r="BD18" i="30"/>
  <c r="AS18" i="30"/>
  <c r="AH18" i="30"/>
  <c r="BN18" i="30"/>
  <c r="BB10" i="30"/>
  <c r="AU10" i="30"/>
  <c r="AJ10" i="30"/>
  <c r="AC10" i="30"/>
  <c r="BC4" i="30"/>
  <c r="BQ4" i="30"/>
  <c r="BD17" i="30"/>
  <c r="AP17" i="30"/>
  <c r="AZ17" i="30"/>
  <c r="BC18" i="30"/>
  <c r="BH18" i="30"/>
  <c r="AW18" i="30"/>
  <c r="AL18" i="30"/>
  <c r="AH10" i="30"/>
  <c r="BO10" i="30"/>
  <c r="BG10" i="30"/>
  <c r="AZ10" i="30"/>
  <c r="AO10" i="30"/>
  <c r="BD4" i="30"/>
  <c r="AN18" i="30"/>
  <c r="BC15" i="30"/>
  <c r="AI15" i="30"/>
  <c r="BD15" i="30"/>
  <c r="AJ15" i="30"/>
  <c r="BF15" i="30"/>
  <c r="AG15" i="30"/>
  <c r="AW15" i="30"/>
  <c r="BM15" i="30"/>
  <c r="AX15" i="30"/>
  <c r="AL15" i="30"/>
  <c r="AN10" i="30"/>
  <c r="AF15" i="30"/>
  <c r="AR15" i="30"/>
  <c r="AN15" i="30"/>
  <c r="BJ15" i="30"/>
  <c r="AP15" i="30"/>
  <c r="BK15" i="30"/>
  <c r="AK15" i="30"/>
  <c r="BA15" i="30"/>
  <c r="BQ15" i="30"/>
  <c r="AK21" i="30"/>
  <c r="BF21" i="30"/>
  <c r="AM15" i="30"/>
  <c r="AN12" i="30"/>
  <c r="AY11" i="30"/>
  <c r="BB11" i="30"/>
  <c r="AW12" i="30"/>
  <c r="AC12" i="30"/>
  <c r="AX12" i="30"/>
  <c r="AD12" i="30"/>
  <c r="AY12" i="30"/>
  <c r="AE12" i="30"/>
  <c r="BA12" i="30"/>
  <c r="AB12" i="30"/>
  <c r="AV12" i="30"/>
  <c r="AB21" i="30"/>
  <c r="BP21" i="30"/>
  <c r="BE21" i="30"/>
  <c r="AT21" i="30"/>
  <c r="AM21" i="30"/>
  <c r="BC11" i="30"/>
  <c r="BD11" i="30"/>
  <c r="AL11" i="30"/>
  <c r="AK11" i="30"/>
  <c r="AF14" i="30"/>
  <c r="AO14" i="30"/>
  <c r="BE14" i="30"/>
  <c r="AD14" i="30"/>
  <c r="AT14" i="30"/>
  <c r="BJ14" i="30"/>
  <c r="AR21" i="30"/>
  <c r="BL21" i="30"/>
  <c r="AC21" i="30"/>
  <c r="AS21" i="30"/>
  <c r="BI21" i="30"/>
  <c r="AH21" i="30"/>
  <c r="AX21" i="30"/>
  <c r="BN21" i="30"/>
  <c r="AQ21" i="30"/>
  <c r="BG21" i="30"/>
  <c r="BG14" i="30"/>
  <c r="AM11" i="30"/>
  <c r="BH11" i="30"/>
  <c r="AN11" i="30"/>
  <c r="BJ11" i="30"/>
  <c r="AP11" i="30"/>
  <c r="BK11" i="30"/>
  <c r="AQ11" i="30"/>
  <c r="BL11" i="30"/>
  <c r="AO11" i="30"/>
  <c r="BE11" i="30"/>
  <c r="AD6" i="30"/>
  <c r="AT6" i="30"/>
  <c r="BJ6" i="30"/>
  <c r="AM6" i="30"/>
  <c r="BC6" i="30"/>
  <c r="AB6" i="30"/>
  <c r="AR6" i="30"/>
  <c r="BH6" i="30"/>
  <c r="AG6" i="30"/>
  <c r="AW6" i="30"/>
  <c r="BM6" i="30"/>
  <c r="AN14" i="30"/>
  <c r="AZ14" i="30"/>
  <c r="AE14" i="30"/>
  <c r="AV21" i="30"/>
  <c r="AO21" i="30"/>
  <c r="AD21" i="30"/>
  <c r="BJ21" i="30"/>
  <c r="BC21" i="30"/>
  <c r="AH11" i="30"/>
  <c r="AI11" i="30"/>
  <c r="AJ11" i="30"/>
  <c r="BF11" i="30"/>
  <c r="BG11" i="30"/>
  <c r="BA11" i="30"/>
  <c r="BQ11" i="30"/>
  <c r="BC14" i="30"/>
  <c r="BH14" i="30"/>
  <c r="BP14" i="30"/>
  <c r="BL14" i="30"/>
  <c r="AC14" i="30"/>
  <c r="AS14" i="30"/>
  <c r="BI14" i="30"/>
  <c r="AH14" i="30"/>
  <c r="AX14" i="30"/>
  <c r="BN14" i="30"/>
  <c r="BH21" i="30"/>
  <c r="AJ21" i="30"/>
  <c r="AG21" i="30"/>
  <c r="AW21" i="30"/>
  <c r="BM21" i="30"/>
  <c r="AL21" i="30"/>
  <c r="BB21" i="30"/>
  <c r="AE21" i="30"/>
  <c r="AU21" i="30"/>
  <c r="AY14" i="30"/>
  <c r="AR11" i="30"/>
  <c r="BN11" i="30"/>
  <c r="AT11" i="30"/>
  <c r="BO11" i="30"/>
  <c r="AU11" i="30"/>
  <c r="BP11" i="30"/>
  <c r="AV11" i="30"/>
  <c r="AC11" i="30"/>
  <c r="AS11" i="30"/>
  <c r="AH6" i="30"/>
  <c r="AX6" i="30"/>
  <c r="BN6" i="30"/>
  <c r="AQ6" i="30"/>
  <c r="BG6" i="30"/>
  <c r="AF6" i="30"/>
  <c r="AV6" i="30"/>
  <c r="BL6" i="30"/>
  <c r="AK6" i="30"/>
  <c r="BA6" i="30"/>
  <c r="AJ14" i="30"/>
  <c r="AB14" i="30"/>
  <c r="AK17" i="30"/>
  <c r="BF17" i="30"/>
  <c r="AM4" i="30"/>
  <c r="AD4" i="30"/>
  <c r="AN17" i="30"/>
  <c r="BA17" i="30"/>
  <c r="AI17" i="30"/>
  <c r="BK4" i="30"/>
  <c r="AK4" i="30"/>
  <c r="AT4" i="30"/>
  <c r="AF17" i="30"/>
  <c r="BQ17" i="30"/>
  <c r="AY17" i="30"/>
  <c r="BA4" i="30"/>
  <c r="BJ4" i="30"/>
  <c r="BE4" i="30"/>
  <c r="AV17" i="30"/>
  <c r="AO17" i="30"/>
  <c r="AD17" i="30"/>
  <c r="AT17" i="30"/>
  <c r="BJ17" i="30"/>
  <c r="BC17" i="30"/>
  <c r="AB4" i="30"/>
  <c r="AR4" i="30"/>
  <c r="BH4" i="30"/>
  <c r="BO4" i="30"/>
  <c r="AO4" i="30"/>
  <c r="AI4" i="30"/>
  <c r="AH4" i="30"/>
  <c r="AX4" i="30"/>
  <c r="BN4" i="30"/>
  <c r="AR17" i="30"/>
  <c r="BL17" i="30"/>
  <c r="AC17" i="30"/>
  <c r="AS17" i="30"/>
  <c r="BI17" i="30"/>
  <c r="AH17" i="30"/>
  <c r="AX17" i="30"/>
  <c r="BN17" i="30"/>
  <c r="AQ17" i="30"/>
  <c r="BG17" i="30"/>
  <c r="AQ4" i="30"/>
  <c r="AF4" i="30"/>
  <c r="AV4" i="30"/>
  <c r="BL4" i="30"/>
  <c r="AC4" i="30"/>
  <c r="AS4" i="30"/>
  <c r="BI4" i="30"/>
  <c r="AU4" i="30"/>
  <c r="AL4" i="30"/>
  <c r="BB4" i="30"/>
  <c r="AE4" i="30"/>
  <c r="AB17" i="30"/>
  <c r="BP17" i="30"/>
  <c r="BE17" i="30"/>
  <c r="AM17" i="30"/>
  <c r="BH17" i="30"/>
  <c r="AJ17" i="30"/>
  <c r="AG17" i="30"/>
  <c r="AW17" i="30"/>
  <c r="BM17" i="30"/>
  <c r="AL17" i="30"/>
  <c r="BB17" i="30"/>
  <c r="AE17" i="30"/>
  <c r="AU17" i="30"/>
  <c r="BK17" i="30"/>
  <c r="AY4" i="30"/>
  <c r="AJ4" i="30"/>
  <c r="AZ4" i="30"/>
  <c r="BP4" i="30"/>
  <c r="AG4" i="30"/>
  <c r="AW4" i="30"/>
  <c r="BM4" i="30"/>
  <c r="BG4" i="30"/>
  <c r="AP4" i="30"/>
  <c r="BF4" i="30"/>
  <c r="BP16" i="30"/>
  <c r="BL16" i="30"/>
  <c r="BH16" i="30"/>
  <c r="BD16" i="30"/>
  <c r="AZ16" i="30"/>
  <c r="AV16" i="30"/>
  <c r="AR16" i="30"/>
  <c r="AN16" i="30"/>
  <c r="AJ16" i="30"/>
  <c r="AF16" i="30"/>
  <c r="AB16" i="30"/>
  <c r="BQ16" i="30"/>
  <c r="BK16" i="30"/>
  <c r="BF16" i="30"/>
  <c r="BA16" i="30"/>
  <c r="AU16" i="30"/>
  <c r="AP16" i="30"/>
  <c r="AK16" i="30"/>
  <c r="AE16" i="30"/>
  <c r="BO16" i="30"/>
  <c r="BJ16" i="30"/>
  <c r="BE16" i="30"/>
  <c r="AY16" i="30"/>
  <c r="AT16" i="30"/>
  <c r="AO16" i="30"/>
  <c r="AI16" i="30"/>
  <c r="AD16" i="30"/>
  <c r="BN16" i="30"/>
  <c r="BI16" i="30"/>
  <c r="BC16" i="30"/>
  <c r="AX16" i="30"/>
  <c r="AS16" i="30"/>
  <c r="AM16" i="30"/>
  <c r="AH16" i="30"/>
  <c r="AC16" i="30"/>
  <c r="BB16" i="30"/>
  <c r="AG16" i="30"/>
  <c r="AW16" i="30"/>
  <c r="BM16" i="30"/>
  <c r="AQ16" i="30"/>
  <c r="BG16" i="30"/>
  <c r="AL16" i="30"/>
  <c r="BQ7" i="30"/>
  <c r="BM7" i="30"/>
  <c r="BI7" i="30"/>
  <c r="BE7" i="30"/>
  <c r="BA7" i="30"/>
  <c r="AW7" i="30"/>
  <c r="BL7" i="30"/>
  <c r="BG7" i="30"/>
  <c r="BB7" i="30"/>
  <c r="AV7" i="30"/>
  <c r="AR7" i="30"/>
  <c r="AN7" i="30"/>
  <c r="AJ7" i="30"/>
  <c r="AF7" i="30"/>
  <c r="AB7" i="30"/>
  <c r="BP7" i="30"/>
  <c r="BK7" i="30"/>
  <c r="BF7" i="30"/>
  <c r="AZ7" i="30"/>
  <c r="AU7" i="30"/>
  <c r="AQ7" i="30"/>
  <c r="AM7" i="30"/>
  <c r="AI7" i="30"/>
  <c r="AE7" i="30"/>
  <c r="BO7" i="30"/>
  <c r="BJ7" i="30"/>
  <c r="BD7" i="30"/>
  <c r="AY7" i="30"/>
  <c r="AT7" i="30"/>
  <c r="AP7" i="30"/>
  <c r="AL7" i="30"/>
  <c r="AH7" i="30"/>
  <c r="AD7" i="30"/>
  <c r="BN7" i="30"/>
  <c r="BH7" i="30"/>
  <c r="BC7" i="30"/>
  <c r="AX7" i="30"/>
  <c r="AS7" i="30"/>
  <c r="AO7" i="30"/>
  <c r="AK7" i="30"/>
  <c r="AG7" i="30"/>
  <c r="AC7" i="30"/>
  <c r="BP20" i="30"/>
  <c r="BL20" i="30"/>
  <c r="BH20" i="30"/>
  <c r="BD20" i="30"/>
  <c r="AZ20" i="30"/>
  <c r="AV20" i="30"/>
  <c r="AR20" i="30"/>
  <c r="AN20" i="30"/>
  <c r="AJ20" i="30"/>
  <c r="AF20" i="30"/>
  <c r="AB20" i="30"/>
  <c r="BO20" i="30"/>
  <c r="BK20" i="30"/>
  <c r="BG20" i="30"/>
  <c r="BC20" i="30"/>
  <c r="AY20" i="30"/>
  <c r="AU20" i="30"/>
  <c r="AQ20" i="30"/>
  <c r="AM20" i="30"/>
  <c r="AI20" i="30"/>
  <c r="AE20" i="30"/>
  <c r="BN20" i="30"/>
  <c r="BJ20" i="30"/>
  <c r="BF20" i="30"/>
  <c r="BB20" i="30"/>
  <c r="AX20" i="30"/>
  <c r="AT20" i="30"/>
  <c r="AP20" i="30"/>
  <c r="AL20" i="30"/>
  <c r="AH20" i="30"/>
  <c r="AD20" i="30"/>
  <c r="BI20" i="30"/>
  <c r="AS20" i="30"/>
  <c r="AC20" i="30"/>
  <c r="BE20" i="30"/>
  <c r="AO20" i="30"/>
  <c r="BQ20" i="30"/>
  <c r="BA20" i="30"/>
  <c r="AK20" i="30"/>
  <c r="BM20" i="30"/>
  <c r="AW20" i="30"/>
  <c r="AG20" i="30"/>
  <c r="BO13" i="30"/>
  <c r="BK13" i="30"/>
  <c r="BG13" i="30"/>
  <c r="BC13" i="30"/>
  <c r="AY13" i="30"/>
  <c r="AU13" i="30"/>
  <c r="AQ13" i="30"/>
  <c r="AM13" i="30"/>
  <c r="AI13" i="30"/>
  <c r="AE13" i="30"/>
  <c r="BN13" i="30"/>
  <c r="BJ13" i="30"/>
  <c r="BF13" i="30"/>
  <c r="BL13" i="30"/>
  <c r="BD13" i="30"/>
  <c r="AX13" i="30"/>
  <c r="AS13" i="30"/>
  <c r="AN13" i="30"/>
  <c r="AH13" i="30"/>
  <c r="AC13" i="30"/>
  <c r="BQ13" i="30"/>
  <c r="BI13" i="30"/>
  <c r="BB13" i="30"/>
  <c r="AW13" i="30"/>
  <c r="AR13" i="30"/>
  <c r="AL13" i="30"/>
  <c r="AG13" i="30"/>
  <c r="AB13" i="30"/>
  <c r="BP13" i="30"/>
  <c r="BH13" i="30"/>
  <c r="BA13" i="30"/>
  <c r="AV13" i="30"/>
  <c r="AP13" i="30"/>
  <c r="AK13" i="30"/>
  <c r="AF13" i="30"/>
  <c r="BM13" i="30"/>
  <c r="BE13" i="30"/>
  <c r="AZ13" i="30"/>
  <c r="AT13" i="30"/>
  <c r="AO13" i="30"/>
  <c r="AJ13" i="30"/>
  <c r="AD13" i="30"/>
  <c r="BN9" i="30"/>
  <c r="BJ9" i="30"/>
  <c r="BF9" i="30"/>
  <c r="BB9" i="30"/>
  <c r="AX9" i="30"/>
  <c r="AT9" i="30"/>
  <c r="AP9" i="30"/>
  <c r="AL9" i="30"/>
  <c r="AH9" i="30"/>
  <c r="AD9" i="30"/>
  <c r="BQ9" i="30"/>
  <c r="BM9" i="30"/>
  <c r="BI9" i="30"/>
  <c r="BE9" i="30"/>
  <c r="BA9" i="30"/>
  <c r="AW9" i="30"/>
  <c r="AS9" i="30"/>
  <c r="AO9" i="30"/>
  <c r="AK9" i="30"/>
  <c r="AG9" i="30"/>
  <c r="AC9" i="30"/>
  <c r="BP9" i="30"/>
  <c r="BL9" i="30"/>
  <c r="BH9" i="30"/>
  <c r="BD9" i="30"/>
  <c r="AZ9" i="30"/>
  <c r="AV9" i="30"/>
  <c r="AR9" i="30"/>
  <c r="AN9" i="30"/>
  <c r="AJ9" i="30"/>
  <c r="AF9" i="30"/>
  <c r="AB9" i="30"/>
  <c r="BO9" i="30"/>
  <c r="BK9" i="30"/>
  <c r="BG9" i="30"/>
  <c r="BC9" i="30"/>
  <c r="AY9" i="30"/>
  <c r="AU9" i="30"/>
  <c r="AQ9" i="30"/>
  <c r="AM9" i="30"/>
  <c r="AI9" i="30"/>
  <c r="AE9" i="30"/>
  <c r="BN5" i="30"/>
  <c r="BJ5" i="30"/>
  <c r="BF5" i="30"/>
  <c r="BB5" i="30"/>
  <c r="AX5" i="30"/>
  <c r="AT5" i="30"/>
  <c r="AP5" i="30"/>
  <c r="AL5" i="30"/>
  <c r="AH5" i="30"/>
  <c r="AD5" i="30"/>
  <c r="BQ5" i="30"/>
  <c r="BM5" i="30"/>
  <c r="BI5" i="30"/>
  <c r="BE5" i="30"/>
  <c r="BA5" i="30"/>
  <c r="AW5" i="30"/>
  <c r="AS5" i="30"/>
  <c r="AO5" i="30"/>
  <c r="AK5" i="30"/>
  <c r="AG5" i="30"/>
  <c r="AC5" i="30"/>
  <c r="BP5" i="30"/>
  <c r="BL5" i="30"/>
  <c r="BH5" i="30"/>
  <c r="BD5" i="30"/>
  <c r="AZ5" i="30"/>
  <c r="AV5" i="30"/>
  <c r="AR5" i="30"/>
  <c r="AN5" i="30"/>
  <c r="AJ5" i="30"/>
  <c r="AF5" i="30"/>
  <c r="AB5" i="30"/>
  <c r="BO5" i="30"/>
  <c r="BK5" i="30"/>
  <c r="BG5" i="30"/>
  <c r="BC5" i="30"/>
  <c r="AY5" i="30"/>
  <c r="AU5" i="30"/>
  <c r="AQ5" i="30"/>
  <c r="AM5" i="30"/>
  <c r="AI5" i="30"/>
  <c r="AE5" i="30"/>
  <c r="BO8" i="30"/>
  <c r="BK8" i="30"/>
  <c r="BQ8" i="30"/>
  <c r="BM8" i="30"/>
  <c r="BI8" i="30"/>
  <c r="BE8" i="30"/>
  <c r="BA8" i="30"/>
  <c r="AW8" i="30"/>
  <c r="AS8" i="30"/>
  <c r="AO8" i="30"/>
  <c r="AK8" i="30"/>
  <c r="AG8" i="30"/>
  <c r="AC8" i="30"/>
  <c r="BP8" i="30"/>
  <c r="BL8" i="30"/>
  <c r="BH8" i="30"/>
  <c r="BD8" i="30"/>
  <c r="AZ8" i="30"/>
  <c r="AV8" i="30"/>
  <c r="AR8" i="30"/>
  <c r="AN8" i="30"/>
  <c r="AJ8" i="30"/>
  <c r="AF8" i="30"/>
  <c r="AB8" i="30"/>
  <c r="BG8" i="30"/>
  <c r="AY8" i="30"/>
  <c r="AQ8" i="30"/>
  <c r="AI8" i="30"/>
  <c r="BF8" i="30"/>
  <c r="AX8" i="30"/>
  <c r="AP8" i="30"/>
  <c r="AH8" i="30"/>
  <c r="BN8" i="30"/>
  <c r="BC8" i="30"/>
  <c r="AU8" i="30"/>
  <c r="AM8" i="30"/>
  <c r="AE8" i="30"/>
  <c r="BJ8" i="30"/>
  <c r="BB8" i="30"/>
  <c r="AT8" i="30"/>
  <c r="AL8" i="30"/>
  <c r="AD8" i="30"/>
  <c r="Q11" i="29"/>
  <c r="Q14" i="29"/>
  <c r="Q10" i="29"/>
  <c r="Q19" i="29"/>
  <c r="Q7" i="29"/>
  <c r="Q20" i="29"/>
  <c r="P21" i="29"/>
  <c r="BL21" i="29" s="1"/>
  <c r="P19" i="29"/>
  <c r="Y19" i="29" s="1"/>
  <c r="P12" i="29"/>
  <c r="AY12" i="29" s="1"/>
  <c r="Q16" i="29"/>
  <c r="P9" i="29"/>
  <c r="AL9" i="29" s="1"/>
  <c r="Q13" i="29"/>
  <c r="P17" i="29"/>
  <c r="AD17" i="29" s="1"/>
  <c r="Q5" i="29"/>
  <c r="Q6" i="29"/>
  <c r="P10" i="29"/>
  <c r="AR10" i="29" s="1"/>
  <c r="P5" i="29"/>
  <c r="AY5" i="29" s="1"/>
  <c r="P6" i="29"/>
  <c r="BM6" i="29" s="1"/>
  <c r="P11" i="29"/>
  <c r="BI11" i="29" s="1"/>
  <c r="P16" i="29"/>
  <c r="AP16" i="29" s="1"/>
  <c r="Q17" i="29"/>
  <c r="P20" i="29"/>
  <c r="AY20" i="29" s="1"/>
  <c r="Q4" i="29"/>
  <c r="P15" i="29"/>
  <c r="BI15" i="29" s="1"/>
  <c r="Q12" i="29"/>
  <c r="P4" i="29"/>
  <c r="P7" i="29"/>
  <c r="P8" i="29"/>
  <c r="Q8" i="29"/>
  <c r="Q9" i="29"/>
  <c r="P13" i="29"/>
  <c r="P14" i="29"/>
  <c r="P18" i="29"/>
  <c r="Q15" i="29"/>
  <c r="Q18" i="29"/>
  <c r="Q21" i="29"/>
  <c r="Q8" i="9"/>
  <c r="Q9" i="9"/>
  <c r="Q10" i="9"/>
  <c r="Q11" i="9"/>
  <c r="Q12" i="9"/>
  <c r="Q13" i="9"/>
  <c r="Q14" i="9"/>
  <c r="Q15" i="9"/>
  <c r="Q16" i="9"/>
  <c r="Q17" i="9"/>
  <c r="Q18" i="9"/>
  <c r="Q19" i="9"/>
  <c r="Q20" i="9"/>
  <c r="T5" i="28"/>
  <c r="U5" i="28" s="1"/>
  <c r="V5" i="28" s="1"/>
  <c r="X5" i="28"/>
  <c r="AA5" i="28"/>
  <c r="Z5" i="28" s="1"/>
  <c r="Y5" i="28" s="1"/>
  <c r="T6" i="28"/>
  <c r="U6" i="28" s="1"/>
  <c r="V6" i="28" s="1"/>
  <c r="X6" i="28"/>
  <c r="Z6" i="28"/>
  <c r="Y6" i="28" s="1"/>
  <c r="AA6" i="28"/>
  <c r="T7" i="28"/>
  <c r="U7" i="28" s="1"/>
  <c r="V7" i="28" s="1"/>
  <c r="X7" i="28"/>
  <c r="Z7" i="28"/>
  <c r="Y7" i="28" s="1"/>
  <c r="AA7" i="28"/>
  <c r="T8" i="28"/>
  <c r="U8" i="28" s="1"/>
  <c r="V8" i="28" s="1"/>
  <c r="X8" i="28"/>
  <c r="AA8" i="28"/>
  <c r="Z8" i="28" s="1"/>
  <c r="Y8" i="28" s="1"/>
  <c r="T9" i="28"/>
  <c r="U9" i="28" s="1"/>
  <c r="V9" i="28" s="1"/>
  <c r="X9" i="28"/>
  <c r="AA9" i="28"/>
  <c r="Z9" i="28" s="1"/>
  <c r="Y9" i="28" s="1"/>
  <c r="T10" i="28"/>
  <c r="U10" i="28" s="1"/>
  <c r="V10" i="28" s="1"/>
  <c r="X10" i="28"/>
  <c r="Z10" i="28"/>
  <c r="Y10" i="28" s="1"/>
  <c r="AA10" i="28"/>
  <c r="T11" i="28"/>
  <c r="U11" i="28" s="1"/>
  <c r="V11" i="28" s="1"/>
  <c r="X11" i="28"/>
  <c r="AA11" i="28"/>
  <c r="Z11" i="28" s="1"/>
  <c r="Y11" i="28" s="1"/>
  <c r="T12" i="28"/>
  <c r="U12" i="28" s="1"/>
  <c r="V12" i="28" s="1"/>
  <c r="X12" i="28"/>
  <c r="Y12" i="28"/>
  <c r="AA12" i="28"/>
  <c r="Z12" i="28" s="1"/>
  <c r="T13" i="28"/>
  <c r="U13" i="28" s="1"/>
  <c r="V13" i="28" s="1"/>
  <c r="X13" i="28"/>
  <c r="AA13" i="28"/>
  <c r="Z13" i="28" s="1"/>
  <c r="Y13" i="28" s="1"/>
  <c r="T14" i="28"/>
  <c r="U14" i="28" s="1"/>
  <c r="V14" i="28" s="1"/>
  <c r="X14" i="28"/>
  <c r="AA14" i="28"/>
  <c r="Z14" i="28" s="1"/>
  <c r="Y14" i="28" s="1"/>
  <c r="T15" i="28"/>
  <c r="U15" i="28" s="1"/>
  <c r="V15" i="28" s="1"/>
  <c r="X15" i="28"/>
  <c r="AA15" i="28"/>
  <c r="Z15" i="28" s="1"/>
  <c r="Y15" i="28" s="1"/>
  <c r="T16" i="28"/>
  <c r="U16" i="28" s="1"/>
  <c r="V16" i="28" s="1"/>
  <c r="X16" i="28"/>
  <c r="AA16" i="28"/>
  <c r="Z16" i="28" s="1"/>
  <c r="Y16" i="28" s="1"/>
  <c r="T17" i="28"/>
  <c r="U17" i="28" s="1"/>
  <c r="V17" i="28" s="1"/>
  <c r="X17" i="28"/>
  <c r="AA17" i="28"/>
  <c r="Z17" i="28" s="1"/>
  <c r="Y17" i="28" s="1"/>
  <c r="T18" i="28"/>
  <c r="U18" i="28" s="1"/>
  <c r="V18" i="28" s="1"/>
  <c r="X18" i="28"/>
  <c r="AA18" i="28"/>
  <c r="Z18" i="28" s="1"/>
  <c r="Y18" i="28" s="1"/>
  <c r="T19" i="28"/>
  <c r="U19" i="28" s="1"/>
  <c r="V19" i="28" s="1"/>
  <c r="X19" i="28"/>
  <c r="AA19" i="28"/>
  <c r="Z19" i="28" s="1"/>
  <c r="Y19" i="28" s="1"/>
  <c r="T20" i="28"/>
  <c r="U20" i="28" s="1"/>
  <c r="V20" i="28" s="1"/>
  <c r="X20" i="28"/>
  <c r="AA20" i="28"/>
  <c r="Z20" i="28" s="1"/>
  <c r="Y20" i="28" s="1"/>
  <c r="T21" i="28"/>
  <c r="U21" i="28" s="1"/>
  <c r="V21" i="28" s="1"/>
  <c r="X21" i="28"/>
  <c r="AA21" i="28"/>
  <c r="Z21" i="28" s="1"/>
  <c r="Y21" i="28" s="1"/>
  <c r="T4" i="28"/>
  <c r="U4" i="28" s="1"/>
  <c r="V4" i="28" s="1"/>
  <c r="AD9" i="29" l="1"/>
  <c r="AA19" i="29"/>
  <c r="BI17" i="29"/>
  <c r="AU15" i="29"/>
  <c r="BR19" i="30"/>
  <c r="AH20" i="29"/>
  <c r="BN20" i="29"/>
  <c r="BC11" i="29"/>
  <c r="AU9" i="29"/>
  <c r="BF17" i="29"/>
  <c r="BB12" i="29"/>
  <c r="BL20" i="29"/>
  <c r="BC20" i="29"/>
  <c r="AH11" i="29"/>
  <c r="BN15" i="29"/>
  <c r="BB5" i="29"/>
  <c r="AS20" i="29"/>
  <c r="AC12" i="29"/>
  <c r="BB6" i="29"/>
  <c r="AL17" i="29"/>
  <c r="AM12" i="29"/>
  <c r="AZ15" i="29"/>
  <c r="AW15" i="29"/>
  <c r="AF5" i="29"/>
  <c r="Z15" i="29"/>
  <c r="AZ5" i="29"/>
  <c r="BB15" i="29"/>
  <c r="AI17" i="29"/>
  <c r="AW12" i="29"/>
  <c r="AB11" i="29"/>
  <c r="AI15" i="29"/>
  <c r="Y15" i="29"/>
  <c r="AB9" i="29"/>
  <c r="AG5" i="29"/>
  <c r="BH20" i="29"/>
  <c r="AC20" i="29"/>
  <c r="AX20" i="29"/>
  <c r="AG6" i="29"/>
  <c r="AU6" i="29"/>
  <c r="BN6" i="29"/>
  <c r="BK6" i="29"/>
  <c r="BI20" i="29"/>
  <c r="AM20" i="29"/>
  <c r="BN10" i="29"/>
  <c r="AL6" i="29"/>
  <c r="AN6" i="29"/>
  <c r="BE19" i="29"/>
  <c r="AT17" i="29"/>
  <c r="BH17" i="29"/>
  <c r="AY17" i="29"/>
  <c r="AN12" i="29"/>
  <c r="BM12" i="29"/>
  <c r="BD15" i="29"/>
  <c r="AB15" i="29"/>
  <c r="AR15" i="29"/>
  <c r="BA15" i="29"/>
  <c r="AW5" i="29"/>
  <c r="AM5" i="29"/>
  <c r="AK17" i="29"/>
  <c r="AN17" i="29"/>
  <c r="AU16" i="29"/>
  <c r="BD12" i="29"/>
  <c r="AL12" i="29"/>
  <c r="AA15" i="29"/>
  <c r="AV15" i="29"/>
  <c r="AX15" i="29"/>
  <c r="BM15" i="29"/>
  <c r="AL5" i="29"/>
  <c r="BC5" i="29"/>
  <c r="AK12" i="29"/>
  <c r="BK21" i="29"/>
  <c r="AE21" i="29"/>
  <c r="BD21" i="29"/>
  <c r="AK9" i="29"/>
  <c r="AE11" i="29"/>
  <c r="BN11" i="29"/>
  <c r="BM9" i="29"/>
  <c r="BH9" i="29"/>
  <c r="AC21" i="29"/>
  <c r="BA21" i="29"/>
  <c r="AQ21" i="29"/>
  <c r="AQ11" i="29"/>
  <c r="AG11" i="29"/>
  <c r="AO9" i="29"/>
  <c r="BA9" i="29"/>
  <c r="AI9" i="29"/>
  <c r="AP21" i="29"/>
  <c r="AW21" i="29"/>
  <c r="BB21" i="29"/>
  <c r="AJ21" i="29"/>
  <c r="Z9" i="29"/>
  <c r="AT11" i="29"/>
  <c r="AN11" i="29"/>
  <c r="AW11" i="29"/>
  <c r="BJ9" i="29"/>
  <c r="AV9" i="29"/>
  <c r="AT15" i="29"/>
  <c r="AE15" i="29"/>
  <c r="AF15" i="29"/>
  <c r="AC15" i="29"/>
  <c r="AG15" i="29"/>
  <c r="BM5" i="29"/>
  <c r="BL5" i="29"/>
  <c r="AW6" i="29"/>
  <c r="AE6" i="29"/>
  <c r="BD6" i="29"/>
  <c r="AT9" i="29"/>
  <c r="AG21" i="29"/>
  <c r="AJ19" i="29"/>
  <c r="AO21" i="29"/>
  <c r="Z21" i="29"/>
  <c r="BF21" i="29"/>
  <c r="AU21" i="29"/>
  <c r="AN21" i="29"/>
  <c r="BF9" i="29"/>
  <c r="AY11" i="29"/>
  <c r="AU11" i="29"/>
  <c r="AR11" i="29"/>
  <c r="AK11" i="29"/>
  <c r="BA11" i="29"/>
  <c r="AG9" i="29"/>
  <c r="AF9" i="29"/>
  <c r="BL9" i="29"/>
  <c r="AY9" i="29"/>
  <c r="AT19" i="29"/>
  <c r="AK10" i="29"/>
  <c r="Y21" i="29"/>
  <c r="AL21" i="29"/>
  <c r="AA21" i="29"/>
  <c r="BG21" i="29"/>
  <c r="AZ21" i="29"/>
  <c r="AX9" i="29"/>
  <c r="AD11" i="29"/>
  <c r="AA11" i="29"/>
  <c r="BK11" i="29"/>
  <c r="BG11" i="29"/>
  <c r="AX11" i="29"/>
  <c r="BM11" i="29"/>
  <c r="BI9" i="29"/>
  <c r="AR9" i="29"/>
  <c r="AE9" i="29"/>
  <c r="BK9" i="29"/>
  <c r="BR12" i="30"/>
  <c r="BR6" i="30"/>
  <c r="BR10" i="30"/>
  <c r="BR15" i="30"/>
  <c r="BR21" i="30"/>
  <c r="BR18" i="30"/>
  <c r="BR11" i="30"/>
  <c r="BR14" i="30"/>
  <c r="BR4" i="30"/>
  <c r="BR17" i="30"/>
  <c r="BR5" i="30"/>
  <c r="BR9" i="30"/>
  <c r="BR13" i="30"/>
  <c r="BR20" i="30"/>
  <c r="BR7" i="30"/>
  <c r="BR16" i="30"/>
  <c r="BR8" i="30"/>
  <c r="BB16" i="29"/>
  <c r="AL16" i="29"/>
  <c r="BL16" i="29"/>
  <c r="AQ16" i="29"/>
  <c r="BK16" i="29"/>
  <c r="AO16" i="29"/>
  <c r="BI16" i="29"/>
  <c r="AN16" i="29"/>
  <c r="BM16" i="29"/>
  <c r="AM16" i="29"/>
  <c r="BJ16" i="29"/>
  <c r="AD16" i="29"/>
  <c r="AF16" i="29"/>
  <c r="AE16" i="29"/>
  <c r="AC16" i="29"/>
  <c r="AB16" i="29"/>
  <c r="BN16" i="29"/>
  <c r="AX16" i="29"/>
  <c r="AH16" i="29"/>
  <c r="BG16" i="29"/>
  <c r="AK16" i="29"/>
  <c r="BE16" i="29"/>
  <c r="AJ16" i="29"/>
  <c r="BD16" i="29"/>
  <c r="AI16" i="29"/>
  <c r="AW16" i="29"/>
  <c r="AT16" i="29"/>
  <c r="BA16" i="29"/>
  <c r="AZ16" i="29"/>
  <c r="AY16" i="29"/>
  <c r="BL10" i="29"/>
  <c r="Y10" i="29"/>
  <c r="AO10" i="29"/>
  <c r="BE10" i="29"/>
  <c r="AL10" i="29"/>
  <c r="BB10" i="29"/>
  <c r="AA10" i="29"/>
  <c r="AQ10" i="29"/>
  <c r="BG10" i="29"/>
  <c r="AF10" i="29"/>
  <c r="AV10" i="29"/>
  <c r="AY10" i="29"/>
  <c r="AC10" i="29"/>
  <c r="AS10" i="29"/>
  <c r="BI10" i="29"/>
  <c r="Z10" i="29"/>
  <c r="AP10" i="29"/>
  <c r="BF10" i="29"/>
  <c r="AE10" i="29"/>
  <c r="AU10" i="29"/>
  <c r="BK10" i="29"/>
  <c r="AJ10" i="29"/>
  <c r="AZ10" i="29"/>
  <c r="AG10" i="29"/>
  <c r="AW10" i="29"/>
  <c r="BM10" i="29"/>
  <c r="AD10" i="29"/>
  <c r="AT10" i="29"/>
  <c r="BJ10" i="29"/>
  <c r="AI10" i="29"/>
  <c r="AN10" i="29"/>
  <c r="BD10" i="29"/>
  <c r="AI19" i="29"/>
  <c r="BB19" i="29"/>
  <c r="AL19" i="29"/>
  <c r="BM19" i="29"/>
  <c r="AW19" i="29"/>
  <c r="AG19" i="29"/>
  <c r="BH19" i="29"/>
  <c r="AR19" i="29"/>
  <c r="AB19" i="29"/>
  <c r="BG19" i="29"/>
  <c r="BK19" i="29"/>
  <c r="BN19" i="29"/>
  <c r="AX19" i="29"/>
  <c r="AH19" i="29"/>
  <c r="BI19" i="29"/>
  <c r="AS19" i="29"/>
  <c r="AC19" i="29"/>
  <c r="BD19" i="29"/>
  <c r="AN19" i="29"/>
  <c r="AM19" i="29"/>
  <c r="AV19" i="29"/>
  <c r="AK19" i="29"/>
  <c r="BF19" i="29"/>
  <c r="AA16" i="29"/>
  <c r="AB10" i="29"/>
  <c r="AU19" i="29"/>
  <c r="BC19" i="29"/>
  <c r="AZ19" i="29"/>
  <c r="AO19" i="29"/>
  <c r="AD19" i="29"/>
  <c r="BJ19" i="29"/>
  <c r="AS16" i="29"/>
  <c r="AV16" i="29"/>
  <c r="BC10" i="29"/>
  <c r="AH10" i="29"/>
  <c r="Z19" i="29"/>
  <c r="AR16" i="29"/>
  <c r="BF16" i="29"/>
  <c r="AX10" i="29"/>
  <c r="AQ19" i="29"/>
  <c r="AF19" i="29"/>
  <c r="BL19" i="29"/>
  <c r="BA19" i="29"/>
  <c r="AP19" i="29"/>
  <c r="Y16" i="29"/>
  <c r="Z16" i="29"/>
  <c r="BH10" i="29"/>
  <c r="AM10" i="29"/>
  <c r="BA10" i="29"/>
  <c r="BI21" i="29"/>
  <c r="AK21" i="29"/>
  <c r="AD21" i="29"/>
  <c r="AT21" i="29"/>
  <c r="BJ21" i="29"/>
  <c r="AI21" i="29"/>
  <c r="AY21" i="29"/>
  <c r="AB21" i="29"/>
  <c r="AR21" i="29"/>
  <c r="BH21" i="29"/>
  <c r="AP9" i="29"/>
  <c r="AL11" i="29"/>
  <c r="BD11" i="29"/>
  <c r="AI11" i="29"/>
  <c r="AZ11" i="29"/>
  <c r="AF11" i="29"/>
  <c r="AV11" i="29"/>
  <c r="Y11" i="29"/>
  <c r="AO11" i="29"/>
  <c r="BH11" i="29"/>
  <c r="BE11" i="29"/>
  <c r="BE9" i="29"/>
  <c r="Y9" i="29"/>
  <c r="AD15" i="29"/>
  <c r="AN15" i="29"/>
  <c r="AJ15" i="29"/>
  <c r="BF15" i="29"/>
  <c r="AL15" i="29"/>
  <c r="BG15" i="29"/>
  <c r="AH15" i="29"/>
  <c r="BC15" i="29"/>
  <c r="AO15" i="29"/>
  <c r="BE15" i="29"/>
  <c r="BB9" i="29"/>
  <c r="AS9" i="29"/>
  <c r="AJ9" i="29"/>
  <c r="AZ9" i="29"/>
  <c r="BN9" i="29"/>
  <c r="AM9" i="29"/>
  <c r="BC9" i="29"/>
  <c r="BM21" i="29"/>
  <c r="AS21" i="29"/>
  <c r="BE21" i="29"/>
  <c r="AH21" i="29"/>
  <c r="AX21" i="29"/>
  <c r="BN21" i="29"/>
  <c r="AM21" i="29"/>
  <c r="BC21" i="29"/>
  <c r="AF21" i="29"/>
  <c r="AV21" i="29"/>
  <c r="AK15" i="29"/>
  <c r="AH9" i="29"/>
  <c r="Z11" i="29"/>
  <c r="AP11" i="29"/>
  <c r="BJ11" i="29"/>
  <c r="AM11" i="29"/>
  <c r="BF11" i="29"/>
  <c r="AJ11" i="29"/>
  <c r="BB11" i="29"/>
  <c r="AC11" i="29"/>
  <c r="AS11" i="29"/>
  <c r="BL11" i="29"/>
  <c r="AW9" i="29"/>
  <c r="AY15" i="29"/>
  <c r="BJ15" i="29"/>
  <c r="AP15" i="29"/>
  <c r="BK15" i="29"/>
  <c r="AQ15" i="29"/>
  <c r="BL15" i="29"/>
  <c r="AM15" i="29"/>
  <c r="BH15" i="29"/>
  <c r="AS15" i="29"/>
  <c r="AC9" i="29"/>
  <c r="AN9" i="29"/>
  <c r="BD9" i="29"/>
  <c r="AA9" i="29"/>
  <c r="AQ9" i="29"/>
  <c r="BG9" i="29"/>
  <c r="AZ20" i="29"/>
  <c r="AV20" i="29"/>
  <c r="AG20" i="29"/>
  <c r="AW20" i="29"/>
  <c r="BM20" i="29"/>
  <c r="AL20" i="29"/>
  <c r="BB20" i="29"/>
  <c r="AA20" i="29"/>
  <c r="AQ20" i="29"/>
  <c r="BG20" i="29"/>
  <c r="AK6" i="29"/>
  <c r="BA6" i="29"/>
  <c r="Z6" i="29"/>
  <c r="AP6" i="29"/>
  <c r="BF6" i="29"/>
  <c r="AI6" i="29"/>
  <c r="AY6" i="29"/>
  <c r="AB6" i="29"/>
  <c r="AR6" i="29"/>
  <c r="BH6" i="29"/>
  <c r="AR20" i="29"/>
  <c r="BD20" i="29"/>
  <c r="AB20" i="29"/>
  <c r="AN20" i="29"/>
  <c r="AJ20" i="29"/>
  <c r="AF20" i="29"/>
  <c r="AK20" i="29"/>
  <c r="BA20" i="29"/>
  <c r="Z20" i="29"/>
  <c r="AP20" i="29"/>
  <c r="BF20" i="29"/>
  <c r="AE20" i="29"/>
  <c r="AU20" i="29"/>
  <c r="BK20" i="29"/>
  <c r="Y6" i="29"/>
  <c r="AO6" i="29"/>
  <c r="BE6" i="29"/>
  <c r="AD6" i="29"/>
  <c r="AT6" i="29"/>
  <c r="BJ6" i="29"/>
  <c r="AM6" i="29"/>
  <c r="BC6" i="29"/>
  <c r="AF6" i="29"/>
  <c r="AV6" i="29"/>
  <c r="BL6" i="29"/>
  <c r="Y20" i="29"/>
  <c r="AO20" i="29"/>
  <c r="BE20" i="29"/>
  <c r="AD20" i="29"/>
  <c r="AT20" i="29"/>
  <c r="BJ20" i="29"/>
  <c r="AI20" i="29"/>
  <c r="AC6" i="29"/>
  <c r="AS6" i="29"/>
  <c r="BI6" i="29"/>
  <c r="AH6" i="29"/>
  <c r="AX6" i="29"/>
  <c r="AA6" i="29"/>
  <c r="AQ6" i="29"/>
  <c r="BG6" i="29"/>
  <c r="AJ6" i="29"/>
  <c r="AZ6" i="29"/>
  <c r="BJ17" i="29"/>
  <c r="BE17" i="29"/>
  <c r="Y17" i="29"/>
  <c r="AP17" i="29"/>
  <c r="BL17" i="29"/>
  <c r="AR17" i="29"/>
  <c r="BM17" i="29"/>
  <c r="AS17" i="29"/>
  <c r="BN17" i="29"/>
  <c r="AM17" i="29"/>
  <c r="BC17" i="29"/>
  <c r="BG12" i="29"/>
  <c r="AO17" i="29"/>
  <c r="AB12" i="29"/>
  <c r="AR12" i="29"/>
  <c r="BH12" i="29"/>
  <c r="AG12" i="29"/>
  <c r="BA12" i="29"/>
  <c r="Z12" i="29"/>
  <c r="AP12" i="29"/>
  <c r="BF12" i="29"/>
  <c r="BK12" i="29"/>
  <c r="AB5" i="29"/>
  <c r="BH5" i="29"/>
  <c r="AK5" i="29"/>
  <c r="BA5" i="29"/>
  <c r="Z5" i="29"/>
  <c r="AP5" i="29"/>
  <c r="BF5" i="29"/>
  <c r="AN5" i="29"/>
  <c r="AA5" i="29"/>
  <c r="AQ5" i="29"/>
  <c r="BG5" i="29"/>
  <c r="AJ17" i="29"/>
  <c r="BH16" i="29"/>
  <c r="BC16" i="29"/>
  <c r="AY19" i="29"/>
  <c r="AE19" i="29"/>
  <c r="Z17" i="29"/>
  <c r="AV17" i="29"/>
  <c r="AB17" i="29"/>
  <c r="AW17" i="29"/>
  <c r="AC17" i="29"/>
  <c r="AX17" i="29"/>
  <c r="AA17" i="29"/>
  <c r="AQ17" i="29"/>
  <c r="BG17" i="29"/>
  <c r="AQ12" i="29"/>
  <c r="AF12" i="29"/>
  <c r="AV12" i="29"/>
  <c r="BL12" i="29"/>
  <c r="AO12" i="29"/>
  <c r="BE12" i="29"/>
  <c r="AD12" i="29"/>
  <c r="AT12" i="29"/>
  <c r="BJ12" i="29"/>
  <c r="AI12" i="29"/>
  <c r="AU12" i="29"/>
  <c r="AJ5" i="29"/>
  <c r="Y5" i="29"/>
  <c r="AO5" i="29"/>
  <c r="BE5" i="29"/>
  <c r="AD5" i="29"/>
  <c r="AT5" i="29"/>
  <c r="BJ5" i="29"/>
  <c r="AV5" i="29"/>
  <c r="AE5" i="29"/>
  <c r="AU5" i="29"/>
  <c r="BK5" i="29"/>
  <c r="AF17" i="29"/>
  <c r="BA17" i="29"/>
  <c r="AG17" i="29"/>
  <c r="BB17" i="29"/>
  <c r="AH17" i="29"/>
  <c r="BD17" i="29"/>
  <c r="AE17" i="29"/>
  <c r="AU17" i="29"/>
  <c r="BK17" i="29"/>
  <c r="AA12" i="29"/>
  <c r="BC12" i="29"/>
  <c r="AJ12" i="29"/>
  <c r="AZ12" i="29"/>
  <c r="Y12" i="29"/>
  <c r="AS12" i="29"/>
  <c r="BI12" i="29"/>
  <c r="AH12" i="29"/>
  <c r="AX12" i="29"/>
  <c r="BN12" i="29"/>
  <c r="AZ17" i="29"/>
  <c r="AE12" i="29"/>
  <c r="AR5" i="29"/>
  <c r="AC5" i="29"/>
  <c r="AS5" i="29"/>
  <c r="BI5" i="29"/>
  <c r="AH5" i="29"/>
  <c r="AX5" i="29"/>
  <c r="BN5" i="29"/>
  <c r="BD5" i="29"/>
  <c r="AI5" i="29"/>
  <c r="AG16" i="29"/>
  <c r="BK13" i="29"/>
  <c r="BG13" i="29"/>
  <c r="BC13" i="29"/>
  <c r="AY13" i="29"/>
  <c r="AU13" i="29"/>
  <c r="AQ13" i="29"/>
  <c r="AM13" i="29"/>
  <c r="AI13" i="29"/>
  <c r="AE13" i="29"/>
  <c r="AA13" i="29"/>
  <c r="BN13" i="29"/>
  <c r="BJ13" i="29"/>
  <c r="BF13" i="29"/>
  <c r="BB13" i="29"/>
  <c r="AX13" i="29"/>
  <c r="AT13" i="29"/>
  <c r="AP13" i="29"/>
  <c r="AL13" i="29"/>
  <c r="AH13" i="29"/>
  <c r="AD13" i="29"/>
  <c r="Z13" i="29"/>
  <c r="BM13" i="29"/>
  <c r="BI13" i="29"/>
  <c r="BE13" i="29"/>
  <c r="BA13" i="29"/>
  <c r="AW13" i="29"/>
  <c r="AS13" i="29"/>
  <c r="AO13" i="29"/>
  <c r="AK13" i="29"/>
  <c r="AG13" i="29"/>
  <c r="AC13" i="29"/>
  <c r="Y13" i="29"/>
  <c r="BH13" i="29"/>
  <c r="AR13" i="29"/>
  <c r="AB13" i="29"/>
  <c r="BD13" i="29"/>
  <c r="AN13" i="29"/>
  <c r="AZ13" i="29"/>
  <c r="AJ13" i="29"/>
  <c r="BL13" i="29"/>
  <c r="AV13" i="29"/>
  <c r="AF13" i="29"/>
  <c r="BM18" i="29"/>
  <c r="BI18" i="29"/>
  <c r="BE18" i="29"/>
  <c r="BA18" i="29"/>
  <c r="AW18" i="29"/>
  <c r="AS18" i="29"/>
  <c r="AO18" i="29"/>
  <c r="AK18" i="29"/>
  <c r="AG18" i="29"/>
  <c r="BL18" i="29"/>
  <c r="BH18" i="29"/>
  <c r="BD18" i="29"/>
  <c r="AZ18" i="29"/>
  <c r="AV18" i="29"/>
  <c r="AR18" i="29"/>
  <c r="AN18" i="29"/>
  <c r="AJ18" i="29"/>
  <c r="AF18" i="29"/>
  <c r="AB18" i="29"/>
  <c r="BG18" i="29"/>
  <c r="AY18" i="29"/>
  <c r="AQ18" i="29"/>
  <c r="AI18" i="29"/>
  <c r="AC18" i="29"/>
  <c r="BN18" i="29"/>
  <c r="BF18" i="29"/>
  <c r="AX18" i="29"/>
  <c r="AP18" i="29"/>
  <c r="AH18" i="29"/>
  <c r="AA18" i="29"/>
  <c r="BK18" i="29"/>
  <c r="BC18" i="29"/>
  <c r="AU18" i="29"/>
  <c r="AM18" i="29"/>
  <c r="AE18" i="29"/>
  <c r="Z18" i="29"/>
  <c r="BB18" i="29"/>
  <c r="Y18" i="29"/>
  <c r="AT18" i="29"/>
  <c r="AL18" i="29"/>
  <c r="BJ18" i="29"/>
  <c r="AD18" i="29"/>
  <c r="BN8" i="29"/>
  <c r="BJ8" i="29"/>
  <c r="BF8" i="29"/>
  <c r="BB8" i="29"/>
  <c r="AX8" i="29"/>
  <c r="AT8" i="29"/>
  <c r="AP8" i="29"/>
  <c r="AL8" i="29"/>
  <c r="AH8" i="29"/>
  <c r="AD8" i="29"/>
  <c r="Z8" i="29"/>
  <c r="BK8" i="29"/>
  <c r="BG8" i="29"/>
  <c r="BC8" i="29"/>
  <c r="AY8" i="29"/>
  <c r="AU8" i="29"/>
  <c r="AQ8" i="29"/>
  <c r="AM8" i="29"/>
  <c r="AI8" i="29"/>
  <c r="AE8" i="29"/>
  <c r="AA8" i="29"/>
  <c r="BH8" i="29"/>
  <c r="AZ8" i="29"/>
  <c r="AR8" i="29"/>
  <c r="AJ8" i="29"/>
  <c r="AB8" i="29"/>
  <c r="BM8" i="29"/>
  <c r="BE8" i="29"/>
  <c r="AW8" i="29"/>
  <c r="AO8" i="29"/>
  <c r="AG8" i="29"/>
  <c r="Y8" i="29"/>
  <c r="BL8" i="29"/>
  <c r="BD8" i="29"/>
  <c r="AV8" i="29"/>
  <c r="AN8" i="29"/>
  <c r="AF8" i="29"/>
  <c r="BI8" i="29"/>
  <c r="BA8" i="29"/>
  <c r="AS8" i="29"/>
  <c r="AK8" i="29"/>
  <c r="AC8" i="29"/>
  <c r="BN4" i="29"/>
  <c r="BJ4" i="29"/>
  <c r="BF4" i="29"/>
  <c r="BB4" i="29"/>
  <c r="AX4" i="29"/>
  <c r="AT4" i="29"/>
  <c r="AP4" i="29"/>
  <c r="AL4" i="29"/>
  <c r="AH4" i="29"/>
  <c r="AD4" i="29"/>
  <c r="Z4" i="29"/>
  <c r="BL4" i="29"/>
  <c r="BD4" i="29"/>
  <c r="AR4" i="29"/>
  <c r="AF4" i="29"/>
  <c r="BK4" i="29"/>
  <c r="BC4" i="29"/>
  <c r="AU4" i="29"/>
  <c r="AQ4" i="29"/>
  <c r="AI4" i="29"/>
  <c r="AA4" i="29"/>
  <c r="BM4" i="29"/>
  <c r="BI4" i="29"/>
  <c r="BE4" i="29"/>
  <c r="BA4" i="29"/>
  <c r="AW4" i="29"/>
  <c r="AS4" i="29"/>
  <c r="AO4" i="29"/>
  <c r="AK4" i="29"/>
  <c r="AG4" i="29"/>
  <c r="AC4" i="29"/>
  <c r="Y4" i="29"/>
  <c r="AV4" i="29"/>
  <c r="AJ4" i="29"/>
  <c r="AB4" i="29"/>
  <c r="BH4" i="29"/>
  <c r="AZ4" i="29"/>
  <c r="AN4" i="29"/>
  <c r="BG4" i="29"/>
  <c r="AY4" i="29"/>
  <c r="AM4" i="29"/>
  <c r="AE4" i="29"/>
  <c r="BL14" i="29"/>
  <c r="BH14" i="29"/>
  <c r="BD14" i="29"/>
  <c r="AZ14" i="29"/>
  <c r="AV14" i="29"/>
  <c r="AR14" i="29"/>
  <c r="AN14" i="29"/>
  <c r="AJ14" i="29"/>
  <c r="AF14" i="29"/>
  <c r="AB14" i="29"/>
  <c r="BK14" i="29"/>
  <c r="BG14" i="29"/>
  <c r="BC14" i="29"/>
  <c r="AY14" i="29"/>
  <c r="AU14" i="29"/>
  <c r="AQ14" i="29"/>
  <c r="AM14" i="29"/>
  <c r="AI14" i="29"/>
  <c r="AE14" i="29"/>
  <c r="AA14" i="29"/>
  <c r="BN14" i="29"/>
  <c r="BJ14" i="29"/>
  <c r="BF14" i="29"/>
  <c r="BB14" i="29"/>
  <c r="AX14" i="29"/>
  <c r="AT14" i="29"/>
  <c r="AP14" i="29"/>
  <c r="AL14" i="29"/>
  <c r="AH14" i="29"/>
  <c r="AD14" i="29"/>
  <c r="Z14" i="29"/>
  <c r="BM14" i="29"/>
  <c r="AW14" i="29"/>
  <c r="AG14" i="29"/>
  <c r="BI14" i="29"/>
  <c r="AS14" i="29"/>
  <c r="AC14" i="29"/>
  <c r="BE14" i="29"/>
  <c r="AO14" i="29"/>
  <c r="Y14" i="29"/>
  <c r="BA14" i="29"/>
  <c r="AK14" i="29"/>
  <c r="BM7" i="29"/>
  <c r="BI7" i="29"/>
  <c r="BE7" i="29"/>
  <c r="BA7" i="29"/>
  <c r="AW7" i="29"/>
  <c r="AS7" i="29"/>
  <c r="AO7" i="29"/>
  <c r="AK7" i="29"/>
  <c r="AG7" i="29"/>
  <c r="AC7" i="29"/>
  <c r="Y7" i="29"/>
  <c r="BN7" i="29"/>
  <c r="BJ7" i="29"/>
  <c r="BF7" i="29"/>
  <c r="BB7" i="29"/>
  <c r="AX7" i="29"/>
  <c r="AT7" i="29"/>
  <c r="AP7" i="29"/>
  <c r="AL7" i="29"/>
  <c r="AH7" i="29"/>
  <c r="AD7" i="29"/>
  <c r="Z7" i="29"/>
  <c r="BH7" i="29"/>
  <c r="AZ7" i="29"/>
  <c r="AR7" i="29"/>
  <c r="AJ7" i="29"/>
  <c r="AB7" i="29"/>
  <c r="BG7" i="29"/>
  <c r="AY7" i="29"/>
  <c r="AQ7" i="29"/>
  <c r="AI7" i="29"/>
  <c r="AA7" i="29"/>
  <c r="BL7" i="29"/>
  <c r="BD7" i="29"/>
  <c r="AV7" i="29"/>
  <c r="AN7" i="29"/>
  <c r="AF7" i="29"/>
  <c r="BK7" i="29"/>
  <c r="BC7" i="29"/>
  <c r="AU7" i="29"/>
  <c r="AM7" i="29"/>
  <c r="AE7" i="29"/>
  <c r="Q21" i="28"/>
  <c r="P21" i="28"/>
  <c r="C21" i="28"/>
  <c r="Q20" i="28"/>
  <c r="P20" i="28"/>
  <c r="C20" i="28"/>
  <c r="Q19" i="28"/>
  <c r="P19" i="28"/>
  <c r="C19" i="28"/>
  <c r="Q18" i="28"/>
  <c r="P18" i="28"/>
  <c r="C18" i="28"/>
  <c r="Q17" i="28"/>
  <c r="P17" i="28"/>
  <c r="C17" i="28"/>
  <c r="Q16" i="28"/>
  <c r="P16" i="28"/>
  <c r="C16" i="28"/>
  <c r="Q15" i="28"/>
  <c r="P15" i="28"/>
  <c r="C15" i="28"/>
  <c r="Q14" i="28"/>
  <c r="P14" i="28"/>
  <c r="C14" i="28"/>
  <c r="Q13" i="28"/>
  <c r="P13" i="28"/>
  <c r="C13" i="28"/>
  <c r="Q12" i="28"/>
  <c r="P12" i="28"/>
  <c r="C12" i="28"/>
  <c r="Q11" i="28"/>
  <c r="P11" i="28"/>
  <c r="C11" i="28"/>
  <c r="Q10" i="28"/>
  <c r="P10" i="28"/>
  <c r="C10" i="28"/>
  <c r="Q9" i="28"/>
  <c r="P9" i="28"/>
  <c r="C9" i="28"/>
  <c r="Q8" i="28"/>
  <c r="P8" i="28"/>
  <c r="C8" i="28"/>
  <c r="Q7" i="28"/>
  <c r="P7" i="28"/>
  <c r="C7" i="28"/>
  <c r="Q6" i="28"/>
  <c r="P6" i="28"/>
  <c r="C6" i="28"/>
  <c r="Q5" i="28"/>
  <c r="P5" i="28"/>
  <c r="C5" i="28"/>
  <c r="AA4" i="28"/>
  <c r="Z4" i="28"/>
  <c r="Q4" i="28"/>
  <c r="P4" i="28"/>
  <c r="C4" i="28"/>
  <c r="P8" i="9"/>
  <c r="P9" i="9"/>
  <c r="P10" i="9"/>
  <c r="P11" i="9"/>
  <c r="P12" i="9"/>
  <c r="P13" i="9"/>
  <c r="P14" i="9"/>
  <c r="P15" i="9"/>
  <c r="P16" i="9"/>
  <c r="P17" i="9"/>
  <c r="P18" i="9"/>
  <c r="P19" i="9"/>
  <c r="P20" i="9"/>
  <c r="V5" i="27"/>
  <c r="W5" i="27" s="1"/>
  <c r="V6" i="27"/>
  <c r="W6" i="27" s="1"/>
  <c r="V7" i="27"/>
  <c r="V8" i="27"/>
  <c r="W8" i="27" s="1"/>
  <c r="V9" i="27"/>
  <c r="V10" i="27"/>
  <c r="V11" i="27"/>
  <c r="V12" i="27"/>
  <c r="W12" i="27" s="1"/>
  <c r="V13" i="27"/>
  <c r="W13" i="27" s="1"/>
  <c r="V14" i="27"/>
  <c r="W14" i="27" s="1"/>
  <c r="V15" i="27"/>
  <c r="V16" i="27"/>
  <c r="W16" i="27" s="1"/>
  <c r="V17" i="27"/>
  <c r="V18" i="27"/>
  <c r="V19" i="27"/>
  <c r="V20" i="27"/>
  <c r="W20" i="27" s="1"/>
  <c r="V21" i="27"/>
  <c r="W21" i="27" s="1"/>
  <c r="V4" i="27"/>
  <c r="W7" i="27"/>
  <c r="W9" i="27"/>
  <c r="W10" i="27"/>
  <c r="W11" i="27"/>
  <c r="W15" i="27"/>
  <c r="W17" i="27"/>
  <c r="W18" i="27"/>
  <c r="W19" i="27"/>
  <c r="C21" i="27"/>
  <c r="C20" i="27"/>
  <c r="C19" i="27"/>
  <c r="C18" i="27"/>
  <c r="C17" i="27"/>
  <c r="C16" i="27"/>
  <c r="C15" i="27"/>
  <c r="C14" i="27"/>
  <c r="C13" i="27"/>
  <c r="C12" i="27"/>
  <c r="C11" i="27"/>
  <c r="C10" i="27"/>
  <c r="C9" i="27"/>
  <c r="C8" i="27"/>
  <c r="C7" i="27"/>
  <c r="C6" i="27"/>
  <c r="C5" i="27"/>
  <c r="C4" i="27"/>
  <c r="BO9" i="29" l="1"/>
  <c r="BO15" i="29"/>
  <c r="BO21" i="29"/>
  <c r="BO10" i="29"/>
  <c r="BO11" i="29"/>
  <c r="BO16" i="29"/>
  <c r="BO19" i="29"/>
  <c r="BO6" i="29"/>
  <c r="BO12" i="29"/>
  <c r="BO20" i="29"/>
  <c r="BO17" i="29"/>
  <c r="BO5" i="29"/>
  <c r="BO7" i="29"/>
  <c r="BO14" i="29"/>
  <c r="BO8" i="29"/>
  <c r="BO18" i="29"/>
  <c r="BO13" i="29"/>
  <c r="BO4" i="29"/>
  <c r="R18" i="28"/>
  <c r="S13" i="28"/>
  <c r="R10" i="28"/>
  <c r="Y4" i="28"/>
  <c r="R7" i="28"/>
  <c r="S9" i="28"/>
  <c r="X4" i="28"/>
  <c r="R13" i="28"/>
  <c r="R16" i="28"/>
  <c r="S15" i="28"/>
  <c r="R14" i="28"/>
  <c r="W4" i="27"/>
  <c r="S21" i="27"/>
  <c r="R21" i="27"/>
  <c r="AB21" i="27"/>
  <c r="S20" i="27"/>
  <c r="R20" i="27"/>
  <c r="AB20" i="27"/>
  <c r="S19" i="27"/>
  <c r="R19" i="27"/>
  <c r="AB19" i="27"/>
  <c r="AA19" i="27" s="1"/>
  <c r="Z19" i="27" s="1"/>
  <c r="S18" i="27"/>
  <c r="R18" i="27"/>
  <c r="AB18" i="27"/>
  <c r="AA18" i="27" s="1"/>
  <c r="Y18" i="27"/>
  <c r="S17" i="27"/>
  <c r="R17" i="27"/>
  <c r="AB17" i="27"/>
  <c r="S16" i="27"/>
  <c r="R16" i="27"/>
  <c r="AB16" i="27"/>
  <c r="S15" i="27"/>
  <c r="R15" i="27"/>
  <c r="AB15" i="27"/>
  <c r="Y15" i="27"/>
  <c r="S14" i="27"/>
  <c r="R14" i="27"/>
  <c r="AB14" i="27"/>
  <c r="S13" i="27"/>
  <c r="R13" i="27"/>
  <c r="AB13" i="27"/>
  <c r="Y13" i="27"/>
  <c r="S12" i="27"/>
  <c r="R12" i="27"/>
  <c r="AB12" i="27"/>
  <c r="Y12" i="27"/>
  <c r="S11" i="27"/>
  <c r="R11" i="27"/>
  <c r="AB11" i="27"/>
  <c r="S10" i="27"/>
  <c r="R10" i="27"/>
  <c r="AB10" i="27"/>
  <c r="Y10" i="27"/>
  <c r="S9" i="27"/>
  <c r="R9" i="27"/>
  <c r="AB9" i="27"/>
  <c r="S8" i="27"/>
  <c r="R8" i="27"/>
  <c r="AB8" i="27"/>
  <c r="Y8" i="27"/>
  <c r="S7" i="27"/>
  <c r="R7" i="27"/>
  <c r="AB7" i="27"/>
  <c r="AA7" i="27" s="1"/>
  <c r="Y7" i="27"/>
  <c r="S6" i="27"/>
  <c r="R6" i="27"/>
  <c r="AB6" i="27"/>
  <c r="Y6" i="27"/>
  <c r="S5" i="27"/>
  <c r="R5" i="27"/>
  <c r="AB5" i="27"/>
  <c r="AA5" i="27" s="1"/>
  <c r="Y5" i="27"/>
  <c r="AB4" i="27"/>
  <c r="AA4" i="27" s="1"/>
  <c r="S4" i="27"/>
  <c r="R4" i="27"/>
  <c r="Y4" i="27"/>
  <c r="O8" i="9"/>
  <c r="AI8" i="9" s="1"/>
  <c r="O9" i="9"/>
  <c r="AI9" i="9" s="1"/>
  <c r="O10" i="9"/>
  <c r="AI10" i="9" s="1"/>
  <c r="O11" i="9"/>
  <c r="AI11" i="9" s="1"/>
  <c r="O12" i="9"/>
  <c r="AI12" i="9" s="1"/>
  <c r="O13" i="9"/>
  <c r="AI13" i="9" s="1"/>
  <c r="O14" i="9"/>
  <c r="AI14" i="9" s="1"/>
  <c r="O15" i="9"/>
  <c r="AI15" i="9" s="1"/>
  <c r="O16" i="9"/>
  <c r="AI16" i="9" s="1"/>
  <c r="O17" i="9"/>
  <c r="AI17" i="9" s="1"/>
  <c r="O18" i="9"/>
  <c r="AI18" i="9" s="1"/>
  <c r="O19" i="9"/>
  <c r="AI19" i="9" s="1"/>
  <c r="O20" i="9"/>
  <c r="AI20" i="9" s="1"/>
  <c r="Q5" i="24"/>
  <c r="R5" i="24"/>
  <c r="U5" i="24"/>
  <c r="V5" i="24" s="1"/>
  <c r="X5" i="24"/>
  <c r="AA5" i="24"/>
  <c r="Z5" i="24" s="1"/>
  <c r="Y5" i="24" s="1"/>
  <c r="Q6" i="24"/>
  <c r="R6" i="24"/>
  <c r="U6" i="24"/>
  <c r="V6" i="24" s="1"/>
  <c r="X6" i="24"/>
  <c r="AA6" i="24"/>
  <c r="Z6" i="24" s="1"/>
  <c r="Y6" i="24" s="1"/>
  <c r="Q7" i="24"/>
  <c r="R7" i="24"/>
  <c r="U7" i="24"/>
  <c r="V7" i="24" s="1"/>
  <c r="X7" i="24"/>
  <c r="AA7" i="24"/>
  <c r="Z7" i="24" s="1"/>
  <c r="Y7" i="24" s="1"/>
  <c r="Q8" i="24"/>
  <c r="R8" i="24"/>
  <c r="U8" i="24"/>
  <c r="V8" i="24" s="1"/>
  <c r="X8" i="24"/>
  <c r="AA8" i="24"/>
  <c r="Z8" i="24" s="1"/>
  <c r="Y8" i="24" s="1"/>
  <c r="Q9" i="24"/>
  <c r="R9" i="24"/>
  <c r="U9" i="24"/>
  <c r="V9" i="24" s="1"/>
  <c r="X9" i="24"/>
  <c r="AA9" i="24"/>
  <c r="Z9" i="24" s="1"/>
  <c r="Y9" i="24" s="1"/>
  <c r="Q10" i="24"/>
  <c r="R10" i="24"/>
  <c r="U10" i="24"/>
  <c r="V10" i="24" s="1"/>
  <c r="X10" i="24"/>
  <c r="AA10" i="24"/>
  <c r="Z10" i="24" s="1"/>
  <c r="Y10" i="24" s="1"/>
  <c r="Q11" i="24"/>
  <c r="R11" i="24"/>
  <c r="U11" i="24"/>
  <c r="V11" i="24" s="1"/>
  <c r="X11" i="24"/>
  <c r="AA11" i="24"/>
  <c r="Z11" i="24" s="1"/>
  <c r="Y11" i="24" s="1"/>
  <c r="Q12" i="24"/>
  <c r="R12" i="24"/>
  <c r="U12" i="24"/>
  <c r="V12" i="24" s="1"/>
  <c r="X12" i="24"/>
  <c r="AA12" i="24"/>
  <c r="Z12" i="24" s="1"/>
  <c r="Y12" i="24" s="1"/>
  <c r="Q13" i="24"/>
  <c r="R13" i="24"/>
  <c r="U13" i="24"/>
  <c r="V13" i="24" s="1"/>
  <c r="X13" i="24"/>
  <c r="AA13" i="24"/>
  <c r="Z13" i="24" s="1"/>
  <c r="Y13" i="24" s="1"/>
  <c r="Q14" i="24"/>
  <c r="R14" i="24"/>
  <c r="U14" i="24"/>
  <c r="V14" i="24" s="1"/>
  <c r="X14" i="24"/>
  <c r="AA14" i="24"/>
  <c r="Z14" i="24" s="1"/>
  <c r="Y14" i="24" s="1"/>
  <c r="Q15" i="24"/>
  <c r="R15" i="24"/>
  <c r="U15" i="24"/>
  <c r="V15" i="24" s="1"/>
  <c r="X15" i="24"/>
  <c r="AA15" i="24"/>
  <c r="Z15" i="24" s="1"/>
  <c r="Y15" i="24" s="1"/>
  <c r="Q16" i="24"/>
  <c r="R16" i="24"/>
  <c r="U16" i="24"/>
  <c r="V16" i="24" s="1"/>
  <c r="X16" i="24"/>
  <c r="AA16" i="24"/>
  <c r="Z16" i="24" s="1"/>
  <c r="Y16" i="24" s="1"/>
  <c r="Q17" i="24"/>
  <c r="R17" i="24"/>
  <c r="U17" i="24"/>
  <c r="V17" i="24" s="1"/>
  <c r="X17" i="24"/>
  <c r="AA17" i="24"/>
  <c r="Z17" i="24" s="1"/>
  <c r="Y17" i="24" s="1"/>
  <c r="Q18" i="24"/>
  <c r="R18" i="24"/>
  <c r="U18" i="24"/>
  <c r="V18" i="24" s="1"/>
  <c r="X18" i="24"/>
  <c r="AA18" i="24"/>
  <c r="Z18" i="24" s="1"/>
  <c r="Y18" i="24" s="1"/>
  <c r="Q19" i="24"/>
  <c r="R19" i="24"/>
  <c r="U19" i="24"/>
  <c r="V19" i="24" s="1"/>
  <c r="X19" i="24"/>
  <c r="AA19" i="24"/>
  <c r="Z19" i="24" s="1"/>
  <c r="Y19" i="24" s="1"/>
  <c r="Q20" i="24"/>
  <c r="R20" i="24"/>
  <c r="U20" i="24"/>
  <c r="V20" i="24" s="1"/>
  <c r="X20" i="24"/>
  <c r="AA20" i="24"/>
  <c r="Z20" i="24" s="1"/>
  <c r="Y20" i="24" s="1"/>
  <c r="Q21" i="24"/>
  <c r="R21" i="24"/>
  <c r="U21" i="24"/>
  <c r="V21" i="24" s="1"/>
  <c r="X21" i="24"/>
  <c r="AA21" i="24"/>
  <c r="Z21" i="24" s="1"/>
  <c r="Y21" i="24" s="1"/>
  <c r="U4" i="24"/>
  <c r="V4" i="24" s="1"/>
  <c r="D4" i="13"/>
  <c r="C21" i="24"/>
  <c r="C20" i="24"/>
  <c r="C19" i="24"/>
  <c r="C18" i="24"/>
  <c r="C17" i="24"/>
  <c r="C16" i="24"/>
  <c r="C15" i="24"/>
  <c r="C14" i="24"/>
  <c r="C13" i="24"/>
  <c r="C12" i="24"/>
  <c r="C11" i="24"/>
  <c r="C10" i="24"/>
  <c r="C9" i="24"/>
  <c r="C8" i="24"/>
  <c r="C7" i="24"/>
  <c r="C6" i="24"/>
  <c r="C5" i="24"/>
  <c r="R4" i="24"/>
  <c r="Q4" i="24"/>
  <c r="AA4" i="24"/>
  <c r="Z4" i="24" s="1"/>
  <c r="C4" i="24"/>
  <c r="D5" i="23"/>
  <c r="J5" i="23" s="1"/>
  <c r="L5" i="23"/>
  <c r="D6" i="23"/>
  <c r="J6" i="23" s="1"/>
  <c r="L6" i="23"/>
  <c r="D7" i="23"/>
  <c r="J7" i="23" s="1"/>
  <c r="L7" i="23"/>
  <c r="D8" i="23"/>
  <c r="J8" i="23" s="1"/>
  <c r="L8" i="23"/>
  <c r="D9" i="23"/>
  <c r="L9" i="23"/>
  <c r="D10" i="23"/>
  <c r="J10" i="23" s="1"/>
  <c r="L10" i="23"/>
  <c r="D11" i="23"/>
  <c r="J11" i="23" s="1"/>
  <c r="L11" i="23"/>
  <c r="D12" i="23"/>
  <c r="J12" i="23" s="1"/>
  <c r="L12" i="23"/>
  <c r="D13" i="23"/>
  <c r="J13" i="23" s="1"/>
  <c r="L13" i="23"/>
  <c r="D14" i="23"/>
  <c r="J14" i="23" s="1"/>
  <c r="L14" i="23"/>
  <c r="D15" i="23"/>
  <c r="J15" i="23" s="1"/>
  <c r="L15" i="23"/>
  <c r="D16" i="23"/>
  <c r="J16" i="23" s="1"/>
  <c r="L16" i="23"/>
  <c r="D17" i="23"/>
  <c r="J17" i="23" s="1"/>
  <c r="L17" i="23"/>
  <c r="D18" i="23"/>
  <c r="J18" i="23" s="1"/>
  <c r="L18" i="23"/>
  <c r="D19" i="23"/>
  <c r="J19" i="23" s="1"/>
  <c r="L19" i="23"/>
  <c r="D20" i="23"/>
  <c r="J20" i="23" s="1"/>
  <c r="L20" i="23"/>
  <c r="D21" i="23"/>
  <c r="J21" i="23" s="1"/>
  <c r="L21" i="23"/>
  <c r="N8" i="9"/>
  <c r="N9" i="9"/>
  <c r="N10" i="9"/>
  <c r="N11" i="9"/>
  <c r="N12" i="9"/>
  <c r="N13" i="9"/>
  <c r="N14" i="9"/>
  <c r="N15" i="9"/>
  <c r="N16" i="9"/>
  <c r="N17" i="9"/>
  <c r="N18" i="9"/>
  <c r="N19" i="9"/>
  <c r="N20" i="9"/>
  <c r="L4" i="23"/>
  <c r="D4" i="23"/>
  <c r="J4" i="23" s="1"/>
  <c r="C21" i="23"/>
  <c r="C20" i="23"/>
  <c r="C19" i="23"/>
  <c r="C18" i="23"/>
  <c r="C17" i="23"/>
  <c r="C16" i="23"/>
  <c r="C15" i="23"/>
  <c r="C14" i="23"/>
  <c r="C13" i="23"/>
  <c r="C12" i="23"/>
  <c r="C11" i="23"/>
  <c r="C10" i="23"/>
  <c r="C9" i="23"/>
  <c r="C8" i="23"/>
  <c r="C7" i="23"/>
  <c r="C6" i="23"/>
  <c r="C5" i="23"/>
  <c r="C4" i="23"/>
  <c r="S15" i="24" l="1"/>
  <c r="K19" i="23"/>
  <c r="N19" i="23"/>
  <c r="K15" i="23"/>
  <c r="N15" i="23"/>
  <c r="K11" i="23"/>
  <c r="N11" i="23"/>
  <c r="K7" i="23"/>
  <c r="N7" i="23"/>
  <c r="K6" i="23"/>
  <c r="N6" i="23"/>
  <c r="K20" i="23"/>
  <c r="N20" i="23"/>
  <c r="K18" i="23"/>
  <c r="N18" i="23"/>
  <c r="K16" i="23"/>
  <c r="N16" i="23"/>
  <c r="K14" i="23"/>
  <c r="N14" i="23"/>
  <c r="K12" i="23"/>
  <c r="N12" i="23"/>
  <c r="K10" i="23"/>
  <c r="N10" i="23"/>
  <c r="K8" i="23"/>
  <c r="N8" i="23"/>
  <c r="K21" i="23"/>
  <c r="N21" i="23"/>
  <c r="K17" i="23"/>
  <c r="N17" i="23"/>
  <c r="K13" i="23"/>
  <c r="N13" i="23"/>
  <c r="J9" i="23"/>
  <c r="N9" i="23" s="1"/>
  <c r="K5" i="23"/>
  <c r="N5" i="23"/>
  <c r="AE10" i="28"/>
  <c r="AI10" i="28"/>
  <c r="AM10" i="28"/>
  <c r="AQ10" i="28"/>
  <c r="AU10" i="28"/>
  <c r="AY10" i="28"/>
  <c r="BC10" i="28"/>
  <c r="BG10" i="28"/>
  <c r="BK10" i="28"/>
  <c r="BO10" i="28"/>
  <c r="AB10" i="28"/>
  <c r="AF10" i="28"/>
  <c r="AJ10" i="28"/>
  <c r="AR10" i="28"/>
  <c r="AV10" i="28"/>
  <c r="AZ10" i="28"/>
  <c r="BD10" i="28"/>
  <c r="BH10" i="28"/>
  <c r="BL10" i="28"/>
  <c r="BP10" i="28"/>
  <c r="AH10" i="28"/>
  <c r="AP10" i="28"/>
  <c r="AX10" i="28"/>
  <c r="BF10" i="28"/>
  <c r="BN10" i="28"/>
  <c r="AC10" i="28"/>
  <c r="AK10" i="28"/>
  <c r="AS10" i="28"/>
  <c r="BA10" i="28"/>
  <c r="BI10" i="28"/>
  <c r="BQ10" i="28"/>
  <c r="AD10" i="28"/>
  <c r="AL10" i="28"/>
  <c r="AT10" i="28"/>
  <c r="BB10" i="28"/>
  <c r="BJ10" i="28"/>
  <c r="AG10" i="28"/>
  <c r="BM10" i="28"/>
  <c r="AO10" i="28"/>
  <c r="AW10" i="28"/>
  <c r="BE10" i="28"/>
  <c r="AC13" i="28"/>
  <c r="AG13" i="28"/>
  <c r="AK13" i="28"/>
  <c r="AO13" i="28"/>
  <c r="AS13" i="28"/>
  <c r="AW13" i="28"/>
  <c r="BA13" i="28"/>
  <c r="BE13" i="28"/>
  <c r="BI13" i="28"/>
  <c r="BM13" i="28"/>
  <c r="BQ13" i="28"/>
  <c r="AD13" i="28"/>
  <c r="AH13" i="28"/>
  <c r="AL13" i="28"/>
  <c r="AP13" i="28"/>
  <c r="AT13" i="28"/>
  <c r="AX13" i="28"/>
  <c r="BB13" i="28"/>
  <c r="BF13" i="28"/>
  <c r="BJ13" i="28"/>
  <c r="BN13" i="28"/>
  <c r="AE13" i="28"/>
  <c r="AI13" i="28"/>
  <c r="AM13" i="28"/>
  <c r="AQ13" i="28"/>
  <c r="AU13" i="28"/>
  <c r="AY13" i="28"/>
  <c r="BC13" i="28"/>
  <c r="BG13" i="28"/>
  <c r="BK13" i="28"/>
  <c r="BO13" i="28"/>
  <c r="AF13" i="28"/>
  <c r="AV13" i="28"/>
  <c r="BL13" i="28"/>
  <c r="AJ13" i="28"/>
  <c r="AZ13" i="28"/>
  <c r="BP13" i="28"/>
  <c r="AN13" i="28"/>
  <c r="BD13" i="28"/>
  <c r="AB13" i="28"/>
  <c r="AR13" i="28"/>
  <c r="BH13" i="28"/>
  <c r="AB14" i="28"/>
  <c r="AF14" i="28"/>
  <c r="AJ14" i="28"/>
  <c r="AR14" i="28"/>
  <c r="AV14" i="28"/>
  <c r="AZ14" i="28"/>
  <c r="BD14" i="28"/>
  <c r="BH14" i="28"/>
  <c r="BL14" i="28"/>
  <c r="BP14" i="28"/>
  <c r="AD14" i="28"/>
  <c r="AH14" i="28"/>
  <c r="AL14" i="28"/>
  <c r="AP14" i="28"/>
  <c r="AT14" i="28"/>
  <c r="AX14" i="28"/>
  <c r="BB14" i="28"/>
  <c r="BF14" i="28"/>
  <c r="BJ14" i="28"/>
  <c r="BN14" i="28"/>
  <c r="AC14" i="28"/>
  <c r="AK14" i="28"/>
  <c r="AS14" i="28"/>
  <c r="BA14" i="28"/>
  <c r="BI14" i="28"/>
  <c r="BQ14" i="28"/>
  <c r="AE14" i="28"/>
  <c r="AM14" i="28"/>
  <c r="AU14" i="28"/>
  <c r="BC14" i="28"/>
  <c r="BK14" i="28"/>
  <c r="AG14" i="28"/>
  <c r="AO14" i="28"/>
  <c r="AW14" i="28"/>
  <c r="BE14" i="28"/>
  <c r="BM14" i="28"/>
  <c r="AI14" i="28"/>
  <c r="AQ14" i="28"/>
  <c r="AY14" i="28"/>
  <c r="BG14" i="28"/>
  <c r="BO14" i="28"/>
  <c r="AD16" i="28"/>
  <c r="AH16" i="28"/>
  <c r="AL16" i="28"/>
  <c r="AP16" i="28"/>
  <c r="AT16" i="28"/>
  <c r="AX16" i="28"/>
  <c r="BB16" i="28"/>
  <c r="BF16" i="28"/>
  <c r="BJ16" i="28"/>
  <c r="BN16" i="28"/>
  <c r="AB16" i="28"/>
  <c r="AF16" i="28"/>
  <c r="AJ16" i="28"/>
  <c r="AR16" i="28"/>
  <c r="AV16" i="28"/>
  <c r="AZ16" i="28"/>
  <c r="BD16" i="28"/>
  <c r="BH16" i="28"/>
  <c r="BL16" i="28"/>
  <c r="BP16" i="28"/>
  <c r="AE16" i="28"/>
  <c r="AM16" i="28"/>
  <c r="AU16" i="28"/>
  <c r="BC16" i="28"/>
  <c r="BK16" i="28"/>
  <c r="AG16" i="28"/>
  <c r="AO16" i="28"/>
  <c r="AW16" i="28"/>
  <c r="BE16" i="28"/>
  <c r="BM16" i="28"/>
  <c r="AI16" i="28"/>
  <c r="AQ16" i="28"/>
  <c r="AY16" i="28"/>
  <c r="BG16" i="28"/>
  <c r="BO16" i="28"/>
  <c r="AC16" i="28"/>
  <c r="AK16" i="28"/>
  <c r="AS16" i="28"/>
  <c r="BA16" i="28"/>
  <c r="BI16" i="28"/>
  <c r="BQ16" i="28"/>
  <c r="AC7" i="28"/>
  <c r="AG7" i="28"/>
  <c r="AK7" i="28"/>
  <c r="AO7" i="28"/>
  <c r="AS7" i="28"/>
  <c r="AW7" i="28"/>
  <c r="BA7" i="28"/>
  <c r="BE7" i="28"/>
  <c r="BI7" i="28"/>
  <c r="BM7" i="28"/>
  <c r="BQ7" i="28"/>
  <c r="AD7" i="28"/>
  <c r="AH7" i="28"/>
  <c r="AL7" i="28"/>
  <c r="AP7" i="28"/>
  <c r="AT7" i="28"/>
  <c r="AX7" i="28"/>
  <c r="BB7" i="28"/>
  <c r="BF7" i="28"/>
  <c r="BJ7" i="28"/>
  <c r="BN7" i="28"/>
  <c r="AE7" i="28"/>
  <c r="AI7" i="28"/>
  <c r="AM7" i="28"/>
  <c r="AQ7" i="28"/>
  <c r="AU7" i="28"/>
  <c r="AY7" i="28"/>
  <c r="BC7" i="28"/>
  <c r="BG7" i="28"/>
  <c r="BK7" i="28"/>
  <c r="BO7" i="28"/>
  <c r="AB7" i="28"/>
  <c r="AR7" i="28"/>
  <c r="BH7" i="28"/>
  <c r="AF7" i="28"/>
  <c r="AV7" i="28"/>
  <c r="BL7" i="28"/>
  <c r="AJ7" i="28"/>
  <c r="AZ7" i="28"/>
  <c r="BP7" i="28"/>
  <c r="BD7" i="28"/>
  <c r="AC18" i="28"/>
  <c r="AG18" i="28"/>
  <c r="AK18" i="28"/>
  <c r="AO18" i="28"/>
  <c r="AS18" i="28"/>
  <c r="AW18" i="28"/>
  <c r="BA18" i="28"/>
  <c r="BE18" i="28"/>
  <c r="BI18" i="28"/>
  <c r="BM18" i="28"/>
  <c r="BQ18" i="28"/>
  <c r="AD18" i="28"/>
  <c r="AH18" i="28"/>
  <c r="AL18" i="28"/>
  <c r="AP18" i="28"/>
  <c r="AT18" i="28"/>
  <c r="AX18" i="28"/>
  <c r="BB18" i="28"/>
  <c r="BF18" i="28"/>
  <c r="BJ18" i="28"/>
  <c r="BN18" i="28"/>
  <c r="AE18" i="28"/>
  <c r="AI18" i="28"/>
  <c r="AM18" i="28"/>
  <c r="AQ18" i="28"/>
  <c r="AU18" i="28"/>
  <c r="AY18" i="28"/>
  <c r="BC18" i="28"/>
  <c r="BG18" i="28"/>
  <c r="BK18" i="28"/>
  <c r="BO18" i="28"/>
  <c r="AB18" i="28"/>
  <c r="AF18" i="28"/>
  <c r="AJ18" i="28"/>
  <c r="AR18" i="28"/>
  <c r="AV18" i="28"/>
  <c r="AZ18" i="28"/>
  <c r="BD18" i="28"/>
  <c r="BH18" i="28"/>
  <c r="BL18" i="28"/>
  <c r="BP18" i="28"/>
  <c r="S18" i="28"/>
  <c r="AN18" i="28" s="1"/>
  <c r="S19" i="28"/>
  <c r="R17" i="28"/>
  <c r="R12" i="28"/>
  <c r="S10" i="28"/>
  <c r="AN10" i="28" s="1"/>
  <c r="R6" i="28"/>
  <c r="S16" i="28"/>
  <c r="AN16" i="28" s="1"/>
  <c r="R9" i="28"/>
  <c r="S7" i="28"/>
  <c r="AN7" i="28" s="1"/>
  <c r="R19" i="28"/>
  <c r="S6" i="28"/>
  <c r="S11" i="28"/>
  <c r="S5" i="28"/>
  <c r="R5" i="28"/>
  <c r="S12" i="28"/>
  <c r="R11" i="28"/>
  <c r="S21" i="28"/>
  <c r="S14" i="28"/>
  <c r="AN14" i="28" s="1"/>
  <c r="S8" i="28"/>
  <c r="R8" i="28"/>
  <c r="S17" i="28"/>
  <c r="R4" i="28"/>
  <c r="S4" i="28"/>
  <c r="R15" i="28"/>
  <c r="R20" i="28"/>
  <c r="S20" i="28"/>
  <c r="R21" i="28"/>
  <c r="T10" i="24"/>
  <c r="S18" i="24"/>
  <c r="AI18" i="24" s="1"/>
  <c r="T8" i="24"/>
  <c r="S17" i="24"/>
  <c r="AM17" i="24" s="1"/>
  <c r="S19" i="24"/>
  <c r="AM19" i="24" s="1"/>
  <c r="T20" i="24"/>
  <c r="T17" i="24"/>
  <c r="S14" i="24"/>
  <c r="AQ14" i="24" s="1"/>
  <c r="S16" i="24"/>
  <c r="AE16" i="24" s="1"/>
  <c r="S13" i="24"/>
  <c r="AO13" i="24" s="1"/>
  <c r="S10" i="24"/>
  <c r="AL10" i="24" s="1"/>
  <c r="S21" i="24"/>
  <c r="AI21" i="24" s="1"/>
  <c r="S20" i="24"/>
  <c r="AE20" i="24" s="1"/>
  <c r="AA6" i="27"/>
  <c r="Z6" i="27" s="1"/>
  <c r="T6" i="27" s="1"/>
  <c r="AA9" i="27"/>
  <c r="Z9" i="27" s="1"/>
  <c r="AA17" i="27"/>
  <c r="Z5" i="27"/>
  <c r="T5" i="27" s="1"/>
  <c r="AA10" i="27"/>
  <c r="AA12" i="27"/>
  <c r="Z12" i="27" s="1"/>
  <c r="AA14" i="27"/>
  <c r="Z14" i="27" s="1"/>
  <c r="Z18" i="27"/>
  <c r="T18" i="27" s="1"/>
  <c r="AA21" i="27"/>
  <c r="Z21" i="27" s="1"/>
  <c r="AA20" i="27"/>
  <c r="AA8" i="27"/>
  <c r="Z8" i="27" s="1"/>
  <c r="U8" i="27" s="1"/>
  <c r="AA11" i="27"/>
  <c r="Z11" i="27" s="1"/>
  <c r="AA13" i="27"/>
  <c r="Z13" i="27" s="1"/>
  <c r="AA15" i="27"/>
  <c r="Z17" i="27"/>
  <c r="Z20" i="27"/>
  <c r="Z4" i="27"/>
  <c r="U4" i="27" s="1"/>
  <c r="Z7" i="27"/>
  <c r="U7" i="27" s="1"/>
  <c r="Y11" i="27"/>
  <c r="Y14" i="27"/>
  <c r="Y21" i="27"/>
  <c r="Y9" i="27"/>
  <c r="Y16" i="27"/>
  <c r="Y17" i="27"/>
  <c r="AA16" i="27"/>
  <c r="Y20" i="27"/>
  <c r="Y19" i="27"/>
  <c r="K4" i="23"/>
  <c r="AE15" i="24"/>
  <c r="AI15" i="24"/>
  <c r="AM15" i="24"/>
  <c r="AQ15" i="24"/>
  <c r="AU15" i="24"/>
  <c r="AY15" i="24"/>
  <c r="BC15" i="24"/>
  <c r="BG15" i="24"/>
  <c r="BK15" i="24"/>
  <c r="BO15" i="24"/>
  <c r="AB15" i="24"/>
  <c r="AG15" i="24"/>
  <c r="AL15" i="24"/>
  <c r="AR15" i="24"/>
  <c r="AW15" i="24"/>
  <c r="BB15" i="24"/>
  <c r="BH15" i="24"/>
  <c r="BM15" i="24"/>
  <c r="AC15" i="24"/>
  <c r="AH15" i="24"/>
  <c r="AS15" i="24"/>
  <c r="AX15" i="24"/>
  <c r="BD15" i="24"/>
  <c r="BI15" i="24"/>
  <c r="BN15" i="24"/>
  <c r="AD15" i="24"/>
  <c r="AJ15" i="24"/>
  <c r="AO15" i="24"/>
  <c r="AT15" i="24"/>
  <c r="AZ15" i="24"/>
  <c r="BE15" i="24"/>
  <c r="BJ15" i="24"/>
  <c r="BP15" i="24"/>
  <c r="AP15" i="24"/>
  <c r="BL15" i="24"/>
  <c r="AV15" i="24"/>
  <c r="BQ15" i="24"/>
  <c r="AF15" i="24"/>
  <c r="BA15" i="24"/>
  <c r="AK15" i="24"/>
  <c r="BF15" i="24"/>
  <c r="T12" i="24"/>
  <c r="T19" i="24"/>
  <c r="T18" i="24"/>
  <c r="T21" i="24"/>
  <c r="T16" i="24"/>
  <c r="T15" i="24"/>
  <c r="AN15" i="24" s="1"/>
  <c r="T13" i="24"/>
  <c r="S12" i="24"/>
  <c r="T11" i="24"/>
  <c r="T7" i="24"/>
  <c r="T14" i="24"/>
  <c r="T6" i="24"/>
  <c r="T5" i="24"/>
  <c r="T9" i="24"/>
  <c r="S6" i="24"/>
  <c r="S11" i="24"/>
  <c r="S7" i="24"/>
  <c r="S8" i="24"/>
  <c r="S9" i="24"/>
  <c r="S5" i="24"/>
  <c r="Y4" i="24"/>
  <c r="X4" i="24"/>
  <c r="AZ16" i="24" l="1"/>
  <c r="AI19" i="24"/>
  <c r="AQ16" i="24"/>
  <c r="BP19" i="24"/>
  <c r="P8" i="23"/>
  <c r="O8" i="23"/>
  <c r="P20" i="23"/>
  <c r="O20" i="23"/>
  <c r="K9" i="23"/>
  <c r="P17" i="23"/>
  <c r="O17" i="23"/>
  <c r="P16" i="23"/>
  <c r="O16" i="23"/>
  <c r="P7" i="23"/>
  <c r="O7" i="23"/>
  <c r="AW17" i="24"/>
  <c r="P5" i="23"/>
  <c r="O5" i="23"/>
  <c r="P13" i="23"/>
  <c r="O13" i="23"/>
  <c r="P21" i="23"/>
  <c r="O21" i="23"/>
  <c r="O10" i="23"/>
  <c r="P10" i="23"/>
  <c r="O14" i="23"/>
  <c r="P14" i="23"/>
  <c r="P18" i="23"/>
  <c r="O18" i="23"/>
  <c r="P6" i="23"/>
  <c r="O6" i="23"/>
  <c r="O11" i="23"/>
  <c r="P11" i="23"/>
  <c r="O19" i="23"/>
  <c r="P19" i="23"/>
  <c r="P9" i="23"/>
  <c r="O9" i="23"/>
  <c r="P12" i="23"/>
  <c r="O12" i="23"/>
  <c r="O15" i="23"/>
  <c r="P15" i="23"/>
  <c r="BC14" i="24"/>
  <c r="AD21" i="24"/>
  <c r="AY10" i="24"/>
  <c r="AB14" i="24"/>
  <c r="BA10" i="24"/>
  <c r="AC10" i="24"/>
  <c r="AF10" i="24"/>
  <c r="AO10" i="24"/>
  <c r="AW10" i="24"/>
  <c r="BB10" i="24"/>
  <c r="AE10" i="24"/>
  <c r="AB10" i="24"/>
  <c r="AZ17" i="24"/>
  <c r="BF14" i="24"/>
  <c r="AK19" i="24"/>
  <c r="AX19" i="24"/>
  <c r="AR19" i="24"/>
  <c r="AT19" i="24"/>
  <c r="BP16" i="24"/>
  <c r="AU18" i="24"/>
  <c r="BH14" i="24"/>
  <c r="AU17" i="24"/>
  <c r="AL18" i="24"/>
  <c r="BJ17" i="24"/>
  <c r="AC17" i="24"/>
  <c r="BD14" i="24"/>
  <c r="BI18" i="24"/>
  <c r="BC13" i="24"/>
  <c r="AC18" i="24"/>
  <c r="AJ18" i="24"/>
  <c r="BH21" i="24"/>
  <c r="AM18" i="24"/>
  <c r="AN18" i="24"/>
  <c r="BA18" i="24"/>
  <c r="BO19" i="24"/>
  <c r="AP16" i="24"/>
  <c r="BE16" i="24"/>
  <c r="BB18" i="24"/>
  <c r="AS18" i="24"/>
  <c r="AL20" i="24"/>
  <c r="AT18" i="24"/>
  <c r="BL18" i="24"/>
  <c r="AB18" i="24"/>
  <c r="BQ19" i="24"/>
  <c r="AF16" i="24"/>
  <c r="BF18" i="24"/>
  <c r="BD18" i="24"/>
  <c r="BK18" i="24"/>
  <c r="AH16" i="24"/>
  <c r="BB16" i="24"/>
  <c r="BO17" i="24"/>
  <c r="BA19" i="24"/>
  <c r="AY19" i="24"/>
  <c r="BE14" i="24"/>
  <c r="AO16" i="24"/>
  <c r="BG16" i="24"/>
  <c r="AX18" i="24"/>
  <c r="BQ18" i="24"/>
  <c r="AK18" i="24"/>
  <c r="AV18" i="24"/>
  <c r="BC18" i="24"/>
  <c r="AW20" i="24"/>
  <c r="BO21" i="24"/>
  <c r="AF21" i="24"/>
  <c r="AE18" i="24"/>
  <c r="BN21" i="24"/>
  <c r="BM17" i="24"/>
  <c r="AS17" i="24"/>
  <c r="BP17" i="24"/>
  <c r="AR17" i="24"/>
  <c r="BK17" i="24"/>
  <c r="AQ17" i="24"/>
  <c r="AW14" i="24"/>
  <c r="AV14" i="24"/>
  <c r="AT14" i="24"/>
  <c r="AS14" i="24"/>
  <c r="AU14" i="24"/>
  <c r="BN18" i="24"/>
  <c r="BJ18" i="24"/>
  <c r="AP18" i="24"/>
  <c r="BE18" i="24"/>
  <c r="AO18" i="24"/>
  <c r="BP18" i="24"/>
  <c r="AZ18" i="24"/>
  <c r="AF18" i="24"/>
  <c r="BG18" i="24"/>
  <c r="AQ18" i="24"/>
  <c r="AZ21" i="24"/>
  <c r="BG21" i="24"/>
  <c r="BI21" i="24"/>
  <c r="BF21" i="24"/>
  <c r="AM21" i="24"/>
  <c r="BH17" i="24"/>
  <c r="AK14" i="24"/>
  <c r="AM14" i="24"/>
  <c r="AW21" i="24"/>
  <c r="AN21" i="24"/>
  <c r="BI17" i="24"/>
  <c r="AO17" i="24"/>
  <c r="AJ17" i="24"/>
  <c r="BG17" i="24"/>
  <c r="AI17" i="24"/>
  <c r="AJ14" i="24"/>
  <c r="AC14" i="24"/>
  <c r="BQ21" i="24"/>
  <c r="AR21" i="24"/>
  <c r="AY21" i="24"/>
  <c r="AX21" i="24"/>
  <c r="AE21" i="24"/>
  <c r="AN14" i="24"/>
  <c r="AL14" i="24"/>
  <c r="AT17" i="24"/>
  <c r="BM14" i="24"/>
  <c r="BE17" i="24"/>
  <c r="AG17" i="24"/>
  <c r="BD17" i="24"/>
  <c r="AF17" i="24"/>
  <c r="AY17" i="24"/>
  <c r="AE17" i="24"/>
  <c r="BB17" i="24"/>
  <c r="BQ14" i="24"/>
  <c r="BP14" i="24"/>
  <c r="BN14" i="24"/>
  <c r="BK14" i="24"/>
  <c r="AE14" i="24"/>
  <c r="AH18" i="24"/>
  <c r="AD18" i="24"/>
  <c r="BM18" i="24"/>
  <c r="AW18" i="24"/>
  <c r="AG18" i="24"/>
  <c r="BH18" i="24"/>
  <c r="AR18" i="24"/>
  <c r="BO18" i="24"/>
  <c r="AY18" i="24"/>
  <c r="BQ13" i="24"/>
  <c r="BP21" i="24"/>
  <c r="AG21" i="24"/>
  <c r="AP21" i="24"/>
  <c r="AH21" i="24"/>
  <c r="AO21" i="24"/>
  <c r="AD12" i="28"/>
  <c r="AC12" i="28"/>
  <c r="AH12" i="28"/>
  <c r="AL12" i="28"/>
  <c r="AP12" i="28"/>
  <c r="AT12" i="28"/>
  <c r="AX12" i="28"/>
  <c r="BB12" i="28"/>
  <c r="BF12" i="28"/>
  <c r="BJ12" i="28"/>
  <c r="BN12" i="28"/>
  <c r="AE12" i="28"/>
  <c r="AI12" i="28"/>
  <c r="AM12" i="28"/>
  <c r="AQ12" i="28"/>
  <c r="AU12" i="28"/>
  <c r="AY12" i="28"/>
  <c r="BC12" i="28"/>
  <c r="BG12" i="28"/>
  <c r="BK12" i="28"/>
  <c r="BO12" i="28"/>
  <c r="AF12" i="28"/>
  <c r="AJ12" i="28"/>
  <c r="AN12" i="28"/>
  <c r="AR12" i="28"/>
  <c r="AV12" i="28"/>
  <c r="AZ12" i="28"/>
  <c r="BD12" i="28"/>
  <c r="BH12" i="28"/>
  <c r="BL12" i="28"/>
  <c r="BP12" i="28"/>
  <c r="AB12" i="28"/>
  <c r="AS12" i="28"/>
  <c r="BI12" i="28"/>
  <c r="AG12" i="28"/>
  <c r="AW12" i="28"/>
  <c r="BM12" i="28"/>
  <c r="AK12" i="28"/>
  <c r="BA12" i="28"/>
  <c r="BQ12" i="28"/>
  <c r="AO12" i="28"/>
  <c r="BE12" i="28"/>
  <c r="AE20" i="28"/>
  <c r="AI20" i="28"/>
  <c r="AM20" i="28"/>
  <c r="AQ20" i="28"/>
  <c r="AU20" i="28"/>
  <c r="AY20" i="28"/>
  <c r="BC20" i="28"/>
  <c r="BG20" i="28"/>
  <c r="BK20" i="28"/>
  <c r="BO20" i="28"/>
  <c r="AB20" i="28"/>
  <c r="AF20" i="28"/>
  <c r="AJ20" i="28"/>
  <c r="AN20" i="28"/>
  <c r="AR20" i="28"/>
  <c r="AV20" i="28"/>
  <c r="AZ20" i="28"/>
  <c r="AC20" i="28"/>
  <c r="AG20" i="28"/>
  <c r="AK20" i="28"/>
  <c r="AO20" i="28"/>
  <c r="AS20" i="28"/>
  <c r="AW20" i="28"/>
  <c r="BA20" i="28"/>
  <c r="BE20" i="28"/>
  <c r="BI20" i="28"/>
  <c r="BM20" i="28"/>
  <c r="BQ20" i="28"/>
  <c r="AD20" i="28"/>
  <c r="AH20" i="28"/>
  <c r="AL20" i="28"/>
  <c r="AP20" i="28"/>
  <c r="AT20" i="28"/>
  <c r="AX20" i="28"/>
  <c r="BB20" i="28"/>
  <c r="BF20" i="28"/>
  <c r="BJ20" i="28"/>
  <c r="BN20" i="28"/>
  <c r="BL20" i="28"/>
  <c r="BH20" i="28"/>
  <c r="BP20" i="28"/>
  <c r="BD20" i="28"/>
  <c r="BR10" i="28"/>
  <c r="AE15" i="28"/>
  <c r="AI15" i="28"/>
  <c r="AM15" i="28"/>
  <c r="AQ15" i="28"/>
  <c r="AU15" i="28"/>
  <c r="AY15" i="28"/>
  <c r="BC15" i="28"/>
  <c r="BG15" i="28"/>
  <c r="BK15" i="28"/>
  <c r="BO15" i="28"/>
  <c r="AC15" i="28"/>
  <c r="AG15" i="28"/>
  <c r="AK15" i="28"/>
  <c r="AO15" i="28"/>
  <c r="AS15" i="28"/>
  <c r="AW15" i="28"/>
  <c r="BA15" i="28"/>
  <c r="BE15" i="28"/>
  <c r="BI15" i="28"/>
  <c r="BM15" i="28"/>
  <c r="BQ15" i="28"/>
  <c r="AH15" i="28"/>
  <c r="AP15" i="28"/>
  <c r="AX15" i="28"/>
  <c r="BF15" i="28"/>
  <c r="BN15" i="28"/>
  <c r="AB15" i="28"/>
  <c r="AJ15" i="28"/>
  <c r="AR15" i="28"/>
  <c r="AZ15" i="28"/>
  <c r="BH15" i="28"/>
  <c r="BP15" i="28"/>
  <c r="AD15" i="28"/>
  <c r="AL15" i="28"/>
  <c r="AT15" i="28"/>
  <c r="BB15" i="28"/>
  <c r="BJ15" i="28"/>
  <c r="AF15" i="28"/>
  <c r="AN15" i="28"/>
  <c r="AV15" i="28"/>
  <c r="BD15" i="28"/>
  <c r="BL15" i="28"/>
  <c r="AB8" i="28"/>
  <c r="AF8" i="28"/>
  <c r="AJ8" i="28"/>
  <c r="AN8" i="28"/>
  <c r="AR8" i="28"/>
  <c r="AV8" i="28"/>
  <c r="AZ8" i="28"/>
  <c r="BD8" i="28"/>
  <c r="BH8" i="28"/>
  <c r="BL8" i="28"/>
  <c r="BP8" i="28"/>
  <c r="AC8" i="28"/>
  <c r="AG8" i="28"/>
  <c r="AK8" i="28"/>
  <c r="AO8" i="28"/>
  <c r="AS8" i="28"/>
  <c r="AW8" i="28"/>
  <c r="BA8" i="28"/>
  <c r="BE8" i="28"/>
  <c r="BI8" i="28"/>
  <c r="BM8" i="28"/>
  <c r="BQ8" i="28"/>
  <c r="AD8" i="28"/>
  <c r="AH8" i="28"/>
  <c r="AL8" i="28"/>
  <c r="AP8" i="28"/>
  <c r="AT8" i="28"/>
  <c r="AX8" i="28"/>
  <c r="BB8" i="28"/>
  <c r="BF8" i="28"/>
  <c r="BJ8" i="28"/>
  <c r="BN8" i="28"/>
  <c r="AE8" i="28"/>
  <c r="AU8" i="28"/>
  <c r="BK8" i="28"/>
  <c r="AI8" i="28"/>
  <c r="AY8" i="28"/>
  <c r="BO8" i="28"/>
  <c r="AM8" i="28"/>
  <c r="BC8" i="28"/>
  <c r="AQ8" i="28"/>
  <c r="BG8" i="28"/>
  <c r="AE5" i="28"/>
  <c r="AI5" i="28"/>
  <c r="AM5" i="28"/>
  <c r="AQ5" i="28"/>
  <c r="AU5" i="28"/>
  <c r="AY5" i="28"/>
  <c r="BC5" i="28"/>
  <c r="BG5" i="28"/>
  <c r="BK5" i="28"/>
  <c r="BO5" i="28"/>
  <c r="AB5" i="28"/>
  <c r="AF5" i="28"/>
  <c r="AJ5" i="28"/>
  <c r="AN5" i="28"/>
  <c r="AR5" i="28"/>
  <c r="AV5" i="28"/>
  <c r="AZ5" i="28"/>
  <c r="BD5" i="28"/>
  <c r="BH5" i="28"/>
  <c r="BL5" i="28"/>
  <c r="BP5" i="28"/>
  <c r="AC5" i="28"/>
  <c r="AG5" i="28"/>
  <c r="AK5" i="28"/>
  <c r="AO5" i="28"/>
  <c r="AS5" i="28"/>
  <c r="AW5" i="28"/>
  <c r="BA5" i="28"/>
  <c r="BE5" i="28"/>
  <c r="BI5" i="28"/>
  <c r="BM5" i="28"/>
  <c r="BQ5" i="28"/>
  <c r="AL5" i="28"/>
  <c r="BB5" i="28"/>
  <c r="AP5" i="28"/>
  <c r="BF5" i="28"/>
  <c r="AD5" i="28"/>
  <c r="AT5" i="28"/>
  <c r="BJ5" i="28"/>
  <c r="BN5" i="28"/>
  <c r="AH5" i="28"/>
  <c r="AX5" i="28"/>
  <c r="AB19" i="28"/>
  <c r="AF19" i="28"/>
  <c r="AJ19" i="28"/>
  <c r="AN19" i="28"/>
  <c r="AR19" i="28"/>
  <c r="AV19" i="28"/>
  <c r="AZ19" i="28"/>
  <c r="BD19" i="28"/>
  <c r="BH19" i="28"/>
  <c r="BL19" i="28"/>
  <c r="BP19" i="28"/>
  <c r="AC19" i="28"/>
  <c r="AG19" i="28"/>
  <c r="AK19" i="28"/>
  <c r="AO19" i="28"/>
  <c r="AS19" i="28"/>
  <c r="AW19" i="28"/>
  <c r="BA19" i="28"/>
  <c r="BE19" i="28"/>
  <c r="BI19" i="28"/>
  <c r="BM19" i="28"/>
  <c r="BQ19" i="28"/>
  <c r="AD19" i="28"/>
  <c r="AH19" i="28"/>
  <c r="AL19" i="28"/>
  <c r="AP19" i="28"/>
  <c r="AT19" i="28"/>
  <c r="AX19" i="28"/>
  <c r="BB19" i="28"/>
  <c r="BF19" i="28"/>
  <c r="BJ19" i="28"/>
  <c r="BN19" i="28"/>
  <c r="AE19" i="28"/>
  <c r="AI19" i="28"/>
  <c r="AM19" i="28"/>
  <c r="AQ19" i="28"/>
  <c r="AU19" i="28"/>
  <c r="AY19" i="28"/>
  <c r="BC19" i="28"/>
  <c r="BG19" i="28"/>
  <c r="BK19" i="28"/>
  <c r="BO19" i="28"/>
  <c r="AD6" i="28"/>
  <c r="AH6" i="28"/>
  <c r="AL6" i="28"/>
  <c r="AP6" i="28"/>
  <c r="AT6" i="28"/>
  <c r="AX6" i="28"/>
  <c r="BB6" i="28"/>
  <c r="BF6" i="28"/>
  <c r="BJ6" i="28"/>
  <c r="BN6" i="28"/>
  <c r="AE6" i="28"/>
  <c r="AI6" i="28"/>
  <c r="AM6" i="28"/>
  <c r="AQ6" i="28"/>
  <c r="AU6" i="28"/>
  <c r="AY6" i="28"/>
  <c r="BC6" i="28"/>
  <c r="BG6" i="28"/>
  <c r="BK6" i="28"/>
  <c r="BO6" i="28"/>
  <c r="AB6" i="28"/>
  <c r="AF6" i="28"/>
  <c r="AJ6" i="28"/>
  <c r="AN6" i="28"/>
  <c r="AR6" i="28"/>
  <c r="AV6" i="28"/>
  <c r="AZ6" i="28"/>
  <c r="BD6" i="28"/>
  <c r="BH6" i="28"/>
  <c r="BL6" i="28"/>
  <c r="BP6" i="28"/>
  <c r="AO6" i="28"/>
  <c r="BE6" i="28"/>
  <c r="AC6" i="28"/>
  <c r="AS6" i="28"/>
  <c r="BI6" i="28"/>
  <c r="AG6" i="28"/>
  <c r="AW6" i="28"/>
  <c r="BM6" i="28"/>
  <c r="AK6" i="28"/>
  <c r="BA6" i="28"/>
  <c r="BQ6" i="28"/>
  <c r="BR18" i="28"/>
  <c r="BR13" i="28"/>
  <c r="AE11" i="28"/>
  <c r="AI11" i="28"/>
  <c r="AM11" i="28"/>
  <c r="AQ11" i="28"/>
  <c r="AU11" i="28"/>
  <c r="AY11" i="28"/>
  <c r="BC11" i="28"/>
  <c r="BG11" i="28"/>
  <c r="BK11" i="28"/>
  <c r="BO11" i="28"/>
  <c r="AF11" i="28"/>
  <c r="AK11" i="28"/>
  <c r="AP11" i="28"/>
  <c r="AV11" i="28"/>
  <c r="BA11" i="28"/>
  <c r="BF11" i="28"/>
  <c r="BL11" i="28"/>
  <c r="BQ11" i="28"/>
  <c r="AB11" i="28"/>
  <c r="AG11" i="28"/>
  <c r="AL11" i="28"/>
  <c r="AR11" i="28"/>
  <c r="AW11" i="28"/>
  <c r="BB11" i="28"/>
  <c r="BH11" i="28"/>
  <c r="BM11" i="28"/>
  <c r="AC11" i="28"/>
  <c r="AH11" i="28"/>
  <c r="AN11" i="28"/>
  <c r="AS11" i="28"/>
  <c r="AX11" i="28"/>
  <c r="BD11" i="28"/>
  <c r="BI11" i="28"/>
  <c r="BN11" i="28"/>
  <c r="AT11" i="28"/>
  <c r="BP11" i="28"/>
  <c r="AD11" i="28"/>
  <c r="AZ11" i="28"/>
  <c r="AJ11" i="28"/>
  <c r="BE11" i="28"/>
  <c r="AO11" i="28"/>
  <c r="BJ11" i="28"/>
  <c r="AE9" i="28"/>
  <c r="AI9" i="28"/>
  <c r="AM9" i="28"/>
  <c r="AQ9" i="28"/>
  <c r="AU9" i="28"/>
  <c r="AY9" i="28"/>
  <c r="BC9" i="28"/>
  <c r="BG9" i="28"/>
  <c r="BK9" i="28"/>
  <c r="BO9" i="28"/>
  <c r="AB9" i="28"/>
  <c r="AF9" i="28"/>
  <c r="AJ9" i="28"/>
  <c r="AN9" i="28"/>
  <c r="AR9" i="28"/>
  <c r="AV9" i="28"/>
  <c r="AZ9" i="28"/>
  <c r="BD9" i="28"/>
  <c r="BH9" i="28"/>
  <c r="BL9" i="28"/>
  <c r="BP9" i="28"/>
  <c r="AC9" i="28"/>
  <c r="AG9" i="28"/>
  <c r="AK9" i="28"/>
  <c r="AO9" i="28"/>
  <c r="AS9" i="28"/>
  <c r="AW9" i="28"/>
  <c r="BA9" i="28"/>
  <c r="BE9" i="28"/>
  <c r="BI9" i="28"/>
  <c r="BM9" i="28"/>
  <c r="BQ9" i="28"/>
  <c r="AP9" i="28"/>
  <c r="BF9" i="28"/>
  <c r="AD9" i="28"/>
  <c r="AT9" i="28"/>
  <c r="BJ9" i="28"/>
  <c r="AH9" i="28"/>
  <c r="AX9" i="28"/>
  <c r="BN9" i="28"/>
  <c r="AL9" i="28"/>
  <c r="BB9" i="28"/>
  <c r="BR7" i="28"/>
  <c r="AD17" i="28"/>
  <c r="AH17" i="28"/>
  <c r="AL17" i="28"/>
  <c r="AP17" i="28"/>
  <c r="AT17" i="28"/>
  <c r="AX17" i="28"/>
  <c r="BB17" i="28"/>
  <c r="BF17" i="28"/>
  <c r="BJ17" i="28"/>
  <c r="BN17" i="28"/>
  <c r="AE17" i="28"/>
  <c r="AI17" i="28"/>
  <c r="AM17" i="28"/>
  <c r="AQ17" i="28"/>
  <c r="AU17" i="28"/>
  <c r="AY17" i="28"/>
  <c r="BC17" i="28"/>
  <c r="BG17" i="28"/>
  <c r="BK17" i="28"/>
  <c r="BO17" i="28"/>
  <c r="AB17" i="28"/>
  <c r="AF17" i="28"/>
  <c r="AJ17" i="28"/>
  <c r="AN17" i="28"/>
  <c r="AR17" i="28"/>
  <c r="AV17" i="28"/>
  <c r="AZ17" i="28"/>
  <c r="BD17" i="28"/>
  <c r="BH17" i="28"/>
  <c r="BL17" i="28"/>
  <c r="BP17" i="28"/>
  <c r="AC17" i="28"/>
  <c r="AG17" i="28"/>
  <c r="AK17" i="28"/>
  <c r="AO17" i="28"/>
  <c r="AS17" i="28"/>
  <c r="AW17" i="28"/>
  <c r="BA17" i="28"/>
  <c r="BE17" i="28"/>
  <c r="BI17" i="28"/>
  <c r="BM17" i="28"/>
  <c r="BQ17" i="28"/>
  <c r="AD21" i="28"/>
  <c r="AH21" i="28"/>
  <c r="AL21" i="28"/>
  <c r="AP21" i="28"/>
  <c r="AT21" i="28"/>
  <c r="AX21" i="28"/>
  <c r="BB21" i="28"/>
  <c r="BF21" i="28"/>
  <c r="BJ21" i="28"/>
  <c r="BN21" i="28"/>
  <c r="AB21" i="28"/>
  <c r="AF21" i="28"/>
  <c r="AJ21" i="28"/>
  <c r="AN21" i="28"/>
  <c r="AR21" i="28"/>
  <c r="AV21" i="28"/>
  <c r="AZ21" i="28"/>
  <c r="BD21" i="28"/>
  <c r="BH21" i="28"/>
  <c r="BL21" i="28"/>
  <c r="BP21" i="28"/>
  <c r="AC21" i="28"/>
  <c r="AG21" i="28"/>
  <c r="AK21" i="28"/>
  <c r="AO21" i="28"/>
  <c r="AS21" i="28"/>
  <c r="AW21" i="28"/>
  <c r="BA21" i="28"/>
  <c r="BE21" i="28"/>
  <c r="BI21" i="28"/>
  <c r="BM21" i="28"/>
  <c r="AE21" i="28"/>
  <c r="AU21" i="28"/>
  <c r="BK21" i="28"/>
  <c r="AY21" i="28"/>
  <c r="AI21" i="28"/>
  <c r="BO21" i="28"/>
  <c r="AM21" i="28"/>
  <c r="BC21" i="28"/>
  <c r="BQ21" i="28"/>
  <c r="AQ21" i="28"/>
  <c r="BG21" i="28"/>
  <c r="BR16" i="28"/>
  <c r="BR14" i="28"/>
  <c r="AU4" i="28"/>
  <c r="BJ4" i="28"/>
  <c r="AX4" i="28"/>
  <c r="AL4" i="28"/>
  <c r="BQ4" i="28"/>
  <c r="BM4" i="28"/>
  <c r="BI4" i="28"/>
  <c r="BE4" i="28"/>
  <c r="BA4" i="28"/>
  <c r="AW4" i="28"/>
  <c r="AS4" i="28"/>
  <c r="AO4" i="28"/>
  <c r="AK4" i="28"/>
  <c r="AG4" i="28"/>
  <c r="AC4" i="28"/>
  <c r="BO4" i="28"/>
  <c r="BG4" i="28"/>
  <c r="AQ4" i="28"/>
  <c r="AI4" i="28"/>
  <c r="BN4" i="28"/>
  <c r="BF4" i="28"/>
  <c r="AT4" i="28"/>
  <c r="AD4" i="28"/>
  <c r="BP4" i="28"/>
  <c r="BL4" i="28"/>
  <c r="BH4" i="28"/>
  <c r="BD4" i="28"/>
  <c r="AZ4" i="28"/>
  <c r="AV4" i="28"/>
  <c r="AR4" i="28"/>
  <c r="AN4" i="28"/>
  <c r="AJ4" i="28"/>
  <c r="AF4" i="28"/>
  <c r="AB4" i="28"/>
  <c r="BK4" i="28"/>
  <c r="BC4" i="28"/>
  <c r="AY4" i="28"/>
  <c r="AM4" i="28"/>
  <c r="AE4" i="28"/>
  <c r="BB4" i="28"/>
  <c r="AP4" i="28"/>
  <c r="AH4" i="28"/>
  <c r="AH20" i="24"/>
  <c r="AG20" i="24"/>
  <c r="BD20" i="24"/>
  <c r="AR20" i="24"/>
  <c r="BG20" i="24"/>
  <c r="BN20" i="24"/>
  <c r="BM20" i="24"/>
  <c r="AQ20" i="24"/>
  <c r="AP19" i="24"/>
  <c r="BM19" i="24"/>
  <c r="AW19" i="24"/>
  <c r="AG19" i="24"/>
  <c r="AJ19" i="24"/>
  <c r="BK19" i="24"/>
  <c r="AU19" i="24"/>
  <c r="AE19" i="24"/>
  <c r="BF16" i="24"/>
  <c r="BD19" i="24"/>
  <c r="BQ16" i="24"/>
  <c r="BA16" i="24"/>
  <c r="AK16" i="24"/>
  <c r="BL16" i="24"/>
  <c r="AV16" i="24"/>
  <c r="AB16" i="24"/>
  <c r="BC16" i="24"/>
  <c r="AM16" i="24"/>
  <c r="AV20" i="24"/>
  <c r="BJ20" i="24"/>
  <c r="AD20" i="24"/>
  <c r="BP20" i="24"/>
  <c r="AJ20" i="24"/>
  <c r="BI20" i="24"/>
  <c r="AS20" i="24"/>
  <c r="AC20" i="24"/>
  <c r="BC20" i="24"/>
  <c r="AM20" i="24"/>
  <c r="AX16" i="24"/>
  <c r="BN16" i="24"/>
  <c r="AZ19" i="24"/>
  <c r="BB19" i="24"/>
  <c r="BI19" i="24"/>
  <c r="AS19" i="24"/>
  <c r="AC19" i="24"/>
  <c r="AF19" i="24"/>
  <c r="BG19" i="24"/>
  <c r="AQ19" i="24"/>
  <c r="BL19" i="24"/>
  <c r="BM16" i="24"/>
  <c r="AW16" i="24"/>
  <c r="AG16" i="24"/>
  <c r="BH16" i="24"/>
  <c r="AR16" i="24"/>
  <c r="BO16" i="24"/>
  <c r="AY16" i="24"/>
  <c r="AI16" i="24"/>
  <c r="BF20" i="24"/>
  <c r="AN20" i="24"/>
  <c r="BB20" i="24"/>
  <c r="AX20" i="24"/>
  <c r="BH20" i="24"/>
  <c r="AB20" i="24"/>
  <c r="BE20" i="24"/>
  <c r="AO20" i="24"/>
  <c r="BO20" i="24"/>
  <c r="AY20" i="24"/>
  <c r="AI20" i="24"/>
  <c r="AL19" i="24"/>
  <c r="AN16" i="24"/>
  <c r="BH19" i="24"/>
  <c r="AL16" i="24"/>
  <c r="BJ19" i="24"/>
  <c r="BE19" i="24"/>
  <c r="AO19" i="24"/>
  <c r="AV19" i="24"/>
  <c r="AB19" i="24"/>
  <c r="BC19" i="24"/>
  <c r="AN19" i="24"/>
  <c r="BI16" i="24"/>
  <c r="AS16" i="24"/>
  <c r="AC16" i="24"/>
  <c r="BD16" i="24"/>
  <c r="AJ16" i="24"/>
  <c r="BK16" i="24"/>
  <c r="AU16" i="24"/>
  <c r="BL20" i="24"/>
  <c r="AF20" i="24"/>
  <c r="AT20" i="24"/>
  <c r="AP20" i="24"/>
  <c r="AZ20" i="24"/>
  <c r="BQ20" i="24"/>
  <c r="BA20" i="24"/>
  <c r="AK20" i="24"/>
  <c r="BK20" i="24"/>
  <c r="AU20" i="24"/>
  <c r="BD13" i="24"/>
  <c r="AV13" i="24"/>
  <c r="AM13" i="24"/>
  <c r="AS13" i="24"/>
  <c r="BJ13" i="24"/>
  <c r="AK13" i="24"/>
  <c r="AW13" i="24"/>
  <c r="AF13" i="24"/>
  <c r="AN13" i="24"/>
  <c r="BA14" i="24"/>
  <c r="AF14" i="24"/>
  <c r="AZ14" i="24"/>
  <c r="AD14" i="24"/>
  <c r="AX14" i="24"/>
  <c r="BO14" i="24"/>
  <c r="AY14" i="24"/>
  <c r="AI14" i="24"/>
  <c r="AD13" i="24"/>
  <c r="BM13" i="24"/>
  <c r="AR13" i="24"/>
  <c r="BL13" i="24"/>
  <c r="AP13" i="24"/>
  <c r="BE13" i="24"/>
  <c r="BO13" i="24"/>
  <c r="AY13" i="24"/>
  <c r="AI13" i="24"/>
  <c r="AG13" i="24"/>
  <c r="BE21" i="24"/>
  <c r="BD21" i="24"/>
  <c r="AL21" i="24"/>
  <c r="BK21" i="24"/>
  <c r="AU21" i="24"/>
  <c r="BM21" i="24"/>
  <c r="AS21" i="24"/>
  <c r="BJ21" i="24"/>
  <c r="AT21" i="24"/>
  <c r="AQ21" i="24"/>
  <c r="AX13" i="24"/>
  <c r="AJ13" i="24"/>
  <c r="AH13" i="24"/>
  <c r="BK13" i="24"/>
  <c r="AU13" i="24"/>
  <c r="AC13" i="24"/>
  <c r="BI13" i="24"/>
  <c r="BH13" i="24"/>
  <c r="BF13" i="24"/>
  <c r="AZ13" i="24"/>
  <c r="AE13" i="24"/>
  <c r="AD17" i="24"/>
  <c r="AR14" i="24"/>
  <c r="BQ17" i="24"/>
  <c r="BA17" i="24"/>
  <c r="AK17" i="24"/>
  <c r="BL17" i="24"/>
  <c r="AV17" i="24"/>
  <c r="AB17" i="24"/>
  <c r="BC17" i="24"/>
  <c r="BL14" i="24"/>
  <c r="AP14" i="24"/>
  <c r="BJ14" i="24"/>
  <c r="AO14" i="24"/>
  <c r="BI14" i="24"/>
  <c r="AH14" i="24"/>
  <c r="BG14" i="24"/>
  <c r="AL13" i="24"/>
  <c r="BN13" i="24"/>
  <c r="BB13" i="24"/>
  <c r="AB13" i="24"/>
  <c r="BA13" i="24"/>
  <c r="BP13" i="24"/>
  <c r="AT13" i="24"/>
  <c r="BG13" i="24"/>
  <c r="AQ13" i="24"/>
  <c r="BL21" i="24"/>
  <c r="AV21" i="24"/>
  <c r="AB21" i="24"/>
  <c r="BC21" i="24"/>
  <c r="AK21" i="24"/>
  <c r="BA21" i="24"/>
  <c r="AC21" i="24"/>
  <c r="BB21" i="24"/>
  <c r="AJ21" i="24"/>
  <c r="AN17" i="24"/>
  <c r="BE6" i="27"/>
  <c r="AC6" i="27"/>
  <c r="T8" i="27"/>
  <c r="BI8" i="27" s="1"/>
  <c r="U18" i="27"/>
  <c r="AO18" i="27" s="1"/>
  <c r="BP10" i="24"/>
  <c r="AU10" i="24"/>
  <c r="BE10" i="24"/>
  <c r="AS10" i="24"/>
  <c r="BQ10" i="24"/>
  <c r="AV10" i="24"/>
  <c r="AH10" i="24"/>
  <c r="AJ10" i="24"/>
  <c r="BI10" i="24"/>
  <c r="AN10" i="24"/>
  <c r="BH10" i="24"/>
  <c r="AM10" i="24"/>
  <c r="BL10" i="24"/>
  <c r="AQ10" i="24"/>
  <c r="BJ10" i="24"/>
  <c r="AT10" i="24"/>
  <c r="AD10" i="24"/>
  <c r="AD16" i="24"/>
  <c r="AT16" i="24"/>
  <c r="BJ16" i="24"/>
  <c r="AD19" i="24"/>
  <c r="BN19" i="24"/>
  <c r="AH19" i="24"/>
  <c r="BF19" i="24"/>
  <c r="BO10" i="24"/>
  <c r="BM10" i="24"/>
  <c r="AR10" i="24"/>
  <c r="BN10" i="24"/>
  <c r="AX10" i="24"/>
  <c r="BK10" i="24"/>
  <c r="AZ10" i="24"/>
  <c r="BD10" i="24"/>
  <c r="AI10" i="24"/>
  <c r="BC10" i="24"/>
  <c r="AG10" i="24"/>
  <c r="BG10" i="24"/>
  <c r="AK10" i="24"/>
  <c r="BF10" i="24"/>
  <c r="AP10" i="24"/>
  <c r="AG14" i="24"/>
  <c r="BB14" i="24"/>
  <c r="AL17" i="24"/>
  <c r="AX17" i="24"/>
  <c r="BF17" i="24"/>
  <c r="AH17" i="24"/>
  <c r="BN17" i="24"/>
  <c r="AP17" i="24"/>
  <c r="T21" i="27"/>
  <c r="BD21" i="27" s="1"/>
  <c r="T11" i="27"/>
  <c r="BQ11" i="27" s="1"/>
  <c r="U12" i="27"/>
  <c r="T12" i="27"/>
  <c r="BF12" i="27" s="1"/>
  <c r="Z10" i="27"/>
  <c r="U10" i="27" s="1"/>
  <c r="AY6" i="27"/>
  <c r="U13" i="27"/>
  <c r="Z16" i="27"/>
  <c r="U16" i="27" s="1"/>
  <c r="Z15" i="27"/>
  <c r="T15" i="27" s="1"/>
  <c r="BJ6" i="27"/>
  <c r="AH6" i="27"/>
  <c r="AS6" i="27"/>
  <c r="U21" i="27"/>
  <c r="T13" i="27"/>
  <c r="BK13" i="27" s="1"/>
  <c r="U5" i="27"/>
  <c r="AO5" i="27" s="1"/>
  <c r="AQ6" i="27"/>
  <c r="BC6" i="27"/>
  <c r="BI6" i="27"/>
  <c r="T17" i="27"/>
  <c r="BD17" i="27" s="1"/>
  <c r="T9" i="27"/>
  <c r="BR9" i="27" s="1"/>
  <c r="U11" i="27"/>
  <c r="U9" i="27"/>
  <c r="BL6" i="27"/>
  <c r="AZ6" i="27"/>
  <c r="U6" i="27"/>
  <c r="AU6" i="27" s="1"/>
  <c r="AE6" i="27"/>
  <c r="AV6" i="27"/>
  <c r="BR6" i="27"/>
  <c r="BD6" i="27"/>
  <c r="AM6" i="27"/>
  <c r="BH6" i="27"/>
  <c r="BF6" i="27"/>
  <c r="AG6" i="27"/>
  <c r="AW6" i="27"/>
  <c r="BM6" i="27"/>
  <c r="AI6" i="27"/>
  <c r="AF6" i="27"/>
  <c r="BB6" i="27"/>
  <c r="AD6" i="27"/>
  <c r="BO6" i="27"/>
  <c r="AR6" i="27"/>
  <c r="BN6" i="27"/>
  <c r="BK6" i="27"/>
  <c r="AK6" i="27"/>
  <c r="BA6" i="27"/>
  <c r="BQ6" i="27"/>
  <c r="U20" i="27"/>
  <c r="AT6" i="27"/>
  <c r="AL6" i="27"/>
  <c r="BG6" i="27"/>
  <c r="AN6" i="27"/>
  <c r="AP6" i="27"/>
  <c r="AX6" i="27"/>
  <c r="AJ6" i="27"/>
  <c r="BP6" i="27"/>
  <c r="T4" i="27"/>
  <c r="U17" i="27"/>
  <c r="T20" i="27"/>
  <c r="T7" i="27"/>
  <c r="U14" i="27"/>
  <c r="T14" i="27"/>
  <c r="U19" i="27"/>
  <c r="T19" i="27"/>
  <c r="BQ18" i="27"/>
  <c r="BM18" i="27"/>
  <c r="BI18" i="27"/>
  <c r="BE18" i="27"/>
  <c r="BA18" i="27"/>
  <c r="AW18" i="27"/>
  <c r="AS18" i="27"/>
  <c r="AK18" i="27"/>
  <c r="AG18" i="27"/>
  <c r="AC18" i="27"/>
  <c r="BP18" i="27"/>
  <c r="BL18" i="27"/>
  <c r="BH18" i="27"/>
  <c r="BD18" i="27"/>
  <c r="AZ18" i="27"/>
  <c r="AV18" i="27"/>
  <c r="AR18" i="27"/>
  <c r="AN18" i="27"/>
  <c r="AJ18" i="27"/>
  <c r="AF18" i="27"/>
  <c r="BO18" i="27"/>
  <c r="BK18" i="27"/>
  <c r="BG18" i="27"/>
  <c r="BC18" i="27"/>
  <c r="AY18" i="27"/>
  <c r="AU18" i="27"/>
  <c r="AQ18" i="27"/>
  <c r="AM18" i="27"/>
  <c r="AI18" i="27"/>
  <c r="AE18" i="27"/>
  <c r="BN18" i="27"/>
  <c r="AX18" i="27"/>
  <c r="AH18" i="27"/>
  <c r="BJ18" i="27"/>
  <c r="AT18" i="27"/>
  <c r="AD18" i="27"/>
  <c r="BF18" i="27"/>
  <c r="AP18" i="27"/>
  <c r="BR18" i="27"/>
  <c r="BB18" i="27"/>
  <c r="AL18" i="27"/>
  <c r="BP5" i="27"/>
  <c r="BL5" i="27"/>
  <c r="BH5" i="27"/>
  <c r="BD5" i="27"/>
  <c r="AZ5" i="27"/>
  <c r="AV5" i="27"/>
  <c r="AR5" i="27"/>
  <c r="AN5" i="27"/>
  <c r="AJ5" i="27"/>
  <c r="AF5" i="27"/>
  <c r="BJ5" i="27"/>
  <c r="BN5" i="27"/>
  <c r="BI5" i="27"/>
  <c r="BC5" i="27"/>
  <c r="AX5" i="27"/>
  <c r="AS5" i="27"/>
  <c r="AM5" i="27"/>
  <c r="AH5" i="27"/>
  <c r="AC5" i="27"/>
  <c r="BK5" i="27"/>
  <c r="AU5" i="27"/>
  <c r="AK5" i="27"/>
  <c r="BO5" i="27"/>
  <c r="BE5" i="27"/>
  <c r="AT5" i="27"/>
  <c r="AI5" i="27"/>
  <c r="BR5" i="27"/>
  <c r="BM5" i="27"/>
  <c r="BG5" i="27"/>
  <c r="BB5" i="27"/>
  <c r="AW5" i="27"/>
  <c r="AQ5" i="27"/>
  <c r="AL5" i="27"/>
  <c r="AG5" i="27"/>
  <c r="BQ5" i="27"/>
  <c r="BF5" i="27"/>
  <c r="BA5" i="27"/>
  <c r="AP5" i="27"/>
  <c r="AE5" i="27"/>
  <c r="AY5" i="27"/>
  <c r="AD5" i="27"/>
  <c r="AD5" i="24"/>
  <c r="AH5" i="24"/>
  <c r="AL5" i="24"/>
  <c r="AP5" i="24"/>
  <c r="AT5" i="24"/>
  <c r="AX5" i="24"/>
  <c r="BB5" i="24"/>
  <c r="BF5" i="24"/>
  <c r="BJ5" i="24"/>
  <c r="BN5" i="24"/>
  <c r="AE5" i="24"/>
  <c r="AJ5" i="24"/>
  <c r="AO5" i="24"/>
  <c r="AU5" i="24"/>
  <c r="AZ5" i="24"/>
  <c r="BE5" i="24"/>
  <c r="BK5" i="24"/>
  <c r="BP5" i="24"/>
  <c r="AF5" i="24"/>
  <c r="AK5" i="24"/>
  <c r="AQ5" i="24"/>
  <c r="AV5" i="24"/>
  <c r="BA5" i="24"/>
  <c r="BG5" i="24"/>
  <c r="BL5" i="24"/>
  <c r="BQ5" i="24"/>
  <c r="AB5" i="24"/>
  <c r="AG5" i="24"/>
  <c r="AM5" i="24"/>
  <c r="AR5" i="24"/>
  <c r="AW5" i="24"/>
  <c r="BC5" i="24"/>
  <c r="BH5" i="24"/>
  <c r="BM5" i="24"/>
  <c r="AC5" i="24"/>
  <c r="AY5" i="24"/>
  <c r="AI5" i="24"/>
  <c r="BD5" i="24"/>
  <c r="AN5" i="24"/>
  <c r="BI5" i="24"/>
  <c r="AS5" i="24"/>
  <c r="BO5" i="24"/>
  <c r="AD11" i="24"/>
  <c r="AH11" i="24"/>
  <c r="AL11" i="24"/>
  <c r="AP11" i="24"/>
  <c r="AT11" i="24"/>
  <c r="AB11" i="24"/>
  <c r="AG11" i="24"/>
  <c r="AM11" i="24"/>
  <c r="AR11" i="24"/>
  <c r="AW11" i="24"/>
  <c r="BA11" i="24"/>
  <c r="BE11" i="24"/>
  <c r="BI11" i="24"/>
  <c r="BM11" i="24"/>
  <c r="BQ11" i="24"/>
  <c r="AC11" i="24"/>
  <c r="AI11" i="24"/>
  <c r="AN11" i="24"/>
  <c r="AS11" i="24"/>
  <c r="AX11" i="24"/>
  <c r="BB11" i="24"/>
  <c r="BF11" i="24"/>
  <c r="BJ11" i="24"/>
  <c r="BN11" i="24"/>
  <c r="AE11" i="24"/>
  <c r="AJ11" i="24"/>
  <c r="AO11" i="24"/>
  <c r="AU11" i="24"/>
  <c r="AY11" i="24"/>
  <c r="BC11" i="24"/>
  <c r="BG11" i="24"/>
  <c r="BK11" i="24"/>
  <c r="BO11" i="24"/>
  <c r="AF11" i="24"/>
  <c r="AZ11" i="24"/>
  <c r="BP11" i="24"/>
  <c r="AK11" i="24"/>
  <c r="BD11" i="24"/>
  <c r="AQ11" i="24"/>
  <c r="BH11" i="24"/>
  <c r="BL11" i="24"/>
  <c r="AV11" i="24"/>
  <c r="AC12" i="24"/>
  <c r="AG12" i="24"/>
  <c r="AK12" i="24"/>
  <c r="AO12" i="24"/>
  <c r="AS12" i="24"/>
  <c r="AW12" i="24"/>
  <c r="BA12" i="24"/>
  <c r="BE12" i="24"/>
  <c r="BI12" i="24"/>
  <c r="BM12" i="24"/>
  <c r="BQ12" i="24"/>
  <c r="AE12" i="24"/>
  <c r="AI12" i="24"/>
  <c r="AM12" i="24"/>
  <c r="AQ12" i="24"/>
  <c r="AU12" i="24"/>
  <c r="AY12" i="24"/>
  <c r="BC12" i="24"/>
  <c r="BG12" i="24"/>
  <c r="BK12" i="24"/>
  <c r="BO12" i="24"/>
  <c r="AF12" i="24"/>
  <c r="AN12" i="24"/>
  <c r="AV12" i="24"/>
  <c r="BD12" i="24"/>
  <c r="BL12" i="24"/>
  <c r="AH12" i="24"/>
  <c r="AP12" i="24"/>
  <c r="AX12" i="24"/>
  <c r="BF12" i="24"/>
  <c r="BN12" i="24"/>
  <c r="AB12" i="24"/>
  <c r="AJ12" i="24"/>
  <c r="AR12" i="24"/>
  <c r="AZ12" i="24"/>
  <c r="BH12" i="24"/>
  <c r="BP12" i="24"/>
  <c r="AT12" i="24"/>
  <c r="BB12" i="24"/>
  <c r="AD12" i="24"/>
  <c r="BJ12" i="24"/>
  <c r="AL12" i="24"/>
  <c r="AD6" i="24"/>
  <c r="AH6" i="24"/>
  <c r="AL6" i="24"/>
  <c r="AP6" i="24"/>
  <c r="AT6" i="24"/>
  <c r="AX6" i="24"/>
  <c r="BB6" i="24"/>
  <c r="BF6" i="24"/>
  <c r="BJ6" i="24"/>
  <c r="BN6" i="24"/>
  <c r="AF6" i="24"/>
  <c r="AK6" i="24"/>
  <c r="AQ6" i="24"/>
  <c r="AV6" i="24"/>
  <c r="BA6" i="24"/>
  <c r="BG6" i="24"/>
  <c r="BL6" i="24"/>
  <c r="BQ6" i="24"/>
  <c r="AB6" i="24"/>
  <c r="AG6" i="24"/>
  <c r="AM6" i="24"/>
  <c r="AR6" i="24"/>
  <c r="AW6" i="24"/>
  <c r="BC6" i="24"/>
  <c r="BH6" i="24"/>
  <c r="BM6" i="24"/>
  <c r="AC6" i="24"/>
  <c r="AI6" i="24"/>
  <c r="AN6" i="24"/>
  <c r="AS6" i="24"/>
  <c r="AY6" i="24"/>
  <c r="BD6" i="24"/>
  <c r="BI6" i="24"/>
  <c r="BO6" i="24"/>
  <c r="AU6" i="24"/>
  <c r="BP6" i="24"/>
  <c r="AE6" i="24"/>
  <c r="AZ6" i="24"/>
  <c r="AJ6" i="24"/>
  <c r="BE6" i="24"/>
  <c r="BK6" i="24"/>
  <c r="AO6" i="24"/>
  <c r="AD7" i="24"/>
  <c r="AH7" i="24"/>
  <c r="AL7" i="24"/>
  <c r="AP7" i="24"/>
  <c r="AT7" i="24"/>
  <c r="AX7" i="24"/>
  <c r="BB7" i="24"/>
  <c r="BF7" i="24"/>
  <c r="BJ7" i="24"/>
  <c r="BN7" i="24"/>
  <c r="AB7" i="24"/>
  <c r="AG7" i="24"/>
  <c r="AM7" i="24"/>
  <c r="AR7" i="24"/>
  <c r="AW7" i="24"/>
  <c r="BC7" i="24"/>
  <c r="BH7" i="24"/>
  <c r="BM7" i="24"/>
  <c r="AC7" i="24"/>
  <c r="AI7" i="24"/>
  <c r="AN7" i="24"/>
  <c r="AS7" i="24"/>
  <c r="AY7" i="24"/>
  <c r="BD7" i="24"/>
  <c r="BI7" i="24"/>
  <c r="BO7" i="24"/>
  <c r="AE7" i="24"/>
  <c r="AJ7" i="24"/>
  <c r="AO7" i="24"/>
  <c r="AU7" i="24"/>
  <c r="AZ7" i="24"/>
  <c r="BE7" i="24"/>
  <c r="BK7" i="24"/>
  <c r="BP7" i="24"/>
  <c r="AF7" i="24"/>
  <c r="BA7" i="24"/>
  <c r="AK7" i="24"/>
  <c r="BG7" i="24"/>
  <c r="AQ7" i="24"/>
  <c r="BL7" i="24"/>
  <c r="AV7" i="24"/>
  <c r="BQ7" i="24"/>
  <c r="AD9" i="24"/>
  <c r="AH9" i="24"/>
  <c r="AL9" i="24"/>
  <c r="AP9" i="24"/>
  <c r="AT9" i="24"/>
  <c r="AX9" i="24"/>
  <c r="BB9" i="24"/>
  <c r="BF9" i="24"/>
  <c r="BJ9" i="24"/>
  <c r="BN9" i="24"/>
  <c r="AE9" i="24"/>
  <c r="AJ9" i="24"/>
  <c r="AO9" i="24"/>
  <c r="AU9" i="24"/>
  <c r="AZ9" i="24"/>
  <c r="BE9" i="24"/>
  <c r="BK9" i="24"/>
  <c r="BP9" i="24"/>
  <c r="AF9" i="24"/>
  <c r="AK9" i="24"/>
  <c r="AQ9" i="24"/>
  <c r="AV9" i="24"/>
  <c r="BA9" i="24"/>
  <c r="BG9" i="24"/>
  <c r="BL9" i="24"/>
  <c r="BQ9" i="24"/>
  <c r="AB9" i="24"/>
  <c r="AG9" i="24"/>
  <c r="AM9" i="24"/>
  <c r="AR9" i="24"/>
  <c r="AW9" i="24"/>
  <c r="BC9" i="24"/>
  <c r="BH9" i="24"/>
  <c r="BM9" i="24"/>
  <c r="AN9" i="24"/>
  <c r="BI9" i="24"/>
  <c r="AS9" i="24"/>
  <c r="BO9" i="24"/>
  <c r="AC9" i="24"/>
  <c r="AY9" i="24"/>
  <c r="AI9" i="24"/>
  <c r="BD9" i="24"/>
  <c r="AD8" i="24"/>
  <c r="AH8" i="24"/>
  <c r="AL8" i="24"/>
  <c r="AP8" i="24"/>
  <c r="AT8" i="24"/>
  <c r="AX8" i="24"/>
  <c r="BB8" i="24"/>
  <c r="BF8" i="24"/>
  <c r="BJ8" i="24"/>
  <c r="BN8" i="24"/>
  <c r="AC8" i="24"/>
  <c r="AI8" i="24"/>
  <c r="AN8" i="24"/>
  <c r="AS8" i="24"/>
  <c r="AY8" i="24"/>
  <c r="BD8" i="24"/>
  <c r="BI8" i="24"/>
  <c r="BO8" i="24"/>
  <c r="AE8" i="24"/>
  <c r="AJ8" i="24"/>
  <c r="AO8" i="24"/>
  <c r="AU8" i="24"/>
  <c r="AZ8" i="24"/>
  <c r="BE8" i="24"/>
  <c r="BK8" i="24"/>
  <c r="BP8" i="24"/>
  <c r="AF8" i="24"/>
  <c r="AK8" i="24"/>
  <c r="AQ8" i="24"/>
  <c r="AV8" i="24"/>
  <c r="BA8" i="24"/>
  <c r="BG8" i="24"/>
  <c r="BL8" i="24"/>
  <c r="BQ8" i="24"/>
  <c r="AM8" i="24"/>
  <c r="BH8" i="24"/>
  <c r="AR8" i="24"/>
  <c r="BM8" i="24"/>
  <c r="AB8" i="24"/>
  <c r="AW8" i="24"/>
  <c r="AG8" i="24"/>
  <c r="BC8" i="24"/>
  <c r="BR15" i="24"/>
  <c r="T4" i="24"/>
  <c r="S4" i="24"/>
  <c r="M3" i="11"/>
  <c r="BC11" i="27" l="1"/>
  <c r="BB12" i="27"/>
  <c r="AP21" i="27"/>
  <c r="BR21" i="27"/>
  <c r="AD11" i="27"/>
  <c r="AL8" i="27"/>
  <c r="AI12" i="27"/>
  <c r="AT11" i="27"/>
  <c r="AF11" i="27"/>
  <c r="BM17" i="27"/>
  <c r="AG11" i="27"/>
  <c r="BJ11" i="27"/>
  <c r="AV11" i="27"/>
  <c r="BQ13" i="27"/>
  <c r="AD17" i="27"/>
  <c r="BA11" i="27"/>
  <c r="AM11" i="27"/>
  <c r="BL11" i="27"/>
  <c r="AK11" i="27"/>
  <c r="BE11" i="27"/>
  <c r="AH11" i="27"/>
  <c r="AX11" i="27"/>
  <c r="BN11" i="27"/>
  <c r="AQ11" i="27"/>
  <c r="BG11" i="27"/>
  <c r="AJ11" i="27"/>
  <c r="AZ11" i="27"/>
  <c r="BO11" i="27"/>
  <c r="AI17" i="27"/>
  <c r="BR11" i="27"/>
  <c r="AS11" i="27"/>
  <c r="BI11" i="27"/>
  <c r="AL11" i="27"/>
  <c r="BB11" i="27"/>
  <c r="AE11" i="27"/>
  <c r="AU11" i="27"/>
  <c r="BK11" i="27"/>
  <c r="AN11" i="27"/>
  <c r="BD11" i="27"/>
  <c r="AF17" i="27"/>
  <c r="AC11" i="27"/>
  <c r="AW11" i="27"/>
  <c r="BM11" i="27"/>
  <c r="AP11" i="27"/>
  <c r="BF11" i="27"/>
  <c r="AI11" i="27"/>
  <c r="AY11" i="27"/>
  <c r="BP11" i="27"/>
  <c r="AR11" i="27"/>
  <c r="BH11" i="27"/>
  <c r="BR18" i="24"/>
  <c r="AF8" i="27"/>
  <c r="AK17" i="27"/>
  <c r="AT17" i="27"/>
  <c r="AM17" i="27"/>
  <c r="AR17" i="27"/>
  <c r="BA8" i="27"/>
  <c r="BE17" i="27"/>
  <c r="AX17" i="27"/>
  <c r="AY17" i="27"/>
  <c r="BH17" i="27"/>
  <c r="AC17" i="27"/>
  <c r="BJ17" i="27"/>
  <c r="BO17" i="27"/>
  <c r="BL17" i="27"/>
  <c r="BR20" i="24"/>
  <c r="AF12" i="27"/>
  <c r="BA17" i="27"/>
  <c r="AH17" i="27"/>
  <c r="BN17" i="27"/>
  <c r="BC17" i="27"/>
  <c r="AV17" i="27"/>
  <c r="AD12" i="27"/>
  <c r="BQ12" i="27"/>
  <c r="BR11" i="28"/>
  <c r="BR15" i="28"/>
  <c r="BR21" i="28"/>
  <c r="BR17" i="28"/>
  <c r="BR9" i="28"/>
  <c r="BR6" i="28"/>
  <c r="BR19" i="28"/>
  <c r="BR5" i="28"/>
  <c r="BR8" i="28"/>
  <c r="BR12" i="28"/>
  <c r="BR20" i="28"/>
  <c r="BR4" i="28"/>
  <c r="AY12" i="27"/>
  <c r="AN12" i="27"/>
  <c r="BJ12" i="27"/>
  <c r="BR13" i="27"/>
  <c r="AI8" i="27"/>
  <c r="BH8" i="27"/>
  <c r="AF9" i="27"/>
  <c r="BA12" i="27"/>
  <c r="BL12" i="27"/>
  <c r="AM8" i="27"/>
  <c r="BL8" i="27"/>
  <c r="AV9" i="27"/>
  <c r="BJ8" i="27"/>
  <c r="BO8" i="27"/>
  <c r="AW8" i="27"/>
  <c r="BR16" i="24"/>
  <c r="BR21" i="24"/>
  <c r="BR13" i="24"/>
  <c r="BR17" i="24"/>
  <c r="BR14" i="24"/>
  <c r="BR19" i="24"/>
  <c r="BR10" i="24"/>
  <c r="AO12" i="27"/>
  <c r="BO12" i="27"/>
  <c r="AM12" i="27"/>
  <c r="AV12" i="27"/>
  <c r="AL12" i="27"/>
  <c r="BR12" i="27"/>
  <c r="AH8" i="27"/>
  <c r="AP8" i="27"/>
  <c r="AY8" i="27"/>
  <c r="AR8" i="27"/>
  <c r="AG8" i="27"/>
  <c r="BM8" i="27"/>
  <c r="BA9" i="27"/>
  <c r="BO21" i="27"/>
  <c r="BE12" i="27"/>
  <c r="AK12" i="27"/>
  <c r="BC12" i="27"/>
  <c r="BD12" i="27"/>
  <c r="AT12" i="27"/>
  <c r="T16" i="27"/>
  <c r="BO16" i="27" s="1"/>
  <c r="AX8" i="27"/>
  <c r="BF8" i="27"/>
  <c r="BC8" i="27"/>
  <c r="AV8" i="27"/>
  <c r="AK8" i="27"/>
  <c r="BQ8" i="27"/>
  <c r="BQ9" i="27"/>
  <c r="BF21" i="27"/>
  <c r="AR21" i="27"/>
  <c r="AW21" i="27"/>
  <c r="AI21" i="27"/>
  <c r="BH21" i="27"/>
  <c r="BN8" i="27"/>
  <c r="BB8" i="27"/>
  <c r="AD8" i="27"/>
  <c r="AQ8" i="27"/>
  <c r="BG8" i="27"/>
  <c r="AJ8" i="27"/>
  <c r="AZ8" i="27"/>
  <c r="BP8" i="27"/>
  <c r="AO8" i="27"/>
  <c r="BE8" i="27"/>
  <c r="AI9" i="27"/>
  <c r="BL9" i="27"/>
  <c r="AP9" i="27"/>
  <c r="AC21" i="27"/>
  <c r="BQ21" i="27"/>
  <c r="AY21" i="27"/>
  <c r="AT8" i="27"/>
  <c r="BR8" i="27"/>
  <c r="AE8" i="27"/>
  <c r="AU8" i="27"/>
  <c r="BK8" i="27"/>
  <c r="AN8" i="27"/>
  <c r="BD8" i="27"/>
  <c r="AC8" i="27"/>
  <c r="AS8" i="27"/>
  <c r="AM9" i="27"/>
  <c r="AK9" i="27"/>
  <c r="BF9" i="27"/>
  <c r="AS21" i="27"/>
  <c r="BM21" i="27"/>
  <c r="AD21" i="27"/>
  <c r="AT21" i="27"/>
  <c r="BJ21" i="27"/>
  <c r="AM21" i="27"/>
  <c r="BC21" i="27"/>
  <c r="AF21" i="27"/>
  <c r="AV21" i="27"/>
  <c r="BL21" i="27"/>
  <c r="BI21" i="27"/>
  <c r="AH21" i="27"/>
  <c r="BN21" i="27"/>
  <c r="BG21" i="27"/>
  <c r="AJ21" i="27"/>
  <c r="BP21" i="27"/>
  <c r="AO21" i="27"/>
  <c r="AK21" i="27"/>
  <c r="AX21" i="27"/>
  <c r="AQ21" i="27"/>
  <c r="AZ21" i="27"/>
  <c r="BE21" i="27"/>
  <c r="AG21" i="27"/>
  <c r="BA21" i="27"/>
  <c r="AL21" i="27"/>
  <c r="BB21" i="27"/>
  <c r="AE21" i="27"/>
  <c r="AU21" i="27"/>
  <c r="BK21" i="27"/>
  <c r="AN21" i="27"/>
  <c r="AG12" i="27"/>
  <c r="BM12" i="27"/>
  <c r="BG12" i="27"/>
  <c r="AS12" i="27"/>
  <c r="AE12" i="27"/>
  <c r="BK12" i="27"/>
  <c r="AR12" i="27"/>
  <c r="BH12" i="27"/>
  <c r="AH12" i="27"/>
  <c r="AX12" i="27"/>
  <c r="BN12" i="27"/>
  <c r="BL13" i="27"/>
  <c r="AY13" i="27"/>
  <c r="AC13" i="27"/>
  <c r="AW12" i="27"/>
  <c r="AQ12" i="27"/>
  <c r="AC12" i="27"/>
  <c r="BI12" i="27"/>
  <c r="AU12" i="27"/>
  <c r="AJ12" i="27"/>
  <c r="AZ12" i="27"/>
  <c r="BP12" i="27"/>
  <c r="AP12" i="27"/>
  <c r="AD13" i="27"/>
  <c r="AW13" i="27"/>
  <c r="T10" i="27"/>
  <c r="AK10" i="27" s="1"/>
  <c r="BE15" i="27"/>
  <c r="BP15" i="27"/>
  <c r="AZ15" i="27"/>
  <c r="AJ15" i="27"/>
  <c r="BG15" i="27"/>
  <c r="AQ15" i="27"/>
  <c r="BF15" i="27"/>
  <c r="AL15" i="27"/>
  <c r="BJ15" i="27"/>
  <c r="BK15" i="27"/>
  <c r="BB15" i="27"/>
  <c r="BQ15" i="27"/>
  <c r="BA15" i="27"/>
  <c r="AK15" i="27"/>
  <c r="BL15" i="27"/>
  <c r="AV15" i="27"/>
  <c r="AF15" i="27"/>
  <c r="BC15" i="27"/>
  <c r="AM15" i="27"/>
  <c r="AP15" i="27"/>
  <c r="BN15" i="27"/>
  <c r="AT15" i="27"/>
  <c r="AS15" i="27"/>
  <c r="AC15" i="27"/>
  <c r="AN15" i="27"/>
  <c r="AU15" i="27"/>
  <c r="AH15" i="27"/>
  <c r="BM15" i="27"/>
  <c r="AW15" i="27"/>
  <c r="AG15" i="27"/>
  <c r="BH15" i="27"/>
  <c r="AR15" i="27"/>
  <c r="BO15" i="27"/>
  <c r="AY15" i="27"/>
  <c r="AI15" i="27"/>
  <c r="BR15" i="27"/>
  <c r="AX15" i="27"/>
  <c r="AD15" i="27"/>
  <c r="BI15" i="27"/>
  <c r="BD15" i="27"/>
  <c r="AE15" i="27"/>
  <c r="AR13" i="27"/>
  <c r="AL13" i="27"/>
  <c r="AF13" i="27"/>
  <c r="AP13" i="27"/>
  <c r="AG13" i="27"/>
  <c r="BA13" i="27"/>
  <c r="AI13" i="27"/>
  <c r="BC13" i="27"/>
  <c r="AO6" i="27"/>
  <c r="BS6" i="27" s="1"/>
  <c r="U15" i="27"/>
  <c r="AO15" i="27" s="1"/>
  <c r="AZ13" i="27"/>
  <c r="AT13" i="27"/>
  <c r="AV13" i="27"/>
  <c r="AX13" i="27"/>
  <c r="AK13" i="27"/>
  <c r="BI13" i="27"/>
  <c r="AM13" i="27"/>
  <c r="BG13" i="27"/>
  <c r="AO11" i="27"/>
  <c r="BH13" i="27"/>
  <c r="BJ13" i="27"/>
  <c r="BD13" i="27"/>
  <c r="BF13" i="27"/>
  <c r="AS13" i="27"/>
  <c r="BM13" i="27"/>
  <c r="AQ13" i="27"/>
  <c r="BO13" i="27"/>
  <c r="AY9" i="27"/>
  <c r="BC9" i="27"/>
  <c r="AJ9" i="27"/>
  <c r="AZ9" i="27"/>
  <c r="BP9" i="27"/>
  <c r="AO9" i="27"/>
  <c r="BE9" i="27"/>
  <c r="AD9" i="27"/>
  <c r="AT9" i="27"/>
  <c r="BJ9" i="27"/>
  <c r="AE9" i="27"/>
  <c r="BO9" i="27"/>
  <c r="AQ9" i="27"/>
  <c r="AN9" i="27"/>
  <c r="BD9" i="27"/>
  <c r="AC9" i="27"/>
  <c r="AS9" i="27"/>
  <c r="BI9" i="27"/>
  <c r="AH9" i="27"/>
  <c r="AX9" i="27"/>
  <c r="BN9" i="27"/>
  <c r="AG17" i="27"/>
  <c r="BQ17" i="27"/>
  <c r="AS17" i="27"/>
  <c r="AL17" i="27"/>
  <c r="BB17" i="27"/>
  <c r="BR17" i="27"/>
  <c r="AQ17" i="27"/>
  <c r="BG17" i="27"/>
  <c r="AJ17" i="27"/>
  <c r="AZ17" i="27"/>
  <c r="BP17" i="27"/>
  <c r="AJ13" i="27"/>
  <c r="BP13" i="27"/>
  <c r="BB13" i="27"/>
  <c r="AN13" i="27"/>
  <c r="AH13" i="27"/>
  <c r="BN13" i="27"/>
  <c r="AO13" i="27"/>
  <c r="BE13" i="27"/>
  <c r="AE13" i="27"/>
  <c r="AU13" i="27"/>
  <c r="BK9" i="27"/>
  <c r="AU9" i="27"/>
  <c r="BG9" i="27"/>
  <c r="AR9" i="27"/>
  <c r="BH9" i="27"/>
  <c r="AG9" i="27"/>
  <c r="AW9" i="27"/>
  <c r="BM9" i="27"/>
  <c r="AL9" i="27"/>
  <c r="BB9" i="27"/>
  <c r="AW17" i="27"/>
  <c r="AO17" i="27"/>
  <c r="BI17" i="27"/>
  <c r="AP17" i="27"/>
  <c r="BF17" i="27"/>
  <c r="AE17" i="27"/>
  <c r="AU17" i="27"/>
  <c r="BK17" i="27"/>
  <c r="AN17" i="27"/>
  <c r="BS18" i="27"/>
  <c r="BO4" i="27"/>
  <c r="BK4" i="27"/>
  <c r="BG4" i="27"/>
  <c r="BC4" i="27"/>
  <c r="AY4" i="27"/>
  <c r="AU4" i="27"/>
  <c r="AQ4" i="27"/>
  <c r="AM4" i="27"/>
  <c r="BA4" i="27"/>
  <c r="BE4" i="27"/>
  <c r="AO4" i="27"/>
  <c r="BN4" i="27"/>
  <c r="BI4" i="27"/>
  <c r="BD4" i="27"/>
  <c r="AX4" i="27"/>
  <c r="AS4" i="27"/>
  <c r="AN4" i="27"/>
  <c r="AI4" i="27"/>
  <c r="AE4" i="27"/>
  <c r="BQ4" i="27"/>
  <c r="BL4" i="27"/>
  <c r="BF4" i="27"/>
  <c r="AV4" i="27"/>
  <c r="AK4" i="27"/>
  <c r="AG4" i="27"/>
  <c r="AF4" i="27"/>
  <c r="BR4" i="27"/>
  <c r="BM4" i="27"/>
  <c r="BH4" i="27"/>
  <c r="BB4" i="27"/>
  <c r="AW4" i="27"/>
  <c r="AR4" i="27"/>
  <c r="AL4" i="27"/>
  <c r="AH4" i="27"/>
  <c r="AD4" i="27"/>
  <c r="AP4" i="27"/>
  <c r="AC4" i="27"/>
  <c r="BP4" i="27"/>
  <c r="BJ4" i="27"/>
  <c r="AZ4" i="27"/>
  <c r="AT4" i="27"/>
  <c r="AJ4" i="27"/>
  <c r="BS5" i="27"/>
  <c r="BP14" i="27"/>
  <c r="BL14" i="27"/>
  <c r="BH14" i="27"/>
  <c r="BD14" i="27"/>
  <c r="AZ14" i="27"/>
  <c r="AV14" i="27"/>
  <c r="AR14" i="27"/>
  <c r="AN14" i="27"/>
  <c r="AJ14" i="27"/>
  <c r="AF14" i="27"/>
  <c r="BR14" i="27"/>
  <c r="BN14" i="27"/>
  <c r="BJ14" i="27"/>
  <c r="BF14" i="27"/>
  <c r="BB14" i="27"/>
  <c r="AX14" i="27"/>
  <c r="AT14" i="27"/>
  <c r="AP14" i="27"/>
  <c r="AL14" i="27"/>
  <c r="AH14" i="27"/>
  <c r="AD14" i="27"/>
  <c r="BQ14" i="27"/>
  <c r="BI14" i="27"/>
  <c r="BA14" i="27"/>
  <c r="AS14" i="27"/>
  <c r="AK14" i="27"/>
  <c r="AC14" i="27"/>
  <c r="BO14" i="27"/>
  <c r="BG14" i="27"/>
  <c r="AY14" i="27"/>
  <c r="AQ14" i="27"/>
  <c r="AI14" i="27"/>
  <c r="BM14" i="27"/>
  <c r="BE14" i="27"/>
  <c r="AW14" i="27"/>
  <c r="AO14" i="27"/>
  <c r="AG14" i="27"/>
  <c r="BK14" i="27"/>
  <c r="BC14" i="27"/>
  <c r="AU14" i="27"/>
  <c r="AM14" i="27"/>
  <c r="AE14" i="27"/>
  <c r="BO20" i="27"/>
  <c r="BK20" i="27"/>
  <c r="BG20" i="27"/>
  <c r="BC20" i="27"/>
  <c r="AY20" i="27"/>
  <c r="AU20" i="27"/>
  <c r="AQ20" i="27"/>
  <c r="AM20" i="27"/>
  <c r="AI20" i="27"/>
  <c r="AE20" i="27"/>
  <c r="BR20" i="27"/>
  <c r="BN20" i="27"/>
  <c r="BJ20" i="27"/>
  <c r="BF20" i="27"/>
  <c r="BB20" i="27"/>
  <c r="AX20" i="27"/>
  <c r="AT20" i="27"/>
  <c r="AP20" i="27"/>
  <c r="AL20" i="27"/>
  <c r="AH20" i="27"/>
  <c r="AD20" i="27"/>
  <c r="BQ20" i="27"/>
  <c r="BM20" i="27"/>
  <c r="BI20" i="27"/>
  <c r="BE20" i="27"/>
  <c r="BA20" i="27"/>
  <c r="AW20" i="27"/>
  <c r="AS20" i="27"/>
  <c r="AO20" i="27"/>
  <c r="AK20" i="27"/>
  <c r="AG20" i="27"/>
  <c r="AC20" i="27"/>
  <c r="BP20" i="27"/>
  <c r="AZ20" i="27"/>
  <c r="AJ20" i="27"/>
  <c r="BL20" i="27"/>
  <c r="AV20" i="27"/>
  <c r="AF20" i="27"/>
  <c r="BH20" i="27"/>
  <c r="AR20" i="27"/>
  <c r="BD20" i="27"/>
  <c r="AN20" i="27"/>
  <c r="BR7" i="27"/>
  <c r="BN7" i="27"/>
  <c r="BJ7" i="27"/>
  <c r="BF7" i="27"/>
  <c r="BB7" i="27"/>
  <c r="AX7" i="27"/>
  <c r="AT7" i="27"/>
  <c r="AP7" i="27"/>
  <c r="AL7" i="27"/>
  <c r="AH7" i="27"/>
  <c r="AD7" i="27"/>
  <c r="AY7" i="27"/>
  <c r="AC7" i="27"/>
  <c r="BM7" i="27"/>
  <c r="BH7" i="27"/>
  <c r="BC7" i="27"/>
  <c r="AW7" i="27"/>
  <c r="AR7" i="27"/>
  <c r="AM7" i="27"/>
  <c r="AG7" i="27"/>
  <c r="BQ7" i="27"/>
  <c r="BL7" i="27"/>
  <c r="BG7" i="27"/>
  <c r="BA7" i="27"/>
  <c r="AV7" i="27"/>
  <c r="AQ7" i="27"/>
  <c r="AK7" i="27"/>
  <c r="AF7" i="27"/>
  <c r="BP7" i="27"/>
  <c r="BK7" i="27"/>
  <c r="BE7" i="27"/>
  <c r="AZ7" i="27"/>
  <c r="AU7" i="27"/>
  <c r="AO7" i="27"/>
  <c r="AJ7" i="27"/>
  <c r="AE7" i="27"/>
  <c r="BO7" i="27"/>
  <c r="BI7" i="27"/>
  <c r="BD7" i="27"/>
  <c r="AS7" i="27"/>
  <c r="AN7" i="27"/>
  <c r="AI7" i="27"/>
  <c r="BR19" i="27"/>
  <c r="BN19" i="27"/>
  <c r="BJ19" i="27"/>
  <c r="BF19" i="27"/>
  <c r="BB19" i="27"/>
  <c r="AX19" i="27"/>
  <c r="AT19" i="27"/>
  <c r="AP19" i="27"/>
  <c r="AL19" i="27"/>
  <c r="AH19" i="27"/>
  <c r="AD19" i="27"/>
  <c r="BQ19" i="27"/>
  <c r="BM19" i="27"/>
  <c r="BI19" i="27"/>
  <c r="BE19" i="27"/>
  <c r="BA19" i="27"/>
  <c r="AW19" i="27"/>
  <c r="AS19" i="27"/>
  <c r="AO19" i="27"/>
  <c r="AK19" i="27"/>
  <c r="AG19" i="27"/>
  <c r="AC19" i="27"/>
  <c r="BP19" i="27"/>
  <c r="BL19" i="27"/>
  <c r="BH19" i="27"/>
  <c r="BD19" i="27"/>
  <c r="AZ19" i="27"/>
  <c r="AV19" i="27"/>
  <c r="AR19" i="27"/>
  <c r="AN19" i="27"/>
  <c r="AJ19" i="27"/>
  <c r="AF19" i="27"/>
  <c r="BO19" i="27"/>
  <c r="AY19" i="27"/>
  <c r="AI19" i="27"/>
  <c r="BK19" i="27"/>
  <c r="AU19" i="27"/>
  <c r="AE19" i="27"/>
  <c r="BG19" i="27"/>
  <c r="AQ19" i="27"/>
  <c r="BC19" i="27"/>
  <c r="AM19" i="27"/>
  <c r="BR7" i="24"/>
  <c r="BR5" i="24"/>
  <c r="BR9" i="24"/>
  <c r="BR6" i="24"/>
  <c r="BR8" i="24"/>
  <c r="BR12" i="24"/>
  <c r="BR11" i="24"/>
  <c r="AH4" i="24"/>
  <c r="AD4" i="24"/>
  <c r="BN4" i="24"/>
  <c r="BJ4" i="24"/>
  <c r="BF4" i="24"/>
  <c r="BB4" i="24"/>
  <c r="AX4" i="24"/>
  <c r="AT4" i="24"/>
  <c r="AP4" i="24"/>
  <c r="AL4" i="24"/>
  <c r="BQ4" i="24"/>
  <c r="AG4" i="24"/>
  <c r="AC4" i="24"/>
  <c r="BM4" i="24"/>
  <c r="BI4" i="24"/>
  <c r="BE4" i="24"/>
  <c r="AW4" i="24"/>
  <c r="AS4" i="24"/>
  <c r="AK4" i="24"/>
  <c r="AF4" i="24"/>
  <c r="BP4" i="24"/>
  <c r="BL4" i="24"/>
  <c r="BH4" i="24"/>
  <c r="BD4" i="24"/>
  <c r="AZ4" i="24"/>
  <c r="AV4" i="24"/>
  <c r="AR4" i="24"/>
  <c r="AN4" i="24"/>
  <c r="AJ4" i="24"/>
  <c r="AI4" i="24"/>
  <c r="AE4" i="24"/>
  <c r="BO4" i="24"/>
  <c r="BK4" i="24"/>
  <c r="BG4" i="24"/>
  <c r="BC4" i="24"/>
  <c r="AY4" i="24"/>
  <c r="AU4" i="24"/>
  <c r="AQ4" i="24"/>
  <c r="AM4" i="24"/>
  <c r="AB4" i="24"/>
  <c r="BA4" i="24"/>
  <c r="AO4" i="24"/>
  <c r="C4" i="10"/>
  <c r="C5" i="10"/>
  <c r="C6" i="10"/>
  <c r="C7" i="10"/>
  <c r="C3" i="10"/>
  <c r="AD10" i="27" l="1"/>
  <c r="BN16" i="27"/>
  <c r="AC16" i="27"/>
  <c r="AS16" i="27"/>
  <c r="AX16" i="27"/>
  <c r="BS11" i="27"/>
  <c r="BL16" i="27"/>
  <c r="BI16" i="27"/>
  <c r="AM16" i="27"/>
  <c r="AN16" i="27"/>
  <c r="AH16" i="27"/>
  <c r="BC16" i="27"/>
  <c r="AH10" i="27"/>
  <c r="BK10" i="27"/>
  <c r="BS4" i="27"/>
  <c r="AG16" i="27"/>
  <c r="BM16" i="27"/>
  <c r="BB16" i="27"/>
  <c r="AQ16" i="27"/>
  <c r="BD10" i="27"/>
  <c r="AP10" i="27"/>
  <c r="AF16" i="27"/>
  <c r="AZ16" i="27"/>
  <c r="AR16" i="27"/>
  <c r="AK16" i="27"/>
  <c r="BA16" i="27"/>
  <c r="BQ16" i="27"/>
  <c r="AP16" i="27"/>
  <c r="BF16" i="27"/>
  <c r="AE16" i="27"/>
  <c r="AU16" i="27"/>
  <c r="BK16" i="27"/>
  <c r="BL10" i="27"/>
  <c r="AJ16" i="27"/>
  <c r="BD16" i="27"/>
  <c r="AW16" i="27"/>
  <c r="AL16" i="27"/>
  <c r="BR16" i="27"/>
  <c r="BG16" i="27"/>
  <c r="AZ10" i="27"/>
  <c r="AV16" i="27"/>
  <c r="BP16" i="27"/>
  <c r="BH16" i="27"/>
  <c r="AO16" i="27"/>
  <c r="BE16" i="27"/>
  <c r="AD16" i="27"/>
  <c r="AT16" i="27"/>
  <c r="BJ16" i="27"/>
  <c r="AI16" i="27"/>
  <c r="AY16" i="27"/>
  <c r="AY10" i="27"/>
  <c r="BS8" i="27"/>
  <c r="BS12" i="27"/>
  <c r="BS21" i="27"/>
  <c r="AM10" i="27"/>
  <c r="BI10" i="27"/>
  <c r="AN10" i="27"/>
  <c r="AI10" i="27"/>
  <c r="BE10" i="27"/>
  <c r="AJ10" i="27"/>
  <c r="AU10" i="27"/>
  <c r="BQ10" i="27"/>
  <c r="AV10" i="27"/>
  <c r="BN10" i="27"/>
  <c r="AS10" i="27"/>
  <c r="BJ10" i="27"/>
  <c r="AO10" i="27"/>
  <c r="BS15" i="27"/>
  <c r="AE10" i="27"/>
  <c r="BA10" i="27"/>
  <c r="AF10" i="27"/>
  <c r="BS17" i="27"/>
  <c r="AX10" i="27"/>
  <c r="AC10" i="27"/>
  <c r="BO10" i="27"/>
  <c r="AT10" i="27"/>
  <c r="BP10" i="27"/>
  <c r="BF10" i="27"/>
  <c r="BS13" i="27"/>
  <c r="BC10" i="27"/>
  <c r="AQ10" i="27"/>
  <c r="BM10" i="27"/>
  <c r="AR10" i="27"/>
  <c r="BR10" i="27"/>
  <c r="AW10" i="27"/>
  <c r="BB10" i="27"/>
  <c r="AG10" i="27"/>
  <c r="BG10" i="27"/>
  <c r="AL10" i="27"/>
  <c r="BH10" i="27"/>
  <c r="BS9" i="27"/>
  <c r="BS7" i="27"/>
  <c r="BS20" i="27"/>
  <c r="BS14" i="27"/>
  <c r="BS19" i="27"/>
  <c r="C4" i="41"/>
  <c r="C32" i="41" l="1"/>
  <c r="K4" i="41"/>
  <c r="K3" i="41" s="1"/>
  <c r="N3" i="41" s="1"/>
  <c r="L3" i="41" s="1"/>
  <c r="BS16" i="27"/>
  <c r="BS10" i="27"/>
  <c r="G2" i="41" l="1"/>
  <c r="K2" i="41" s="1"/>
  <c r="M2" i="41" s="1"/>
  <c r="K4" i="11"/>
  <c r="K5" i="11"/>
  <c r="K6" i="11"/>
  <c r="K7" i="11"/>
  <c r="K8" i="11"/>
  <c r="K9" i="11"/>
  <c r="K10" i="11"/>
  <c r="K11" i="11"/>
  <c r="K12" i="11"/>
  <c r="K13" i="11"/>
  <c r="K14" i="11"/>
  <c r="K15" i="11"/>
  <c r="K16" i="11"/>
  <c r="K17" i="11"/>
  <c r="K18" i="11"/>
  <c r="K19" i="11"/>
  <c r="K20" i="11"/>
  <c r="K3" i="11"/>
  <c r="D10" i="56" s="1"/>
  <c r="Q5" i="41" l="1"/>
  <c r="Q9" i="41"/>
  <c r="Q4" i="41"/>
  <c r="Q6" i="41"/>
  <c r="H3" i="11"/>
  <c r="I3" i="11"/>
  <c r="J3" i="11"/>
  <c r="H4" i="11"/>
  <c r="I4" i="11"/>
  <c r="J4" i="11"/>
  <c r="H5" i="11"/>
  <c r="I5" i="11"/>
  <c r="J5" i="11"/>
  <c r="H6" i="11"/>
  <c r="I6" i="11"/>
  <c r="J6" i="11"/>
  <c r="H7" i="11"/>
  <c r="I7" i="11"/>
  <c r="J7" i="11"/>
  <c r="H8" i="11"/>
  <c r="I8" i="11"/>
  <c r="J8" i="11"/>
  <c r="H9" i="11"/>
  <c r="I9" i="11"/>
  <c r="J9" i="11"/>
  <c r="H10" i="11"/>
  <c r="I10" i="11"/>
  <c r="J10" i="11"/>
  <c r="H11" i="11"/>
  <c r="I11" i="11"/>
  <c r="J11" i="11"/>
  <c r="H12" i="11"/>
  <c r="I12" i="11"/>
  <c r="J12" i="11"/>
  <c r="H13" i="11"/>
  <c r="I13" i="11"/>
  <c r="J13" i="11"/>
  <c r="H14" i="11"/>
  <c r="I14" i="11"/>
  <c r="J14" i="11"/>
  <c r="H15" i="11"/>
  <c r="I15" i="11"/>
  <c r="J15" i="11"/>
  <c r="H16" i="11"/>
  <c r="I16" i="11"/>
  <c r="J16" i="11"/>
  <c r="H17" i="11"/>
  <c r="I17" i="11"/>
  <c r="J17" i="11"/>
  <c r="H18" i="11"/>
  <c r="I18" i="11"/>
  <c r="J18" i="11"/>
  <c r="H19" i="11"/>
  <c r="I19" i="11"/>
  <c r="J19" i="11"/>
  <c r="H20" i="11"/>
  <c r="I20" i="11"/>
  <c r="J20" i="11"/>
  <c r="G4" i="11"/>
  <c r="G5" i="11"/>
  <c r="G6" i="11"/>
  <c r="G7" i="11"/>
  <c r="G8" i="11"/>
  <c r="G9" i="11"/>
  <c r="G10" i="11"/>
  <c r="G11" i="11"/>
  <c r="G12" i="11"/>
  <c r="G13" i="11"/>
  <c r="G14" i="11"/>
  <c r="G15" i="11"/>
  <c r="G16" i="11"/>
  <c r="G17" i="11"/>
  <c r="G18" i="11"/>
  <c r="G19" i="11"/>
  <c r="G20" i="11"/>
  <c r="G3" i="11"/>
  <c r="F4" i="11"/>
  <c r="F5" i="11"/>
  <c r="F6" i="11"/>
  <c r="F7" i="11"/>
  <c r="F8" i="11"/>
  <c r="F9" i="11"/>
  <c r="F10" i="11"/>
  <c r="F11" i="11"/>
  <c r="F12" i="11"/>
  <c r="F13" i="11"/>
  <c r="F14" i="11"/>
  <c r="F15" i="11"/>
  <c r="F16" i="11"/>
  <c r="F17" i="11"/>
  <c r="F18" i="11"/>
  <c r="F19" i="11"/>
  <c r="F20" i="11"/>
  <c r="F3" i="11"/>
  <c r="E4" i="11"/>
  <c r="E5" i="11"/>
  <c r="E6" i="11"/>
  <c r="E7" i="11"/>
  <c r="E8" i="11"/>
  <c r="E9" i="11"/>
  <c r="E10" i="11"/>
  <c r="E11" i="11"/>
  <c r="E12" i="11"/>
  <c r="E13" i="11"/>
  <c r="E14" i="11"/>
  <c r="E15" i="11"/>
  <c r="E16" i="11"/>
  <c r="E17" i="11"/>
  <c r="E18" i="11"/>
  <c r="E19" i="11"/>
  <c r="E20" i="11"/>
  <c r="E3" i="11"/>
  <c r="D4" i="11"/>
  <c r="D5" i="11"/>
  <c r="D6" i="11"/>
  <c r="D7" i="11"/>
  <c r="D8" i="11"/>
  <c r="D9" i="11"/>
  <c r="D10" i="11"/>
  <c r="D11" i="11"/>
  <c r="D12" i="11"/>
  <c r="D13" i="11"/>
  <c r="D14" i="11"/>
  <c r="D15" i="11"/>
  <c r="D16" i="11"/>
  <c r="D17" i="11"/>
  <c r="D18" i="11"/>
  <c r="D19" i="11"/>
  <c r="D20" i="11"/>
  <c r="D3" i="11"/>
  <c r="C17" i="14" l="1"/>
  <c r="R4" i="13"/>
  <c r="R5" i="13"/>
  <c r="R6" i="13"/>
  <c r="R7" i="13"/>
  <c r="R8" i="13"/>
  <c r="R9" i="13"/>
  <c r="R10" i="13"/>
  <c r="R11" i="13"/>
  <c r="R12" i="13"/>
  <c r="R13" i="13"/>
  <c r="R14" i="13"/>
  <c r="R15" i="13"/>
  <c r="R16" i="13"/>
  <c r="R17" i="13"/>
  <c r="R18" i="13"/>
  <c r="R19" i="13"/>
  <c r="R20" i="13"/>
  <c r="R21" i="13"/>
  <c r="Q5" i="13"/>
  <c r="Q6" i="13"/>
  <c r="Q7" i="13"/>
  <c r="Q8" i="13"/>
  <c r="Q9" i="13"/>
  <c r="Q10" i="13"/>
  <c r="Q11" i="13"/>
  <c r="Q12" i="13"/>
  <c r="Q13" i="13"/>
  <c r="Q14" i="13"/>
  <c r="Q15" i="13"/>
  <c r="Q16" i="13"/>
  <c r="Q17" i="13"/>
  <c r="Q18" i="13"/>
  <c r="Q19" i="13"/>
  <c r="Q20" i="13"/>
  <c r="Q21" i="13"/>
  <c r="Q4" i="13"/>
  <c r="E4" i="13"/>
  <c r="F4" i="13"/>
  <c r="G4" i="13"/>
  <c r="H4" i="13"/>
  <c r="I4" i="13"/>
  <c r="J4" i="13"/>
  <c r="K4" i="13"/>
  <c r="L4" i="13"/>
  <c r="M4" i="13"/>
  <c r="N4" i="13"/>
  <c r="E5" i="13"/>
  <c r="F5" i="13"/>
  <c r="G5" i="13"/>
  <c r="H5" i="13"/>
  <c r="I5" i="13"/>
  <c r="J5" i="13"/>
  <c r="K5" i="13"/>
  <c r="L5" i="13"/>
  <c r="M5" i="13"/>
  <c r="N5" i="13"/>
  <c r="O5" i="13"/>
  <c r="P5" i="13"/>
  <c r="E6" i="13"/>
  <c r="F6" i="13"/>
  <c r="G6" i="13"/>
  <c r="H6" i="13"/>
  <c r="I6" i="13"/>
  <c r="J6" i="13"/>
  <c r="K6" i="13"/>
  <c r="L6" i="13"/>
  <c r="M6" i="13"/>
  <c r="N6" i="13"/>
  <c r="O6" i="13"/>
  <c r="P6" i="13"/>
  <c r="E7" i="13"/>
  <c r="F7" i="13"/>
  <c r="G7" i="13"/>
  <c r="H7" i="13"/>
  <c r="I7" i="13"/>
  <c r="J7" i="13"/>
  <c r="K7" i="13"/>
  <c r="L7" i="13"/>
  <c r="M7" i="13"/>
  <c r="N7" i="13"/>
  <c r="O7" i="13"/>
  <c r="P7" i="13"/>
  <c r="E8" i="13"/>
  <c r="F8" i="13"/>
  <c r="G8" i="13"/>
  <c r="H8" i="13"/>
  <c r="I8" i="13"/>
  <c r="J8" i="13"/>
  <c r="K8" i="13"/>
  <c r="L8" i="13"/>
  <c r="M8" i="13"/>
  <c r="N8" i="13"/>
  <c r="O8" i="13"/>
  <c r="P8" i="13"/>
  <c r="E9" i="13"/>
  <c r="F9" i="13"/>
  <c r="G9" i="13"/>
  <c r="H9" i="13"/>
  <c r="I9" i="13"/>
  <c r="J9" i="13"/>
  <c r="K9" i="13"/>
  <c r="L9" i="13"/>
  <c r="M9" i="13"/>
  <c r="N9" i="13"/>
  <c r="O9" i="13"/>
  <c r="P9" i="13"/>
  <c r="E10" i="13"/>
  <c r="F10" i="13"/>
  <c r="G10" i="13"/>
  <c r="H10" i="13"/>
  <c r="I10" i="13"/>
  <c r="J10" i="13"/>
  <c r="K10" i="13"/>
  <c r="L10" i="13"/>
  <c r="M10" i="13"/>
  <c r="N10" i="13"/>
  <c r="O10" i="13"/>
  <c r="P10" i="13"/>
  <c r="E11" i="13"/>
  <c r="F11" i="13"/>
  <c r="G11" i="13"/>
  <c r="H11" i="13"/>
  <c r="I11" i="13"/>
  <c r="J11" i="13"/>
  <c r="K11" i="13"/>
  <c r="L11" i="13"/>
  <c r="M11" i="13"/>
  <c r="N11" i="13"/>
  <c r="O11" i="13"/>
  <c r="P11" i="13"/>
  <c r="E12" i="13"/>
  <c r="F12" i="13"/>
  <c r="G12" i="13"/>
  <c r="H12" i="13"/>
  <c r="I12" i="13"/>
  <c r="J12" i="13"/>
  <c r="K12" i="13"/>
  <c r="L12" i="13"/>
  <c r="M12" i="13"/>
  <c r="N12" i="13"/>
  <c r="O12" i="13"/>
  <c r="P12" i="13"/>
  <c r="E13" i="13"/>
  <c r="F13" i="13"/>
  <c r="G13" i="13"/>
  <c r="H13" i="13"/>
  <c r="I13" i="13"/>
  <c r="J13" i="13"/>
  <c r="K13" i="13"/>
  <c r="L13" i="13"/>
  <c r="M13" i="13"/>
  <c r="N13" i="13"/>
  <c r="O13" i="13"/>
  <c r="P13" i="13"/>
  <c r="E14" i="13"/>
  <c r="F14" i="13"/>
  <c r="G14" i="13"/>
  <c r="H14" i="13"/>
  <c r="I14" i="13"/>
  <c r="J14" i="13"/>
  <c r="K14" i="13"/>
  <c r="L14" i="13"/>
  <c r="M14" i="13"/>
  <c r="N14" i="13"/>
  <c r="O14" i="13"/>
  <c r="P14" i="13"/>
  <c r="E15" i="13"/>
  <c r="F15" i="13"/>
  <c r="G15" i="13"/>
  <c r="H15" i="13"/>
  <c r="I15" i="13"/>
  <c r="J15" i="13"/>
  <c r="K15" i="13"/>
  <c r="L15" i="13"/>
  <c r="M15" i="13"/>
  <c r="N15" i="13"/>
  <c r="O15" i="13"/>
  <c r="P15" i="13"/>
  <c r="E16" i="13"/>
  <c r="F16" i="13"/>
  <c r="G16" i="13"/>
  <c r="H16" i="13"/>
  <c r="I16" i="13"/>
  <c r="J16" i="13"/>
  <c r="K16" i="13"/>
  <c r="L16" i="13"/>
  <c r="M16" i="13"/>
  <c r="N16" i="13"/>
  <c r="O16" i="13"/>
  <c r="P16" i="13"/>
  <c r="E17" i="13"/>
  <c r="F17" i="13"/>
  <c r="G17" i="13"/>
  <c r="H17" i="13"/>
  <c r="I17" i="13"/>
  <c r="J17" i="13"/>
  <c r="K17" i="13"/>
  <c r="L17" i="13"/>
  <c r="M17" i="13"/>
  <c r="N17" i="13"/>
  <c r="O17" i="13"/>
  <c r="P17" i="13"/>
  <c r="E18" i="13"/>
  <c r="F18" i="13"/>
  <c r="G18" i="13"/>
  <c r="H18" i="13"/>
  <c r="I18" i="13"/>
  <c r="J18" i="13"/>
  <c r="K18" i="13"/>
  <c r="L18" i="13"/>
  <c r="M18" i="13"/>
  <c r="N18" i="13"/>
  <c r="O18" i="13"/>
  <c r="P18" i="13"/>
  <c r="E19" i="13"/>
  <c r="F19" i="13"/>
  <c r="G19" i="13"/>
  <c r="H19" i="13"/>
  <c r="I19" i="13"/>
  <c r="J19" i="13"/>
  <c r="K19" i="13"/>
  <c r="L19" i="13"/>
  <c r="M19" i="13"/>
  <c r="N19" i="13"/>
  <c r="O19" i="13"/>
  <c r="P19" i="13"/>
  <c r="E20" i="13"/>
  <c r="F20" i="13"/>
  <c r="G20" i="13"/>
  <c r="H20" i="13"/>
  <c r="I20" i="13"/>
  <c r="J20" i="13"/>
  <c r="K20" i="13"/>
  <c r="L20" i="13"/>
  <c r="M20" i="13"/>
  <c r="N20" i="13"/>
  <c r="O20" i="13"/>
  <c r="P20" i="13"/>
  <c r="E21" i="13"/>
  <c r="F21" i="13"/>
  <c r="G21" i="13"/>
  <c r="H21" i="13"/>
  <c r="I21" i="13"/>
  <c r="J21" i="13"/>
  <c r="K21" i="13"/>
  <c r="L21" i="13"/>
  <c r="M21" i="13"/>
  <c r="N21" i="13"/>
  <c r="O21" i="13"/>
  <c r="P21" i="13"/>
  <c r="D5" i="13"/>
  <c r="D6" i="13"/>
  <c r="D7" i="13"/>
  <c r="D8" i="13"/>
  <c r="D9" i="13"/>
  <c r="D10" i="13"/>
  <c r="D11" i="13"/>
  <c r="D12" i="13"/>
  <c r="D13" i="13"/>
  <c r="D14" i="13"/>
  <c r="D15" i="13"/>
  <c r="D16" i="13"/>
  <c r="D17" i="13"/>
  <c r="D18" i="13"/>
  <c r="D19" i="13"/>
  <c r="D20" i="13"/>
  <c r="D21" i="13"/>
  <c r="X5" i="14"/>
  <c r="Y5" i="14"/>
  <c r="Z5" i="14"/>
  <c r="AA5" i="14"/>
  <c r="X6" i="14"/>
  <c r="Y6" i="14"/>
  <c r="Z6" i="14"/>
  <c r="AA6" i="14"/>
  <c r="X7" i="14"/>
  <c r="Y7" i="14"/>
  <c r="Z7" i="14"/>
  <c r="AA7" i="14"/>
  <c r="X8" i="14"/>
  <c r="Y8" i="14"/>
  <c r="Z8" i="14"/>
  <c r="AA8" i="14"/>
  <c r="X9" i="14"/>
  <c r="Y9" i="14"/>
  <c r="Z9" i="14"/>
  <c r="AA9" i="14"/>
  <c r="X10" i="14"/>
  <c r="Y10" i="14"/>
  <c r="Z10" i="14"/>
  <c r="AA10" i="14"/>
  <c r="X11" i="14"/>
  <c r="Y11" i="14"/>
  <c r="Z11" i="14"/>
  <c r="AA11" i="14"/>
  <c r="X12" i="14"/>
  <c r="Y12" i="14"/>
  <c r="Z12" i="14"/>
  <c r="AA12" i="14"/>
  <c r="X13" i="14"/>
  <c r="Y13" i="14"/>
  <c r="Z13" i="14"/>
  <c r="AA13" i="14"/>
  <c r="X14" i="14"/>
  <c r="Y14" i="14"/>
  <c r="Z14" i="14"/>
  <c r="AA14" i="14"/>
  <c r="X15" i="14"/>
  <c r="Y15" i="14"/>
  <c r="Z15" i="14"/>
  <c r="AA15" i="14"/>
  <c r="X16" i="14"/>
  <c r="Y16" i="14"/>
  <c r="Z16" i="14"/>
  <c r="AA16" i="14"/>
  <c r="X17" i="14"/>
  <c r="Y17" i="14"/>
  <c r="Z17" i="14"/>
  <c r="AA17" i="14"/>
  <c r="X18" i="14"/>
  <c r="Y18" i="14"/>
  <c r="Z18" i="14"/>
  <c r="AA18" i="14"/>
  <c r="X19" i="14"/>
  <c r="Y19" i="14"/>
  <c r="Z19" i="14"/>
  <c r="AA19" i="14"/>
  <c r="X20" i="14"/>
  <c r="Y20" i="14"/>
  <c r="Z20" i="14"/>
  <c r="AA20" i="14"/>
  <c r="X21" i="14"/>
  <c r="Y21" i="14"/>
  <c r="Z21" i="14"/>
  <c r="AA21" i="14"/>
  <c r="Y4" i="14"/>
  <c r="Z4" i="14"/>
  <c r="AA4" i="14"/>
  <c r="X4" i="14"/>
  <c r="N4" i="14"/>
  <c r="O4" i="14"/>
  <c r="P4" i="14"/>
  <c r="Q4" i="14"/>
  <c r="N5" i="14"/>
  <c r="O5" i="14"/>
  <c r="P5" i="14"/>
  <c r="Q5" i="14"/>
  <c r="N6" i="14"/>
  <c r="O6" i="14"/>
  <c r="P6" i="14"/>
  <c r="Q6" i="14"/>
  <c r="N7" i="14"/>
  <c r="O7" i="14"/>
  <c r="P7" i="14"/>
  <c r="Q7" i="14"/>
  <c r="N8" i="14"/>
  <c r="O8" i="14"/>
  <c r="P8" i="14"/>
  <c r="Q8" i="14"/>
  <c r="N9" i="14"/>
  <c r="O9" i="14"/>
  <c r="P9" i="14"/>
  <c r="Q9" i="14"/>
  <c r="N10" i="14"/>
  <c r="O10" i="14"/>
  <c r="P10" i="14"/>
  <c r="Q10" i="14"/>
  <c r="N11" i="14"/>
  <c r="O11" i="14"/>
  <c r="P11" i="14"/>
  <c r="Q11" i="14"/>
  <c r="N12" i="14"/>
  <c r="O12" i="14"/>
  <c r="P12" i="14"/>
  <c r="Q12" i="14"/>
  <c r="N13" i="14"/>
  <c r="O13" i="14"/>
  <c r="P13" i="14"/>
  <c r="Q13" i="14"/>
  <c r="N14" i="14"/>
  <c r="O14" i="14"/>
  <c r="P14" i="14"/>
  <c r="Q14" i="14"/>
  <c r="N15" i="14"/>
  <c r="O15" i="14"/>
  <c r="P15" i="14"/>
  <c r="Q15" i="14"/>
  <c r="N16" i="14"/>
  <c r="O16" i="14"/>
  <c r="P16" i="14"/>
  <c r="Q16" i="14"/>
  <c r="N17" i="14"/>
  <c r="O17" i="14"/>
  <c r="P17" i="14"/>
  <c r="Q17" i="14"/>
  <c r="N18" i="14"/>
  <c r="O18" i="14"/>
  <c r="P18" i="14"/>
  <c r="Q18" i="14"/>
  <c r="N19" i="14"/>
  <c r="O19" i="14"/>
  <c r="P19" i="14"/>
  <c r="Q19" i="14"/>
  <c r="N20" i="14"/>
  <c r="O20" i="14"/>
  <c r="P20" i="14"/>
  <c r="Q20" i="14"/>
  <c r="N21" i="14"/>
  <c r="O21" i="14"/>
  <c r="P21" i="14"/>
  <c r="Q21" i="14"/>
  <c r="M5" i="14"/>
  <c r="M6" i="14"/>
  <c r="M7" i="14"/>
  <c r="M8" i="14"/>
  <c r="M9" i="14"/>
  <c r="M10" i="14"/>
  <c r="M11" i="14"/>
  <c r="M12" i="14"/>
  <c r="M13" i="14"/>
  <c r="M14" i="14"/>
  <c r="M15" i="14"/>
  <c r="M16" i="14"/>
  <c r="M17" i="14"/>
  <c r="M18" i="14"/>
  <c r="M19" i="14"/>
  <c r="M20" i="14"/>
  <c r="M21" i="14"/>
  <c r="M4" i="14"/>
  <c r="G5" i="14"/>
  <c r="G6" i="14"/>
  <c r="G7" i="14"/>
  <c r="G8" i="14"/>
  <c r="G9" i="14"/>
  <c r="G10" i="14"/>
  <c r="G11" i="14"/>
  <c r="G12" i="14"/>
  <c r="G13" i="14"/>
  <c r="G14" i="14"/>
  <c r="G15" i="14"/>
  <c r="G16" i="14"/>
  <c r="G17" i="14"/>
  <c r="G18" i="14"/>
  <c r="G19" i="14"/>
  <c r="G20" i="14"/>
  <c r="G21" i="14"/>
  <c r="AB4" i="14"/>
  <c r="J4" i="36"/>
  <c r="J21" i="36"/>
  <c r="J5" i="36"/>
  <c r="J6" i="36"/>
  <c r="J7" i="36"/>
  <c r="J8" i="36"/>
  <c r="J9" i="36"/>
  <c r="J10" i="36"/>
  <c r="J11" i="36"/>
  <c r="J12" i="36"/>
  <c r="J13" i="36"/>
  <c r="J14" i="36"/>
  <c r="J15" i="36"/>
  <c r="J16" i="36"/>
  <c r="J17" i="36"/>
  <c r="J18" i="36"/>
  <c r="J19" i="36"/>
  <c r="J20" i="36"/>
  <c r="K5" i="36"/>
  <c r="K6" i="36"/>
  <c r="K7" i="36"/>
  <c r="K8" i="36"/>
  <c r="K9" i="36"/>
  <c r="K10" i="36"/>
  <c r="K11" i="36"/>
  <c r="K12" i="36"/>
  <c r="K13" i="36"/>
  <c r="K14" i="36"/>
  <c r="K15" i="36"/>
  <c r="K16" i="36"/>
  <c r="K17" i="36"/>
  <c r="K18" i="36"/>
  <c r="K19" i="36"/>
  <c r="K20" i="36"/>
  <c r="K21" i="36"/>
  <c r="K4" i="36"/>
  <c r="D5" i="14"/>
  <c r="D6" i="14"/>
  <c r="D7" i="14"/>
  <c r="D8" i="14"/>
  <c r="D9" i="14"/>
  <c r="D10" i="14"/>
  <c r="D11" i="14"/>
  <c r="D12" i="14"/>
  <c r="D13" i="14"/>
  <c r="D14" i="14"/>
  <c r="D15" i="14"/>
  <c r="D16" i="14"/>
  <c r="D17" i="14"/>
  <c r="D18" i="14"/>
  <c r="D19" i="14"/>
  <c r="D20" i="14"/>
  <c r="D21" i="14"/>
  <c r="G17" i="9" l="1"/>
  <c r="K17" i="9" s="1"/>
  <c r="L17" i="9" s="1"/>
  <c r="G13" i="9"/>
  <c r="K13" i="9" s="1"/>
  <c r="L13" i="9" s="1"/>
  <c r="G9" i="9"/>
  <c r="K9" i="9" s="1"/>
  <c r="L9" i="9" s="1"/>
  <c r="G20" i="9"/>
  <c r="K20" i="9" s="1"/>
  <c r="L20" i="9" s="1"/>
  <c r="G16" i="9"/>
  <c r="K16" i="9" s="1"/>
  <c r="L16" i="9" s="1"/>
  <c r="G12" i="9"/>
  <c r="K12" i="9" s="1"/>
  <c r="L12" i="9" s="1"/>
  <c r="G8" i="9"/>
  <c r="K8" i="9" s="1"/>
  <c r="L8" i="9" s="1"/>
  <c r="G19" i="9"/>
  <c r="K19" i="9" s="1"/>
  <c r="L19" i="9" s="1"/>
  <c r="G15" i="9"/>
  <c r="K15" i="9" s="1"/>
  <c r="L15" i="9" s="1"/>
  <c r="G11" i="9"/>
  <c r="K11" i="9" s="1"/>
  <c r="L11" i="9" s="1"/>
  <c r="G18" i="9"/>
  <c r="K18" i="9" s="1"/>
  <c r="L18" i="9" s="1"/>
  <c r="G14" i="9"/>
  <c r="K14" i="9" s="1"/>
  <c r="L14" i="9" s="1"/>
  <c r="G10" i="9"/>
  <c r="K10" i="9" s="1"/>
  <c r="L10" i="9" s="1"/>
  <c r="L20" i="14"/>
  <c r="L16" i="14"/>
  <c r="L12" i="14"/>
  <c r="L8" i="14"/>
  <c r="K20" i="14"/>
  <c r="K16" i="14"/>
  <c r="K12" i="14"/>
  <c r="K8" i="14"/>
  <c r="K21" i="14"/>
  <c r="AB20" i="14"/>
  <c r="AB16" i="14"/>
  <c r="AB12" i="14"/>
  <c r="AB8" i="14"/>
  <c r="L19" i="14"/>
  <c r="L15" i="14"/>
  <c r="L11" i="14"/>
  <c r="L7" i="14"/>
  <c r="K19" i="14"/>
  <c r="K15" i="14"/>
  <c r="K11" i="14"/>
  <c r="K7" i="14"/>
  <c r="K4" i="14"/>
  <c r="AB19" i="14"/>
  <c r="AB15" i="14"/>
  <c r="AB11" i="14"/>
  <c r="AB7" i="14"/>
  <c r="L18" i="14"/>
  <c r="L14" i="14"/>
  <c r="L10" i="14"/>
  <c r="L6" i="14"/>
  <c r="K18" i="14"/>
  <c r="K14" i="14"/>
  <c r="K10" i="14"/>
  <c r="K6" i="14"/>
  <c r="AB18" i="14"/>
  <c r="AB14" i="14"/>
  <c r="AB10" i="14"/>
  <c r="AB6" i="14"/>
  <c r="L4" i="14"/>
  <c r="L21" i="14"/>
  <c r="L17" i="14"/>
  <c r="L13" i="14"/>
  <c r="L9" i="14"/>
  <c r="L5" i="14"/>
  <c r="K17" i="14"/>
  <c r="K13" i="14"/>
  <c r="K9" i="14"/>
  <c r="K5" i="14"/>
  <c r="AB21" i="14"/>
  <c r="AB17" i="14"/>
  <c r="AB13" i="14"/>
  <c r="AB9" i="14"/>
  <c r="AB5" i="14"/>
  <c r="C17" i="11"/>
  <c r="C9" i="11"/>
  <c r="C20" i="11"/>
  <c r="C16" i="11"/>
  <c r="C12" i="11"/>
  <c r="C8" i="11"/>
  <c r="C4" i="11"/>
  <c r="C3" i="11"/>
  <c r="C14" i="13"/>
  <c r="C13" i="11"/>
  <c r="C5" i="11"/>
  <c r="C19" i="11"/>
  <c r="C15" i="11"/>
  <c r="C11" i="11"/>
  <c r="C7" i="11"/>
  <c r="C19" i="14"/>
  <c r="C18" i="11"/>
  <c r="C15" i="14"/>
  <c r="C14" i="11"/>
  <c r="C10" i="11"/>
  <c r="C6" i="11"/>
  <c r="C21" i="13"/>
  <c r="C5" i="13"/>
  <c r="C14" i="12"/>
  <c r="C10" i="12"/>
  <c r="C13" i="14"/>
  <c r="C17" i="13"/>
  <c r="C22" i="12"/>
  <c r="C6" i="12"/>
  <c r="C9" i="14"/>
  <c r="C13" i="13"/>
  <c r="C18" i="12"/>
  <c r="C21" i="14"/>
  <c r="C5" i="14"/>
  <c r="C9" i="13"/>
  <c r="C16" i="12"/>
  <c r="C7" i="14"/>
  <c r="C15" i="12"/>
  <c r="C4" i="14"/>
  <c r="C10" i="14"/>
  <c r="C10" i="13"/>
  <c r="C11" i="12"/>
  <c r="C18" i="13"/>
  <c r="C20" i="12"/>
  <c r="C19" i="12"/>
  <c r="C5" i="12"/>
  <c r="C18" i="14"/>
  <c r="C4" i="13"/>
  <c r="C8" i="12"/>
  <c r="C11" i="14"/>
  <c r="C12" i="12"/>
  <c r="C7" i="12"/>
  <c r="C14" i="14"/>
  <c r="C6" i="14"/>
  <c r="C6" i="13"/>
  <c r="C16" i="13"/>
  <c r="C12" i="13"/>
  <c r="C20" i="14"/>
  <c r="C16" i="14"/>
  <c r="C12" i="14"/>
  <c r="C8" i="14"/>
  <c r="C19" i="13"/>
  <c r="C15" i="13"/>
  <c r="C11" i="13"/>
  <c r="C7" i="13"/>
  <c r="C20" i="13"/>
  <c r="C8" i="13"/>
  <c r="C21" i="12"/>
  <c r="C17" i="12"/>
  <c r="C13" i="12"/>
  <c r="C9" i="12"/>
  <c r="V5" i="12"/>
  <c r="W5" i="12"/>
  <c r="X5" i="12"/>
  <c r="Y5" i="12"/>
  <c r="V6" i="12"/>
  <c r="W6" i="12"/>
  <c r="X6" i="12"/>
  <c r="Y6" i="12"/>
  <c r="V7" i="12"/>
  <c r="W7" i="12"/>
  <c r="X7" i="12"/>
  <c r="Y7" i="12"/>
  <c r="V8" i="12"/>
  <c r="W8" i="12"/>
  <c r="X8" i="12"/>
  <c r="Y8" i="12"/>
  <c r="V9" i="12"/>
  <c r="W9" i="12"/>
  <c r="X9" i="12"/>
  <c r="Y9" i="12"/>
  <c r="V10" i="12"/>
  <c r="W10" i="12"/>
  <c r="X10" i="12"/>
  <c r="Y10" i="12"/>
  <c r="V11" i="12"/>
  <c r="W11" i="12"/>
  <c r="X11" i="12"/>
  <c r="Y11" i="12"/>
  <c r="V12" i="12"/>
  <c r="W12" i="12"/>
  <c r="X12" i="12"/>
  <c r="Y12" i="12"/>
  <c r="V13" i="12"/>
  <c r="W13" i="12"/>
  <c r="X13" i="12"/>
  <c r="Y13" i="12"/>
  <c r="V14" i="12"/>
  <c r="W14" i="12"/>
  <c r="X14" i="12"/>
  <c r="Y14" i="12"/>
  <c r="V15" i="12"/>
  <c r="W15" i="12"/>
  <c r="X15" i="12"/>
  <c r="Y15" i="12"/>
  <c r="V16" i="12"/>
  <c r="W16" i="12"/>
  <c r="X16" i="12"/>
  <c r="Y16" i="12"/>
  <c r="V17" i="12"/>
  <c r="W17" i="12"/>
  <c r="X17" i="12"/>
  <c r="Y17" i="12"/>
  <c r="V18" i="12"/>
  <c r="W18" i="12"/>
  <c r="X18" i="12"/>
  <c r="Y18" i="12"/>
  <c r="V19" i="12"/>
  <c r="W19" i="12"/>
  <c r="X19" i="12"/>
  <c r="Y19" i="12"/>
  <c r="V20" i="12"/>
  <c r="W20" i="12"/>
  <c r="X20" i="12"/>
  <c r="Y20" i="12"/>
  <c r="V21" i="12"/>
  <c r="W21" i="12"/>
  <c r="X21" i="12"/>
  <c r="Y21" i="12"/>
  <c r="V22" i="12"/>
  <c r="W22" i="12"/>
  <c r="X22" i="12"/>
  <c r="Y22" i="12"/>
  <c r="U6" i="12"/>
  <c r="U7" i="12"/>
  <c r="U8" i="12"/>
  <c r="U9" i="12"/>
  <c r="U10" i="12"/>
  <c r="U11" i="12"/>
  <c r="U12" i="12"/>
  <c r="U13" i="12"/>
  <c r="U14" i="12"/>
  <c r="U15" i="12"/>
  <c r="U16" i="12"/>
  <c r="U17" i="12"/>
  <c r="U18" i="12"/>
  <c r="U19" i="12"/>
  <c r="U20" i="12"/>
  <c r="U21" i="12"/>
  <c r="U22" i="12"/>
  <c r="U5" i="12"/>
  <c r="T5" i="12"/>
  <c r="U4" i="36" s="1"/>
  <c r="T6" i="12"/>
  <c r="U5" i="36" s="1"/>
  <c r="T7" i="12"/>
  <c r="U6" i="36" s="1"/>
  <c r="T8" i="12"/>
  <c r="U7" i="36" s="1"/>
  <c r="T9" i="12"/>
  <c r="U8" i="36" s="1"/>
  <c r="T10" i="12"/>
  <c r="U9" i="36" s="1"/>
  <c r="T11" i="12"/>
  <c r="U10" i="36" s="1"/>
  <c r="T12" i="12"/>
  <c r="U11" i="36" s="1"/>
  <c r="T13" i="12"/>
  <c r="U12" i="36" s="1"/>
  <c r="T14" i="12"/>
  <c r="U13" i="36" s="1"/>
  <c r="T15" i="12"/>
  <c r="U14" i="36" s="1"/>
  <c r="T16" i="12"/>
  <c r="U15" i="36" s="1"/>
  <c r="T17" i="12"/>
  <c r="U16" i="36" s="1"/>
  <c r="T18" i="12"/>
  <c r="U17" i="36" s="1"/>
  <c r="T19" i="12"/>
  <c r="U18" i="36" s="1"/>
  <c r="T20" i="12"/>
  <c r="U19" i="36" s="1"/>
  <c r="T21" i="12"/>
  <c r="U20" i="36" s="1"/>
  <c r="T22" i="12"/>
  <c r="U21" i="36" s="1"/>
  <c r="P6" i="12"/>
  <c r="W5" i="36" s="1"/>
  <c r="Q6" i="12"/>
  <c r="X5" i="36" s="1"/>
  <c r="R6" i="12"/>
  <c r="V5" i="36" s="1"/>
  <c r="S6" i="12"/>
  <c r="P7" i="12"/>
  <c r="W6" i="36" s="1"/>
  <c r="Q7" i="12"/>
  <c r="X6" i="36" s="1"/>
  <c r="R7" i="12"/>
  <c r="V6" i="36" s="1"/>
  <c r="S7" i="12"/>
  <c r="P8" i="12"/>
  <c r="W7" i="36" s="1"/>
  <c r="Q8" i="12"/>
  <c r="X7" i="36" s="1"/>
  <c r="R8" i="12"/>
  <c r="V7" i="36" s="1"/>
  <c r="S8" i="12"/>
  <c r="P9" i="12"/>
  <c r="W8" i="36" s="1"/>
  <c r="Q9" i="12"/>
  <c r="X8" i="36" s="1"/>
  <c r="R9" i="12"/>
  <c r="V8" i="36" s="1"/>
  <c r="S9" i="12"/>
  <c r="P10" i="12"/>
  <c r="W9" i="36" s="1"/>
  <c r="Q10" i="12"/>
  <c r="X9" i="36" s="1"/>
  <c r="R10" i="12"/>
  <c r="V9" i="36" s="1"/>
  <c r="S10" i="12"/>
  <c r="P11" i="12"/>
  <c r="W10" i="36" s="1"/>
  <c r="Q11" i="12"/>
  <c r="X10" i="36" s="1"/>
  <c r="R11" i="12"/>
  <c r="V10" i="36" s="1"/>
  <c r="S11" i="12"/>
  <c r="P12" i="12"/>
  <c r="W11" i="36" s="1"/>
  <c r="Q12" i="12"/>
  <c r="X11" i="36" s="1"/>
  <c r="R12" i="12"/>
  <c r="V11" i="36" s="1"/>
  <c r="S12" i="12"/>
  <c r="P13" i="12"/>
  <c r="W12" i="36" s="1"/>
  <c r="Q13" i="12"/>
  <c r="X12" i="36" s="1"/>
  <c r="R13" i="12"/>
  <c r="V12" i="36" s="1"/>
  <c r="S13" i="12"/>
  <c r="P14" i="12"/>
  <c r="W13" i="36" s="1"/>
  <c r="Q14" i="12"/>
  <c r="X13" i="36" s="1"/>
  <c r="R14" i="12"/>
  <c r="V13" i="36" s="1"/>
  <c r="S14" i="12"/>
  <c r="P15" i="12"/>
  <c r="W14" i="36" s="1"/>
  <c r="Q15" i="12"/>
  <c r="X14" i="36" s="1"/>
  <c r="R15" i="12"/>
  <c r="V14" i="36" s="1"/>
  <c r="S15" i="12"/>
  <c r="P16" i="12"/>
  <c r="W15" i="36" s="1"/>
  <c r="Q16" i="12"/>
  <c r="X15" i="36" s="1"/>
  <c r="R16" i="12"/>
  <c r="V15" i="36" s="1"/>
  <c r="S16" i="12"/>
  <c r="P17" i="12"/>
  <c r="W16" i="36" s="1"/>
  <c r="Q17" i="12"/>
  <c r="X16" i="36" s="1"/>
  <c r="R17" i="12"/>
  <c r="V16" i="36" s="1"/>
  <c r="S17" i="12"/>
  <c r="P18" i="12"/>
  <c r="W17" i="36" s="1"/>
  <c r="Q18" i="12"/>
  <c r="X17" i="36" s="1"/>
  <c r="R18" i="12"/>
  <c r="V17" i="36" s="1"/>
  <c r="S18" i="12"/>
  <c r="P19" i="12"/>
  <c r="W18" i="36" s="1"/>
  <c r="Q19" i="12"/>
  <c r="X18" i="36" s="1"/>
  <c r="R19" i="12"/>
  <c r="V18" i="36" s="1"/>
  <c r="S19" i="12"/>
  <c r="P20" i="12"/>
  <c r="W19" i="36" s="1"/>
  <c r="Q20" i="12"/>
  <c r="X19" i="36" s="1"/>
  <c r="R20" i="12"/>
  <c r="V19" i="36" s="1"/>
  <c r="S20" i="12"/>
  <c r="P21" i="12"/>
  <c r="W20" i="36" s="1"/>
  <c r="Q21" i="12"/>
  <c r="X20" i="36" s="1"/>
  <c r="R21" i="12"/>
  <c r="V20" i="36" s="1"/>
  <c r="S21" i="12"/>
  <c r="P22" i="12"/>
  <c r="W21" i="36" s="1"/>
  <c r="Q22" i="12"/>
  <c r="X21" i="36" s="1"/>
  <c r="R22" i="12"/>
  <c r="V21" i="36" s="1"/>
  <c r="S22" i="12"/>
  <c r="Q5" i="12"/>
  <c r="X4" i="36" s="1"/>
  <c r="R5" i="12"/>
  <c r="V4" i="36" s="1"/>
  <c r="S5" i="12"/>
  <c r="P5" i="12"/>
  <c r="W4" i="36" s="1"/>
  <c r="O5" i="12"/>
  <c r="O6" i="12"/>
  <c r="O7" i="12"/>
  <c r="O8" i="12"/>
  <c r="O9" i="12"/>
  <c r="O10" i="12"/>
  <c r="O11" i="12"/>
  <c r="O12" i="12"/>
  <c r="O13" i="12"/>
  <c r="O14" i="12"/>
  <c r="O15" i="12"/>
  <c r="O16" i="12"/>
  <c r="O17" i="12"/>
  <c r="O18" i="12"/>
  <c r="O19" i="12"/>
  <c r="O20" i="12"/>
  <c r="O21" i="12"/>
  <c r="O22" i="12"/>
  <c r="L5" i="12"/>
  <c r="M5" i="12"/>
  <c r="N5" i="12"/>
  <c r="S4" i="36" s="1"/>
  <c r="L6" i="12"/>
  <c r="M6" i="12"/>
  <c r="N6" i="12"/>
  <c r="S5" i="36" s="1"/>
  <c r="L7" i="12"/>
  <c r="M7" i="12"/>
  <c r="N7" i="12"/>
  <c r="S6" i="36" s="1"/>
  <c r="L8" i="12"/>
  <c r="M8" i="12"/>
  <c r="N8" i="12"/>
  <c r="S7" i="36" s="1"/>
  <c r="L9" i="12"/>
  <c r="M9" i="12"/>
  <c r="N9" i="12"/>
  <c r="S8" i="36" s="1"/>
  <c r="L10" i="12"/>
  <c r="M10" i="12"/>
  <c r="N10" i="12"/>
  <c r="S9" i="36" s="1"/>
  <c r="L11" i="12"/>
  <c r="M11" i="12"/>
  <c r="N11" i="12"/>
  <c r="S10" i="36" s="1"/>
  <c r="L12" i="12"/>
  <c r="M12" i="12"/>
  <c r="N12" i="12"/>
  <c r="S11" i="36" s="1"/>
  <c r="L13" i="12"/>
  <c r="M13" i="12"/>
  <c r="N13" i="12"/>
  <c r="S12" i="36" s="1"/>
  <c r="L14" i="12"/>
  <c r="M14" i="12"/>
  <c r="N14" i="12"/>
  <c r="S13" i="36" s="1"/>
  <c r="L15" i="12"/>
  <c r="M15" i="12"/>
  <c r="N15" i="12"/>
  <c r="S14" i="36" s="1"/>
  <c r="L16" i="12"/>
  <c r="M16" i="12"/>
  <c r="N16" i="12"/>
  <c r="S15" i="36" s="1"/>
  <c r="L17" i="12"/>
  <c r="M17" i="12"/>
  <c r="N17" i="12"/>
  <c r="S16" i="36" s="1"/>
  <c r="L18" i="12"/>
  <c r="M18" i="12"/>
  <c r="N18" i="12"/>
  <c r="S17" i="36" s="1"/>
  <c r="L19" i="12"/>
  <c r="M19" i="12"/>
  <c r="N19" i="12"/>
  <c r="S18" i="36" s="1"/>
  <c r="L20" i="12"/>
  <c r="M20" i="12"/>
  <c r="N20" i="12"/>
  <c r="S19" i="36" s="1"/>
  <c r="L21" i="12"/>
  <c r="M21" i="12"/>
  <c r="N21" i="12"/>
  <c r="S20" i="36" s="1"/>
  <c r="L22" i="12"/>
  <c r="M22" i="12"/>
  <c r="N22" i="12"/>
  <c r="S21" i="36" s="1"/>
  <c r="K5" i="12"/>
  <c r="K6" i="12"/>
  <c r="K7" i="12"/>
  <c r="K8" i="12"/>
  <c r="K9" i="12"/>
  <c r="K10" i="12"/>
  <c r="K11" i="12"/>
  <c r="K12" i="12"/>
  <c r="K13" i="12"/>
  <c r="K14" i="12"/>
  <c r="K15" i="12"/>
  <c r="K16" i="12"/>
  <c r="K17" i="12"/>
  <c r="K18" i="12"/>
  <c r="K19" i="12"/>
  <c r="K20" i="12"/>
  <c r="K21" i="12"/>
  <c r="K22" i="12"/>
  <c r="I21" i="12"/>
  <c r="J6" i="12"/>
  <c r="J7" i="12"/>
  <c r="J8" i="12"/>
  <c r="J9" i="12"/>
  <c r="J10" i="12"/>
  <c r="J11" i="12"/>
  <c r="J12" i="12"/>
  <c r="J13" i="12"/>
  <c r="J14" i="12"/>
  <c r="J15" i="12"/>
  <c r="J16" i="12"/>
  <c r="J17" i="12"/>
  <c r="J18" i="12"/>
  <c r="J19" i="12"/>
  <c r="J20" i="12"/>
  <c r="J21" i="12"/>
  <c r="J22" i="12"/>
  <c r="J5" i="12"/>
  <c r="I6" i="12"/>
  <c r="I7" i="12"/>
  <c r="I8" i="12"/>
  <c r="I9" i="12"/>
  <c r="I10" i="12"/>
  <c r="I11" i="12"/>
  <c r="I12" i="12"/>
  <c r="I13" i="12"/>
  <c r="I14" i="12"/>
  <c r="I15" i="12"/>
  <c r="I16" i="12"/>
  <c r="I17" i="12"/>
  <c r="I18" i="12"/>
  <c r="I19" i="12"/>
  <c r="I20" i="12"/>
  <c r="I22" i="12"/>
  <c r="I5" i="12"/>
  <c r="H6" i="12"/>
  <c r="H7" i="12"/>
  <c r="H8" i="12"/>
  <c r="H9" i="12"/>
  <c r="H10" i="12"/>
  <c r="H11" i="12"/>
  <c r="H12" i="12"/>
  <c r="H13" i="12"/>
  <c r="H14" i="12"/>
  <c r="H15" i="12"/>
  <c r="H16" i="12"/>
  <c r="H17" i="12"/>
  <c r="H18" i="12"/>
  <c r="H19" i="12"/>
  <c r="H20" i="12"/>
  <c r="H21" i="12"/>
  <c r="H22" i="12"/>
  <c r="H5" i="12"/>
  <c r="G6" i="12"/>
  <c r="G7" i="12"/>
  <c r="G8" i="12"/>
  <c r="G9" i="12"/>
  <c r="G10" i="12"/>
  <c r="G11" i="12"/>
  <c r="G12" i="12"/>
  <c r="G13" i="12"/>
  <c r="G14" i="12"/>
  <c r="G15" i="12"/>
  <c r="G16" i="12"/>
  <c r="G17" i="12"/>
  <c r="G18" i="12"/>
  <c r="G19" i="12"/>
  <c r="G20" i="12"/>
  <c r="G21" i="12"/>
  <c r="G22" i="12"/>
  <c r="G5" i="12"/>
  <c r="F6" i="12"/>
  <c r="H5" i="36" s="1"/>
  <c r="F7" i="12"/>
  <c r="H6" i="36" s="1"/>
  <c r="F8" i="12"/>
  <c r="H7" i="36" s="1"/>
  <c r="F9" i="12"/>
  <c r="H8" i="36" s="1"/>
  <c r="F10" i="12"/>
  <c r="H9" i="36" s="1"/>
  <c r="F11" i="12"/>
  <c r="H10" i="36" s="1"/>
  <c r="F12" i="12"/>
  <c r="H11" i="36" s="1"/>
  <c r="F13" i="12"/>
  <c r="H12" i="36" s="1"/>
  <c r="F14" i="12"/>
  <c r="H13" i="36" s="1"/>
  <c r="F15" i="12"/>
  <c r="H14" i="36" s="1"/>
  <c r="F16" i="12"/>
  <c r="H15" i="36" s="1"/>
  <c r="F17" i="12"/>
  <c r="H16" i="36" s="1"/>
  <c r="F18" i="12"/>
  <c r="H17" i="36" s="1"/>
  <c r="F19" i="12"/>
  <c r="H18" i="36" s="1"/>
  <c r="F20" i="12"/>
  <c r="H19" i="36" s="1"/>
  <c r="F21" i="12"/>
  <c r="H20" i="36" s="1"/>
  <c r="F22" i="12"/>
  <c r="H21" i="36" s="1"/>
  <c r="E6" i="12"/>
  <c r="G5" i="36" s="1"/>
  <c r="AL5" i="36" s="1"/>
  <c r="E7" i="12"/>
  <c r="G6" i="36" s="1"/>
  <c r="AL6" i="36" s="1"/>
  <c r="E8" i="12"/>
  <c r="G7" i="36" s="1"/>
  <c r="AL7" i="36" s="1"/>
  <c r="E9" i="12"/>
  <c r="G8" i="36" s="1"/>
  <c r="AL8" i="36" s="1"/>
  <c r="E10" i="12"/>
  <c r="G9" i="36" s="1"/>
  <c r="AL9" i="36" s="1"/>
  <c r="E11" i="12"/>
  <c r="G10" i="36" s="1"/>
  <c r="AL10" i="36" s="1"/>
  <c r="E12" i="12"/>
  <c r="G11" i="36" s="1"/>
  <c r="AL11" i="36" s="1"/>
  <c r="E13" i="12"/>
  <c r="G12" i="36" s="1"/>
  <c r="AL12" i="36" s="1"/>
  <c r="E14" i="12"/>
  <c r="G13" i="36" s="1"/>
  <c r="AL13" i="36" s="1"/>
  <c r="E15" i="12"/>
  <c r="G14" i="36" s="1"/>
  <c r="AL14" i="36" s="1"/>
  <c r="E16" i="12"/>
  <c r="G15" i="36" s="1"/>
  <c r="AL15" i="36" s="1"/>
  <c r="E17" i="12"/>
  <c r="G16" i="36" s="1"/>
  <c r="AL16" i="36" s="1"/>
  <c r="E18" i="12"/>
  <c r="G17" i="36" s="1"/>
  <c r="AL17" i="36" s="1"/>
  <c r="E19" i="12"/>
  <c r="G18" i="36" s="1"/>
  <c r="AL18" i="36" s="1"/>
  <c r="E20" i="12"/>
  <c r="G19" i="36" s="1"/>
  <c r="AL19" i="36" s="1"/>
  <c r="E21" i="12"/>
  <c r="G20" i="36" s="1"/>
  <c r="AL20" i="36" s="1"/>
  <c r="E22" i="12"/>
  <c r="G21" i="36" s="1"/>
  <c r="AL21" i="36" s="1"/>
  <c r="E5" i="12"/>
  <c r="G4" i="36" s="1"/>
  <c r="AL4" i="36" s="1"/>
  <c r="F5" i="12"/>
  <c r="H4" i="36" s="1"/>
  <c r="D3" i="9"/>
  <c r="C3" i="9"/>
  <c r="T21" i="36" l="1"/>
  <c r="T17" i="36"/>
  <c r="T13" i="36"/>
  <c r="T9" i="36"/>
  <c r="T20" i="36"/>
  <c r="T16" i="36"/>
  <c r="T12" i="36"/>
  <c r="T8" i="36"/>
  <c r="T19" i="36"/>
  <c r="T15" i="36"/>
  <c r="T7" i="36"/>
  <c r="T18" i="36"/>
  <c r="T14" i="36"/>
  <c r="T10" i="36"/>
  <c r="T11" i="36"/>
  <c r="T5" i="36"/>
  <c r="T6" i="36"/>
  <c r="T4" i="36"/>
  <c r="AT21" i="36"/>
  <c r="AT20" i="36"/>
  <c r="AT19" i="36"/>
  <c r="AT18" i="36"/>
  <c r="B17" i="39"/>
  <c r="B17" i="38"/>
  <c r="B17" i="36"/>
  <c r="B14" i="39"/>
  <c r="B14" i="38"/>
  <c r="B14" i="36"/>
  <c r="B10" i="39"/>
  <c r="B10" i="38"/>
  <c r="B10" i="36"/>
  <c r="B5" i="39"/>
  <c r="B5" i="38"/>
  <c r="B5" i="36"/>
  <c r="B11" i="39"/>
  <c r="B11" i="38"/>
  <c r="B11" i="36"/>
  <c r="B12" i="39"/>
  <c r="B12" i="38"/>
  <c r="B12" i="36"/>
  <c r="B20" i="39"/>
  <c r="B20" i="38"/>
  <c r="B20" i="36"/>
  <c r="B19" i="39"/>
  <c r="B19" i="38"/>
  <c r="B19" i="36"/>
  <c r="B18" i="39"/>
  <c r="B18" i="38"/>
  <c r="B18" i="36"/>
  <c r="B9" i="39"/>
  <c r="B9" i="38"/>
  <c r="B9" i="36"/>
  <c r="AT17" i="36"/>
  <c r="AT16" i="36"/>
  <c r="AT15" i="36"/>
  <c r="AT14" i="36"/>
  <c r="AT13" i="36"/>
  <c r="AT12" i="36"/>
  <c r="AT11" i="36"/>
  <c r="AT10" i="36"/>
  <c r="AT9" i="36"/>
  <c r="AT8" i="36"/>
  <c r="AT7" i="36"/>
  <c r="AT6" i="36"/>
  <c r="AT5" i="36"/>
  <c r="B15" i="39"/>
  <c r="B15" i="38"/>
  <c r="B15" i="36"/>
  <c r="B21" i="39"/>
  <c r="B21" i="38"/>
  <c r="B21" i="36"/>
  <c r="B13" i="39"/>
  <c r="B13" i="38"/>
  <c r="B13" i="36"/>
  <c r="B7" i="39"/>
  <c r="B7" i="38"/>
  <c r="B7" i="36"/>
  <c r="B8" i="39"/>
  <c r="B8" i="38"/>
  <c r="B8" i="36"/>
  <c r="B16" i="39"/>
  <c r="B16" i="38"/>
  <c r="B16" i="36"/>
  <c r="B6" i="39"/>
  <c r="B6" i="38"/>
  <c r="B6" i="36"/>
  <c r="B4" i="39"/>
  <c r="B4" i="38"/>
  <c r="B4" i="36"/>
  <c r="AI4" i="39"/>
  <c r="AP4" i="39" s="1"/>
  <c r="AQ4" i="39" s="1"/>
  <c r="AR4" i="39" s="1"/>
  <c r="Y4" i="38"/>
  <c r="AF4" i="38" s="1"/>
  <c r="AG4" i="38" s="1"/>
  <c r="AH4" i="38" s="1"/>
  <c r="I4" i="36"/>
  <c r="AI18" i="39"/>
  <c r="AR18" i="39" s="1"/>
  <c r="Y18" i="38"/>
  <c r="AH18" i="38" s="1"/>
  <c r="I18" i="36"/>
  <c r="AI14" i="39"/>
  <c r="AR14" i="39" s="1"/>
  <c r="Y14" i="38"/>
  <c r="AH14" i="38" s="1"/>
  <c r="I14" i="36"/>
  <c r="AI10" i="39"/>
  <c r="Y10" i="38"/>
  <c r="I10" i="36"/>
  <c r="AI6" i="39"/>
  <c r="AP6" i="39" s="1"/>
  <c r="AQ6" i="39" s="1"/>
  <c r="AR6" i="39" s="1"/>
  <c r="Y6" i="38"/>
  <c r="AF6" i="38" s="1"/>
  <c r="AG6" i="38" s="1"/>
  <c r="AH6" i="38" s="1"/>
  <c r="I6" i="36"/>
  <c r="AI21" i="39"/>
  <c r="AR21" i="39" s="1"/>
  <c r="Y21" i="38"/>
  <c r="AH21" i="38" s="1"/>
  <c r="I21" i="36"/>
  <c r="AI17" i="39"/>
  <c r="AR17" i="39" s="1"/>
  <c r="Y17" i="38"/>
  <c r="AH17" i="38" s="1"/>
  <c r="I17" i="36"/>
  <c r="AI13" i="39"/>
  <c r="AR13" i="39" s="1"/>
  <c r="Y13" i="38"/>
  <c r="AH13" i="38" s="1"/>
  <c r="I13" i="36"/>
  <c r="AI9" i="39"/>
  <c r="AR9" i="39" s="1"/>
  <c r="Y9" i="38"/>
  <c r="AH9" i="38" s="1"/>
  <c r="I9" i="36"/>
  <c r="AI5" i="39"/>
  <c r="AP5" i="39" s="1"/>
  <c r="AQ5" i="39" s="1"/>
  <c r="AR5" i="39" s="1"/>
  <c r="Y5" i="38"/>
  <c r="AF5" i="38" s="1"/>
  <c r="AG5" i="38" s="1"/>
  <c r="AH5" i="38" s="1"/>
  <c r="BZ5" i="38" s="1"/>
  <c r="Z4" i="9" s="1"/>
  <c r="I5" i="36"/>
  <c r="AI20" i="39"/>
  <c r="AR20" i="39" s="1"/>
  <c r="Y20" i="38"/>
  <c r="AH20" i="38" s="1"/>
  <c r="I20" i="36"/>
  <c r="AI16" i="39"/>
  <c r="AR16" i="39" s="1"/>
  <c r="Y16" i="38"/>
  <c r="AH16" i="38" s="1"/>
  <c r="I16" i="36"/>
  <c r="AI12" i="39"/>
  <c r="AR12" i="39" s="1"/>
  <c r="Y12" i="38"/>
  <c r="AH12" i="38" s="1"/>
  <c r="I12" i="36"/>
  <c r="AI8" i="39"/>
  <c r="AP8" i="39" s="1"/>
  <c r="AQ8" i="39" s="1"/>
  <c r="AR8" i="39" s="1"/>
  <c r="Y8" i="38"/>
  <c r="AF8" i="38" s="1"/>
  <c r="AG8" i="38" s="1"/>
  <c r="AH8" i="38" s="1"/>
  <c r="I8" i="36"/>
  <c r="AT4" i="36"/>
  <c r="AI19" i="39"/>
  <c r="AR19" i="39" s="1"/>
  <c r="Y19" i="38"/>
  <c r="AH19" i="38" s="1"/>
  <c r="I19" i="36"/>
  <c r="AI15" i="39"/>
  <c r="AR15" i="39" s="1"/>
  <c r="Y15" i="38"/>
  <c r="AH15" i="38" s="1"/>
  <c r="I15" i="36"/>
  <c r="AI11" i="39"/>
  <c r="AR11" i="39" s="1"/>
  <c r="Y11" i="38"/>
  <c r="AH11" i="38" s="1"/>
  <c r="I11" i="36"/>
  <c r="AI7" i="39"/>
  <c r="AP7" i="39" s="1"/>
  <c r="AQ7" i="39" s="1"/>
  <c r="AR7" i="39" s="1"/>
  <c r="Y7" i="38"/>
  <c r="AF7" i="38" s="1"/>
  <c r="AG7" i="38" s="1"/>
  <c r="AH7" i="38" s="1"/>
  <c r="I7" i="36"/>
  <c r="B21" i="12"/>
  <c r="B20" i="14"/>
  <c r="F20" i="14" s="1"/>
  <c r="H14" i="14"/>
  <c r="I11" i="14"/>
  <c r="R4" i="14"/>
  <c r="S16" i="14"/>
  <c r="S4" i="14"/>
  <c r="V19" i="14"/>
  <c r="V16" i="14"/>
  <c r="V14" i="14"/>
  <c r="V11" i="14"/>
  <c r="V8" i="14"/>
  <c r="V6" i="14"/>
  <c r="T14" i="14"/>
  <c r="H20" i="14"/>
  <c r="H16" i="14"/>
  <c r="H12" i="14"/>
  <c r="H8" i="14"/>
  <c r="I21" i="14"/>
  <c r="I17" i="14"/>
  <c r="I13" i="14"/>
  <c r="I9" i="14"/>
  <c r="I5" i="14"/>
  <c r="R18" i="14"/>
  <c r="R14" i="14"/>
  <c r="R10" i="14"/>
  <c r="R6" i="14"/>
  <c r="S18" i="14"/>
  <c r="S14" i="14"/>
  <c r="S10" i="14"/>
  <c r="S6" i="14"/>
  <c r="U21" i="14"/>
  <c r="U20" i="14"/>
  <c r="U19" i="14"/>
  <c r="U18" i="14"/>
  <c r="U17" i="14"/>
  <c r="U16" i="14"/>
  <c r="U15" i="14"/>
  <c r="U14" i="14"/>
  <c r="U13" i="14"/>
  <c r="U12" i="14"/>
  <c r="U11" i="14"/>
  <c r="U10" i="14"/>
  <c r="U9" i="14"/>
  <c r="U8" i="14"/>
  <c r="U7" i="14"/>
  <c r="U6" i="14"/>
  <c r="U5" i="14"/>
  <c r="T20" i="14"/>
  <c r="T16" i="14"/>
  <c r="T12" i="14"/>
  <c r="T8" i="14"/>
  <c r="T4" i="14"/>
  <c r="H10" i="14"/>
  <c r="W4" i="14"/>
  <c r="I4" i="14"/>
  <c r="H19" i="14"/>
  <c r="H15" i="14"/>
  <c r="H11" i="14"/>
  <c r="H7" i="14"/>
  <c r="I20" i="14"/>
  <c r="I16" i="14"/>
  <c r="I12" i="14"/>
  <c r="I8" i="14"/>
  <c r="R19" i="14"/>
  <c r="R15" i="14"/>
  <c r="R11" i="14"/>
  <c r="R7" i="14"/>
  <c r="S21" i="14"/>
  <c r="S17" i="14"/>
  <c r="S13" i="14"/>
  <c r="S9" i="14"/>
  <c r="S5" i="14"/>
  <c r="U4" i="14"/>
  <c r="W21" i="14"/>
  <c r="W20" i="14"/>
  <c r="W19" i="14"/>
  <c r="W18" i="14"/>
  <c r="W17" i="14"/>
  <c r="W16" i="14"/>
  <c r="W15" i="14"/>
  <c r="W14" i="14"/>
  <c r="W13" i="14"/>
  <c r="W12" i="14"/>
  <c r="W11" i="14"/>
  <c r="W10" i="14"/>
  <c r="W9" i="14"/>
  <c r="W8" i="14"/>
  <c r="W7" i="14"/>
  <c r="W6" i="14"/>
  <c r="W5" i="14"/>
  <c r="T19" i="14"/>
  <c r="T15" i="14"/>
  <c r="T11" i="14"/>
  <c r="T7" i="14"/>
  <c r="H4" i="14"/>
  <c r="AJ4" i="14" s="1"/>
  <c r="I19" i="14"/>
  <c r="S12" i="14"/>
  <c r="V21" i="14"/>
  <c r="V17" i="14"/>
  <c r="V13" i="14"/>
  <c r="V9" i="14"/>
  <c r="T18" i="14"/>
  <c r="T6" i="14"/>
  <c r="H18" i="14"/>
  <c r="H6" i="14"/>
  <c r="I15" i="14"/>
  <c r="I7" i="14"/>
  <c r="R20" i="14"/>
  <c r="R16" i="14"/>
  <c r="R12" i="14"/>
  <c r="R8" i="14"/>
  <c r="S20" i="14"/>
  <c r="S8" i="14"/>
  <c r="V20" i="14"/>
  <c r="V18" i="14"/>
  <c r="V15" i="14"/>
  <c r="V12" i="14"/>
  <c r="V10" i="14"/>
  <c r="V7" i="14"/>
  <c r="V5" i="14"/>
  <c r="T10" i="14"/>
  <c r="H21" i="14"/>
  <c r="H17" i="14"/>
  <c r="H13" i="14"/>
  <c r="H9" i="14"/>
  <c r="H5" i="14"/>
  <c r="I18" i="14"/>
  <c r="I14" i="14"/>
  <c r="I10" i="14"/>
  <c r="I6" i="14"/>
  <c r="R21" i="14"/>
  <c r="R17" i="14"/>
  <c r="R13" i="14"/>
  <c r="R9" i="14"/>
  <c r="R5" i="14"/>
  <c r="S19" i="14"/>
  <c r="S15" i="14"/>
  <c r="S11" i="14"/>
  <c r="S7" i="14"/>
  <c r="V4" i="14"/>
  <c r="T21" i="14"/>
  <c r="T17" i="14"/>
  <c r="T13" i="14"/>
  <c r="T9" i="14"/>
  <c r="T5" i="14"/>
  <c r="W17" i="33"/>
  <c r="U17" i="32"/>
  <c r="W17" i="31"/>
  <c r="W17" i="30"/>
  <c r="W9" i="33"/>
  <c r="U9" i="32"/>
  <c r="W9" i="31"/>
  <c r="W9" i="30"/>
  <c r="B15" i="33"/>
  <c r="B15" i="32"/>
  <c r="B15" i="31"/>
  <c r="B15" i="30"/>
  <c r="B15" i="29"/>
  <c r="B15" i="28"/>
  <c r="B15" i="27"/>
  <c r="B15" i="23"/>
  <c r="B15" i="24"/>
  <c r="B21" i="33"/>
  <c r="B21" i="32"/>
  <c r="B21" i="31"/>
  <c r="B21" i="30"/>
  <c r="B21" i="29"/>
  <c r="B21" i="27"/>
  <c r="B21" i="28"/>
  <c r="B21" i="23"/>
  <c r="B21" i="24"/>
  <c r="B13" i="33"/>
  <c r="B13" i="32"/>
  <c r="B13" i="31"/>
  <c r="B13" i="30"/>
  <c r="B13" i="29"/>
  <c r="B13" i="27"/>
  <c r="B13" i="28"/>
  <c r="B13" i="23"/>
  <c r="B13" i="24"/>
  <c r="B7" i="33"/>
  <c r="B7" i="32"/>
  <c r="B7" i="31"/>
  <c r="B7" i="30"/>
  <c r="B7" i="29"/>
  <c r="B7" i="28"/>
  <c r="B7" i="27"/>
  <c r="B7" i="24"/>
  <c r="B7" i="23"/>
  <c r="B8" i="33"/>
  <c r="B8" i="32"/>
  <c r="B8" i="31"/>
  <c r="B8" i="30"/>
  <c r="B8" i="29"/>
  <c r="B8" i="28"/>
  <c r="B8" i="27"/>
  <c r="B8" i="23"/>
  <c r="B8" i="24"/>
  <c r="B16" i="33"/>
  <c r="B16" i="32"/>
  <c r="B16" i="31"/>
  <c r="B16" i="30"/>
  <c r="B16" i="29"/>
  <c r="B16" i="28"/>
  <c r="B16" i="27"/>
  <c r="B16" i="23"/>
  <c r="B16" i="24"/>
  <c r="B6" i="33"/>
  <c r="B6" i="32"/>
  <c r="B6" i="31"/>
  <c r="B6" i="30"/>
  <c r="B6" i="29"/>
  <c r="B6" i="28"/>
  <c r="B6" i="27"/>
  <c r="B6" i="23"/>
  <c r="R6" i="23" s="1"/>
  <c r="B6" i="24"/>
  <c r="B4" i="33"/>
  <c r="B4" i="32"/>
  <c r="B4" i="31"/>
  <c r="B4" i="30"/>
  <c r="B4" i="29"/>
  <c r="B4" i="27"/>
  <c r="B4" i="28"/>
  <c r="B4" i="23"/>
  <c r="R4" i="23" s="1"/>
  <c r="B4" i="24"/>
  <c r="AA20" i="13"/>
  <c r="W20" i="33"/>
  <c r="U20" i="32"/>
  <c r="W20" i="31"/>
  <c r="W20" i="30"/>
  <c r="AA16" i="13"/>
  <c r="W16" i="33"/>
  <c r="U16" i="32"/>
  <c r="W16" i="31"/>
  <c r="W16" i="30"/>
  <c r="AA12" i="13"/>
  <c r="W12" i="33"/>
  <c r="U12" i="32"/>
  <c r="W12" i="31"/>
  <c r="W12" i="30"/>
  <c r="AA8" i="13"/>
  <c r="W8" i="33"/>
  <c r="U8" i="32"/>
  <c r="W8" i="31"/>
  <c r="W8" i="30"/>
  <c r="B17" i="33"/>
  <c r="B17" i="32"/>
  <c r="B17" i="31"/>
  <c r="BS17" i="31" s="1"/>
  <c r="B17" i="30"/>
  <c r="B17" i="29"/>
  <c r="B17" i="27"/>
  <c r="B17" i="28"/>
  <c r="B17" i="24"/>
  <c r="B17" i="23"/>
  <c r="W19" i="33"/>
  <c r="U19" i="32"/>
  <c r="W19" i="31"/>
  <c r="W19" i="30"/>
  <c r="W11" i="33"/>
  <c r="U11" i="32"/>
  <c r="W11" i="31"/>
  <c r="W11" i="30"/>
  <c r="B14" i="33"/>
  <c r="B14" i="32"/>
  <c r="B14" i="31"/>
  <c r="B14" i="30"/>
  <c r="B14" i="29"/>
  <c r="B14" i="28"/>
  <c r="B14" i="27"/>
  <c r="B14" i="23"/>
  <c r="B14" i="24"/>
  <c r="B5" i="33"/>
  <c r="B5" i="32"/>
  <c r="B5" i="31"/>
  <c r="B5" i="30"/>
  <c r="B5" i="29"/>
  <c r="B5" i="27"/>
  <c r="B5" i="28"/>
  <c r="B5" i="23"/>
  <c r="B5" i="24"/>
  <c r="B11" i="33"/>
  <c r="B11" i="32"/>
  <c r="B11" i="31"/>
  <c r="B11" i="30"/>
  <c r="B11" i="29"/>
  <c r="B11" i="28"/>
  <c r="B11" i="27"/>
  <c r="B11" i="23"/>
  <c r="B11" i="24"/>
  <c r="B12" i="33"/>
  <c r="B12" i="32"/>
  <c r="B12" i="31"/>
  <c r="B12" i="30"/>
  <c r="B12" i="29"/>
  <c r="B12" i="28"/>
  <c r="B12" i="27"/>
  <c r="B12" i="23"/>
  <c r="B12" i="24"/>
  <c r="B20" i="33"/>
  <c r="B20" i="32"/>
  <c r="B20" i="31"/>
  <c r="BS20" i="31" s="1"/>
  <c r="B20" i="30"/>
  <c r="BS20" i="30" s="1"/>
  <c r="B20" i="29"/>
  <c r="B20" i="28"/>
  <c r="B20" i="27"/>
  <c r="B20" i="23"/>
  <c r="B20" i="24"/>
  <c r="W21" i="33"/>
  <c r="U21" i="32"/>
  <c r="W21" i="31"/>
  <c r="W21" i="30"/>
  <c r="W13" i="33"/>
  <c r="U13" i="32"/>
  <c r="W13" i="31"/>
  <c r="W13" i="30"/>
  <c r="W5" i="33"/>
  <c r="U5" i="32"/>
  <c r="W5" i="31"/>
  <c r="W5" i="30"/>
  <c r="W15" i="33"/>
  <c r="U15" i="32"/>
  <c r="W15" i="31"/>
  <c r="W15" i="30"/>
  <c r="W7" i="33"/>
  <c r="U7" i="32"/>
  <c r="W7" i="31"/>
  <c r="W7" i="30"/>
  <c r="W4" i="33"/>
  <c r="U4" i="32"/>
  <c r="W4" i="31"/>
  <c r="W4" i="30"/>
  <c r="AA18" i="13"/>
  <c r="W18" i="33"/>
  <c r="U18" i="32"/>
  <c r="W18" i="31"/>
  <c r="W18" i="30"/>
  <c r="AA14" i="13"/>
  <c r="W14" i="33"/>
  <c r="U14" i="32"/>
  <c r="W14" i="31"/>
  <c r="W14" i="30"/>
  <c r="AA10" i="13"/>
  <c r="W10" i="33"/>
  <c r="U10" i="32"/>
  <c r="W10" i="31"/>
  <c r="W10" i="30"/>
  <c r="AA6" i="13"/>
  <c r="W6" i="33"/>
  <c r="U6" i="32"/>
  <c r="W6" i="31"/>
  <c r="W6" i="30"/>
  <c r="B19" i="33"/>
  <c r="B19" i="32"/>
  <c r="B19" i="31"/>
  <c r="B19" i="30"/>
  <c r="B19" i="29"/>
  <c r="B19" i="28"/>
  <c r="B19" i="27"/>
  <c r="B19" i="23"/>
  <c r="B19" i="24"/>
  <c r="B10" i="33"/>
  <c r="B10" i="32"/>
  <c r="B10" i="31"/>
  <c r="B10" i="30"/>
  <c r="B10" i="29"/>
  <c r="B10" i="28"/>
  <c r="B10" i="27"/>
  <c r="B10" i="23"/>
  <c r="B10" i="24"/>
  <c r="B18" i="33"/>
  <c r="B18" i="32"/>
  <c r="B18" i="31"/>
  <c r="B18" i="30"/>
  <c r="B18" i="29"/>
  <c r="B18" i="28"/>
  <c r="B18" i="27"/>
  <c r="B18" i="23"/>
  <c r="B18" i="24"/>
  <c r="B9" i="33"/>
  <c r="B9" i="32"/>
  <c r="B9" i="31"/>
  <c r="B9" i="30"/>
  <c r="B9" i="29"/>
  <c r="B9" i="27"/>
  <c r="B9" i="28"/>
  <c r="B9" i="23"/>
  <c r="B9" i="24"/>
  <c r="T19" i="29"/>
  <c r="W19" i="28"/>
  <c r="X19" i="27"/>
  <c r="W19" i="24"/>
  <c r="T15" i="29"/>
  <c r="W15" i="28"/>
  <c r="W15" i="24"/>
  <c r="X15" i="27"/>
  <c r="T11" i="29"/>
  <c r="W11" i="28"/>
  <c r="X11" i="27"/>
  <c r="W11" i="24"/>
  <c r="T7" i="29"/>
  <c r="W7" i="28"/>
  <c r="W7" i="24"/>
  <c r="X7" i="27"/>
  <c r="BT7" i="27" s="1"/>
  <c r="P6" i="9" s="1"/>
  <c r="T4" i="29"/>
  <c r="W4" i="28"/>
  <c r="W4" i="24"/>
  <c r="X4" i="27"/>
  <c r="T18" i="29"/>
  <c r="W18" i="28"/>
  <c r="X18" i="27"/>
  <c r="W18" i="24"/>
  <c r="T14" i="29"/>
  <c r="W14" i="28"/>
  <c r="W14" i="24"/>
  <c r="X14" i="27"/>
  <c r="T10" i="29"/>
  <c r="W10" i="28"/>
  <c r="X10" i="27"/>
  <c r="W10" i="24"/>
  <c r="T6" i="29"/>
  <c r="BP6" i="29" s="1"/>
  <c r="S5" i="9" s="1"/>
  <c r="W6" i="28"/>
  <c r="BS6" i="28" s="1"/>
  <c r="Q5" i="9" s="1"/>
  <c r="X6" i="27"/>
  <c r="BT6" i="27" s="1"/>
  <c r="P5" i="9" s="1"/>
  <c r="W6" i="24"/>
  <c r="AA7" i="13"/>
  <c r="AA11" i="13"/>
  <c r="AA15" i="13"/>
  <c r="AA19" i="13"/>
  <c r="T21" i="29"/>
  <c r="W21" i="28"/>
  <c r="X21" i="27"/>
  <c r="W21" i="24"/>
  <c r="T17" i="29"/>
  <c r="W17" i="28"/>
  <c r="X17" i="27"/>
  <c r="W17" i="24"/>
  <c r="T13" i="29"/>
  <c r="W13" i="28"/>
  <c r="W13" i="24"/>
  <c r="X13" i="27"/>
  <c r="T9" i="29"/>
  <c r="W9" i="28"/>
  <c r="W9" i="24"/>
  <c r="X9" i="27"/>
  <c r="T5" i="29"/>
  <c r="BP5" i="29" s="1"/>
  <c r="S4" i="9" s="1"/>
  <c r="W5" i="28"/>
  <c r="W5" i="24"/>
  <c r="X5" i="27"/>
  <c r="AA4" i="13"/>
  <c r="T20" i="29"/>
  <c r="W20" i="28"/>
  <c r="X20" i="27"/>
  <c r="W20" i="24"/>
  <c r="T16" i="29"/>
  <c r="W16" i="28"/>
  <c r="W16" i="24"/>
  <c r="X16" i="27"/>
  <c r="T12" i="29"/>
  <c r="W12" i="28"/>
  <c r="X12" i="27"/>
  <c r="W12" i="24"/>
  <c r="T8" i="29"/>
  <c r="W8" i="28"/>
  <c r="X8" i="27"/>
  <c r="W8" i="24"/>
  <c r="AA5" i="13"/>
  <c r="AA9" i="13"/>
  <c r="AA13" i="13"/>
  <c r="AA17" i="13"/>
  <c r="AA21" i="13"/>
  <c r="J21" i="14"/>
  <c r="AF22" i="12"/>
  <c r="J9" i="14"/>
  <c r="AF10" i="12"/>
  <c r="J20" i="14"/>
  <c r="AL20" i="14" s="1"/>
  <c r="AF21" i="12"/>
  <c r="J16" i="14"/>
  <c r="AL16" i="14" s="1"/>
  <c r="AF17" i="12"/>
  <c r="J12" i="14"/>
  <c r="AL12" i="14" s="1"/>
  <c r="AF13" i="12"/>
  <c r="J8" i="14"/>
  <c r="AL8" i="14" s="1"/>
  <c r="AF9" i="12"/>
  <c r="J17" i="14"/>
  <c r="AF18" i="12"/>
  <c r="J19" i="14"/>
  <c r="AF20" i="12"/>
  <c r="J15" i="14"/>
  <c r="AF16" i="12"/>
  <c r="J11" i="14"/>
  <c r="AF12" i="12"/>
  <c r="J7" i="14"/>
  <c r="AF8" i="12"/>
  <c r="J13" i="14"/>
  <c r="AF14" i="12"/>
  <c r="J5" i="14"/>
  <c r="AF6" i="12"/>
  <c r="J4" i="14"/>
  <c r="AL4" i="14" s="1"/>
  <c r="AF5" i="12"/>
  <c r="J18" i="14"/>
  <c r="AF19" i="12"/>
  <c r="J14" i="14"/>
  <c r="AL14" i="14" s="1"/>
  <c r="AF15" i="12"/>
  <c r="J10" i="14"/>
  <c r="AF11" i="12"/>
  <c r="J6" i="14"/>
  <c r="AL6" i="14" s="1"/>
  <c r="AF7" i="12"/>
  <c r="B21" i="14"/>
  <c r="F21" i="14" s="1"/>
  <c r="B8" i="12"/>
  <c r="B3" i="11"/>
  <c r="B5" i="11"/>
  <c r="B5" i="14"/>
  <c r="F5" i="14" s="1"/>
  <c r="B12" i="12"/>
  <c r="B12" i="14"/>
  <c r="F12" i="14" s="1"/>
  <c r="B6" i="12"/>
  <c r="B8" i="14"/>
  <c r="F8" i="14" s="1"/>
  <c r="B11" i="14"/>
  <c r="F11" i="14" s="1"/>
  <c r="B13" i="12"/>
  <c r="B3" i="9"/>
  <c r="B14" i="12"/>
  <c r="B13" i="14"/>
  <c r="F13" i="14" s="1"/>
  <c r="B4" i="14"/>
  <c r="F4" i="14" s="1"/>
  <c r="B9" i="12"/>
  <c r="B7" i="14"/>
  <c r="F7" i="14" s="1"/>
  <c r="B5" i="12"/>
  <c r="B6" i="13"/>
  <c r="B16" i="14"/>
  <c r="F16" i="14" s="1"/>
  <c r="B17" i="12"/>
  <c r="B4" i="13"/>
  <c r="B7" i="12"/>
  <c r="B6" i="14"/>
  <c r="F6" i="14" s="1"/>
  <c r="B11" i="12"/>
  <c r="B9" i="11"/>
  <c r="B19" i="12"/>
  <c r="B17" i="11"/>
  <c r="B9" i="13"/>
  <c r="B8" i="11"/>
  <c r="B22" i="12"/>
  <c r="B20" i="11"/>
  <c r="B13" i="13"/>
  <c r="B12" i="11"/>
  <c r="B7" i="13"/>
  <c r="B6" i="11"/>
  <c r="B8" i="13"/>
  <c r="B7" i="11"/>
  <c r="B16" i="13"/>
  <c r="B15" i="11"/>
  <c r="B14" i="14"/>
  <c r="F14" i="14" s="1"/>
  <c r="B13" i="11"/>
  <c r="B15" i="13"/>
  <c r="B14" i="11"/>
  <c r="B18" i="12"/>
  <c r="B16" i="11"/>
  <c r="B19" i="13"/>
  <c r="B18" i="11"/>
  <c r="B5" i="13"/>
  <c r="B4" i="11"/>
  <c r="B11" i="13"/>
  <c r="B10" i="11"/>
  <c r="B12" i="13"/>
  <c r="B11" i="11"/>
  <c r="B20" i="13"/>
  <c r="B19" i="11"/>
  <c r="B18" i="13"/>
  <c r="B18" i="14"/>
  <c r="F18" i="14" s="1"/>
  <c r="B9" i="14"/>
  <c r="F9" i="14" s="1"/>
  <c r="B10" i="12"/>
  <c r="B21" i="13"/>
  <c r="B17" i="14"/>
  <c r="F17" i="14" s="1"/>
  <c r="B17" i="13"/>
  <c r="B15" i="12"/>
  <c r="B20" i="12"/>
  <c r="B19" i="14"/>
  <c r="F19" i="14" s="1"/>
  <c r="B10" i="13"/>
  <c r="B10" i="14"/>
  <c r="F10" i="14" s="1"/>
  <c r="B15" i="14"/>
  <c r="F15" i="14" s="1"/>
  <c r="B16" i="12"/>
  <c r="B14" i="13"/>
  <c r="CV24" i="3"/>
  <c r="CV23" i="3"/>
  <c r="CV22" i="3"/>
  <c r="CV21" i="3"/>
  <c r="CV20" i="3"/>
  <c r="CV19" i="3"/>
  <c r="CV18" i="3"/>
  <c r="CV17" i="3"/>
  <c r="CV16" i="3"/>
  <c r="CV15" i="3"/>
  <c r="CV14" i="3"/>
  <c r="CV13" i="3"/>
  <c r="CV12" i="3"/>
  <c r="CV11" i="3"/>
  <c r="CV10" i="3"/>
  <c r="CV9" i="3"/>
  <c r="CV8" i="3"/>
  <c r="AY8" i="3"/>
  <c r="CV7" i="3"/>
  <c r="OO7" i="3"/>
  <c r="CJ5" i="39" l="1"/>
  <c r="AA4" i="9" s="1"/>
  <c r="BS17" i="30"/>
  <c r="BS20" i="33"/>
  <c r="BQ17" i="32"/>
  <c r="BZ8" i="38"/>
  <c r="Z7" i="9" s="1"/>
  <c r="BS17" i="33"/>
  <c r="AF10" i="38"/>
  <c r="AG10" i="38" s="1"/>
  <c r="AH10" i="38" s="1"/>
  <c r="BZ10" i="38" s="1"/>
  <c r="AP10" i="39"/>
  <c r="AQ10" i="39" s="1"/>
  <c r="AR10" i="39" s="1"/>
  <c r="CJ10" i="39" s="1"/>
  <c r="CJ6" i="39"/>
  <c r="AA5" i="9" s="1"/>
  <c r="BZ7" i="38"/>
  <c r="Z6" i="9" s="1"/>
  <c r="BQ20" i="32"/>
  <c r="CJ7" i="39"/>
  <c r="AA6" i="9" s="1"/>
  <c r="AE19" i="11"/>
  <c r="AH19" i="11"/>
  <c r="AE18" i="11"/>
  <c r="AH18" i="11"/>
  <c r="AE15" i="11"/>
  <c r="AH15" i="11"/>
  <c r="AE17" i="11"/>
  <c r="AH17" i="11"/>
  <c r="AE3" i="11"/>
  <c r="H11" i="56" s="1"/>
  <c r="AH3" i="11"/>
  <c r="AE4" i="11"/>
  <c r="AH4" i="11"/>
  <c r="AE16" i="11"/>
  <c r="AH16" i="11"/>
  <c r="AE13" i="11"/>
  <c r="AH13" i="11"/>
  <c r="AE7" i="11"/>
  <c r="AH7" i="11"/>
  <c r="AE12" i="11"/>
  <c r="AH12" i="11"/>
  <c r="AE8" i="11"/>
  <c r="AH8" i="11"/>
  <c r="AE9" i="11"/>
  <c r="AH9" i="11"/>
  <c r="AE10" i="11"/>
  <c r="AH10" i="11"/>
  <c r="AE14" i="11"/>
  <c r="AH14" i="11"/>
  <c r="AE6" i="11"/>
  <c r="AH6" i="11"/>
  <c r="AE20" i="11"/>
  <c r="AH20" i="11"/>
  <c r="AE5" i="11"/>
  <c r="AH5" i="11"/>
  <c r="AE11" i="11"/>
  <c r="AH11" i="11"/>
  <c r="AY9" i="3"/>
  <c r="M19" i="23"/>
  <c r="R19" i="23"/>
  <c r="M13" i="23"/>
  <c r="R13" i="23"/>
  <c r="M10" i="23"/>
  <c r="R10" i="23"/>
  <c r="M9" i="23"/>
  <c r="R9" i="23"/>
  <c r="M20" i="23"/>
  <c r="R20" i="23"/>
  <c r="M14" i="23"/>
  <c r="R14" i="23"/>
  <c r="M17" i="23"/>
  <c r="R17" i="23"/>
  <c r="M16" i="23"/>
  <c r="R16" i="23"/>
  <c r="M21" i="23"/>
  <c r="R21" i="23"/>
  <c r="M11" i="23"/>
  <c r="R11" i="23"/>
  <c r="M18" i="23"/>
  <c r="R18" i="23"/>
  <c r="M12" i="23"/>
  <c r="R12" i="23"/>
  <c r="M8" i="23"/>
  <c r="N7" i="9" s="1"/>
  <c r="R8" i="23"/>
  <c r="M7" i="23"/>
  <c r="N6" i="9" s="1"/>
  <c r="R7" i="23"/>
  <c r="M15" i="23"/>
  <c r="R15" i="23"/>
  <c r="BZ4" i="38"/>
  <c r="Z3" i="9" s="1"/>
  <c r="M5" i="23"/>
  <c r="N4" i="9" s="1"/>
  <c r="R5" i="23"/>
  <c r="AY7" i="3"/>
  <c r="QM8" i="3"/>
  <c r="QQ8" i="3" s="1"/>
  <c r="QV8" i="3" s="1"/>
  <c r="QW8" i="3"/>
  <c r="QM9" i="3"/>
  <c r="QQ9" i="3" s="1"/>
  <c r="QV9" i="3" s="1"/>
  <c r="QW9" i="3"/>
  <c r="QM10" i="3"/>
  <c r="QQ10" i="3" s="1"/>
  <c r="QV10" i="3" s="1"/>
  <c r="QW10" i="3"/>
  <c r="QM11" i="3"/>
  <c r="QQ11" i="3" s="1"/>
  <c r="QV11" i="3" s="1"/>
  <c r="QW11" i="3"/>
  <c r="QM12" i="3"/>
  <c r="QQ12" i="3" s="1"/>
  <c r="QV12" i="3" s="1"/>
  <c r="QW12" i="3"/>
  <c r="QM13" i="3"/>
  <c r="QQ13" i="3" s="1"/>
  <c r="QV13" i="3" s="1"/>
  <c r="QW13" i="3"/>
  <c r="QM14" i="3"/>
  <c r="QQ14" i="3" s="1"/>
  <c r="QV14" i="3" s="1"/>
  <c r="QW14" i="3"/>
  <c r="QM15" i="3"/>
  <c r="QQ15" i="3" s="1"/>
  <c r="QV15" i="3" s="1"/>
  <c r="QW15" i="3"/>
  <c r="QM16" i="3"/>
  <c r="QQ16" i="3" s="1"/>
  <c r="QV16" i="3" s="1"/>
  <c r="QW16" i="3"/>
  <c r="QM17" i="3"/>
  <c r="QQ17" i="3" s="1"/>
  <c r="QV17" i="3" s="1"/>
  <c r="QW17" i="3"/>
  <c r="QM18" i="3"/>
  <c r="QQ18" i="3" s="1"/>
  <c r="QV18" i="3" s="1"/>
  <c r="QW18" i="3"/>
  <c r="QM19" i="3"/>
  <c r="QQ19" i="3" s="1"/>
  <c r="QV19" i="3" s="1"/>
  <c r="QW19" i="3"/>
  <c r="QM20" i="3"/>
  <c r="QQ20" i="3" s="1"/>
  <c r="QV20" i="3" s="1"/>
  <c r="QW20" i="3"/>
  <c r="QM21" i="3"/>
  <c r="QQ21" i="3" s="1"/>
  <c r="QV21" i="3" s="1"/>
  <c r="QW21" i="3"/>
  <c r="QM22" i="3"/>
  <c r="QQ22" i="3" s="1"/>
  <c r="QV22" i="3" s="1"/>
  <c r="QW22" i="3"/>
  <c r="QM23" i="3"/>
  <c r="QQ23" i="3" s="1"/>
  <c r="QV23" i="3" s="1"/>
  <c r="QW23" i="3"/>
  <c r="QM24" i="3"/>
  <c r="QQ24" i="3" s="1"/>
  <c r="QV24" i="3" s="1"/>
  <c r="QW24" i="3"/>
  <c r="QM7" i="3"/>
  <c r="QQ7" i="3" s="1"/>
  <c r="QW7" i="3"/>
  <c r="BR7" i="3"/>
  <c r="BS7" i="3"/>
  <c r="BT7" i="3"/>
  <c r="BT8" i="3"/>
  <c r="BR8" i="3"/>
  <c r="BS8" i="3"/>
  <c r="BS9" i="3"/>
  <c r="BT9" i="3"/>
  <c r="BR9" i="3"/>
  <c r="BS10" i="3"/>
  <c r="BT10" i="3"/>
  <c r="BR10" i="3"/>
  <c r="BT11" i="3"/>
  <c r="BR11" i="3"/>
  <c r="BS11" i="3"/>
  <c r="BS12" i="3"/>
  <c r="BT12" i="3"/>
  <c r="BR12" i="3"/>
  <c r="BS13" i="3"/>
  <c r="BT13" i="3"/>
  <c r="BR13" i="3"/>
  <c r="BR14" i="3"/>
  <c r="BS14" i="3"/>
  <c r="BT14" i="3"/>
  <c r="BT15" i="3"/>
  <c r="BR15" i="3"/>
  <c r="BS15" i="3"/>
  <c r="BT16" i="3"/>
  <c r="BR16" i="3"/>
  <c r="BS16" i="3"/>
  <c r="BS17" i="3"/>
  <c r="BT17" i="3"/>
  <c r="BR17" i="3"/>
  <c r="BT18" i="3"/>
  <c r="BS18" i="3"/>
  <c r="BR18" i="3"/>
  <c r="BT19" i="3"/>
  <c r="BR19" i="3"/>
  <c r="BS19" i="3"/>
  <c r="BT20" i="3"/>
  <c r="BR20" i="3"/>
  <c r="BS20" i="3"/>
  <c r="BS21" i="3"/>
  <c r="BT21" i="3"/>
  <c r="BR21" i="3"/>
  <c r="BR22" i="3"/>
  <c r="BS22" i="3"/>
  <c r="BT22" i="3"/>
  <c r="BT23" i="3"/>
  <c r="BR23" i="3"/>
  <c r="BS23" i="3"/>
  <c r="BS24" i="3"/>
  <c r="BT24" i="3"/>
  <c r="BR24" i="3"/>
  <c r="Y6" i="43"/>
  <c r="Y7" i="43"/>
  <c r="Y8" i="43"/>
  <c r="Y9" i="43"/>
  <c r="Y22" i="43"/>
  <c r="QO7" i="3"/>
  <c r="QT7" i="3" s="1"/>
  <c r="BJ7" i="3"/>
  <c r="BL7" i="3"/>
  <c r="QP7" i="3"/>
  <c r="BK7" i="3"/>
  <c r="Y10" i="43"/>
  <c r="Y11" i="43"/>
  <c r="Y12" i="43"/>
  <c r="Y13" i="43"/>
  <c r="Y14" i="43"/>
  <c r="Y15" i="43"/>
  <c r="Y16" i="43"/>
  <c r="Y17" i="43"/>
  <c r="Y18" i="43"/>
  <c r="Y19" i="43"/>
  <c r="Y20" i="43"/>
  <c r="Y21" i="43"/>
  <c r="AL22" i="12"/>
  <c r="OO24" i="3"/>
  <c r="AL6" i="12"/>
  <c r="OO8" i="3"/>
  <c r="AL8" i="12"/>
  <c r="OO10" i="3"/>
  <c r="AL10" i="12"/>
  <c r="OO12" i="3"/>
  <c r="AL11" i="12"/>
  <c r="OO13" i="3"/>
  <c r="AL13" i="12"/>
  <c r="OO15" i="3"/>
  <c r="AL14" i="12"/>
  <c r="OO16" i="3"/>
  <c r="AL15" i="12"/>
  <c r="OO17" i="3"/>
  <c r="AL16" i="12"/>
  <c r="OO18" i="3"/>
  <c r="AL17" i="12"/>
  <c r="OO19" i="3"/>
  <c r="AL18" i="12"/>
  <c r="OO20" i="3"/>
  <c r="AL19" i="12"/>
  <c r="OO21" i="3"/>
  <c r="AL20" i="12"/>
  <c r="OO22" i="3"/>
  <c r="AL21" i="12"/>
  <c r="OO23" i="3"/>
  <c r="AL7" i="12"/>
  <c r="OO9" i="3"/>
  <c r="AL9" i="12"/>
  <c r="OO11" i="3"/>
  <c r="AL12" i="12"/>
  <c r="OO14" i="3"/>
  <c r="BS9" i="30"/>
  <c r="BS19" i="31"/>
  <c r="M4" i="23"/>
  <c r="N3" i="9" s="1"/>
  <c r="M6" i="23"/>
  <c r="N5" i="9" s="1"/>
  <c r="NK7" i="3"/>
  <c r="NL7" i="3"/>
  <c r="NJ7" i="3"/>
  <c r="NI7" i="3"/>
  <c r="NK8" i="3"/>
  <c r="NI8" i="3"/>
  <c r="NJ8" i="3"/>
  <c r="NL8" i="3"/>
  <c r="NK9" i="3"/>
  <c r="NI9" i="3"/>
  <c r="NJ9" i="3"/>
  <c r="NL9" i="3"/>
  <c r="NK10" i="3"/>
  <c r="NI10" i="3"/>
  <c r="NJ10" i="3"/>
  <c r="NL10" i="3"/>
  <c r="NK11" i="3"/>
  <c r="NI11" i="3"/>
  <c r="NJ11" i="3"/>
  <c r="NL11" i="3"/>
  <c r="NK12" i="3"/>
  <c r="NI12" i="3"/>
  <c r="NJ12" i="3"/>
  <c r="NL12" i="3"/>
  <c r="NK13" i="3"/>
  <c r="NI13" i="3"/>
  <c r="NJ13" i="3"/>
  <c r="NL13" i="3"/>
  <c r="NK14" i="3"/>
  <c r="NI14" i="3"/>
  <c r="NJ14" i="3"/>
  <c r="NL14" i="3"/>
  <c r="NK15" i="3"/>
  <c r="NI15" i="3"/>
  <c r="NJ15" i="3"/>
  <c r="NL15" i="3"/>
  <c r="NK16" i="3"/>
  <c r="NI16" i="3"/>
  <c r="NJ16" i="3"/>
  <c r="NL16" i="3"/>
  <c r="NK17" i="3"/>
  <c r="NI17" i="3"/>
  <c r="NJ17" i="3"/>
  <c r="NL17" i="3"/>
  <c r="NK18" i="3"/>
  <c r="NI18" i="3"/>
  <c r="NJ18" i="3"/>
  <c r="NL18" i="3"/>
  <c r="NK19" i="3"/>
  <c r="NI19" i="3"/>
  <c r="NJ19" i="3"/>
  <c r="NL19" i="3"/>
  <c r="NK20" i="3"/>
  <c r="NI20" i="3"/>
  <c r="NJ20" i="3"/>
  <c r="NL20" i="3"/>
  <c r="NK21" i="3"/>
  <c r="NI21" i="3"/>
  <c r="NJ21" i="3"/>
  <c r="NL21" i="3"/>
  <c r="NK22" i="3"/>
  <c r="NI22" i="3"/>
  <c r="NJ22" i="3"/>
  <c r="NL22" i="3"/>
  <c r="NK23" i="3"/>
  <c r="NI23" i="3"/>
  <c r="NJ23" i="3"/>
  <c r="NL23" i="3"/>
  <c r="NK24" i="3"/>
  <c r="NI24" i="3"/>
  <c r="NJ24" i="3"/>
  <c r="NL24" i="3"/>
  <c r="NB7" i="3"/>
  <c r="ND7" i="3"/>
  <c r="NA7" i="3"/>
  <c r="NC7" i="3"/>
  <c r="NC8" i="3"/>
  <c r="ND8" i="3"/>
  <c r="NA8" i="3"/>
  <c r="NB8" i="3"/>
  <c r="ND9" i="3"/>
  <c r="NB9" i="3"/>
  <c r="NC9" i="3"/>
  <c r="NA9" i="3"/>
  <c r="NA10" i="3"/>
  <c r="NB10" i="3"/>
  <c r="NC10" i="3"/>
  <c r="ND10" i="3"/>
  <c r="NB11" i="3"/>
  <c r="NC11" i="3"/>
  <c r="NA11" i="3"/>
  <c r="ND11" i="3"/>
  <c r="NC12" i="3"/>
  <c r="ND12" i="3"/>
  <c r="NA12" i="3"/>
  <c r="NB12" i="3"/>
  <c r="ND13" i="3"/>
  <c r="NB13" i="3"/>
  <c r="NC13" i="3"/>
  <c r="NA13" i="3"/>
  <c r="NA14" i="3"/>
  <c r="NB14" i="3"/>
  <c r="NC14" i="3"/>
  <c r="ND14" i="3"/>
  <c r="NB15" i="3"/>
  <c r="NC15" i="3"/>
  <c r="NA15" i="3"/>
  <c r="ND15" i="3"/>
  <c r="NC16" i="3"/>
  <c r="ND16" i="3"/>
  <c r="NA16" i="3"/>
  <c r="NB16" i="3"/>
  <c r="ND17" i="3"/>
  <c r="NB17" i="3"/>
  <c r="NC17" i="3"/>
  <c r="NA17" i="3"/>
  <c r="NA18" i="3"/>
  <c r="NB18" i="3"/>
  <c r="NC18" i="3"/>
  <c r="ND18" i="3"/>
  <c r="NB19" i="3"/>
  <c r="NC19" i="3"/>
  <c r="NA19" i="3"/>
  <c r="ND19" i="3"/>
  <c r="NC20" i="3"/>
  <c r="ND20" i="3"/>
  <c r="NA20" i="3"/>
  <c r="NB20" i="3"/>
  <c r="ND21" i="3"/>
  <c r="NB21" i="3"/>
  <c r="NC21" i="3"/>
  <c r="NA21" i="3"/>
  <c r="NA22" i="3"/>
  <c r="NB22" i="3"/>
  <c r="NC22" i="3"/>
  <c r="ND22" i="3"/>
  <c r="NB23" i="3"/>
  <c r="NC23" i="3"/>
  <c r="NA23" i="3"/>
  <c r="ND23" i="3"/>
  <c r="NC24" i="3"/>
  <c r="ND24" i="3"/>
  <c r="NA24" i="3"/>
  <c r="NB24" i="3"/>
  <c r="AL5" i="12"/>
  <c r="AY10" i="3"/>
  <c r="AY11" i="3"/>
  <c r="AY12" i="3"/>
  <c r="AY13" i="3"/>
  <c r="AY14" i="3"/>
  <c r="AY15" i="3"/>
  <c r="AY16" i="3"/>
  <c r="AY17" i="3"/>
  <c r="AY18" i="3"/>
  <c r="AY19" i="3"/>
  <c r="AY20" i="3"/>
  <c r="AY21" i="3"/>
  <c r="AY22" i="3"/>
  <c r="AY23" i="3"/>
  <c r="AY24" i="3"/>
  <c r="BQ9" i="3"/>
  <c r="BQ10" i="3"/>
  <c r="BQ11" i="3"/>
  <c r="BJ11" i="3"/>
  <c r="BK11" i="3"/>
  <c r="BL11" i="3"/>
  <c r="BQ24" i="3"/>
  <c r="BQ7" i="3"/>
  <c r="BQ8" i="3"/>
  <c r="BJ8" i="3"/>
  <c r="BK8" i="3"/>
  <c r="BL8" i="3"/>
  <c r="BJ9" i="3"/>
  <c r="BK9" i="3"/>
  <c r="BL9" i="3"/>
  <c r="BJ10" i="3"/>
  <c r="BK10" i="3"/>
  <c r="BL10" i="3"/>
  <c r="BJ24" i="3"/>
  <c r="BK24" i="3"/>
  <c r="BL24" i="3"/>
  <c r="BQ12" i="3"/>
  <c r="BJ12" i="3"/>
  <c r="BK12" i="3"/>
  <c r="BL12" i="3"/>
  <c r="BQ13" i="3"/>
  <c r="BJ13" i="3"/>
  <c r="BK13" i="3"/>
  <c r="BL13" i="3"/>
  <c r="BQ14" i="3"/>
  <c r="BJ14" i="3"/>
  <c r="BK14" i="3"/>
  <c r="BL14" i="3"/>
  <c r="BQ15" i="3"/>
  <c r="BJ15" i="3"/>
  <c r="BK15" i="3"/>
  <c r="BL15" i="3"/>
  <c r="BQ16" i="3"/>
  <c r="BJ16" i="3"/>
  <c r="BK16" i="3"/>
  <c r="BL16" i="3"/>
  <c r="BQ17" i="3"/>
  <c r="BJ17" i="3"/>
  <c r="BK17" i="3"/>
  <c r="BL17" i="3"/>
  <c r="BQ18" i="3"/>
  <c r="BJ18" i="3"/>
  <c r="BK18" i="3"/>
  <c r="BL18" i="3"/>
  <c r="BQ19" i="3"/>
  <c r="BJ19" i="3"/>
  <c r="BK19" i="3"/>
  <c r="BL19" i="3"/>
  <c r="BQ20" i="3"/>
  <c r="BJ20" i="3"/>
  <c r="BK20" i="3"/>
  <c r="BL20" i="3"/>
  <c r="BQ21" i="3"/>
  <c r="BJ21" i="3"/>
  <c r="BK21" i="3"/>
  <c r="BL21" i="3"/>
  <c r="BQ22" i="3"/>
  <c r="BJ22" i="3"/>
  <c r="BK22" i="3"/>
  <c r="BL22" i="3"/>
  <c r="BQ23" i="3"/>
  <c r="BJ23" i="3"/>
  <c r="BK23" i="3"/>
  <c r="BL23" i="3"/>
  <c r="BS12" i="33"/>
  <c r="BZ21" i="38"/>
  <c r="CJ9" i="39"/>
  <c r="BZ20" i="38"/>
  <c r="CJ12" i="39"/>
  <c r="CJ14" i="39"/>
  <c r="CJ15" i="39"/>
  <c r="BQ9" i="32"/>
  <c r="BS18" i="31"/>
  <c r="BS19" i="33"/>
  <c r="BS12" i="31"/>
  <c r="BP8" i="29"/>
  <c r="S7" i="9" s="1"/>
  <c r="BS5" i="28"/>
  <c r="Q4" i="9" s="1"/>
  <c r="BS8" i="24"/>
  <c r="O7" i="9" s="1"/>
  <c r="BT9" i="27"/>
  <c r="BT18" i="27"/>
  <c r="BS10" i="30"/>
  <c r="BS19" i="24"/>
  <c r="BS20" i="28"/>
  <c r="BT12" i="27"/>
  <c r="BS11" i="30"/>
  <c r="BQ14" i="32"/>
  <c r="BS16" i="28"/>
  <c r="BQ16" i="32"/>
  <c r="BS13" i="24"/>
  <c r="BT21" i="27"/>
  <c r="BQ21" i="32"/>
  <c r="BT15" i="27"/>
  <c r="BS15" i="31"/>
  <c r="BZ16" i="38"/>
  <c r="BS7" i="28"/>
  <c r="Q6" i="9" s="1"/>
  <c r="BS9" i="33"/>
  <c r="BQ18" i="32"/>
  <c r="BS19" i="30"/>
  <c r="BQ12" i="32"/>
  <c r="BS9" i="31"/>
  <c r="BS18" i="30"/>
  <c r="BS10" i="24"/>
  <c r="BP10" i="29"/>
  <c r="BS10" i="33"/>
  <c r="BQ19" i="32"/>
  <c r="BS11" i="33"/>
  <c r="BS16" i="31"/>
  <c r="BS9" i="28"/>
  <c r="BS14" i="28"/>
  <c r="BP13" i="29"/>
  <c r="BT8" i="27"/>
  <c r="P7" i="9" s="1"/>
  <c r="BS6" i="24"/>
  <c r="O5" i="9" s="1"/>
  <c r="BS9" i="24"/>
  <c r="BP9" i="29"/>
  <c r="BS18" i="28"/>
  <c r="BT10" i="27"/>
  <c r="BS10" i="31"/>
  <c r="BS20" i="24"/>
  <c r="BP20" i="29"/>
  <c r="BS12" i="28"/>
  <c r="BT11" i="27"/>
  <c r="BS11" i="31"/>
  <c r="BS14" i="24"/>
  <c r="BP14" i="29"/>
  <c r="BS14" i="33"/>
  <c r="BT17" i="27"/>
  <c r="BS16" i="24"/>
  <c r="BP16" i="29"/>
  <c r="BS16" i="33"/>
  <c r="BS13" i="30"/>
  <c r="BS21" i="24"/>
  <c r="BP21" i="29"/>
  <c r="BS21" i="33"/>
  <c r="BS15" i="28"/>
  <c r="BQ15" i="32"/>
  <c r="CJ16" i="39"/>
  <c r="BZ13" i="38"/>
  <c r="CJ21" i="39"/>
  <c r="BZ19" i="38"/>
  <c r="CJ20" i="39"/>
  <c r="BS19" i="28"/>
  <c r="BP19" i="29"/>
  <c r="BS17" i="28"/>
  <c r="BS13" i="33"/>
  <c r="BS5" i="24"/>
  <c r="O4" i="9" s="1"/>
  <c r="BS7" i="24"/>
  <c r="O6" i="9" s="1"/>
  <c r="BS18" i="24"/>
  <c r="BP18" i="29"/>
  <c r="BS18" i="33"/>
  <c r="BS10" i="28"/>
  <c r="BQ10" i="32"/>
  <c r="BT19" i="27"/>
  <c r="BS12" i="24"/>
  <c r="BP12" i="29"/>
  <c r="BS11" i="28"/>
  <c r="BQ11" i="32"/>
  <c r="BS14" i="30"/>
  <c r="BP17" i="29"/>
  <c r="BS16" i="30"/>
  <c r="BS13" i="28"/>
  <c r="BS13" i="31"/>
  <c r="BS21" i="30"/>
  <c r="BS15" i="24"/>
  <c r="BP15" i="29"/>
  <c r="BS15" i="33"/>
  <c r="CJ8" i="39"/>
  <c r="AA7" i="9" s="1"/>
  <c r="CJ13" i="39"/>
  <c r="BZ18" i="38"/>
  <c r="CJ19" i="39"/>
  <c r="BZ11" i="38"/>
  <c r="BZ17" i="38"/>
  <c r="BT20" i="27"/>
  <c r="BS12" i="30"/>
  <c r="BS11" i="24"/>
  <c r="BP11" i="29"/>
  <c r="BT14" i="27"/>
  <c r="BS14" i="31"/>
  <c r="BS17" i="24"/>
  <c r="BT16" i="27"/>
  <c r="BT13" i="27"/>
  <c r="BQ13" i="32"/>
  <c r="BS21" i="28"/>
  <c r="BS21" i="31"/>
  <c r="BS15" i="30"/>
  <c r="BZ15" i="38"/>
  <c r="BZ9" i="38"/>
  <c r="CJ18" i="39"/>
  <c r="BZ12" i="38"/>
  <c r="CJ11" i="39"/>
  <c r="BZ14" i="38"/>
  <c r="CJ17" i="39"/>
  <c r="BZ6" i="38"/>
  <c r="Z5" i="9" s="1"/>
  <c r="CJ4" i="39"/>
  <c r="AA3" i="9" s="1"/>
  <c r="BT4" i="27"/>
  <c r="P3" i="9" s="1"/>
  <c r="AN15" i="36"/>
  <c r="AD15" i="36"/>
  <c r="AM15" i="36" s="1"/>
  <c r="AR15" i="36" s="1"/>
  <c r="AS15" i="36" s="1"/>
  <c r="AN20" i="36"/>
  <c r="AD20" i="36"/>
  <c r="AM20" i="36" s="1"/>
  <c r="AR20" i="36" s="1"/>
  <c r="AS20" i="36" s="1"/>
  <c r="AN17" i="36"/>
  <c r="AD17" i="36"/>
  <c r="AM17" i="36" s="1"/>
  <c r="AR17" i="36" s="1"/>
  <c r="AS17" i="36" s="1"/>
  <c r="AN14" i="36"/>
  <c r="AD14" i="36"/>
  <c r="AM14" i="36" s="1"/>
  <c r="AR14" i="36" s="1"/>
  <c r="AS14" i="36" s="1"/>
  <c r="AC13" i="14"/>
  <c r="AL13" i="14"/>
  <c r="AC11" i="14"/>
  <c r="AL11" i="14"/>
  <c r="AC19" i="14"/>
  <c r="AL19" i="14"/>
  <c r="AC9" i="14"/>
  <c r="AL9" i="14"/>
  <c r="AN11" i="36"/>
  <c r="AD11" i="36"/>
  <c r="AM11" i="36" s="1"/>
  <c r="AR11" i="36" s="1"/>
  <c r="AS11" i="36" s="1"/>
  <c r="AN16" i="36"/>
  <c r="AD16" i="36"/>
  <c r="AM16" i="36" s="1"/>
  <c r="AR16" i="36" s="1"/>
  <c r="AS16" i="36" s="1"/>
  <c r="AN13" i="36"/>
  <c r="AD13" i="36"/>
  <c r="AM13" i="36" s="1"/>
  <c r="AR13" i="36" s="1"/>
  <c r="AS13" i="36" s="1"/>
  <c r="AN10" i="36"/>
  <c r="AD10" i="36"/>
  <c r="AM10" i="36" s="1"/>
  <c r="AN7" i="36"/>
  <c r="AD7" i="36"/>
  <c r="AM7" i="36" s="1"/>
  <c r="AN12" i="36"/>
  <c r="AD12" i="36"/>
  <c r="AM12" i="36" s="1"/>
  <c r="AR12" i="36" s="1"/>
  <c r="AS12" i="36" s="1"/>
  <c r="AN9" i="36"/>
  <c r="AD9" i="36"/>
  <c r="AM9" i="36" s="1"/>
  <c r="AR9" i="36" s="1"/>
  <c r="AS9" i="36" s="1"/>
  <c r="AN6" i="36"/>
  <c r="AD6" i="36"/>
  <c r="AM6" i="36" s="1"/>
  <c r="AN4" i="36"/>
  <c r="AP4" i="36" s="1"/>
  <c r="AQ4" i="36" s="1"/>
  <c r="AD4" i="36"/>
  <c r="AM4" i="36" s="1"/>
  <c r="AC10" i="14"/>
  <c r="AL10" i="14"/>
  <c r="AC18" i="14"/>
  <c r="AL18" i="14"/>
  <c r="AC5" i="14"/>
  <c r="AL5" i="14"/>
  <c r="AC7" i="14"/>
  <c r="AL7" i="14"/>
  <c r="AC15" i="14"/>
  <c r="AL15" i="14"/>
  <c r="AC17" i="14"/>
  <c r="AL17" i="14"/>
  <c r="AC21" i="14"/>
  <c r="AL21" i="14"/>
  <c r="AN19" i="36"/>
  <c r="AD19" i="36"/>
  <c r="AM19" i="36" s="1"/>
  <c r="AR19" i="36" s="1"/>
  <c r="AS19" i="36" s="1"/>
  <c r="AN8" i="36"/>
  <c r="AD8" i="36"/>
  <c r="AM8" i="36" s="1"/>
  <c r="AN5" i="36"/>
  <c r="AD5" i="36"/>
  <c r="AM5" i="36" s="1"/>
  <c r="AN21" i="36"/>
  <c r="AD21" i="36"/>
  <c r="AM21" i="36" s="1"/>
  <c r="AR21" i="36" s="1"/>
  <c r="AS21" i="36" s="1"/>
  <c r="AN18" i="36"/>
  <c r="AD18" i="36"/>
  <c r="AM18" i="36" s="1"/>
  <c r="AR18" i="36" s="1"/>
  <c r="AS18" i="36" s="1"/>
  <c r="AC6" i="14"/>
  <c r="AC14" i="14"/>
  <c r="AC4" i="14"/>
  <c r="AC8" i="14"/>
  <c r="AC16" i="14"/>
  <c r="BT5" i="27"/>
  <c r="P4" i="9" s="1"/>
  <c r="AC12" i="14"/>
  <c r="AC20" i="14"/>
  <c r="BS4" i="28"/>
  <c r="Q3" i="9" s="1"/>
  <c r="BS8" i="28"/>
  <c r="Q7" i="9" s="1"/>
  <c r="BS4" i="33"/>
  <c r="W3" i="9" s="1"/>
  <c r="BS7" i="33"/>
  <c r="W6" i="9" s="1"/>
  <c r="BQ5" i="32"/>
  <c r="V4" i="9" s="1"/>
  <c r="BQ6" i="32"/>
  <c r="V5" i="9" s="1"/>
  <c r="BS8" i="30"/>
  <c r="T7" i="9" s="1"/>
  <c r="BP4" i="29"/>
  <c r="S3" i="9" s="1"/>
  <c r="BP7" i="29"/>
  <c r="S6" i="9" s="1"/>
  <c r="BS5" i="33"/>
  <c r="W4" i="9" s="1"/>
  <c r="BS4" i="30"/>
  <c r="T3" i="9" s="1"/>
  <c r="BS6" i="33"/>
  <c r="W5" i="9" s="1"/>
  <c r="BS8" i="31"/>
  <c r="U7" i="9" s="1"/>
  <c r="BS7" i="30"/>
  <c r="T6" i="9" s="1"/>
  <c r="BS5" i="30"/>
  <c r="T4" i="9" s="1"/>
  <c r="BS4" i="31"/>
  <c r="U3" i="9" s="1"/>
  <c r="BS6" i="30"/>
  <c r="T5" i="9" s="1"/>
  <c r="BQ8" i="32"/>
  <c r="V7" i="9" s="1"/>
  <c r="BS7" i="31"/>
  <c r="U6" i="9" s="1"/>
  <c r="BS5" i="31"/>
  <c r="U4" i="9" s="1"/>
  <c r="BQ4" i="32"/>
  <c r="V3" i="9" s="1"/>
  <c r="BS6" i="31"/>
  <c r="U5" i="9" s="1"/>
  <c r="BS8" i="33"/>
  <c r="W7" i="9" s="1"/>
  <c r="BQ7" i="32"/>
  <c r="V6" i="9" s="1"/>
  <c r="AF5" i="11"/>
  <c r="AF3" i="11"/>
  <c r="H12" i="56" s="1"/>
  <c r="AF19" i="11"/>
  <c r="AF10" i="11"/>
  <c r="AF18" i="11"/>
  <c r="AF14" i="11"/>
  <c r="AF15" i="11"/>
  <c r="AF6" i="11"/>
  <c r="AF20" i="11"/>
  <c r="AF17" i="11"/>
  <c r="AF11" i="11"/>
  <c r="AF4" i="11"/>
  <c r="AF16" i="11"/>
  <c r="AF13" i="11"/>
  <c r="AF7" i="11"/>
  <c r="AF12" i="11"/>
  <c r="AF8" i="11"/>
  <c r="AF9" i="11"/>
  <c r="AP4" i="11"/>
  <c r="AP5" i="11"/>
  <c r="AP6" i="11"/>
  <c r="AP7" i="11"/>
  <c r="AP8" i="11"/>
  <c r="AO5" i="11"/>
  <c r="AO6" i="11"/>
  <c r="AO7" i="11"/>
  <c r="AO8" i="11"/>
  <c r="AO4" i="11"/>
  <c r="AP10" i="36" l="1"/>
  <c r="AQ10" i="36" s="1"/>
  <c r="AR10" i="36" s="1"/>
  <c r="AS10" i="36" s="1"/>
  <c r="AP8" i="36"/>
  <c r="AQ8" i="36" s="1"/>
  <c r="AR8" i="36" s="1"/>
  <c r="AS8" i="36" s="1"/>
  <c r="AP6" i="36"/>
  <c r="AQ6" i="36" s="1"/>
  <c r="AR6" i="36" s="1"/>
  <c r="AS6" i="36" s="1"/>
  <c r="AR4" i="36"/>
  <c r="AS4" i="36" s="1"/>
  <c r="AP5" i="36"/>
  <c r="AQ5" i="36" s="1"/>
  <c r="AR5" i="36" s="1"/>
  <c r="AS5" i="36" s="1"/>
  <c r="QY7" i="3"/>
  <c r="RK7" i="3"/>
  <c r="RA23" i="3"/>
  <c r="RM23" i="3"/>
  <c r="RA21" i="3"/>
  <c r="RM21" i="3"/>
  <c r="RA19" i="3"/>
  <c r="RM19" i="3"/>
  <c r="RA17" i="3"/>
  <c r="RM17" i="3"/>
  <c r="RA15" i="3"/>
  <c r="RM15" i="3"/>
  <c r="RA13" i="3"/>
  <c r="RM13" i="3"/>
  <c r="RA11" i="3"/>
  <c r="RM11" i="3"/>
  <c r="RA9" i="3"/>
  <c r="RM9" i="3"/>
  <c r="RA24" i="3"/>
  <c r="RM24" i="3"/>
  <c r="RA22" i="3"/>
  <c r="RM22" i="3"/>
  <c r="RA20" i="3"/>
  <c r="RM20" i="3"/>
  <c r="RA18" i="3"/>
  <c r="RM18" i="3"/>
  <c r="RA16" i="3"/>
  <c r="RM16" i="3"/>
  <c r="RA14" i="3"/>
  <c r="RM14" i="3"/>
  <c r="RA12" i="3"/>
  <c r="RM12" i="3"/>
  <c r="RA10" i="3"/>
  <c r="RM10" i="3"/>
  <c r="RA8" i="3"/>
  <c r="RM8" i="3"/>
  <c r="QU7" i="3"/>
  <c r="RL7" i="3" s="1"/>
  <c r="BU24" i="3"/>
  <c r="BP22" i="3"/>
  <c r="BP18" i="3"/>
  <c r="BP23" i="3"/>
  <c r="BO22" i="3"/>
  <c r="BN21" i="3"/>
  <c r="BP19" i="3"/>
  <c r="BO18" i="3"/>
  <c r="BN17" i="3"/>
  <c r="BP15" i="3"/>
  <c r="BO14" i="3"/>
  <c r="BN13" i="3"/>
  <c r="BN7" i="3"/>
  <c r="NZ7" i="3" s="1"/>
  <c r="BO24" i="3"/>
  <c r="BN10" i="3"/>
  <c r="BP8" i="3"/>
  <c r="BO11" i="3"/>
  <c r="BO21" i="3"/>
  <c r="BN16" i="3"/>
  <c r="BO13" i="3"/>
  <c r="BN12" i="3"/>
  <c r="BP24" i="3"/>
  <c r="BN9" i="3"/>
  <c r="BP11" i="3"/>
  <c r="BO23" i="3"/>
  <c r="BN22" i="3"/>
  <c r="BP20" i="3"/>
  <c r="BO19" i="3"/>
  <c r="BN18" i="3"/>
  <c r="BP16" i="3"/>
  <c r="BO15" i="3"/>
  <c r="BN14" i="3"/>
  <c r="BP12" i="3"/>
  <c r="BO7" i="3"/>
  <c r="OA7" i="3" s="1"/>
  <c r="BN24" i="3"/>
  <c r="BP9" i="3"/>
  <c r="BO8" i="3"/>
  <c r="BN11" i="3"/>
  <c r="BN20" i="3"/>
  <c r="BO17" i="3"/>
  <c r="BP14" i="3"/>
  <c r="BO10" i="3"/>
  <c r="BN23" i="3"/>
  <c r="BP21" i="3"/>
  <c r="BO20" i="3"/>
  <c r="BN19" i="3"/>
  <c r="BP17" i="3"/>
  <c r="BO16" i="3"/>
  <c r="BU16" i="3"/>
  <c r="BN15" i="3"/>
  <c r="BP13" i="3"/>
  <c r="BO12" i="3"/>
  <c r="BP7" i="3"/>
  <c r="OB7" i="3" s="1"/>
  <c r="BP10" i="3"/>
  <c r="BO9" i="3"/>
  <c r="BN8" i="3"/>
  <c r="BU11" i="3"/>
  <c r="BU10" i="3"/>
  <c r="BU12" i="3"/>
  <c r="OC7" i="3"/>
  <c r="BU23" i="3"/>
  <c r="BU21" i="3"/>
  <c r="BU19" i="3"/>
  <c r="BU9" i="3"/>
  <c r="BU17" i="3"/>
  <c r="BU15" i="3"/>
  <c r="BU13" i="3"/>
  <c r="BU8" i="3"/>
  <c r="E4" i="9" s="1"/>
  <c r="BU7" i="3"/>
  <c r="NG7" i="3" s="1"/>
  <c r="BU22" i="3"/>
  <c r="BU20" i="3"/>
  <c r="BU18" i="3"/>
  <c r="BU14" i="3"/>
  <c r="AP7" i="36"/>
  <c r="AQ7" i="36" s="1"/>
  <c r="AR7" i="36" s="1"/>
  <c r="AS7" i="36" s="1"/>
  <c r="M20" i="11"/>
  <c r="L20" i="11"/>
  <c r="AM5" i="11"/>
  <c r="AN5" i="11"/>
  <c r="AQ5" i="11"/>
  <c r="AR5" i="11"/>
  <c r="AM6" i="11"/>
  <c r="AN6" i="11"/>
  <c r="AQ6" i="11"/>
  <c r="AR6" i="11"/>
  <c r="AM7" i="11"/>
  <c r="AN7" i="11"/>
  <c r="AQ7" i="11"/>
  <c r="AR7" i="11"/>
  <c r="AM8" i="11"/>
  <c r="AN8" i="11"/>
  <c r="AQ8" i="11"/>
  <c r="AR8" i="11"/>
  <c r="AN4" i="11"/>
  <c r="AQ4" i="11"/>
  <c r="AR4" i="11"/>
  <c r="AM4" i="11"/>
  <c r="E20" i="9" l="1"/>
  <c r="NG23" i="3"/>
  <c r="E19" i="9"/>
  <c r="NG16" i="3"/>
  <c r="E12" i="9"/>
  <c r="NG11" i="3"/>
  <c r="E7" i="9"/>
  <c r="NG18" i="3"/>
  <c r="E14" i="9"/>
  <c r="NG9" i="3"/>
  <c r="E5" i="9"/>
  <c r="NG20" i="3"/>
  <c r="E16" i="9"/>
  <c r="NG13" i="3"/>
  <c r="E9" i="9"/>
  <c r="NG19" i="3"/>
  <c r="E15" i="9"/>
  <c r="NG12" i="3"/>
  <c r="E8" i="9"/>
  <c r="NG14" i="3"/>
  <c r="E10" i="9"/>
  <c r="NG17" i="3"/>
  <c r="E13" i="9"/>
  <c r="NG22" i="3"/>
  <c r="E18" i="9"/>
  <c r="NG15" i="3"/>
  <c r="E11" i="9"/>
  <c r="NG21" i="3"/>
  <c r="E17" i="9"/>
  <c r="NG10" i="3"/>
  <c r="E6" i="9"/>
  <c r="NG8" i="3"/>
  <c r="RG7" i="3"/>
  <c r="RC7" i="3"/>
  <c r="RE10" i="3"/>
  <c r="RI10" i="3"/>
  <c r="RE14" i="3"/>
  <c r="RI14" i="3"/>
  <c r="RE18" i="3"/>
  <c r="RI18" i="3"/>
  <c r="RE22" i="3"/>
  <c r="RI22" i="3"/>
  <c r="RE9" i="3"/>
  <c r="RI9" i="3"/>
  <c r="RE13" i="3"/>
  <c r="RI13" i="3"/>
  <c r="RE17" i="3"/>
  <c r="RI17" i="3"/>
  <c r="RE21" i="3"/>
  <c r="RI21" i="3"/>
  <c r="RE8" i="3"/>
  <c r="RI8" i="3"/>
  <c r="RE12" i="3"/>
  <c r="RI12" i="3"/>
  <c r="RE16" i="3"/>
  <c r="RI16" i="3"/>
  <c r="RE20" i="3"/>
  <c r="RI20" i="3"/>
  <c r="RE24" i="3"/>
  <c r="RI24" i="3"/>
  <c r="RE11" i="3"/>
  <c r="RI11" i="3"/>
  <c r="RE15" i="3"/>
  <c r="RI15" i="3"/>
  <c r="RE19" i="3"/>
  <c r="RI19" i="3"/>
  <c r="RE23" i="3"/>
  <c r="RI23" i="3"/>
  <c r="QV7" i="3"/>
  <c r="QZ7" i="3"/>
  <c r="NN24" i="3"/>
  <c r="NN20" i="3"/>
  <c r="NN19" i="3"/>
  <c r="NN13" i="3"/>
  <c r="NN12" i="3"/>
  <c r="NN21" i="3"/>
  <c r="NN22" i="3"/>
  <c r="NN9" i="3"/>
  <c r="NN15" i="3"/>
  <c r="NN23" i="3"/>
  <c r="NN16" i="3"/>
  <c r="NN7" i="3"/>
  <c r="NN14" i="3"/>
  <c r="NN10" i="3"/>
  <c r="NN17" i="3"/>
  <c r="NN11" i="3"/>
  <c r="NN18" i="3"/>
  <c r="NN8" i="3"/>
  <c r="NG24" i="3"/>
  <c r="F3" i="9"/>
  <c r="AD5" i="14"/>
  <c r="AF5" i="14" s="1"/>
  <c r="AE5" i="14"/>
  <c r="AJ5" i="14"/>
  <c r="AK5" i="14" s="1"/>
  <c r="AM5" i="14"/>
  <c r="AR5" i="14"/>
  <c r="AT5" i="14"/>
  <c r="BI5" i="14" s="1"/>
  <c r="AU5" i="14"/>
  <c r="BJ5" i="14" s="1"/>
  <c r="AV5" i="14"/>
  <c r="BK5" i="14" s="1"/>
  <c r="AD6" i="14"/>
  <c r="AF6" i="14" s="1"/>
  <c r="AE6" i="14"/>
  <c r="AJ6" i="14"/>
  <c r="AK6" i="14" s="1"/>
  <c r="AM6" i="14"/>
  <c r="AR6" i="14"/>
  <c r="AT6" i="14"/>
  <c r="BI6" i="14" s="1"/>
  <c r="AU6" i="14"/>
  <c r="BJ6" i="14" s="1"/>
  <c r="AV6" i="14"/>
  <c r="BK6" i="14" s="1"/>
  <c r="AD7" i="14"/>
  <c r="AF7" i="14" s="1"/>
  <c r="AE7" i="14"/>
  <c r="AJ7" i="14"/>
  <c r="AK7" i="14" s="1"/>
  <c r="AM7" i="14"/>
  <c r="AR7" i="14"/>
  <c r="AT7" i="14"/>
  <c r="BI7" i="14" s="1"/>
  <c r="AU7" i="14"/>
  <c r="BJ7" i="14" s="1"/>
  <c r="AV7" i="14"/>
  <c r="BK7" i="14" s="1"/>
  <c r="AD8" i="14"/>
  <c r="AF8" i="14" s="1"/>
  <c r="AE8" i="14"/>
  <c r="AJ8" i="14"/>
  <c r="AK8" i="14" s="1"/>
  <c r="AM8" i="14"/>
  <c r="AR8" i="14"/>
  <c r="AT8" i="14"/>
  <c r="BI8" i="14" s="1"/>
  <c r="AU8" i="14"/>
  <c r="BJ8" i="14" s="1"/>
  <c r="AV8" i="14"/>
  <c r="BK8" i="14" s="1"/>
  <c r="AD9" i="14"/>
  <c r="AF9" i="14" s="1"/>
  <c r="AE9" i="14"/>
  <c r="AJ9" i="14"/>
  <c r="AK9" i="14" s="1"/>
  <c r="AM9" i="14"/>
  <c r="AR9" i="14"/>
  <c r="AT9" i="14"/>
  <c r="BI9" i="14" s="1"/>
  <c r="AU9" i="14"/>
  <c r="BJ9" i="14" s="1"/>
  <c r="AV9" i="14"/>
  <c r="BK9" i="14" s="1"/>
  <c r="AD10" i="14"/>
  <c r="AF10" i="14" s="1"/>
  <c r="AE10" i="14"/>
  <c r="AJ10" i="14"/>
  <c r="AK10" i="14" s="1"/>
  <c r="AM10" i="14"/>
  <c r="AR10" i="14"/>
  <c r="AT10" i="14"/>
  <c r="BI10" i="14" s="1"/>
  <c r="AU10" i="14"/>
  <c r="BJ10" i="14" s="1"/>
  <c r="AV10" i="14"/>
  <c r="BK10" i="14" s="1"/>
  <c r="AD11" i="14"/>
  <c r="AF11" i="14" s="1"/>
  <c r="AE11" i="14"/>
  <c r="AJ11" i="14"/>
  <c r="AK11" i="14" s="1"/>
  <c r="AM11" i="14"/>
  <c r="AR11" i="14"/>
  <c r="AT11" i="14"/>
  <c r="BI11" i="14" s="1"/>
  <c r="AU11" i="14"/>
  <c r="BJ11" i="14" s="1"/>
  <c r="AV11" i="14"/>
  <c r="BK11" i="14" s="1"/>
  <c r="AD12" i="14"/>
  <c r="AF12" i="14" s="1"/>
  <c r="AE12" i="14"/>
  <c r="AJ12" i="14"/>
  <c r="AK12" i="14" s="1"/>
  <c r="AM12" i="14"/>
  <c r="AR12" i="14"/>
  <c r="AT12" i="14"/>
  <c r="BI12" i="14" s="1"/>
  <c r="AU12" i="14"/>
  <c r="BJ12" i="14" s="1"/>
  <c r="AV12" i="14"/>
  <c r="BK12" i="14" s="1"/>
  <c r="AD13" i="14"/>
  <c r="AF13" i="14" s="1"/>
  <c r="AE13" i="14"/>
  <c r="AJ13" i="14"/>
  <c r="AK13" i="14" s="1"/>
  <c r="AM13" i="14"/>
  <c r="AR13" i="14"/>
  <c r="AT13" i="14"/>
  <c r="BI13" i="14" s="1"/>
  <c r="AU13" i="14"/>
  <c r="BJ13" i="14" s="1"/>
  <c r="AV13" i="14"/>
  <c r="BK13" i="14" s="1"/>
  <c r="AD14" i="14"/>
  <c r="AF14" i="14" s="1"/>
  <c r="AE14" i="14"/>
  <c r="AJ14" i="14"/>
  <c r="AK14" i="14" s="1"/>
  <c r="AM14" i="14"/>
  <c r="AR14" i="14"/>
  <c r="AT14" i="14"/>
  <c r="BI14" i="14" s="1"/>
  <c r="AU14" i="14"/>
  <c r="BJ14" i="14" s="1"/>
  <c r="AV14" i="14"/>
  <c r="BK14" i="14" s="1"/>
  <c r="AD15" i="14"/>
  <c r="AF15" i="14" s="1"/>
  <c r="AE15" i="14"/>
  <c r="AJ15" i="14"/>
  <c r="AK15" i="14" s="1"/>
  <c r="AM15" i="14"/>
  <c r="AR15" i="14"/>
  <c r="AT15" i="14"/>
  <c r="BI15" i="14" s="1"/>
  <c r="AU15" i="14"/>
  <c r="BJ15" i="14" s="1"/>
  <c r="AV15" i="14"/>
  <c r="BK15" i="14" s="1"/>
  <c r="AD16" i="14"/>
  <c r="AF16" i="14" s="1"/>
  <c r="AE16" i="14"/>
  <c r="AJ16" i="14"/>
  <c r="AK16" i="14" s="1"/>
  <c r="AM16" i="14"/>
  <c r="AR16" i="14"/>
  <c r="AT16" i="14"/>
  <c r="BI16" i="14" s="1"/>
  <c r="AU16" i="14"/>
  <c r="BJ16" i="14" s="1"/>
  <c r="AV16" i="14"/>
  <c r="BK16" i="14" s="1"/>
  <c r="AD17" i="14"/>
  <c r="AF17" i="14" s="1"/>
  <c r="AE17" i="14"/>
  <c r="AJ17" i="14"/>
  <c r="AK17" i="14" s="1"/>
  <c r="AM17" i="14"/>
  <c r="AR17" i="14"/>
  <c r="AT17" i="14"/>
  <c r="BI17" i="14" s="1"/>
  <c r="AU17" i="14"/>
  <c r="BJ17" i="14" s="1"/>
  <c r="AV17" i="14"/>
  <c r="BK17" i="14" s="1"/>
  <c r="AD18" i="14"/>
  <c r="AF18" i="14" s="1"/>
  <c r="AE18" i="14"/>
  <c r="AJ18" i="14"/>
  <c r="AK18" i="14" s="1"/>
  <c r="AM18" i="14"/>
  <c r="AR18" i="14"/>
  <c r="AT18" i="14"/>
  <c r="BI18" i="14" s="1"/>
  <c r="AU18" i="14"/>
  <c r="BJ18" i="14" s="1"/>
  <c r="AV18" i="14"/>
  <c r="BK18" i="14" s="1"/>
  <c r="AD19" i="14"/>
  <c r="AF19" i="14" s="1"/>
  <c r="AE19" i="14"/>
  <c r="AJ19" i="14"/>
  <c r="AK19" i="14" s="1"/>
  <c r="AM19" i="14"/>
  <c r="AR19" i="14"/>
  <c r="AT19" i="14"/>
  <c r="BI19" i="14" s="1"/>
  <c r="AU19" i="14"/>
  <c r="BJ19" i="14" s="1"/>
  <c r="AV19" i="14"/>
  <c r="BK19" i="14" s="1"/>
  <c r="AD20" i="14"/>
  <c r="AF20" i="14" s="1"/>
  <c r="AE20" i="14"/>
  <c r="AJ20" i="14"/>
  <c r="AK20" i="14" s="1"/>
  <c r="AM20" i="14"/>
  <c r="AR20" i="14"/>
  <c r="AT20" i="14"/>
  <c r="BI20" i="14" s="1"/>
  <c r="AU20" i="14"/>
  <c r="BJ20" i="14" s="1"/>
  <c r="AV20" i="14"/>
  <c r="BK20" i="14" s="1"/>
  <c r="AD21" i="14"/>
  <c r="AF21" i="14" s="1"/>
  <c r="AE21" i="14"/>
  <c r="AJ21" i="14"/>
  <c r="AK21" i="14" s="1"/>
  <c r="AM21" i="14"/>
  <c r="AR21" i="14"/>
  <c r="AT21" i="14"/>
  <c r="BI21" i="14" s="1"/>
  <c r="AU21" i="14"/>
  <c r="BJ21" i="14" s="1"/>
  <c r="AV21" i="14"/>
  <c r="BK21" i="14" s="1"/>
  <c r="RU11" i="3" l="1"/>
  <c r="RY11" i="3" s="1"/>
  <c r="SC11" i="3" s="1"/>
  <c r="SG11" i="3"/>
  <c r="SK11" i="3" s="1"/>
  <c r="RU12" i="3"/>
  <c r="RY12" i="3" s="1"/>
  <c r="SC12" i="3" s="1"/>
  <c r="SG12" i="3"/>
  <c r="SK12" i="3" s="1"/>
  <c r="RU22" i="3"/>
  <c r="RY22" i="3" s="1"/>
  <c r="SC22" i="3" s="1"/>
  <c r="SG22" i="3"/>
  <c r="SK22" i="3" s="1"/>
  <c r="RU19" i="3"/>
  <c r="RY19" i="3" s="1"/>
  <c r="SC19" i="3" s="1"/>
  <c r="SG19" i="3"/>
  <c r="SK19" i="3" s="1"/>
  <c r="RU20" i="3"/>
  <c r="RY20" i="3" s="1"/>
  <c r="SC20" i="3" s="1"/>
  <c r="SG20" i="3"/>
  <c r="SK20" i="3" s="1"/>
  <c r="RU13" i="3"/>
  <c r="RY13" i="3" s="1"/>
  <c r="SC13" i="3" s="1"/>
  <c r="SG13" i="3"/>
  <c r="SK13" i="3" s="1"/>
  <c r="RU14" i="3"/>
  <c r="RY14" i="3" s="1"/>
  <c r="SC14" i="3" s="1"/>
  <c r="SG14" i="3"/>
  <c r="SK14" i="3" s="1"/>
  <c r="RU23" i="3"/>
  <c r="RY23" i="3" s="1"/>
  <c r="SC23" i="3" s="1"/>
  <c r="SG23" i="3"/>
  <c r="SK23" i="3" s="1"/>
  <c r="RU15" i="3"/>
  <c r="RY15" i="3" s="1"/>
  <c r="SC15" i="3" s="1"/>
  <c r="SG15" i="3"/>
  <c r="SK15" i="3" s="1"/>
  <c r="RU24" i="3"/>
  <c r="RY24" i="3" s="1"/>
  <c r="SC24" i="3" s="1"/>
  <c r="SG24" i="3"/>
  <c r="SK24" i="3" s="1"/>
  <c r="RU16" i="3"/>
  <c r="RY16" i="3" s="1"/>
  <c r="SC16" i="3" s="1"/>
  <c r="SG16" i="3"/>
  <c r="SK16" i="3" s="1"/>
  <c r="RU8" i="3"/>
  <c r="RY8" i="3" s="1"/>
  <c r="SC8" i="3" s="1"/>
  <c r="SG8" i="3"/>
  <c r="SK8" i="3" s="1"/>
  <c r="RU17" i="3"/>
  <c r="RY17" i="3" s="1"/>
  <c r="SC17" i="3" s="1"/>
  <c r="SG17" i="3"/>
  <c r="SK17" i="3" s="1"/>
  <c r="RU9" i="3"/>
  <c r="RY9" i="3" s="1"/>
  <c r="SC9" i="3" s="1"/>
  <c r="SG9" i="3"/>
  <c r="SK9" i="3" s="1"/>
  <c r="RU18" i="3"/>
  <c r="RY18" i="3" s="1"/>
  <c r="SC18" i="3" s="1"/>
  <c r="SG18" i="3"/>
  <c r="SK18" i="3" s="1"/>
  <c r="RU10" i="3"/>
  <c r="RY10" i="3" s="1"/>
  <c r="SC10" i="3" s="1"/>
  <c r="SG10" i="3"/>
  <c r="SK10" i="3" s="1"/>
  <c r="RU21" i="3"/>
  <c r="RY21" i="3" s="1"/>
  <c r="SC21" i="3" s="1"/>
  <c r="SG21" i="3"/>
  <c r="SK21" i="3" s="1"/>
  <c r="RS7" i="3"/>
  <c r="RW7" i="3" s="1"/>
  <c r="SA7" i="3" s="1"/>
  <c r="SE7" i="3"/>
  <c r="SI7" i="3" s="1"/>
  <c r="RD7" i="3"/>
  <c r="RH7" i="3"/>
  <c r="RA7" i="3"/>
  <c r="RM7" i="3"/>
  <c r="AG21" i="14"/>
  <c r="AH21" i="14" s="1"/>
  <c r="AI21" i="14" s="1"/>
  <c r="AG8" i="14"/>
  <c r="AH8" i="14" s="1"/>
  <c r="AI8" i="14" s="1"/>
  <c r="AG15" i="14"/>
  <c r="AH15" i="14" s="1"/>
  <c r="AI15" i="14" s="1"/>
  <c r="AG11" i="14"/>
  <c r="AH11" i="14" s="1"/>
  <c r="AI11" i="14" s="1"/>
  <c r="AG7" i="14"/>
  <c r="AH7" i="14" s="1"/>
  <c r="AI7" i="14" s="1"/>
  <c r="AG20" i="14"/>
  <c r="AH20" i="14" s="1"/>
  <c r="AI20" i="14" s="1"/>
  <c r="AG16" i="14"/>
  <c r="AH16" i="14" s="1"/>
  <c r="AI16" i="14" s="1"/>
  <c r="AG12" i="14"/>
  <c r="AH12" i="14" s="1"/>
  <c r="AI12" i="14" s="1"/>
  <c r="AG19" i="14"/>
  <c r="AH19" i="14" s="1"/>
  <c r="AI19" i="14" s="1"/>
  <c r="AG14" i="14"/>
  <c r="AH14" i="14" s="1"/>
  <c r="AI14" i="14" s="1"/>
  <c r="AG10" i="14"/>
  <c r="AH10" i="14" s="1"/>
  <c r="AI10" i="14" s="1"/>
  <c r="AG6" i="14"/>
  <c r="AH6" i="14" s="1"/>
  <c r="AI6" i="14" s="1"/>
  <c r="AN7" i="14"/>
  <c r="AO7" i="14" s="1"/>
  <c r="AP7" i="14" s="1"/>
  <c r="BM7" i="14"/>
  <c r="AN20" i="14"/>
  <c r="AO20" i="14" s="1"/>
  <c r="AP20" i="14" s="1"/>
  <c r="BL15" i="14"/>
  <c r="AN14" i="14"/>
  <c r="AO14" i="14" s="1"/>
  <c r="AP14" i="14" s="1"/>
  <c r="AN16" i="14"/>
  <c r="AO16" i="14" s="1"/>
  <c r="AP16" i="14" s="1"/>
  <c r="BN13" i="14"/>
  <c r="BL19" i="14"/>
  <c r="BN16" i="14"/>
  <c r="BN17" i="14"/>
  <c r="BL6" i="14"/>
  <c r="BM19" i="14"/>
  <c r="BN8" i="14"/>
  <c r="BL12" i="14"/>
  <c r="BM8" i="14"/>
  <c r="BM21" i="14"/>
  <c r="BM20" i="14"/>
  <c r="BN19" i="14"/>
  <c r="BL16" i="14"/>
  <c r="BL5" i="14"/>
  <c r="BL11" i="14"/>
  <c r="BN7" i="14"/>
  <c r="BM18" i="14"/>
  <c r="BM9" i="14"/>
  <c r="AG18" i="14"/>
  <c r="BN14" i="14"/>
  <c r="BM10" i="14"/>
  <c r="BM6" i="14"/>
  <c r="AN21" i="14"/>
  <c r="AO21" i="14" s="1"/>
  <c r="AP21" i="14" s="1"/>
  <c r="AN18" i="14"/>
  <c r="AO18" i="14" s="1"/>
  <c r="AP18" i="14" s="1"/>
  <c r="AN10" i="14"/>
  <c r="AO10" i="14" s="1"/>
  <c r="AP10" i="14" s="1"/>
  <c r="AN17" i="14"/>
  <c r="AO17" i="14" s="1"/>
  <c r="AP17" i="14" s="1"/>
  <c r="BL21" i="14"/>
  <c r="BN21" i="14"/>
  <c r="BN20" i="14"/>
  <c r="BL20" i="14"/>
  <c r="BL18" i="14"/>
  <c r="BM17" i="14"/>
  <c r="BM14" i="14"/>
  <c r="BM13" i="14"/>
  <c r="BM12" i="14"/>
  <c r="BN11" i="14"/>
  <c r="AN11" i="14"/>
  <c r="AO11" i="14" s="1"/>
  <c r="AP11" i="14" s="1"/>
  <c r="BL10" i="14"/>
  <c r="BL9" i="14"/>
  <c r="AG9" i="14"/>
  <c r="AN8" i="14"/>
  <c r="AO8" i="14" s="1"/>
  <c r="AP8" i="14" s="1"/>
  <c r="BN5" i="14"/>
  <c r="AN5" i="14"/>
  <c r="AO5" i="14" s="1"/>
  <c r="AP5" i="14" s="1"/>
  <c r="AG5" i="14"/>
  <c r="AN19" i="14"/>
  <c r="AO19" i="14" s="1"/>
  <c r="AP19" i="14" s="1"/>
  <c r="BL17" i="14"/>
  <c r="BM16" i="14"/>
  <c r="BN15" i="14"/>
  <c r="AN15" i="14"/>
  <c r="AO15" i="14" s="1"/>
  <c r="AP15" i="14" s="1"/>
  <c r="BL14" i="14"/>
  <c r="BL13" i="14"/>
  <c r="AG13" i="14"/>
  <c r="AH13" i="14" s="1"/>
  <c r="AN12" i="14"/>
  <c r="AO12" i="14" s="1"/>
  <c r="AP12" i="14" s="1"/>
  <c r="BM11" i="14"/>
  <c r="BN9" i="14"/>
  <c r="AN9" i="14"/>
  <c r="AO9" i="14" s="1"/>
  <c r="AP9" i="14" s="1"/>
  <c r="BN6" i="14"/>
  <c r="AN6" i="14"/>
  <c r="AO6" i="14" s="1"/>
  <c r="AP6" i="14" s="1"/>
  <c r="BN18" i="14"/>
  <c r="AG17" i="14"/>
  <c r="AH17" i="14" s="1"/>
  <c r="BM15" i="14"/>
  <c r="AN13" i="14"/>
  <c r="AO13" i="14" s="1"/>
  <c r="AP13" i="14" s="1"/>
  <c r="BN12" i="14"/>
  <c r="BN10" i="14"/>
  <c r="BL8" i="14"/>
  <c r="BL7" i="14"/>
  <c r="BM5" i="14"/>
  <c r="RT7" i="3" l="1"/>
  <c r="RX7" i="3" s="1"/>
  <c r="SB7" i="3" s="1"/>
  <c r="SF7" i="3"/>
  <c r="SJ7" i="3" s="1"/>
  <c r="RI7" i="3"/>
  <c r="RE7" i="3"/>
  <c r="AH5" i="14"/>
  <c r="AI5" i="14" s="1"/>
  <c r="AQ5" i="14" s="1"/>
  <c r="AI17" i="14"/>
  <c r="AQ17" i="14" s="1"/>
  <c r="AH18" i="14"/>
  <c r="AI18" i="14" s="1"/>
  <c r="AQ18" i="14" s="1"/>
  <c r="AI13" i="14"/>
  <c r="AQ13" i="14" s="1"/>
  <c r="AH9" i="14"/>
  <c r="AI9" i="14" s="1"/>
  <c r="AQ9" i="14" s="1"/>
  <c r="AQ15" i="14"/>
  <c r="AQ11" i="14"/>
  <c r="AQ16" i="14"/>
  <c r="AQ20" i="14"/>
  <c r="AQ8" i="14"/>
  <c r="AQ21" i="14"/>
  <c r="AQ6" i="14"/>
  <c r="AQ19" i="14"/>
  <c r="AQ12" i="14"/>
  <c r="AQ14" i="14"/>
  <c r="AQ10" i="14"/>
  <c r="AQ7" i="14"/>
  <c r="RU7" i="3" l="1"/>
  <c r="RY7" i="3" s="1"/>
  <c r="SC7" i="3" s="1"/>
  <c r="SG7" i="3"/>
  <c r="SK7" i="3" s="1"/>
  <c r="AV4" i="14"/>
  <c r="BK4" i="14" s="1"/>
  <c r="AU4" i="14"/>
  <c r="BJ4" i="14" s="1"/>
  <c r="AT4" i="14"/>
  <c r="BI4" i="14" s="1"/>
  <c r="AR4" i="14"/>
  <c r="BN4" i="14" l="1"/>
  <c r="BL4" i="14"/>
  <c r="BM4" i="14"/>
  <c r="AM4" i="14"/>
  <c r="AG6" i="12"/>
  <c r="AG7" i="12"/>
  <c r="AG8" i="12"/>
  <c r="AG9" i="12"/>
  <c r="AG10" i="12"/>
  <c r="AG11" i="12"/>
  <c r="AG12" i="12"/>
  <c r="AG13" i="12"/>
  <c r="AG14" i="12"/>
  <c r="AG15" i="12"/>
  <c r="AG16" i="12"/>
  <c r="AG17" i="12"/>
  <c r="AG18" i="12"/>
  <c r="AG19" i="12"/>
  <c r="AG20" i="12"/>
  <c r="AG21" i="12"/>
  <c r="AG22" i="12"/>
  <c r="AG5" i="12"/>
  <c r="AD4" i="14"/>
  <c r="AE4" i="14"/>
  <c r="AH17" i="12" l="1"/>
  <c r="AH9" i="12"/>
  <c r="AH16" i="12"/>
  <c r="AH12" i="12"/>
  <c r="AH8" i="12"/>
  <c r="AH20" i="12"/>
  <c r="AH19" i="12"/>
  <c r="AH15" i="12"/>
  <c r="AH11" i="12"/>
  <c r="AH7" i="12"/>
  <c r="AH21" i="12"/>
  <c r="AH13" i="12"/>
  <c r="AH22" i="12"/>
  <c r="AH18" i="12"/>
  <c r="AH14" i="12"/>
  <c r="AH10" i="12"/>
  <c r="AH6" i="12"/>
  <c r="AH5" i="12"/>
  <c r="AG4" i="14"/>
  <c r="AF4" i="14"/>
  <c r="AK4" i="14"/>
  <c r="AH4" i="14" l="1"/>
  <c r="AI4" i="14" s="1"/>
  <c r="AN4" i="14"/>
  <c r="AO4" i="14" l="1"/>
  <c r="AP4" i="14" s="1"/>
  <c r="AQ4" i="14" s="1"/>
  <c r="AB5" i="13"/>
  <c r="AB6" i="13"/>
  <c r="AB7" i="13"/>
  <c r="AB8" i="13"/>
  <c r="AB9" i="13"/>
  <c r="AB10" i="13"/>
  <c r="AB11" i="13"/>
  <c r="AB12" i="13"/>
  <c r="AB13" i="13"/>
  <c r="AB14" i="13"/>
  <c r="AB15" i="13"/>
  <c r="AB16" i="13"/>
  <c r="AB17" i="13"/>
  <c r="AB18" i="13"/>
  <c r="AB19" i="13"/>
  <c r="AB20" i="13"/>
  <c r="AB21" i="13"/>
  <c r="AB4" i="13"/>
  <c r="AF5" i="13" l="1"/>
  <c r="AE5" i="13" s="1"/>
  <c r="AD5" i="13" s="1"/>
  <c r="AC5" i="13" s="1"/>
  <c r="AF6" i="13"/>
  <c r="AE6" i="13" s="1"/>
  <c r="AD6" i="13" s="1"/>
  <c r="AC6" i="13" s="1"/>
  <c r="AF7" i="13"/>
  <c r="AE7" i="13" s="1"/>
  <c r="AD7" i="13" s="1"/>
  <c r="AC7" i="13" s="1"/>
  <c r="AF8" i="13"/>
  <c r="AE8" i="13" s="1"/>
  <c r="AD8" i="13" s="1"/>
  <c r="AC8" i="13" s="1"/>
  <c r="AF9" i="13"/>
  <c r="AE9" i="13" s="1"/>
  <c r="AD9" i="13" s="1"/>
  <c r="AC9" i="13" s="1"/>
  <c r="AF10" i="13"/>
  <c r="AE10" i="13" s="1"/>
  <c r="AD10" i="13" s="1"/>
  <c r="AC10" i="13" s="1"/>
  <c r="AF11" i="13"/>
  <c r="AE11" i="13" s="1"/>
  <c r="AD11" i="13" s="1"/>
  <c r="AC11" i="13" s="1"/>
  <c r="AF12" i="13"/>
  <c r="AE12" i="13" s="1"/>
  <c r="AD12" i="13" s="1"/>
  <c r="AC12" i="13" s="1"/>
  <c r="AF13" i="13"/>
  <c r="AE13" i="13" s="1"/>
  <c r="AD13" i="13" s="1"/>
  <c r="AC13" i="13" s="1"/>
  <c r="AF14" i="13"/>
  <c r="AE14" i="13" s="1"/>
  <c r="AD14" i="13" s="1"/>
  <c r="AC14" i="13" s="1"/>
  <c r="AF15" i="13"/>
  <c r="AE15" i="13" s="1"/>
  <c r="AD15" i="13" s="1"/>
  <c r="AC15" i="13" s="1"/>
  <c r="AF16" i="13"/>
  <c r="AE16" i="13" s="1"/>
  <c r="AD16" i="13" s="1"/>
  <c r="AC16" i="13" s="1"/>
  <c r="AF17" i="13"/>
  <c r="AE17" i="13" s="1"/>
  <c r="AD17" i="13" s="1"/>
  <c r="AC17" i="13" s="1"/>
  <c r="AF18" i="13"/>
  <c r="AE18" i="13" s="1"/>
  <c r="AD18" i="13" s="1"/>
  <c r="AC18" i="13" s="1"/>
  <c r="AF19" i="13"/>
  <c r="AE19" i="13" s="1"/>
  <c r="AD19" i="13" s="1"/>
  <c r="AC19" i="13" s="1"/>
  <c r="AF20" i="13"/>
  <c r="AE20" i="13" s="1"/>
  <c r="AD20" i="13" s="1"/>
  <c r="AC20" i="13" s="1"/>
  <c r="AF21" i="13"/>
  <c r="AE21" i="13" s="1"/>
  <c r="AD21" i="13" s="1"/>
  <c r="AC21" i="13" s="1"/>
  <c r="AF4" i="13"/>
  <c r="AE4" i="13" s="1"/>
  <c r="AD4" i="13" s="1"/>
  <c r="AC4" i="13" s="1"/>
  <c r="S4" i="13" s="1"/>
  <c r="AG4" i="13" s="1"/>
  <c r="AX4" i="13" l="1"/>
  <c r="BN4" i="13"/>
  <c r="BF4" i="13"/>
  <c r="AP4" i="13"/>
  <c r="BT4" i="13"/>
  <c r="BL4" i="13"/>
  <c r="BB4" i="13"/>
  <c r="AV4" i="13"/>
  <c r="BR4" i="13"/>
  <c r="BJ4" i="13"/>
  <c r="BD4" i="13"/>
  <c r="AR4" i="13"/>
  <c r="BP4" i="13"/>
  <c r="BH4" i="13"/>
  <c r="AZ4" i="13"/>
  <c r="AT4" i="13"/>
  <c r="T4" i="13"/>
  <c r="S21" i="13"/>
  <c r="T21" i="13"/>
  <c r="S15" i="13"/>
  <c r="T15" i="13"/>
  <c r="S20" i="13"/>
  <c r="T20" i="13"/>
  <c r="T16" i="13"/>
  <c r="S16" i="13"/>
  <c r="AS16" i="13" s="1"/>
  <c r="T12" i="13"/>
  <c r="S12" i="13"/>
  <c r="S8" i="13"/>
  <c r="T8" i="13"/>
  <c r="S7" i="13"/>
  <c r="T7" i="13"/>
  <c r="S18" i="13"/>
  <c r="T18" i="13"/>
  <c r="S14" i="13"/>
  <c r="T14" i="13"/>
  <c r="S10" i="13"/>
  <c r="T10" i="13"/>
  <c r="S6" i="13"/>
  <c r="T6" i="13"/>
  <c r="S19" i="13"/>
  <c r="T19" i="13"/>
  <c r="S11" i="13"/>
  <c r="T11" i="13"/>
  <c r="T17" i="13"/>
  <c r="S17" i="13"/>
  <c r="T13" i="13"/>
  <c r="S13" i="13"/>
  <c r="T9" i="13"/>
  <c r="S9" i="13"/>
  <c r="T5" i="13"/>
  <c r="DD13" i="10" s="1"/>
  <c r="S5" i="13"/>
  <c r="DC13" i="10" s="1"/>
  <c r="V21" i="13"/>
  <c r="U21" i="13"/>
  <c r="X21" i="13" s="1"/>
  <c r="V20" i="13"/>
  <c r="U20" i="13"/>
  <c r="X20" i="13" s="1"/>
  <c r="X19" i="13"/>
  <c r="V19" i="13"/>
  <c r="U19" i="13"/>
  <c r="W19" i="13" s="1"/>
  <c r="V18" i="13"/>
  <c r="U18" i="13"/>
  <c r="X18" i="13" s="1"/>
  <c r="V17" i="13"/>
  <c r="U17" i="13"/>
  <c r="X17" i="13" s="1"/>
  <c r="V16" i="13"/>
  <c r="U16" i="13"/>
  <c r="X16" i="13" s="1"/>
  <c r="X15" i="13"/>
  <c r="V15" i="13"/>
  <c r="U15" i="13"/>
  <c r="W15" i="13" s="1"/>
  <c r="V14" i="13"/>
  <c r="U14" i="13"/>
  <c r="X14" i="13" s="1"/>
  <c r="V13" i="13"/>
  <c r="U13" i="13"/>
  <c r="X13" i="13" s="1"/>
  <c r="V12" i="13"/>
  <c r="U12" i="13"/>
  <c r="X12" i="13" s="1"/>
  <c r="X11" i="13"/>
  <c r="V11" i="13"/>
  <c r="U11" i="13"/>
  <c r="W11" i="13" s="1"/>
  <c r="V10" i="13"/>
  <c r="U10" i="13"/>
  <c r="X10" i="13" s="1"/>
  <c r="V9" i="13"/>
  <c r="U9" i="13"/>
  <c r="X9" i="13" s="1"/>
  <c r="V8" i="13"/>
  <c r="U8" i="13"/>
  <c r="X8" i="13" s="1"/>
  <c r="X7" i="13"/>
  <c r="V7" i="13"/>
  <c r="U7" i="13"/>
  <c r="W7" i="13" s="1"/>
  <c r="V6" i="13"/>
  <c r="U6" i="13"/>
  <c r="X6" i="13" s="1"/>
  <c r="V5" i="13"/>
  <c r="U5" i="13"/>
  <c r="X5" i="13" s="1"/>
  <c r="V4" i="13"/>
  <c r="BM12" i="13" l="1"/>
  <c r="BQ12" i="13"/>
  <c r="BQ16" i="13"/>
  <c r="AS12" i="13"/>
  <c r="BA16" i="13"/>
  <c r="BR17" i="13"/>
  <c r="BJ17" i="13"/>
  <c r="BB17" i="13"/>
  <c r="AV17" i="13"/>
  <c r="AN17" i="13"/>
  <c r="BP17" i="13"/>
  <c r="BH17" i="13"/>
  <c r="AZ17" i="13"/>
  <c r="AT17" i="13"/>
  <c r="AL17" i="13"/>
  <c r="BN17" i="13"/>
  <c r="BF17" i="13"/>
  <c r="AX17" i="13"/>
  <c r="AR17" i="13"/>
  <c r="AJ17" i="13"/>
  <c r="BD17" i="13"/>
  <c r="BT17" i="13"/>
  <c r="AP17" i="13"/>
  <c r="AH17" i="13"/>
  <c r="BL17" i="13"/>
  <c r="BM16" i="13"/>
  <c r="BT18" i="13"/>
  <c r="BL18" i="13"/>
  <c r="BD18" i="13"/>
  <c r="AP18" i="13"/>
  <c r="AH18" i="13"/>
  <c r="BR18" i="13"/>
  <c r="BJ18" i="13"/>
  <c r="BB18" i="13"/>
  <c r="AV18" i="13"/>
  <c r="AN18" i="13"/>
  <c r="BP18" i="13"/>
  <c r="BH18" i="13"/>
  <c r="AZ18" i="13"/>
  <c r="AT18" i="13"/>
  <c r="AL18" i="13"/>
  <c r="BF18" i="13"/>
  <c r="AX18" i="13"/>
  <c r="AR18" i="13"/>
  <c r="AJ18" i="13"/>
  <c r="BN18" i="13"/>
  <c r="BR5" i="13"/>
  <c r="BJ5" i="13"/>
  <c r="BB5" i="13"/>
  <c r="AV5" i="13"/>
  <c r="AN5" i="13"/>
  <c r="BP5" i="13"/>
  <c r="BH5" i="13"/>
  <c r="AZ5" i="13"/>
  <c r="AT5" i="13"/>
  <c r="AL5" i="13"/>
  <c r="BN5" i="13"/>
  <c r="BF5" i="13"/>
  <c r="AX5" i="13"/>
  <c r="AR5" i="13"/>
  <c r="AJ5" i="13"/>
  <c r="BL5" i="13"/>
  <c r="AH5" i="13"/>
  <c r="BD5" i="13"/>
  <c r="BT5" i="13"/>
  <c r="AP5" i="13"/>
  <c r="BR13" i="13"/>
  <c r="BJ13" i="13"/>
  <c r="BB13" i="13"/>
  <c r="AV13" i="13"/>
  <c r="AN13" i="13"/>
  <c r="BP13" i="13"/>
  <c r="BH13" i="13"/>
  <c r="AZ13" i="13"/>
  <c r="AT13" i="13"/>
  <c r="AL13" i="13"/>
  <c r="BN13" i="13"/>
  <c r="BF13" i="13"/>
  <c r="AX13" i="13"/>
  <c r="AR13" i="13"/>
  <c r="AJ13" i="13"/>
  <c r="AH13" i="13"/>
  <c r="BT13" i="13"/>
  <c r="AP13" i="13"/>
  <c r="BL13" i="13"/>
  <c r="BD13" i="13"/>
  <c r="BP12" i="13"/>
  <c r="BH12" i="13"/>
  <c r="AZ12" i="13"/>
  <c r="AT12" i="13"/>
  <c r="AL12" i="13"/>
  <c r="BN12" i="13"/>
  <c r="BF12" i="13"/>
  <c r="AX12" i="13"/>
  <c r="AR12" i="13"/>
  <c r="BT12" i="13"/>
  <c r="BL12" i="13"/>
  <c r="BD12" i="13"/>
  <c r="AP12" i="13"/>
  <c r="AH12" i="13"/>
  <c r="AV12" i="13"/>
  <c r="BR12" i="13"/>
  <c r="AN12" i="13"/>
  <c r="BJ12" i="13"/>
  <c r="BB12" i="13"/>
  <c r="AJ12" i="13"/>
  <c r="BR9" i="13"/>
  <c r="BJ9" i="13"/>
  <c r="BB9" i="13"/>
  <c r="AV9" i="13"/>
  <c r="AN9" i="13"/>
  <c r="BP9" i="13"/>
  <c r="BH9" i="13"/>
  <c r="AZ9" i="13"/>
  <c r="AT9" i="13"/>
  <c r="AL9" i="13"/>
  <c r="BN9" i="13"/>
  <c r="BF9" i="13"/>
  <c r="AX9" i="13"/>
  <c r="AR9" i="13"/>
  <c r="AJ9" i="13"/>
  <c r="BT9" i="13"/>
  <c r="AP9" i="13"/>
  <c r="BL9" i="13"/>
  <c r="BD9" i="13"/>
  <c r="AH9" i="13"/>
  <c r="BP16" i="13"/>
  <c r="BH16" i="13"/>
  <c r="AZ16" i="13"/>
  <c r="AT16" i="13"/>
  <c r="AL16" i="13"/>
  <c r="BN16" i="13"/>
  <c r="BF16" i="13"/>
  <c r="AX16" i="13"/>
  <c r="AR16" i="13"/>
  <c r="BT16" i="13"/>
  <c r="BL16" i="13"/>
  <c r="BD16" i="13"/>
  <c r="AP16" i="13"/>
  <c r="AH16" i="13"/>
  <c r="BB16" i="13"/>
  <c r="AV16" i="13"/>
  <c r="AJ16" i="13"/>
  <c r="BR16" i="13"/>
  <c r="AN16" i="13"/>
  <c r="BJ16" i="13"/>
  <c r="BN19" i="13"/>
  <c r="BF19" i="13"/>
  <c r="AX19" i="13"/>
  <c r="AR19" i="13"/>
  <c r="AJ19" i="13"/>
  <c r="BT19" i="13"/>
  <c r="BL19" i="13"/>
  <c r="BD19" i="13"/>
  <c r="AP19" i="13"/>
  <c r="BR19" i="13"/>
  <c r="BJ19" i="13"/>
  <c r="BB19" i="13"/>
  <c r="AV19" i="13"/>
  <c r="AN19" i="13"/>
  <c r="BH19" i="13"/>
  <c r="AZ19" i="13"/>
  <c r="AT19" i="13"/>
  <c r="BP19" i="13"/>
  <c r="AL19" i="13"/>
  <c r="AH19" i="13"/>
  <c r="BT10" i="13"/>
  <c r="BL10" i="13"/>
  <c r="BD10" i="13"/>
  <c r="AP10" i="13"/>
  <c r="AH10" i="13"/>
  <c r="BR10" i="13"/>
  <c r="BJ10" i="13"/>
  <c r="BB10" i="13"/>
  <c r="AV10" i="13"/>
  <c r="AN10" i="13"/>
  <c r="BP10" i="13"/>
  <c r="BH10" i="13"/>
  <c r="AZ10" i="13"/>
  <c r="AT10" i="13"/>
  <c r="AL10" i="13"/>
  <c r="AR10" i="13"/>
  <c r="BN10" i="13"/>
  <c r="BF10" i="13"/>
  <c r="AJ10" i="13"/>
  <c r="AX10" i="13"/>
  <c r="BP8" i="13"/>
  <c r="BH8" i="13"/>
  <c r="AZ8" i="13"/>
  <c r="AT8" i="13"/>
  <c r="AL8" i="13"/>
  <c r="BN8" i="13"/>
  <c r="BF8" i="13"/>
  <c r="AX8" i="13"/>
  <c r="AR8" i="13"/>
  <c r="BT8" i="13"/>
  <c r="BL8" i="13"/>
  <c r="BD8" i="13"/>
  <c r="AP8" i="13"/>
  <c r="AH8" i="13"/>
  <c r="BR8" i="13"/>
  <c r="AN8" i="13"/>
  <c r="BJ8" i="13"/>
  <c r="AJ8" i="13"/>
  <c r="BB8" i="13"/>
  <c r="AV8" i="13"/>
  <c r="BN15" i="13"/>
  <c r="BF15" i="13"/>
  <c r="AX15" i="13"/>
  <c r="AR15" i="13"/>
  <c r="AJ15" i="13"/>
  <c r="BT15" i="13"/>
  <c r="BL15" i="13"/>
  <c r="BD15" i="13"/>
  <c r="AP15" i="13"/>
  <c r="BR15" i="13"/>
  <c r="BJ15" i="13"/>
  <c r="BB15" i="13"/>
  <c r="AV15" i="13"/>
  <c r="AN15" i="13"/>
  <c r="AZ15" i="13"/>
  <c r="AT15" i="13"/>
  <c r="AH15" i="13"/>
  <c r="BP15" i="13"/>
  <c r="AL15" i="13"/>
  <c r="BH15" i="13"/>
  <c r="AG16" i="13"/>
  <c r="BN11" i="13"/>
  <c r="BF11" i="13"/>
  <c r="AX11" i="13"/>
  <c r="AR11" i="13"/>
  <c r="AJ11" i="13"/>
  <c r="BT11" i="13"/>
  <c r="BL11" i="13"/>
  <c r="BD11" i="13"/>
  <c r="AP11" i="13"/>
  <c r="BR11" i="13"/>
  <c r="BJ11" i="13"/>
  <c r="BB11" i="13"/>
  <c r="AV11" i="13"/>
  <c r="AN11" i="13"/>
  <c r="AT11" i="13"/>
  <c r="BP11" i="13"/>
  <c r="AL11" i="13"/>
  <c r="BH11" i="13"/>
  <c r="AZ11" i="13"/>
  <c r="AH11" i="13"/>
  <c r="BT6" i="13"/>
  <c r="BL6" i="13"/>
  <c r="BD6" i="13"/>
  <c r="AP6" i="13"/>
  <c r="AH6" i="13"/>
  <c r="BR6" i="13"/>
  <c r="BJ6" i="13"/>
  <c r="BB6" i="13"/>
  <c r="AV6" i="13"/>
  <c r="AN6" i="13"/>
  <c r="BP6" i="13"/>
  <c r="BH6" i="13"/>
  <c r="AZ6" i="13"/>
  <c r="AT6" i="13"/>
  <c r="AL6" i="13"/>
  <c r="BN6" i="13"/>
  <c r="AJ6" i="13"/>
  <c r="BF6" i="13"/>
  <c r="AX6" i="13"/>
  <c r="AR6" i="13"/>
  <c r="BT14" i="13"/>
  <c r="BL14" i="13"/>
  <c r="BD14" i="13"/>
  <c r="AP14" i="13"/>
  <c r="AH14" i="13"/>
  <c r="BR14" i="13"/>
  <c r="BJ14" i="13"/>
  <c r="BB14" i="13"/>
  <c r="AV14" i="13"/>
  <c r="AN14" i="13"/>
  <c r="BP14" i="13"/>
  <c r="BH14" i="13"/>
  <c r="AZ14" i="13"/>
  <c r="AT14" i="13"/>
  <c r="AL14" i="13"/>
  <c r="AX14" i="13"/>
  <c r="AJ14" i="13"/>
  <c r="AR14" i="13"/>
  <c r="BN14" i="13"/>
  <c r="BF14" i="13"/>
  <c r="BN7" i="13"/>
  <c r="BF7" i="13"/>
  <c r="AX7" i="13"/>
  <c r="AR7" i="13"/>
  <c r="AJ7" i="13"/>
  <c r="BT7" i="13"/>
  <c r="BL7" i="13"/>
  <c r="BD7" i="13"/>
  <c r="AP7" i="13"/>
  <c r="BR7" i="13"/>
  <c r="BJ7" i="13"/>
  <c r="BB7" i="13"/>
  <c r="AV7" i="13"/>
  <c r="AN7" i="13"/>
  <c r="BP7" i="13"/>
  <c r="AL7" i="13"/>
  <c r="BH7" i="13"/>
  <c r="AH7" i="13"/>
  <c r="AZ7" i="13"/>
  <c r="AT7" i="13"/>
  <c r="BP20" i="13"/>
  <c r="BH20" i="13"/>
  <c r="AZ20" i="13"/>
  <c r="AT20" i="13"/>
  <c r="AL20" i="13"/>
  <c r="BN20" i="13"/>
  <c r="BF20" i="13"/>
  <c r="AX20" i="13"/>
  <c r="AR20" i="13"/>
  <c r="BT20" i="13"/>
  <c r="BL20" i="13"/>
  <c r="BD20" i="13"/>
  <c r="AP20" i="13"/>
  <c r="AH20" i="13"/>
  <c r="BJ20" i="13"/>
  <c r="BB20" i="13"/>
  <c r="AV20" i="13"/>
  <c r="BR20" i="13"/>
  <c r="AN20" i="13"/>
  <c r="AJ20" i="13"/>
  <c r="BR21" i="13"/>
  <c r="BJ21" i="13"/>
  <c r="BB21" i="13"/>
  <c r="AV21" i="13"/>
  <c r="AN21" i="13"/>
  <c r="BP21" i="13"/>
  <c r="BH21" i="13"/>
  <c r="AZ21" i="13"/>
  <c r="AT21" i="13"/>
  <c r="AL21" i="13"/>
  <c r="BN21" i="13"/>
  <c r="BF21" i="13"/>
  <c r="AX21" i="13"/>
  <c r="AR21" i="13"/>
  <c r="AJ21" i="13"/>
  <c r="BL21" i="13"/>
  <c r="AH21" i="13"/>
  <c r="BD21" i="13"/>
  <c r="BT21" i="13"/>
  <c r="AP21" i="13"/>
  <c r="AN4" i="13"/>
  <c r="AJ4" i="13"/>
  <c r="AL4" i="13"/>
  <c r="BI4" i="13"/>
  <c r="AH4" i="13"/>
  <c r="BS4" i="13"/>
  <c r="BG4" i="13"/>
  <c r="AQ4" i="13"/>
  <c r="BK4" i="13"/>
  <c r="AU4" i="13"/>
  <c r="AI4" i="13"/>
  <c r="BO4" i="13"/>
  <c r="AY4" i="13"/>
  <c r="BC4" i="13"/>
  <c r="AS19" i="13"/>
  <c r="BK19" i="13"/>
  <c r="BG19" i="13"/>
  <c r="AU19" i="13"/>
  <c r="BS19" i="13"/>
  <c r="BO19" i="13"/>
  <c r="AY19" i="13"/>
  <c r="AI19" i="13"/>
  <c r="BC19" i="13"/>
  <c r="AQ19" i="13"/>
  <c r="BG18" i="13"/>
  <c r="BO18" i="13"/>
  <c r="BS18" i="13"/>
  <c r="BC18" i="13"/>
  <c r="AQ18" i="13"/>
  <c r="BK18" i="13"/>
  <c r="AI18" i="13"/>
  <c r="AU18" i="13"/>
  <c r="AY18" i="13"/>
  <c r="BS5" i="13"/>
  <c r="BO5" i="13"/>
  <c r="BG5" i="13"/>
  <c r="AU5" i="13"/>
  <c r="BC5" i="13"/>
  <c r="AQ5" i="13"/>
  <c r="BK5" i="13"/>
  <c r="AI5" i="13"/>
  <c r="BS13" i="13"/>
  <c r="AQ13" i="13"/>
  <c r="BO13" i="13"/>
  <c r="AY13" i="13"/>
  <c r="BG13" i="13"/>
  <c r="AU13" i="13"/>
  <c r="BC13" i="13"/>
  <c r="AI13" i="13"/>
  <c r="BK13" i="13"/>
  <c r="BE12" i="13"/>
  <c r="BK12" i="13"/>
  <c r="BS12" i="13"/>
  <c r="BC12" i="13"/>
  <c r="AQ12" i="13"/>
  <c r="BO12" i="13"/>
  <c r="AY12" i="13"/>
  <c r="AI12" i="13"/>
  <c r="AU12" i="13"/>
  <c r="BG12" i="13"/>
  <c r="BG11" i="13"/>
  <c r="AU11" i="13"/>
  <c r="BO11" i="13"/>
  <c r="AY11" i="13"/>
  <c r="BK11" i="13"/>
  <c r="AI11" i="13"/>
  <c r="BS11" i="13"/>
  <c r="AQ11" i="13"/>
  <c r="BC11" i="13"/>
  <c r="BS6" i="13"/>
  <c r="BC6" i="13"/>
  <c r="BK6" i="13"/>
  <c r="AI6" i="13"/>
  <c r="BG6" i="13"/>
  <c r="AU6" i="13"/>
  <c r="AQ6" i="13"/>
  <c r="BO6" i="13"/>
  <c r="AU14" i="13"/>
  <c r="BS14" i="13"/>
  <c r="BC14" i="13"/>
  <c r="BK14" i="13"/>
  <c r="AI14" i="13"/>
  <c r="BG14" i="13"/>
  <c r="AQ14" i="13"/>
  <c r="BO14" i="13"/>
  <c r="AY14" i="13"/>
  <c r="BI7" i="13"/>
  <c r="BS7" i="13"/>
  <c r="BG7" i="13"/>
  <c r="BO7" i="13"/>
  <c r="AY7" i="13"/>
  <c r="BK7" i="13"/>
  <c r="AI7" i="13"/>
  <c r="BC7" i="13"/>
  <c r="AQ7" i="13"/>
  <c r="BS21" i="13"/>
  <c r="BO21" i="13"/>
  <c r="BG21" i="13"/>
  <c r="AU21" i="13"/>
  <c r="BC21" i="13"/>
  <c r="AQ21" i="13"/>
  <c r="AY21" i="13"/>
  <c r="BK21" i="13"/>
  <c r="AI21" i="13"/>
  <c r="BO9" i="13"/>
  <c r="AY9" i="13"/>
  <c r="BG9" i="13"/>
  <c r="AU9" i="13"/>
  <c r="BS9" i="13"/>
  <c r="BC9" i="13"/>
  <c r="AQ9" i="13"/>
  <c r="BK9" i="13"/>
  <c r="AI9" i="13"/>
  <c r="BC17" i="13"/>
  <c r="BO17" i="13"/>
  <c r="AY17" i="13"/>
  <c r="BG17" i="13"/>
  <c r="AU17" i="13"/>
  <c r="BS17" i="13"/>
  <c r="AQ17" i="13"/>
  <c r="BK17" i="13"/>
  <c r="AI17" i="13"/>
  <c r="BI16" i="13"/>
  <c r="AY16" i="13"/>
  <c r="BK16" i="13"/>
  <c r="AI16" i="13"/>
  <c r="BS16" i="13"/>
  <c r="BC16" i="13"/>
  <c r="AQ16" i="13"/>
  <c r="BO16" i="13"/>
  <c r="BG16" i="13"/>
  <c r="AU16" i="13"/>
  <c r="AQ10" i="13"/>
  <c r="BO10" i="13"/>
  <c r="BS10" i="13"/>
  <c r="BC10" i="13"/>
  <c r="BK10" i="13"/>
  <c r="AI10" i="13"/>
  <c r="BG10" i="13"/>
  <c r="AU10" i="13"/>
  <c r="AY10" i="13"/>
  <c r="AG8" i="13"/>
  <c r="BK8" i="13"/>
  <c r="AI8" i="13"/>
  <c r="BS8" i="13"/>
  <c r="BC8" i="13"/>
  <c r="AQ8" i="13"/>
  <c r="BO8" i="13"/>
  <c r="AY8" i="13"/>
  <c r="BG8" i="13"/>
  <c r="AU8" i="13"/>
  <c r="BI15" i="13"/>
  <c r="AI15" i="13"/>
  <c r="BG15" i="13"/>
  <c r="BO15" i="13"/>
  <c r="AY15" i="13"/>
  <c r="BK15" i="13"/>
  <c r="AU15" i="13"/>
  <c r="BS15" i="13"/>
  <c r="BC15" i="13"/>
  <c r="AQ15" i="13"/>
  <c r="AG20" i="13"/>
  <c r="BO20" i="13"/>
  <c r="BK20" i="13"/>
  <c r="BS20" i="13"/>
  <c r="BC20" i="13"/>
  <c r="AQ20" i="13"/>
  <c r="AY20" i="13"/>
  <c r="AI20" i="13"/>
  <c r="BG20" i="13"/>
  <c r="AU20" i="13"/>
  <c r="BA8" i="13"/>
  <c r="AO15" i="13"/>
  <c r="AG12" i="13"/>
  <c r="BI19" i="13"/>
  <c r="BU8" i="13"/>
  <c r="BI12" i="13"/>
  <c r="BU19" i="13"/>
  <c r="BA12" i="13"/>
  <c r="BE15" i="13"/>
  <c r="AS21" i="13"/>
  <c r="BM21" i="13"/>
  <c r="BA21" i="13"/>
  <c r="BQ21" i="13"/>
  <c r="AO21" i="13"/>
  <c r="BI21" i="13"/>
  <c r="AG21" i="13"/>
  <c r="BE21" i="13"/>
  <c r="BU21" i="13"/>
  <c r="BE19" i="13"/>
  <c r="BM8" i="13"/>
  <c r="BU15" i="13"/>
  <c r="BQ8" i="13"/>
  <c r="BA20" i="13"/>
  <c r="BI8" i="13"/>
  <c r="BI20" i="13"/>
  <c r="AO19" i="13"/>
  <c r="BM20" i="13"/>
  <c r="BM5" i="13"/>
  <c r="BA5" i="13"/>
  <c r="BQ5" i="13"/>
  <c r="AG5" i="13"/>
  <c r="BU5" i="13"/>
  <c r="AO5" i="13"/>
  <c r="BI5" i="13"/>
  <c r="BE5" i="13"/>
  <c r="BA13" i="13"/>
  <c r="AS13" i="13"/>
  <c r="BM13" i="13"/>
  <c r="AG13" i="13"/>
  <c r="BE13" i="13"/>
  <c r="BU13" i="13"/>
  <c r="AO13" i="13"/>
  <c r="BI13" i="13"/>
  <c r="BQ13" i="13"/>
  <c r="AO12" i="13"/>
  <c r="BU12" i="13"/>
  <c r="BM11" i="13"/>
  <c r="BQ11" i="13"/>
  <c r="AG11" i="13"/>
  <c r="BA11" i="13"/>
  <c r="AG6" i="13"/>
  <c r="BE6" i="13"/>
  <c r="BU6" i="13"/>
  <c r="AO6" i="13"/>
  <c r="BI6" i="13"/>
  <c r="BM6" i="13"/>
  <c r="BA6" i="13"/>
  <c r="BQ6" i="13"/>
  <c r="BQ14" i="13"/>
  <c r="BI14" i="13"/>
  <c r="AG14" i="13"/>
  <c r="BE14" i="13"/>
  <c r="BU14" i="13"/>
  <c r="AO14" i="13"/>
  <c r="AS14" i="13"/>
  <c r="BM14" i="13"/>
  <c r="BA14" i="13"/>
  <c r="BM7" i="13"/>
  <c r="BQ7" i="13"/>
  <c r="AS7" i="13"/>
  <c r="BA7" i="13"/>
  <c r="AG7" i="13"/>
  <c r="BU20" i="13"/>
  <c r="AO20" i="13"/>
  <c r="BE7" i="13"/>
  <c r="BE11" i="13"/>
  <c r="AO11" i="13"/>
  <c r="BQ20" i="13"/>
  <c r="BE20" i="13"/>
  <c r="AS9" i="13"/>
  <c r="BM9" i="13"/>
  <c r="BA9" i="13"/>
  <c r="BQ9" i="13"/>
  <c r="AG9" i="13"/>
  <c r="BU9" i="13"/>
  <c r="AO9" i="13"/>
  <c r="BI9" i="13"/>
  <c r="BE9" i="13"/>
  <c r="AG17" i="13"/>
  <c r="AS17" i="13"/>
  <c r="AO17" i="13"/>
  <c r="BI17" i="13"/>
  <c r="BA17" i="13"/>
  <c r="BQ17" i="13"/>
  <c r="BE17" i="13"/>
  <c r="BU17" i="13"/>
  <c r="BM17" i="13"/>
  <c r="BU16" i="13"/>
  <c r="AO16" i="13"/>
  <c r="BE16" i="13"/>
  <c r="BU7" i="13"/>
  <c r="BU11" i="13"/>
  <c r="BI11" i="13"/>
  <c r="AO7" i="13"/>
  <c r="AS20" i="13"/>
  <c r="AS11" i="13"/>
  <c r="BA19" i="13"/>
  <c r="BM19" i="13"/>
  <c r="BQ19" i="13"/>
  <c r="AG19" i="13"/>
  <c r="BE10" i="13"/>
  <c r="AO10" i="13"/>
  <c r="BI10" i="13"/>
  <c r="BA10" i="13"/>
  <c r="BQ10" i="13"/>
  <c r="AG10" i="13"/>
  <c r="BU10" i="13"/>
  <c r="BM10" i="13"/>
  <c r="AS18" i="13"/>
  <c r="BE18" i="13"/>
  <c r="BQ18" i="13"/>
  <c r="AG18" i="13"/>
  <c r="AO18" i="13"/>
  <c r="BI18" i="13"/>
  <c r="BM18" i="13"/>
  <c r="BA18" i="13"/>
  <c r="BU18" i="13"/>
  <c r="BE8" i="13"/>
  <c r="AO8" i="13"/>
  <c r="BA15" i="13"/>
  <c r="BQ15" i="13"/>
  <c r="BM15" i="13"/>
  <c r="AG15" i="13"/>
  <c r="AS15" i="13"/>
  <c r="BU4" i="13"/>
  <c r="AO4" i="13"/>
  <c r="BM4" i="13"/>
  <c r="BE4" i="13"/>
  <c r="BA4" i="13"/>
  <c r="W8" i="13"/>
  <c r="Y8" i="13" s="1"/>
  <c r="Z8" i="13" s="1"/>
  <c r="BV8" i="13" s="1"/>
  <c r="W9" i="13"/>
  <c r="Y9" i="13" s="1"/>
  <c r="Z9" i="13" s="1"/>
  <c r="AK9" i="13" s="1"/>
  <c r="W14" i="13"/>
  <c r="Y14" i="13" s="1"/>
  <c r="Z14" i="13" s="1"/>
  <c r="BV14" i="13" s="1"/>
  <c r="W13" i="13"/>
  <c r="Y13" i="13" s="1"/>
  <c r="Z13" i="13" s="1"/>
  <c r="AK13" i="13" s="1"/>
  <c r="W20" i="13"/>
  <c r="Y20" i="13" s="1"/>
  <c r="Z20" i="13" s="1"/>
  <c r="AM20" i="13" s="1"/>
  <c r="W18" i="13"/>
  <c r="Y18" i="13" s="1"/>
  <c r="Z18" i="13" s="1"/>
  <c r="AK18" i="13" s="1"/>
  <c r="Y7" i="13"/>
  <c r="Z7" i="13" s="1"/>
  <c r="AK7" i="13" s="1"/>
  <c r="Y11" i="13"/>
  <c r="Z11" i="13" s="1"/>
  <c r="BV11" i="13" s="1"/>
  <c r="W6" i="13"/>
  <c r="Y6" i="13" s="1"/>
  <c r="Z6" i="13" s="1"/>
  <c r="AK6" i="13" s="1"/>
  <c r="W12" i="13"/>
  <c r="Y12" i="13" s="1"/>
  <c r="Z12" i="13" s="1"/>
  <c r="AK12" i="13" s="1"/>
  <c r="Y15" i="13"/>
  <c r="Z15" i="13" s="1"/>
  <c r="AK15" i="13" s="1"/>
  <c r="W17" i="13"/>
  <c r="Y17" i="13" s="1"/>
  <c r="Z17" i="13" s="1"/>
  <c r="AK17" i="13" s="1"/>
  <c r="W5" i="13"/>
  <c r="Y5" i="13" s="1"/>
  <c r="Z5" i="13" s="1"/>
  <c r="AK5" i="13" s="1"/>
  <c r="W10" i="13"/>
  <c r="Y10" i="13" s="1"/>
  <c r="Z10" i="13" s="1"/>
  <c r="AK10" i="13" s="1"/>
  <c r="W16" i="13"/>
  <c r="Y16" i="13" s="1"/>
  <c r="Z16" i="13" s="1"/>
  <c r="AK16" i="13" s="1"/>
  <c r="Y19" i="13"/>
  <c r="Z19" i="13" s="1"/>
  <c r="AK19" i="13" s="1"/>
  <c r="W21" i="13"/>
  <c r="Y21" i="13" s="1"/>
  <c r="Z21" i="13" s="1"/>
  <c r="AK21" i="13" s="1"/>
  <c r="U4" i="13"/>
  <c r="AS10" i="13" l="1"/>
  <c r="AS6" i="13"/>
  <c r="AS5" i="13"/>
  <c r="AS8" i="13"/>
  <c r="AY5" i="13"/>
  <c r="AY6" i="13"/>
  <c r="AU7" i="13"/>
  <c r="AM6" i="13"/>
  <c r="AM16" i="13"/>
  <c r="AM19" i="13"/>
  <c r="AM10" i="13"/>
  <c r="AM21" i="13"/>
  <c r="AM12" i="13"/>
  <c r="AM13" i="13"/>
  <c r="AM14" i="13"/>
  <c r="AM9" i="13"/>
  <c r="AM15" i="13"/>
  <c r="AM8" i="13"/>
  <c r="AM17" i="13"/>
  <c r="AM7" i="13"/>
  <c r="AM11" i="13"/>
  <c r="AM5" i="13"/>
  <c r="AM18" i="13"/>
  <c r="BV7" i="13"/>
  <c r="AK20" i="13"/>
  <c r="BV20" i="13"/>
  <c r="BV17" i="13"/>
  <c r="BV5" i="13"/>
  <c r="BV18" i="13"/>
  <c r="BV10" i="13"/>
  <c r="BV6" i="13"/>
  <c r="BV15" i="13"/>
  <c r="BV12" i="13"/>
  <c r="BV16" i="13"/>
  <c r="BV9" i="13"/>
  <c r="BV13" i="13"/>
  <c r="BV19" i="13"/>
  <c r="BV21" i="13"/>
  <c r="AW14" i="13"/>
  <c r="AK14" i="13"/>
  <c r="AW11" i="13"/>
  <c r="AK11" i="13"/>
  <c r="AW8" i="13"/>
  <c r="AK8" i="13"/>
  <c r="AW6" i="13"/>
  <c r="AW18" i="13"/>
  <c r="AW16" i="13"/>
  <c r="AW15" i="13"/>
  <c r="AW17" i="13"/>
  <c r="AW10" i="13"/>
  <c r="AW13" i="13"/>
  <c r="AW20" i="13"/>
  <c r="AW19" i="13"/>
  <c r="AW9" i="13"/>
  <c r="AW21" i="13"/>
  <c r="AW5" i="13"/>
  <c r="AW12" i="13"/>
  <c r="AW7" i="13"/>
  <c r="X4" i="13"/>
  <c r="W4" i="13"/>
  <c r="BW12" i="13" l="1"/>
  <c r="BW7" i="13"/>
  <c r="BX7" i="13" s="1"/>
  <c r="BX12" i="13"/>
  <c r="BW19" i="13"/>
  <c r="BW15" i="13"/>
  <c r="Y4" i="13"/>
  <c r="Z4" i="13" s="1"/>
  <c r="AW4" i="13" s="1"/>
  <c r="BW10" i="13"/>
  <c r="BW18" i="13"/>
  <c r="BW5" i="13"/>
  <c r="BW20" i="13"/>
  <c r="BW21" i="13"/>
  <c r="BX21" i="13" s="1"/>
  <c r="BW16" i="13"/>
  <c r="BW9" i="13"/>
  <c r="BW13" i="13"/>
  <c r="BW17" i="13"/>
  <c r="BW6" i="13"/>
  <c r="BW11" i="13"/>
  <c r="BQ4" i="13"/>
  <c r="BW8" i="13"/>
  <c r="BW14" i="13"/>
  <c r="AM6" i="12"/>
  <c r="AI22" i="12"/>
  <c r="AK22" i="12"/>
  <c r="AM22" i="12"/>
  <c r="AN22" i="12"/>
  <c r="AP22" i="12"/>
  <c r="AQ22" i="12"/>
  <c r="AR22" i="12"/>
  <c r="AI6" i="12"/>
  <c r="AK6" i="12"/>
  <c r="AN6" i="12"/>
  <c r="AP6" i="12"/>
  <c r="AQ6" i="12"/>
  <c r="AR6" i="12"/>
  <c r="AI7" i="12"/>
  <c r="AK7" i="12"/>
  <c r="AM7" i="12"/>
  <c r="AN7" i="12"/>
  <c r="AP7" i="12"/>
  <c r="AQ7" i="12"/>
  <c r="AR7" i="12"/>
  <c r="AI8" i="12"/>
  <c r="AK8" i="12"/>
  <c r="AM8" i="12"/>
  <c r="AN8" i="12"/>
  <c r="AP8" i="12"/>
  <c r="AQ8" i="12"/>
  <c r="AR8" i="12"/>
  <c r="AI9" i="12"/>
  <c r="AK9" i="12"/>
  <c r="AM9" i="12"/>
  <c r="AN9" i="12"/>
  <c r="AP9" i="12"/>
  <c r="AQ9" i="12"/>
  <c r="AR9" i="12"/>
  <c r="AI10" i="12"/>
  <c r="AK10" i="12"/>
  <c r="AM10" i="12"/>
  <c r="AN10" i="12"/>
  <c r="AP10" i="12"/>
  <c r="AQ10" i="12"/>
  <c r="AR10" i="12"/>
  <c r="AI11" i="12"/>
  <c r="AK11" i="12"/>
  <c r="AM11" i="12"/>
  <c r="AN11" i="12"/>
  <c r="AP11" i="12"/>
  <c r="AQ11" i="12"/>
  <c r="AR11" i="12"/>
  <c r="AI12" i="12"/>
  <c r="AK12" i="12"/>
  <c r="AM12" i="12"/>
  <c r="AN12" i="12"/>
  <c r="AP12" i="12"/>
  <c r="AQ12" i="12"/>
  <c r="AR12" i="12"/>
  <c r="AI13" i="12"/>
  <c r="AK13" i="12"/>
  <c r="AM13" i="12"/>
  <c r="AN13" i="12"/>
  <c r="AP13" i="12"/>
  <c r="AQ13" i="12"/>
  <c r="AR13" i="12"/>
  <c r="AI14" i="12"/>
  <c r="AK14" i="12"/>
  <c r="AM14" i="12"/>
  <c r="AN14" i="12"/>
  <c r="AP14" i="12"/>
  <c r="AQ14" i="12"/>
  <c r="AR14" i="12"/>
  <c r="AI15" i="12"/>
  <c r="AK15" i="12"/>
  <c r="AM15" i="12"/>
  <c r="AN15" i="12"/>
  <c r="AP15" i="12"/>
  <c r="AQ15" i="12"/>
  <c r="AR15" i="12"/>
  <c r="AI16" i="12"/>
  <c r="AK16" i="12"/>
  <c r="AM16" i="12"/>
  <c r="AN16" i="12"/>
  <c r="AP16" i="12"/>
  <c r="AQ16" i="12"/>
  <c r="AR16" i="12"/>
  <c r="AI17" i="12"/>
  <c r="AK17" i="12"/>
  <c r="AM17" i="12"/>
  <c r="AN17" i="12"/>
  <c r="AP17" i="12"/>
  <c r="AQ17" i="12"/>
  <c r="AR17" i="12"/>
  <c r="AI18" i="12"/>
  <c r="AK18" i="12"/>
  <c r="AM18" i="12"/>
  <c r="AN18" i="12"/>
  <c r="AP18" i="12"/>
  <c r="AQ18" i="12"/>
  <c r="AR18" i="12"/>
  <c r="AI19" i="12"/>
  <c r="AK19" i="12"/>
  <c r="AM19" i="12"/>
  <c r="AN19" i="12"/>
  <c r="AP19" i="12"/>
  <c r="AQ19" i="12"/>
  <c r="AR19" i="12"/>
  <c r="AI20" i="12"/>
  <c r="AK20" i="12"/>
  <c r="AM20" i="12"/>
  <c r="AN20" i="12"/>
  <c r="AP20" i="12"/>
  <c r="AQ20" i="12"/>
  <c r="AR20" i="12"/>
  <c r="AI21" i="12"/>
  <c r="AK21" i="12"/>
  <c r="AM21" i="12"/>
  <c r="AN21" i="12"/>
  <c r="AP21" i="12"/>
  <c r="AQ21" i="12"/>
  <c r="AR21" i="12"/>
  <c r="AR5" i="12"/>
  <c r="AQ5" i="12"/>
  <c r="AP5" i="12"/>
  <c r="AN5" i="12"/>
  <c r="AM5" i="12"/>
  <c r="AK5" i="12"/>
  <c r="AO21" i="12" l="1"/>
  <c r="AO9" i="12"/>
  <c r="AO17" i="12"/>
  <c r="AO13" i="12"/>
  <c r="AO14" i="12"/>
  <c r="AO19" i="12"/>
  <c r="AO15" i="12"/>
  <c r="AO11" i="12"/>
  <c r="AO7" i="12"/>
  <c r="AO18" i="12"/>
  <c r="AO10" i="12"/>
  <c r="AO20" i="12"/>
  <c r="AO16" i="12"/>
  <c r="AO8" i="12"/>
  <c r="AO22" i="12"/>
  <c r="AO12" i="12"/>
  <c r="AO6" i="12"/>
  <c r="AO5" i="12"/>
  <c r="AU19" i="36"/>
  <c r="BR19" i="36" s="1"/>
  <c r="AU17" i="36"/>
  <c r="BR17" i="36" s="1"/>
  <c r="AU15" i="36"/>
  <c r="BR15" i="36" s="1"/>
  <c r="AU13" i="36"/>
  <c r="BR13" i="36" s="1"/>
  <c r="AU9" i="36"/>
  <c r="BS9" i="36" s="1"/>
  <c r="AU7" i="36"/>
  <c r="BQ7" i="36" s="1"/>
  <c r="AU5" i="36"/>
  <c r="BR5" i="36" s="1"/>
  <c r="AU11" i="36"/>
  <c r="BR11" i="36" s="1"/>
  <c r="AU20" i="36"/>
  <c r="BS20" i="36" s="1"/>
  <c r="AU18" i="36"/>
  <c r="BS18" i="36" s="1"/>
  <c r="AU16" i="36"/>
  <c r="BS16" i="36" s="1"/>
  <c r="AU14" i="36"/>
  <c r="BQ14" i="36" s="1"/>
  <c r="AU12" i="36"/>
  <c r="BS12" i="36" s="1"/>
  <c r="AU10" i="36"/>
  <c r="BQ10" i="36" s="1"/>
  <c r="AU21" i="36"/>
  <c r="AU8" i="36"/>
  <c r="AU6" i="36"/>
  <c r="AU4" i="36"/>
  <c r="R6" i="9"/>
  <c r="AI6" i="9" s="1"/>
  <c r="AS4" i="13"/>
  <c r="AM4" i="13"/>
  <c r="BV4" i="13"/>
  <c r="BX13" i="13"/>
  <c r="BX8" i="13"/>
  <c r="BX17" i="13"/>
  <c r="BX10" i="13"/>
  <c r="BX20" i="13"/>
  <c r="BX11" i="13"/>
  <c r="BX9" i="13"/>
  <c r="BX5" i="13"/>
  <c r="BX15" i="13"/>
  <c r="BX14" i="13"/>
  <c r="BX6" i="13"/>
  <c r="BX16" i="13"/>
  <c r="BX18" i="13"/>
  <c r="BX19" i="13"/>
  <c r="BG21" i="12"/>
  <c r="BG19" i="12"/>
  <c r="BG17" i="12"/>
  <c r="BG16" i="12"/>
  <c r="BE7" i="12"/>
  <c r="BG22" i="12"/>
  <c r="BG5" i="12"/>
  <c r="BF21" i="12"/>
  <c r="BF20" i="12"/>
  <c r="BF19" i="12"/>
  <c r="BF18" i="12"/>
  <c r="BF17" i="12"/>
  <c r="BF16" i="12"/>
  <c r="BG15" i="12"/>
  <c r="BG14" i="12"/>
  <c r="BG13" i="12"/>
  <c r="BG12" i="12"/>
  <c r="BG11" i="12"/>
  <c r="BG10" i="12"/>
  <c r="BG9" i="12"/>
  <c r="BG8" i="12"/>
  <c r="BF22" i="12"/>
  <c r="BG20" i="12"/>
  <c r="BE18" i="12"/>
  <c r="BE17" i="12"/>
  <c r="BE16" i="12"/>
  <c r="BF15" i="12"/>
  <c r="BF14" i="12"/>
  <c r="BF13" i="12"/>
  <c r="BF12" i="12"/>
  <c r="BF11" i="12"/>
  <c r="BF10" i="12"/>
  <c r="BF9" i="12"/>
  <c r="BF8" i="12"/>
  <c r="BG7" i="12"/>
  <c r="BG6" i="12"/>
  <c r="BE22" i="12"/>
  <c r="BF5" i="12"/>
  <c r="BG18" i="12"/>
  <c r="BE6" i="12"/>
  <c r="BE21" i="12"/>
  <c r="BE20" i="12"/>
  <c r="BE19" i="12"/>
  <c r="BE5" i="12"/>
  <c r="BE15" i="12"/>
  <c r="BE14" i="12"/>
  <c r="BE13" i="12"/>
  <c r="BE12" i="12"/>
  <c r="BE11" i="12"/>
  <c r="BE10" i="12"/>
  <c r="BE9" i="12"/>
  <c r="BE8" i="12"/>
  <c r="BF7" i="12"/>
  <c r="BF6" i="12"/>
  <c r="AS18" i="14"/>
  <c r="BP18" i="14" s="1"/>
  <c r="AS17" i="14"/>
  <c r="BO17" i="14" s="1"/>
  <c r="AS16" i="14"/>
  <c r="BQ16" i="14" s="1"/>
  <c r="AS15" i="14"/>
  <c r="BQ15" i="14" s="1"/>
  <c r="AS20" i="14"/>
  <c r="BQ20" i="14" s="1"/>
  <c r="AS19" i="14"/>
  <c r="BP19" i="14" s="1"/>
  <c r="AS4" i="14"/>
  <c r="BP4" i="14" s="1"/>
  <c r="AS21" i="14"/>
  <c r="BP21" i="14" s="1"/>
  <c r="AS13" i="14"/>
  <c r="AS12" i="14"/>
  <c r="AS11" i="14"/>
  <c r="AS10" i="14"/>
  <c r="AS9" i="14"/>
  <c r="AS8" i="14"/>
  <c r="AS7" i="14"/>
  <c r="AS5" i="14"/>
  <c r="AS6" i="14"/>
  <c r="AS14" i="14"/>
  <c r="AJ19" i="12"/>
  <c r="AJ17" i="12"/>
  <c r="AJ16" i="12"/>
  <c r="AJ20" i="12"/>
  <c r="AJ9" i="12"/>
  <c r="AJ8" i="12"/>
  <c r="AJ22" i="12"/>
  <c r="AJ21" i="12"/>
  <c r="AJ15" i="12"/>
  <c r="AJ13" i="12"/>
  <c r="AJ11" i="12"/>
  <c r="AJ7" i="12"/>
  <c r="AJ18" i="12"/>
  <c r="AJ14" i="12"/>
  <c r="AJ10" i="12"/>
  <c r="AJ6" i="12"/>
  <c r="AJ12" i="12"/>
  <c r="BQ17" i="36" l="1"/>
  <c r="BS19" i="36"/>
  <c r="BQ19" i="36"/>
  <c r="BR20" i="36"/>
  <c r="BQ20" i="36"/>
  <c r="BQ18" i="36"/>
  <c r="BR7" i="36"/>
  <c r="BS7" i="36"/>
  <c r="BS10" i="36"/>
  <c r="BR10" i="36"/>
  <c r="BQ16" i="36"/>
  <c r="BS15" i="36"/>
  <c r="BR12" i="36"/>
  <c r="BQ9" i="36"/>
  <c r="BQ12" i="36"/>
  <c r="BR9" i="36"/>
  <c r="BR18" i="36"/>
  <c r="BS17" i="36"/>
  <c r="BS5" i="36"/>
  <c r="BS14" i="36"/>
  <c r="BR16" i="36"/>
  <c r="BQ15" i="36"/>
  <c r="BQ5" i="36"/>
  <c r="BS13" i="36"/>
  <c r="BQ11" i="36"/>
  <c r="BR14" i="36"/>
  <c r="BQ13" i="36"/>
  <c r="BS11" i="36"/>
  <c r="BQ4" i="36"/>
  <c r="BR4" i="36"/>
  <c r="BS4" i="36"/>
  <c r="BS6" i="36"/>
  <c r="BR6" i="36"/>
  <c r="BQ6" i="36"/>
  <c r="BS8" i="36"/>
  <c r="BR8" i="36"/>
  <c r="BQ8" i="36"/>
  <c r="BQ21" i="36"/>
  <c r="BR21" i="36"/>
  <c r="BS21" i="36"/>
  <c r="R7" i="9"/>
  <c r="AI7" i="9" s="1"/>
  <c r="R5" i="9"/>
  <c r="AI5" i="9" s="1"/>
  <c r="R4" i="9"/>
  <c r="AI4" i="9" s="1"/>
  <c r="AK4" i="13"/>
  <c r="BW4" i="13" s="1"/>
  <c r="BX4" i="13" s="1"/>
  <c r="BR4" i="24"/>
  <c r="BI6" i="12"/>
  <c r="BJ13" i="12"/>
  <c r="BH18" i="12"/>
  <c r="BI18" i="12"/>
  <c r="BI13" i="12"/>
  <c r="BI17" i="12"/>
  <c r="BH21" i="12"/>
  <c r="BH17" i="12"/>
  <c r="BH7" i="12"/>
  <c r="BI7" i="12"/>
  <c r="BJ18" i="12"/>
  <c r="BI10" i="12"/>
  <c r="BI14" i="12"/>
  <c r="BI5" i="12"/>
  <c r="BJ20" i="12"/>
  <c r="BJ16" i="12"/>
  <c r="BJ19" i="12"/>
  <c r="BI12" i="12"/>
  <c r="BH22" i="12"/>
  <c r="BJ11" i="12"/>
  <c r="BI15" i="12"/>
  <c r="BI19" i="12"/>
  <c r="BJ22" i="12"/>
  <c r="BJ17" i="12"/>
  <c r="BI8" i="12"/>
  <c r="BH5" i="12"/>
  <c r="BJ5" i="12"/>
  <c r="BH12" i="12"/>
  <c r="BJ7" i="12"/>
  <c r="BH15" i="12"/>
  <c r="BH9" i="12"/>
  <c r="BH13" i="12"/>
  <c r="BJ12" i="12"/>
  <c r="BI20" i="12"/>
  <c r="BJ21" i="12"/>
  <c r="BH16" i="12"/>
  <c r="BH8" i="12"/>
  <c r="BJ10" i="12"/>
  <c r="BH11" i="12"/>
  <c r="BI16" i="12"/>
  <c r="BI22" i="12"/>
  <c r="BH19" i="12"/>
  <c r="BJ15" i="12"/>
  <c r="BH14" i="12"/>
  <c r="BH20" i="12"/>
  <c r="BI11" i="12"/>
  <c r="BJ8" i="12"/>
  <c r="BJ14" i="12"/>
  <c r="BH10" i="12"/>
  <c r="BI21" i="12"/>
  <c r="BJ6" i="12"/>
  <c r="BH6" i="12"/>
  <c r="BI9" i="12"/>
  <c r="BJ9" i="12"/>
  <c r="BP16" i="14"/>
  <c r="BO20" i="14"/>
  <c r="BP17" i="14"/>
  <c r="BO18" i="14"/>
  <c r="BQ19" i="14"/>
  <c r="BO16" i="14"/>
  <c r="BQ18" i="14"/>
  <c r="BP20" i="14"/>
  <c r="BK20" i="12"/>
  <c r="BL13" i="12"/>
  <c r="BQ17" i="14"/>
  <c r="BO19" i="14"/>
  <c r="BO15" i="14"/>
  <c r="BP15" i="14"/>
  <c r="BK7" i="12"/>
  <c r="BO4" i="14"/>
  <c r="BQ4" i="14"/>
  <c r="BL10" i="12"/>
  <c r="BM18" i="12"/>
  <c r="BL20" i="12"/>
  <c r="BO21" i="14"/>
  <c r="BQ21" i="14"/>
  <c r="BL16" i="12"/>
  <c r="BK14" i="12"/>
  <c r="BM20" i="12"/>
  <c r="BO12" i="14"/>
  <c r="BP12" i="14"/>
  <c r="BQ12" i="14"/>
  <c r="BQ5" i="14"/>
  <c r="BO5" i="14"/>
  <c r="BP5" i="14"/>
  <c r="BL19" i="12"/>
  <c r="BP14" i="14"/>
  <c r="BQ14" i="14"/>
  <c r="BO14" i="14"/>
  <c r="BO7" i="14"/>
  <c r="BQ7" i="14"/>
  <c r="BP7" i="14"/>
  <c r="BO11" i="14"/>
  <c r="BP11" i="14"/>
  <c r="BQ11" i="14"/>
  <c r="BQ8" i="14"/>
  <c r="BO8" i="14"/>
  <c r="BP8" i="14"/>
  <c r="BP9" i="14"/>
  <c r="BQ9" i="14"/>
  <c r="BO9" i="14"/>
  <c r="BP13" i="14"/>
  <c r="BO13" i="14"/>
  <c r="BQ13" i="14"/>
  <c r="BO6" i="14"/>
  <c r="BP6" i="14"/>
  <c r="BQ6" i="14"/>
  <c r="BM9" i="12"/>
  <c r="BM15" i="12"/>
  <c r="BP10" i="14"/>
  <c r="BO10" i="14"/>
  <c r="BQ10" i="14"/>
  <c r="BL18" i="12"/>
  <c r="BK17" i="12"/>
  <c r="BM13" i="12"/>
  <c r="BL17" i="12"/>
  <c r="BM22" i="12"/>
  <c r="BK8" i="12"/>
  <c r="BL22" i="12"/>
  <c r="BK11" i="12"/>
  <c r="BM19" i="12"/>
  <c r="BL21" i="12"/>
  <c r="BK12" i="12"/>
  <c r="BL6" i="12"/>
  <c r="BK10" i="12"/>
  <c r="BM10" i="12"/>
  <c r="BL9" i="12"/>
  <c r="BK9" i="12"/>
  <c r="BL8" i="12"/>
  <c r="BM7" i="12"/>
  <c r="BL7" i="12"/>
  <c r="BK22" i="12"/>
  <c r="BM8" i="12"/>
  <c r="BM17" i="12"/>
  <c r="BK21" i="12"/>
  <c r="BM14" i="12"/>
  <c r="BL12" i="12"/>
  <c r="BK18" i="12"/>
  <c r="BM12" i="12"/>
  <c r="BM11" i="12"/>
  <c r="BL14" i="12"/>
  <c r="BK16" i="12"/>
  <c r="BK19" i="12"/>
  <c r="BK13" i="12"/>
  <c r="BM16" i="12"/>
  <c r="BL11" i="12"/>
  <c r="BM21" i="12"/>
  <c r="BM6" i="12"/>
  <c r="BK6" i="12"/>
  <c r="BL15" i="12"/>
  <c r="BK15" i="12"/>
  <c r="AI5" i="12"/>
  <c r="AJ5" i="12" s="1"/>
  <c r="BT17" i="36" l="1"/>
  <c r="BT18" i="36"/>
  <c r="BT19" i="36"/>
  <c r="BT20" i="36"/>
  <c r="BT7" i="36"/>
  <c r="Y6" i="9" s="1"/>
  <c r="BT10" i="36"/>
  <c r="BT16" i="36"/>
  <c r="BT5" i="36"/>
  <c r="Y4" i="9" s="1"/>
  <c r="BT12" i="36"/>
  <c r="BT13" i="36"/>
  <c r="BT14" i="36"/>
  <c r="BT15" i="36"/>
  <c r="BT9" i="36"/>
  <c r="BT11" i="36"/>
  <c r="BT4" i="36"/>
  <c r="Y3" i="9" s="1"/>
  <c r="BT8" i="36"/>
  <c r="Y7" i="9" s="1"/>
  <c r="BT6" i="36"/>
  <c r="Y5" i="9" s="1"/>
  <c r="BT21" i="36"/>
  <c r="BR21" i="14"/>
  <c r="R3" i="9"/>
  <c r="BS4" i="24"/>
  <c r="O3" i="9" s="1"/>
  <c r="BR12" i="14"/>
  <c r="BR4" i="14"/>
  <c r="BR10" i="14"/>
  <c r="BR13" i="14"/>
  <c r="BR15" i="14"/>
  <c r="BR18" i="14"/>
  <c r="BR17" i="14"/>
  <c r="BR7" i="14"/>
  <c r="BR19" i="14"/>
  <c r="BR6" i="14"/>
  <c r="BR9" i="14"/>
  <c r="BR8" i="14"/>
  <c r="BR11" i="14"/>
  <c r="BR14" i="14"/>
  <c r="BR5" i="14"/>
  <c r="BR16" i="14"/>
  <c r="BR20" i="14"/>
  <c r="BN20" i="12"/>
  <c r="BN13" i="12"/>
  <c r="BN18" i="12"/>
  <c r="BN17" i="12"/>
  <c r="BN14" i="12"/>
  <c r="BN21" i="12"/>
  <c r="BN22" i="12"/>
  <c r="BN19" i="12"/>
  <c r="BN16" i="12"/>
  <c r="BN11" i="12"/>
  <c r="BN9" i="12"/>
  <c r="BN10" i="12"/>
  <c r="BN7" i="12"/>
  <c r="BN12" i="12"/>
  <c r="BN8" i="12"/>
  <c r="BN15" i="12"/>
  <c r="BN6" i="12"/>
  <c r="BO22" i="12" l="1"/>
  <c r="M20" i="9" s="1"/>
  <c r="AH20" i="9" s="1"/>
  <c r="AN20" i="9" s="1"/>
  <c r="P20" i="11" s="1"/>
  <c r="BO9" i="12"/>
  <c r="M7" i="9" s="1"/>
  <c r="AH7" i="9" s="1"/>
  <c r="BO12" i="12"/>
  <c r="M10" i="9" s="1"/>
  <c r="AH10" i="9" s="1"/>
  <c r="AN10" i="9" s="1"/>
  <c r="P10" i="11" s="1"/>
  <c r="BO18" i="12"/>
  <c r="M16" i="9" s="1"/>
  <c r="AH16" i="9" s="1"/>
  <c r="AN16" i="9" s="1"/>
  <c r="P16" i="11" s="1"/>
  <c r="BO11" i="12"/>
  <c r="M9" i="9" s="1"/>
  <c r="AH9" i="9" s="1"/>
  <c r="AN9" i="9" s="1"/>
  <c r="P9" i="11" s="1"/>
  <c r="BO13" i="12"/>
  <c r="M11" i="9" s="1"/>
  <c r="AH11" i="9" s="1"/>
  <c r="AN11" i="9" s="1"/>
  <c r="P11" i="11" s="1"/>
  <c r="BO6" i="12"/>
  <c r="M4" i="9" s="1"/>
  <c r="AH4" i="9" s="1"/>
  <c r="BO16" i="12"/>
  <c r="M14" i="9" s="1"/>
  <c r="AH14" i="9" s="1"/>
  <c r="AN14" i="9" s="1"/>
  <c r="P14" i="11" s="1"/>
  <c r="BO20" i="12"/>
  <c r="M18" i="9" s="1"/>
  <c r="AH18" i="9" s="1"/>
  <c r="AN18" i="9" s="1"/>
  <c r="P18" i="11" s="1"/>
  <c r="BO21" i="12"/>
  <c r="M19" i="9" s="1"/>
  <c r="AH19" i="9" s="1"/>
  <c r="AN19" i="9" s="1"/>
  <c r="P19" i="11" s="1"/>
  <c r="BO7" i="12"/>
  <c r="M5" i="9" s="1"/>
  <c r="AH5" i="9" s="1"/>
  <c r="BO14" i="12"/>
  <c r="M12" i="9" s="1"/>
  <c r="AH12" i="9" s="1"/>
  <c r="AN12" i="9" s="1"/>
  <c r="P12" i="11" s="1"/>
  <c r="BO15" i="12"/>
  <c r="M13" i="9" s="1"/>
  <c r="AH13" i="9" s="1"/>
  <c r="AN13" i="9" s="1"/>
  <c r="P13" i="11" s="1"/>
  <c r="BO10" i="12"/>
  <c r="M8" i="9" s="1"/>
  <c r="AH8" i="9" s="1"/>
  <c r="AN8" i="9" s="1"/>
  <c r="P8" i="11" s="1"/>
  <c r="BO19" i="12"/>
  <c r="M17" i="9" s="1"/>
  <c r="AH17" i="9" s="1"/>
  <c r="AN17" i="9" s="1"/>
  <c r="P17" i="11" s="1"/>
  <c r="BO17" i="12"/>
  <c r="M15" i="9" s="1"/>
  <c r="AH15" i="9" s="1"/>
  <c r="AN15" i="9" s="1"/>
  <c r="P15" i="11" s="1"/>
  <c r="BO8" i="12"/>
  <c r="M6" i="9" s="1"/>
  <c r="AH6" i="9" s="1"/>
  <c r="X5" i="9"/>
  <c r="AJ5" i="9" s="1"/>
  <c r="X7" i="9"/>
  <c r="AJ7" i="9" s="1"/>
  <c r="X6" i="9"/>
  <c r="AJ6" i="9" s="1"/>
  <c r="X4" i="9"/>
  <c r="AJ4" i="9" s="1"/>
  <c r="X3" i="9"/>
  <c r="AJ3" i="9" s="1"/>
  <c r="AI3" i="9"/>
  <c r="BL5" i="12"/>
  <c r="BM5" i="12"/>
  <c r="BK5" i="12"/>
  <c r="Z20" i="11" l="1"/>
  <c r="Q20" i="11"/>
  <c r="H7" i="9"/>
  <c r="G7" i="9"/>
  <c r="I7" i="9"/>
  <c r="J7" i="9"/>
  <c r="I6" i="9"/>
  <c r="J6" i="9"/>
  <c r="G6" i="9"/>
  <c r="H6" i="9"/>
  <c r="J5" i="9"/>
  <c r="I5" i="9"/>
  <c r="G5" i="9"/>
  <c r="H5" i="9"/>
  <c r="J4" i="9"/>
  <c r="G4" i="9"/>
  <c r="I4" i="9"/>
  <c r="H4" i="9"/>
  <c r="H5" i="54"/>
  <c r="H6" i="54"/>
  <c r="I3" i="9"/>
  <c r="J3" i="9"/>
  <c r="H3" i="9"/>
  <c r="G3" i="9"/>
  <c r="Q11" i="11"/>
  <c r="Z11" i="11"/>
  <c r="Q10" i="11"/>
  <c r="Z10" i="11"/>
  <c r="Q18" i="11"/>
  <c r="Z18" i="11"/>
  <c r="Q14" i="11"/>
  <c r="Z14" i="11"/>
  <c r="Q15" i="11"/>
  <c r="Z15" i="11"/>
  <c r="Q8" i="11"/>
  <c r="Z8" i="11"/>
  <c r="Q17" i="11"/>
  <c r="Z17" i="11"/>
  <c r="Q16" i="11"/>
  <c r="Z16" i="11"/>
  <c r="Q19" i="11"/>
  <c r="Z19" i="11"/>
  <c r="Q13" i="11"/>
  <c r="Z13" i="11"/>
  <c r="Q12" i="11"/>
  <c r="Z12" i="11"/>
  <c r="Q9" i="11"/>
  <c r="Z9" i="11"/>
  <c r="BN5" i="12"/>
  <c r="BO5" i="12" s="1"/>
  <c r="M3" i="9" l="1"/>
  <c r="AH3" i="9" s="1"/>
  <c r="K7" i="9"/>
  <c r="L7" i="9" s="1"/>
  <c r="AN7" i="9" s="1"/>
  <c r="P7" i="11" s="1"/>
  <c r="K5" i="9"/>
  <c r="L5" i="9" s="1"/>
  <c r="AN5" i="9" s="1"/>
  <c r="P5" i="11" s="1"/>
  <c r="K3" i="9"/>
  <c r="L3" i="9" s="1"/>
  <c r="K6" i="9"/>
  <c r="L6" i="9" s="1"/>
  <c r="AN6" i="9" s="1"/>
  <c r="P6" i="11" s="1"/>
  <c r="K4" i="9"/>
  <c r="L4" i="9" s="1"/>
  <c r="H4" i="54" l="1"/>
  <c r="Q7" i="11"/>
  <c r="Z7" i="11"/>
  <c r="AS3" i="9"/>
  <c r="AN3" i="9"/>
  <c r="AN4" i="9"/>
  <c r="P4" i="11" s="1"/>
  <c r="Z5" i="11"/>
  <c r="Q5" i="11"/>
  <c r="Z6" i="11"/>
  <c r="Q6" i="11"/>
  <c r="H11" i="54" l="1"/>
  <c r="Q4" i="11"/>
  <c r="Z4" i="11"/>
  <c r="TK18" i="3"/>
  <c r="E3" i="9" l="1"/>
  <c r="AO18" i="9" l="1"/>
  <c r="R18" i="11" s="1"/>
  <c r="AO9" i="9"/>
  <c r="R9" i="11" s="1"/>
  <c r="AO17" i="9"/>
  <c r="R17" i="11" s="1"/>
  <c r="AO8" i="9"/>
  <c r="R8" i="11" s="1"/>
  <c r="AO4" i="9"/>
  <c r="R4" i="11" s="1"/>
  <c r="AO11" i="9"/>
  <c r="R11" i="11" s="1"/>
  <c r="AO16" i="9"/>
  <c r="R16" i="11" s="1"/>
  <c r="AO19" i="9"/>
  <c r="R19" i="11" s="1"/>
  <c r="AO6" i="9"/>
  <c r="R6" i="11" s="1"/>
  <c r="AO13" i="9"/>
  <c r="R13" i="11" s="1"/>
  <c r="AO7" i="9"/>
  <c r="R7" i="11" s="1"/>
  <c r="AO12" i="9"/>
  <c r="R12" i="11" s="1"/>
  <c r="AO10" i="9"/>
  <c r="R10" i="11" s="1"/>
  <c r="AO5" i="9"/>
  <c r="R5" i="11" s="1"/>
  <c r="AO14" i="9"/>
  <c r="R14" i="11" s="1"/>
  <c r="AO20" i="9"/>
  <c r="R20" i="11" s="1"/>
  <c r="AO15" i="9"/>
  <c r="R15" i="11" s="1"/>
  <c r="CE8" i="3"/>
  <c r="CE9" i="3"/>
  <c r="CE10" i="3"/>
  <c r="CE11" i="3"/>
  <c r="CE12" i="3"/>
  <c r="CE13" i="3"/>
  <c r="CE14" i="3"/>
  <c r="CE15" i="3"/>
  <c r="CE16" i="3"/>
  <c r="CE17" i="3"/>
  <c r="CE18" i="3"/>
  <c r="CE19" i="3"/>
  <c r="CE20" i="3"/>
  <c r="CE21" i="3"/>
  <c r="CE22" i="3"/>
  <c r="CE23" i="3"/>
  <c r="CE24" i="3"/>
  <c r="S20" i="11" l="1"/>
  <c r="S5" i="11"/>
  <c r="S13" i="11"/>
  <c r="S11" i="11"/>
  <c r="S15" i="11"/>
  <c r="S10" i="11"/>
  <c r="S6" i="11"/>
  <c r="S4" i="11"/>
  <c r="S18" i="11"/>
  <c r="S12" i="11"/>
  <c r="S19" i="11"/>
  <c r="S8" i="11"/>
  <c r="S14" i="11"/>
  <c r="S7" i="11"/>
  <c r="S16" i="11"/>
  <c r="S17" i="11"/>
  <c r="S9" i="11"/>
  <c r="PC8" i="3"/>
  <c r="PC9" i="3"/>
  <c r="PC10" i="3"/>
  <c r="PC11" i="3"/>
  <c r="PC12" i="3"/>
  <c r="PC13" i="3"/>
  <c r="PC14" i="3"/>
  <c r="PC15" i="3"/>
  <c r="PC16" i="3"/>
  <c r="PC17" i="3"/>
  <c r="PC18" i="3"/>
  <c r="PC19" i="3"/>
  <c r="PC20" i="3"/>
  <c r="PC21" i="3"/>
  <c r="PC22" i="3"/>
  <c r="PC23" i="3"/>
  <c r="PC24" i="3"/>
  <c r="PC7" i="3"/>
  <c r="AP10" i="4"/>
  <c r="AP19" i="4"/>
  <c r="AP28" i="4"/>
  <c r="AP11" i="4"/>
  <c r="AP20" i="4"/>
  <c r="AP29" i="4"/>
  <c r="AP12" i="4"/>
  <c r="AP21" i="4"/>
  <c r="AP30" i="4"/>
  <c r="AP27" i="4"/>
  <c r="AP18" i="4"/>
  <c r="AP9" i="4"/>
  <c r="AP13" i="4"/>
  <c r="AP22" i="4"/>
  <c r="AP5" i="4"/>
  <c r="AP14" i="4"/>
  <c r="AP23" i="4"/>
  <c r="AP6" i="4"/>
  <c r="AP15" i="4"/>
  <c r="AP24" i="4"/>
  <c r="AP7" i="4"/>
  <c r="AP16" i="4"/>
  <c r="AP25" i="4"/>
  <c r="AP8" i="4"/>
  <c r="AP17" i="4"/>
  <c r="AP26" i="4"/>
  <c r="AP4" i="4"/>
  <c r="CI14" i="3" l="1"/>
  <c r="CG14" i="3"/>
  <c r="CH14" i="3"/>
  <c r="CF14" i="3"/>
  <c r="CF7" i="3"/>
  <c r="CI7" i="3"/>
  <c r="CH7" i="3"/>
  <c r="CG7" i="3"/>
  <c r="CH13" i="3"/>
  <c r="CG13" i="3"/>
  <c r="CF13" i="3"/>
  <c r="CI13" i="3"/>
  <c r="CH20" i="3"/>
  <c r="CF20" i="3"/>
  <c r="CI20" i="3"/>
  <c r="CG20" i="3"/>
  <c r="CH16" i="3"/>
  <c r="CF16" i="3"/>
  <c r="CI16" i="3"/>
  <c r="CG16" i="3"/>
  <c r="CH12" i="3"/>
  <c r="CF12" i="3"/>
  <c r="CI12" i="3"/>
  <c r="CG12" i="3"/>
  <c r="CH8" i="3"/>
  <c r="CF8" i="3"/>
  <c r="CI8" i="3"/>
  <c r="CG8" i="3"/>
  <c r="CI22" i="3"/>
  <c r="CG22" i="3"/>
  <c r="CH22" i="3"/>
  <c r="CF22" i="3"/>
  <c r="CI18" i="3"/>
  <c r="CG18" i="3"/>
  <c r="CH18" i="3"/>
  <c r="CF18" i="3"/>
  <c r="CI10" i="3"/>
  <c r="CG10" i="3"/>
  <c r="CH10" i="3"/>
  <c r="CF10" i="3"/>
  <c r="CH21" i="3"/>
  <c r="CF21" i="3"/>
  <c r="CG21" i="3"/>
  <c r="CI21" i="3"/>
  <c r="CF17" i="3"/>
  <c r="CI17" i="3"/>
  <c r="CH17" i="3"/>
  <c r="CG17" i="3"/>
  <c r="CF9" i="3"/>
  <c r="CH9" i="3"/>
  <c r="CI9" i="3"/>
  <c r="CG9" i="3"/>
  <c r="CH24" i="3"/>
  <c r="CF24" i="3"/>
  <c r="CI24" i="3"/>
  <c r="CG24" i="3"/>
  <c r="CI23" i="3"/>
  <c r="CH23" i="3"/>
  <c r="CG23" i="3"/>
  <c r="CF23" i="3"/>
  <c r="CG19" i="3"/>
  <c r="CF19" i="3"/>
  <c r="CI19" i="3"/>
  <c r="CH19" i="3"/>
  <c r="CI15" i="3"/>
  <c r="CG15" i="3"/>
  <c r="CH15" i="3"/>
  <c r="CF15" i="3"/>
  <c r="CG11" i="3"/>
  <c r="CI11" i="3"/>
  <c r="CH11" i="3"/>
  <c r="CF11" i="3"/>
  <c r="NY7" i="3"/>
  <c r="OP8" i="3"/>
  <c r="OP9" i="3"/>
  <c r="OP10" i="3"/>
  <c r="OP11" i="3"/>
  <c r="OP12" i="3"/>
  <c r="OP13" i="3"/>
  <c r="OP14" i="3"/>
  <c r="OP15" i="3"/>
  <c r="OP16" i="3"/>
  <c r="OP17" i="3"/>
  <c r="OP18" i="3"/>
  <c r="OP19" i="3"/>
  <c r="OP20" i="3"/>
  <c r="OP21" i="3"/>
  <c r="OP22" i="3"/>
  <c r="OP23" i="3"/>
  <c r="OP24" i="3"/>
  <c r="OP7" i="3"/>
  <c r="EL13" i="3" l="1"/>
  <c r="EO13" i="3"/>
  <c r="EM13" i="3"/>
  <c r="EN13" i="3"/>
  <c r="EN12" i="3"/>
  <c r="EO12" i="3"/>
  <c r="EL12" i="3"/>
  <c r="EM12" i="3"/>
  <c r="EN14" i="3"/>
  <c r="EO14" i="3"/>
  <c r="EM14" i="3"/>
  <c r="EL14" i="3"/>
  <c r="EL11" i="3"/>
  <c r="EM11" i="3"/>
  <c r="EO11" i="3"/>
  <c r="EN11" i="3"/>
  <c r="EO20" i="3"/>
  <c r="EM20" i="3"/>
  <c r="EL20" i="3"/>
  <c r="EN20" i="3"/>
  <c r="EO18" i="3"/>
  <c r="EL18" i="3"/>
  <c r="EN18" i="3"/>
  <c r="EM18" i="3"/>
  <c r="EN10" i="3"/>
  <c r="EO10" i="3"/>
  <c r="EL10" i="3"/>
  <c r="EM10" i="3"/>
  <c r="EL21" i="3"/>
  <c r="EO21" i="3"/>
  <c r="EM21" i="3"/>
  <c r="EN21" i="3"/>
  <c r="EL19" i="3"/>
  <c r="EM19" i="3"/>
  <c r="EO19" i="3"/>
  <c r="EN19" i="3"/>
  <c r="EL17" i="3"/>
  <c r="EM17" i="3"/>
  <c r="EN17" i="3"/>
  <c r="EO17" i="3"/>
  <c r="EL9" i="3"/>
  <c r="EM9" i="3"/>
  <c r="EO9" i="3"/>
  <c r="EN9" i="3"/>
  <c r="EO24" i="3"/>
  <c r="EL24" i="3"/>
  <c r="EN24" i="3"/>
  <c r="EM24" i="3"/>
  <c r="EO16" i="3"/>
  <c r="EL16" i="3"/>
  <c r="EM16" i="3"/>
  <c r="EN16" i="3"/>
  <c r="EM8" i="3"/>
  <c r="EN8" i="3"/>
  <c r="EO8" i="3"/>
  <c r="EL8" i="3"/>
  <c r="EO22" i="3"/>
  <c r="EN22" i="3"/>
  <c r="EL22" i="3"/>
  <c r="EM22" i="3"/>
  <c r="EL23" i="3"/>
  <c r="EM23" i="3"/>
  <c r="EO23" i="3"/>
  <c r="EN23" i="3"/>
  <c r="EL15" i="3"/>
  <c r="EM15" i="3"/>
  <c r="EO15" i="3"/>
  <c r="EN15" i="3"/>
  <c r="AD32" i="3"/>
  <c r="AR32" i="3" s="1"/>
  <c r="EM7" i="3"/>
  <c r="EN7" i="3"/>
  <c r="EO7" i="3"/>
  <c r="EL7" i="3"/>
  <c r="NY22" i="3"/>
  <c r="OC22" i="3"/>
  <c r="OB22" i="3"/>
  <c r="OA22" i="3"/>
  <c r="NZ22" i="3"/>
  <c r="NY14" i="3"/>
  <c r="OC14" i="3"/>
  <c r="OA14" i="3"/>
  <c r="NZ14" i="3"/>
  <c r="OB14" i="3"/>
  <c r="OC10" i="3"/>
  <c r="OB10" i="3"/>
  <c r="OA10" i="3"/>
  <c r="NZ10" i="3"/>
  <c r="NY21" i="3"/>
  <c r="OC21" i="3"/>
  <c r="NZ21" i="3"/>
  <c r="OA21" i="3"/>
  <c r="OB21" i="3"/>
  <c r="NY17" i="3"/>
  <c r="OC17" i="3"/>
  <c r="OB17" i="3"/>
  <c r="NZ17" i="3"/>
  <c r="OA17" i="3"/>
  <c r="NY13" i="3"/>
  <c r="OC13" i="3"/>
  <c r="OA13" i="3"/>
  <c r="NZ13" i="3"/>
  <c r="OB13" i="3"/>
  <c r="NY9" i="3"/>
  <c r="OC9" i="3"/>
  <c r="OA9" i="3"/>
  <c r="NZ9" i="3"/>
  <c r="OB9" i="3"/>
  <c r="NY24" i="3"/>
  <c r="OC24" i="3"/>
  <c r="OB24" i="3"/>
  <c r="OA24" i="3"/>
  <c r="NZ24" i="3"/>
  <c r="NY20" i="3"/>
  <c r="OC20" i="3"/>
  <c r="OB20" i="3"/>
  <c r="OA20" i="3"/>
  <c r="NZ20" i="3"/>
  <c r="NY16" i="3"/>
  <c r="OC16" i="3"/>
  <c r="OA16" i="3"/>
  <c r="NZ16" i="3"/>
  <c r="OB16" i="3"/>
  <c r="NY12" i="3"/>
  <c r="OC12" i="3"/>
  <c r="NZ12" i="3"/>
  <c r="OB12" i="3"/>
  <c r="OA12" i="3"/>
  <c r="NY8" i="3"/>
  <c r="OC8" i="3"/>
  <c r="OB8" i="3"/>
  <c r="OA8" i="3"/>
  <c r="NZ8" i="3"/>
  <c r="NY18" i="3"/>
  <c r="OC18" i="3"/>
  <c r="OA18" i="3"/>
  <c r="OB18" i="3"/>
  <c r="NZ18" i="3"/>
  <c r="OS7" i="3"/>
  <c r="NY23" i="3"/>
  <c r="OC23" i="3"/>
  <c r="NZ23" i="3"/>
  <c r="OB23" i="3"/>
  <c r="OA23" i="3"/>
  <c r="NY19" i="3"/>
  <c r="OC19" i="3"/>
  <c r="OB19" i="3"/>
  <c r="OA19" i="3"/>
  <c r="NZ19" i="3"/>
  <c r="NY15" i="3"/>
  <c r="OC15" i="3"/>
  <c r="NZ15" i="3"/>
  <c r="OB15" i="3"/>
  <c r="OA15" i="3"/>
  <c r="NY11" i="3"/>
  <c r="OC11" i="3"/>
  <c r="OA11" i="3"/>
  <c r="NZ11" i="3"/>
  <c r="OB11" i="3"/>
  <c r="AT10" i="3"/>
  <c r="AZ10" i="3" s="1"/>
  <c r="NY10" i="3"/>
  <c r="AT7" i="3"/>
  <c r="AZ7" i="3" s="1"/>
  <c r="AT9" i="3"/>
  <c r="AZ9" i="3" s="1"/>
  <c r="AT24" i="3"/>
  <c r="AZ24" i="3" s="1"/>
  <c r="AT20" i="3"/>
  <c r="AZ20" i="3" s="1"/>
  <c r="AT8" i="3"/>
  <c r="AZ8" i="3" s="1"/>
  <c r="AT11" i="3"/>
  <c r="AZ11" i="3" s="1"/>
  <c r="AT22" i="3"/>
  <c r="AZ22" i="3" s="1"/>
  <c r="AT18" i="3"/>
  <c r="AZ18" i="3" s="1"/>
  <c r="AT14" i="3"/>
  <c r="AZ14" i="3" s="1"/>
  <c r="AT21" i="3"/>
  <c r="AZ21" i="3" s="1"/>
  <c r="AT17" i="3"/>
  <c r="AZ17" i="3" s="1"/>
  <c r="AT13" i="3"/>
  <c r="AZ13" i="3" s="1"/>
  <c r="AT16" i="3"/>
  <c r="AZ16" i="3" s="1"/>
  <c r="AT12" i="3"/>
  <c r="AZ12" i="3" s="1"/>
  <c r="AT23" i="3"/>
  <c r="AZ23" i="3" s="1"/>
  <c r="AT19" i="3"/>
  <c r="AZ19" i="3" s="1"/>
  <c r="AT15" i="3"/>
  <c r="AZ15" i="3" s="1"/>
  <c r="ML7" i="3"/>
  <c r="MM7" i="3"/>
  <c r="ML13" i="3"/>
  <c r="MM13" i="3"/>
  <c r="MM22" i="3"/>
  <c r="ML22" i="3"/>
  <c r="MM18" i="3"/>
  <c r="ML18" i="3"/>
  <c r="MM14" i="3"/>
  <c r="ML14" i="3"/>
  <c r="MM10" i="3"/>
  <c r="ML10" i="3"/>
  <c r="MM17" i="3"/>
  <c r="ML17" i="3"/>
  <c r="ML24" i="3"/>
  <c r="MM24" i="3"/>
  <c r="ML20" i="3"/>
  <c r="MM20" i="3"/>
  <c r="ML16" i="3"/>
  <c r="MM16" i="3"/>
  <c r="ML12" i="3"/>
  <c r="MM12" i="3"/>
  <c r="ML8" i="3"/>
  <c r="MM8" i="3"/>
  <c r="ML21" i="3"/>
  <c r="MM21" i="3"/>
  <c r="ML9" i="3"/>
  <c r="MM9" i="3"/>
  <c r="ML23" i="3"/>
  <c r="MM23" i="3"/>
  <c r="MM19" i="3"/>
  <c r="ML19" i="3"/>
  <c r="MM15" i="3"/>
  <c r="ML15" i="3"/>
  <c r="ML11" i="3"/>
  <c r="MM11" i="3"/>
  <c r="L12" i="4" l="1"/>
  <c r="L17" i="4"/>
  <c r="L25" i="4"/>
  <c r="L31" i="4"/>
  <c r="L9" i="4"/>
  <c r="L14" i="4"/>
  <c r="L24" i="4"/>
  <c r="L34" i="4"/>
  <c r="L5" i="4"/>
  <c r="L16" i="4"/>
  <c r="L33" i="4"/>
  <c r="L35" i="4"/>
  <c r="L15" i="4"/>
  <c r="L18" i="4"/>
  <c r="L32" i="4"/>
  <c r="L20" i="4"/>
  <c r="L22" i="4"/>
  <c r="L21" i="4"/>
  <c r="L11" i="4"/>
  <c r="L10" i="4"/>
  <c r="L8" i="4"/>
  <c r="L7" i="4"/>
  <c r="Q8" i="41" s="1"/>
  <c r="Q7" i="41" s="1"/>
  <c r="L6" i="4"/>
  <c r="L4" i="4"/>
  <c r="L27" i="4"/>
  <c r="MQ16" i="3" l="1"/>
  <c r="MQ15" i="3"/>
  <c r="MP22" i="3"/>
  <c r="MO24" i="3"/>
  <c r="MQ17" i="3"/>
  <c r="MO17" i="3"/>
  <c r="MQ23" i="3"/>
  <c r="MO14" i="3" l="1"/>
  <c r="MP12" i="3"/>
  <c r="MP10" i="3"/>
  <c r="MP9" i="3"/>
  <c r="MO16" i="3"/>
  <c r="MO8" i="3"/>
  <c r="MO23" i="3"/>
  <c r="MP20" i="3"/>
  <c r="MQ22" i="3"/>
  <c r="MO19" i="3"/>
  <c r="MQ19" i="3"/>
  <c r="MP17" i="3"/>
  <c r="MO22" i="3"/>
  <c r="MQ24" i="3"/>
  <c r="MP19" i="3"/>
  <c r="MQ8" i="3"/>
  <c r="MO15" i="3"/>
  <c r="MO21" i="3"/>
  <c r="MP24" i="3"/>
  <c r="MP8" i="3"/>
  <c r="MQ18" i="3"/>
  <c r="MO20" i="3"/>
  <c r="MO18" i="3"/>
  <c r="MP23" i="3"/>
  <c r="MP18" i="3"/>
  <c r="MQ21" i="3"/>
  <c r="MP16" i="3"/>
  <c r="MP21" i="3"/>
  <c r="MQ20" i="3"/>
  <c r="MP15" i="3"/>
  <c r="OS11" i="3"/>
  <c r="OS12" i="3"/>
  <c r="OS20" i="3"/>
  <c r="OS24" i="3"/>
  <c r="OQ24" i="3" s="1"/>
  <c r="OU20" i="3"/>
  <c r="OT20" i="3"/>
  <c r="OT7" i="3"/>
  <c r="OU7" i="3"/>
  <c r="OQ7" i="3" s="1"/>
  <c r="AW7" i="3" s="1"/>
  <c r="AV7" i="3" s="1"/>
  <c r="OU10" i="3"/>
  <c r="OT10" i="3"/>
  <c r="OU19" i="3"/>
  <c r="OT19" i="3"/>
  <c r="OU9" i="3"/>
  <c r="OT9" i="3"/>
  <c r="OU18" i="3"/>
  <c r="OT18" i="3"/>
  <c r="OT16" i="3"/>
  <c r="OU16" i="3"/>
  <c r="OU23" i="3"/>
  <c r="OT23" i="3"/>
  <c r="OU15" i="3"/>
  <c r="OT15" i="3"/>
  <c r="OT21" i="3"/>
  <c r="OU21" i="3"/>
  <c r="OU12" i="3"/>
  <c r="OT12" i="3"/>
  <c r="OS22" i="3"/>
  <c r="OU22" i="3"/>
  <c r="OT22" i="3"/>
  <c r="OT13" i="3"/>
  <c r="OU13" i="3"/>
  <c r="OT11" i="3"/>
  <c r="OU11" i="3"/>
  <c r="OU14" i="3"/>
  <c r="OT14" i="3"/>
  <c r="OT17" i="3"/>
  <c r="OU17" i="3"/>
  <c r="OT24" i="3"/>
  <c r="OU24" i="3"/>
  <c r="OU8" i="3"/>
  <c r="OT8" i="3"/>
  <c r="OS10" i="3"/>
  <c r="OS19" i="3"/>
  <c r="OQ19" i="3" s="1"/>
  <c r="OS8" i="3"/>
  <c r="OQ8" i="3" s="1"/>
  <c r="OS9" i="3"/>
  <c r="OQ9" i="3" s="1"/>
  <c r="OS18" i="3"/>
  <c r="OS13" i="3"/>
  <c r="OQ13" i="3" s="1"/>
  <c r="OS16" i="3"/>
  <c r="OQ16" i="3" s="1"/>
  <c r="OS21" i="3"/>
  <c r="OS15" i="3"/>
  <c r="OS23" i="3"/>
  <c r="OS14" i="3"/>
  <c r="OQ14" i="3" s="1"/>
  <c r="OS17" i="3"/>
  <c r="OQ17" i="3" s="1"/>
  <c r="OQ23" i="3" l="1"/>
  <c r="AW23" i="3" s="1"/>
  <c r="AV23" i="3" s="1"/>
  <c r="OD23" i="3" s="1"/>
  <c r="OQ15" i="3"/>
  <c r="AW15" i="3" s="1"/>
  <c r="AV15" i="3" s="1"/>
  <c r="OD15" i="3" s="1"/>
  <c r="OQ10" i="3"/>
  <c r="OQ20" i="3"/>
  <c r="AW20" i="3" s="1"/>
  <c r="AV20" i="3" s="1"/>
  <c r="OD20" i="3" s="1"/>
  <c r="OQ12" i="3"/>
  <c r="OQ11" i="3"/>
  <c r="OQ22" i="3"/>
  <c r="AW22" i="3" s="1"/>
  <c r="AV22" i="3" s="1"/>
  <c r="OD22" i="3" s="1"/>
  <c r="OQ18" i="3"/>
  <c r="AW18" i="3" s="1"/>
  <c r="AV18" i="3" s="1"/>
  <c r="OD18" i="3" s="1"/>
  <c r="OQ21" i="3"/>
  <c r="AW21" i="3" s="1"/>
  <c r="AV21" i="3" s="1"/>
  <c r="OD21" i="3" s="1"/>
  <c r="MO11" i="3"/>
  <c r="MQ10" i="3"/>
  <c r="MQ11" i="3"/>
  <c r="MQ14" i="3"/>
  <c r="MO12" i="3"/>
  <c r="MO13" i="3"/>
  <c r="MQ13" i="3"/>
  <c r="MO10" i="3"/>
  <c r="MP14" i="3"/>
  <c r="MQ12" i="3"/>
  <c r="MP13" i="3"/>
  <c r="MP11" i="3"/>
  <c r="MO9" i="3"/>
  <c r="MQ9" i="3"/>
  <c r="AW17" i="3"/>
  <c r="AV17" i="3" s="1"/>
  <c r="OD17" i="3" s="1"/>
  <c r="AW19" i="3"/>
  <c r="AV19" i="3" s="1"/>
  <c r="OD19" i="3" s="1"/>
  <c r="AW16" i="3"/>
  <c r="AV16" i="3" s="1"/>
  <c r="OD16" i="3" s="1"/>
  <c r="AW24" i="3"/>
  <c r="AV24" i="3" s="1"/>
  <c r="OD24" i="3" s="1"/>
  <c r="PB7" i="3" l="1"/>
  <c r="OD7" i="3"/>
  <c r="OI7" i="3"/>
  <c r="OM21" i="3"/>
  <c r="OJ21" i="3"/>
  <c r="OH21" i="3"/>
  <c r="OI21" i="3"/>
  <c r="OE21" i="3"/>
  <c r="OL21" i="3"/>
  <c r="OG21" i="3"/>
  <c r="PB21" i="3"/>
  <c r="OF21" i="3"/>
  <c r="OK21" i="3"/>
  <c r="PB18" i="3"/>
  <c r="OI18" i="3"/>
  <c r="OJ18" i="3"/>
  <c r="OH18" i="3"/>
  <c r="OF18" i="3"/>
  <c r="OE18" i="3"/>
  <c r="OM18" i="3"/>
  <c r="OG18" i="3"/>
  <c r="OL18" i="3"/>
  <c r="OK18" i="3"/>
  <c r="PB15" i="3"/>
  <c r="OM24" i="3"/>
  <c r="PB24" i="3"/>
  <c r="OH24" i="3"/>
  <c r="OG24" i="3"/>
  <c r="OJ24" i="3"/>
  <c r="OE24" i="3"/>
  <c r="OI24" i="3"/>
  <c r="OL24" i="3"/>
  <c r="OF24" i="3"/>
  <c r="OK24" i="3"/>
  <c r="OM17" i="3"/>
  <c r="PB17" i="3"/>
  <c r="OH17" i="3"/>
  <c r="OE17" i="3"/>
  <c r="OG17" i="3"/>
  <c r="OI17" i="3"/>
  <c r="OK17" i="3"/>
  <c r="OL17" i="3"/>
  <c r="OF17" i="3"/>
  <c r="OJ17" i="3"/>
  <c r="OM22" i="3"/>
  <c r="PB22" i="3"/>
  <c r="OH22" i="3"/>
  <c r="OG22" i="3"/>
  <c r="OE22" i="3"/>
  <c r="OF22" i="3"/>
  <c r="OL22" i="3"/>
  <c r="OJ22" i="3"/>
  <c r="OK22" i="3"/>
  <c r="OI22" i="3"/>
  <c r="PB20" i="3"/>
  <c r="OM20" i="3"/>
  <c r="OH20" i="3"/>
  <c r="OK20" i="3"/>
  <c r="OE20" i="3"/>
  <c r="OF20" i="3"/>
  <c r="OJ20" i="3"/>
  <c r="OG20" i="3"/>
  <c r="OI20" i="3"/>
  <c r="OL20" i="3"/>
  <c r="OH19" i="3"/>
  <c r="PB19" i="3"/>
  <c r="OM19" i="3"/>
  <c r="OL19" i="3"/>
  <c r="OJ19" i="3"/>
  <c r="OE19" i="3"/>
  <c r="OI19" i="3"/>
  <c r="OK19" i="3"/>
  <c r="OG19" i="3"/>
  <c r="OF19" i="3"/>
  <c r="OH16" i="3"/>
  <c r="OM16" i="3"/>
  <c r="PB16" i="3"/>
  <c r="OF16" i="3"/>
  <c r="OG16" i="3"/>
  <c r="OJ16" i="3"/>
  <c r="OK16" i="3"/>
  <c r="OL16" i="3"/>
  <c r="OE16" i="3"/>
  <c r="OI16" i="3"/>
  <c r="PB23" i="3"/>
  <c r="OM23" i="3"/>
  <c r="OH23" i="3"/>
  <c r="OK23" i="3"/>
  <c r="OG23" i="3"/>
  <c r="OI23" i="3"/>
  <c r="OJ23" i="3"/>
  <c r="OF23" i="3"/>
  <c r="OE23" i="3"/>
  <c r="OL23" i="3"/>
  <c r="OE15" i="3"/>
  <c r="OK7" i="3"/>
  <c r="OM7" i="3"/>
  <c r="OJ7" i="3"/>
  <c r="OG7" i="3"/>
  <c r="OF7" i="3"/>
  <c r="OL7" i="3"/>
  <c r="OE7" i="3"/>
  <c r="OH7" i="3"/>
  <c r="AW14" i="3"/>
  <c r="AV14" i="3" s="1"/>
  <c r="OD14" i="3" s="1"/>
  <c r="AW9" i="3"/>
  <c r="AV9" i="3" s="1"/>
  <c r="OD9" i="3" s="1"/>
  <c r="AW12" i="3"/>
  <c r="AV12" i="3" s="1"/>
  <c r="OD12" i="3" s="1"/>
  <c r="AW13" i="3"/>
  <c r="AV13" i="3" s="1"/>
  <c r="OD13" i="3" s="1"/>
  <c r="AW10" i="3"/>
  <c r="AV10" i="3" s="1"/>
  <c r="OD10" i="3" s="1"/>
  <c r="AW11" i="3"/>
  <c r="AV11" i="3" s="1"/>
  <c r="AW8" i="3"/>
  <c r="AV8" i="3" s="1"/>
  <c r="OD8" i="3" s="1"/>
  <c r="BX7" i="3" l="1"/>
  <c r="BW7" i="3"/>
  <c r="BZ7" i="3"/>
  <c r="BY7" i="3" s="1"/>
  <c r="BV7" i="3"/>
  <c r="BW20" i="3"/>
  <c r="BV20" i="3"/>
  <c r="BZ20" i="3"/>
  <c r="BY20" i="3" s="1"/>
  <c r="BX20" i="3"/>
  <c r="BZ17" i="3"/>
  <c r="BY17" i="3"/>
  <c r="BV17" i="3"/>
  <c r="BW17" i="3"/>
  <c r="BX17" i="3"/>
  <c r="BV15" i="3"/>
  <c r="BX15" i="3"/>
  <c r="BW15" i="3"/>
  <c r="BZ15" i="3"/>
  <c r="BY15" i="3" s="1"/>
  <c r="BV21" i="3"/>
  <c r="BX21" i="3"/>
  <c r="BZ21" i="3"/>
  <c r="BY21" i="3" s="1"/>
  <c r="BW21" i="3"/>
  <c r="BV19" i="3"/>
  <c r="BZ19" i="3"/>
  <c r="BY19" i="3" s="1"/>
  <c r="BX19" i="3"/>
  <c r="BW19" i="3"/>
  <c r="BZ22" i="3"/>
  <c r="BX22" i="3"/>
  <c r="BW22" i="3"/>
  <c r="BV22" i="3"/>
  <c r="BY22" i="3"/>
  <c r="BX18" i="3"/>
  <c r="BZ18" i="3"/>
  <c r="BY18" i="3" s="1"/>
  <c r="BV18" i="3"/>
  <c r="BW18" i="3"/>
  <c r="BV23" i="3"/>
  <c r="BY23" i="3"/>
  <c r="BW23" i="3"/>
  <c r="BZ23" i="3"/>
  <c r="BX23" i="3"/>
  <c r="BV16" i="3"/>
  <c r="BZ16" i="3"/>
  <c r="BY16" i="3" s="1"/>
  <c r="BX16" i="3"/>
  <c r="BW16" i="3"/>
  <c r="BW24" i="3"/>
  <c r="HA24" i="3" s="1"/>
  <c r="BZ24" i="3"/>
  <c r="BY24" i="3" s="1"/>
  <c r="HC24" i="3" s="1"/>
  <c r="BX24" i="3"/>
  <c r="HB24" i="3" s="1"/>
  <c r="BV24" i="3"/>
  <c r="GZ24" i="3" s="1"/>
  <c r="OD11" i="3"/>
  <c r="AD33" i="3"/>
  <c r="OM15" i="3"/>
  <c r="OK15" i="3"/>
  <c r="OG15" i="3"/>
  <c r="OI15" i="3"/>
  <c r="OF15" i="3"/>
  <c r="OL15" i="3"/>
  <c r="OJ15" i="3"/>
  <c r="OH15" i="3"/>
  <c r="OE11" i="3"/>
  <c r="OK10" i="3"/>
  <c r="PB14" i="3"/>
  <c r="PB9" i="3"/>
  <c r="OG13" i="3"/>
  <c r="OK12" i="3"/>
  <c r="BW14" i="3" l="1"/>
  <c r="BZ14" i="3"/>
  <c r="BY14" i="3" s="1"/>
  <c r="BX14" i="3"/>
  <c r="BV14" i="3"/>
  <c r="BZ9" i="3"/>
  <c r="BY9" i="3" s="1"/>
  <c r="HW9" i="3" s="1"/>
  <c r="BV9" i="3"/>
  <c r="HT9" i="3" s="1"/>
  <c r="BX9" i="3"/>
  <c r="HV9" i="3" s="1"/>
  <c r="BW9" i="3"/>
  <c r="HU9" i="3" s="1"/>
  <c r="BC24" i="3"/>
  <c r="BG24" i="3" s="1"/>
  <c r="CL24" i="3"/>
  <c r="BD24" i="3"/>
  <c r="BH24" i="3" s="1"/>
  <c r="CM24" i="3"/>
  <c r="BA24" i="3"/>
  <c r="BE24" i="3" s="1"/>
  <c r="CJ24" i="3"/>
  <c r="BB24" i="3"/>
  <c r="BF24" i="3" s="1"/>
  <c r="CK24" i="3"/>
  <c r="AR33" i="3"/>
  <c r="AD36" i="3"/>
  <c r="AR35" i="3"/>
  <c r="AR34" i="3"/>
  <c r="BA15" i="3"/>
  <c r="BE15" i="3" s="1"/>
  <c r="CL15" i="3"/>
  <c r="CM15" i="3"/>
  <c r="CJ16" i="3"/>
  <c r="GZ16" i="3"/>
  <c r="BA16" i="3"/>
  <c r="BE16" i="3" s="1"/>
  <c r="CL23" i="3"/>
  <c r="HB23" i="3"/>
  <c r="BC23" i="3"/>
  <c r="BG23" i="3" s="1"/>
  <c r="CK23" i="3"/>
  <c r="HA23" i="3"/>
  <c r="BB23" i="3"/>
  <c r="BF23" i="3" s="1"/>
  <c r="CL18" i="3"/>
  <c r="HB18" i="3"/>
  <c r="BC18" i="3"/>
  <c r="BG18" i="3" s="1"/>
  <c r="CM22" i="3"/>
  <c r="HC22" i="3"/>
  <c r="BD22" i="3"/>
  <c r="BH22" i="3" s="1"/>
  <c r="CK19" i="3"/>
  <c r="HA19" i="3"/>
  <c r="BB19" i="3"/>
  <c r="BF19" i="3" s="1"/>
  <c r="CK21" i="3"/>
  <c r="HA21" i="3"/>
  <c r="BB21" i="3"/>
  <c r="BF21" i="3" s="1"/>
  <c r="CM20" i="3"/>
  <c r="HC20" i="3"/>
  <c r="BD20" i="3"/>
  <c r="BH20" i="3" s="1"/>
  <c r="CJ15" i="3"/>
  <c r="GZ15" i="3"/>
  <c r="CM18" i="3"/>
  <c r="HC18" i="3"/>
  <c r="BD18" i="3"/>
  <c r="BH18" i="3" s="1"/>
  <c r="CK18" i="3"/>
  <c r="HA18" i="3"/>
  <c r="BB18" i="3"/>
  <c r="BF18" i="3" s="1"/>
  <c r="CL22" i="3"/>
  <c r="HB22" i="3"/>
  <c r="BC22" i="3"/>
  <c r="BG22" i="3" s="1"/>
  <c r="CL21" i="3"/>
  <c r="HB21" i="3"/>
  <c r="BC21" i="3"/>
  <c r="BG21" i="3" s="1"/>
  <c r="CL20" i="3"/>
  <c r="HB20" i="3"/>
  <c r="BC20" i="3"/>
  <c r="BG20" i="3" s="1"/>
  <c r="CK20" i="3"/>
  <c r="HA20" i="3"/>
  <c r="BB20" i="3"/>
  <c r="BF20" i="3" s="1"/>
  <c r="CK15" i="3"/>
  <c r="HA15" i="3"/>
  <c r="BB15" i="3"/>
  <c r="BF15" i="3" s="1"/>
  <c r="CM17" i="3"/>
  <c r="HC17" i="3"/>
  <c r="BD17" i="3"/>
  <c r="BH17" i="3" s="1"/>
  <c r="CK16" i="3"/>
  <c r="HA16" i="3"/>
  <c r="BB16" i="3"/>
  <c r="BF16" i="3" s="1"/>
  <c r="CM23" i="3"/>
  <c r="HC23" i="3"/>
  <c r="BD23" i="3"/>
  <c r="BH23" i="3" s="1"/>
  <c r="CJ18" i="3"/>
  <c r="GZ18" i="3"/>
  <c r="BA18" i="3"/>
  <c r="BE18" i="3" s="1"/>
  <c r="CJ22" i="3"/>
  <c r="GZ22" i="3"/>
  <c r="BA22" i="3"/>
  <c r="BE22" i="3" s="1"/>
  <c r="CK22" i="3"/>
  <c r="HA22" i="3"/>
  <c r="BB22" i="3"/>
  <c r="BF22" i="3" s="1"/>
  <c r="CL19" i="3"/>
  <c r="HB19" i="3"/>
  <c r="BC19" i="3"/>
  <c r="BG19" i="3" s="1"/>
  <c r="CM21" i="3"/>
  <c r="HC21" i="3"/>
  <c r="BD21" i="3"/>
  <c r="BH21" i="3" s="1"/>
  <c r="CJ20" i="3"/>
  <c r="GZ20" i="3"/>
  <c r="BA20" i="3"/>
  <c r="BE20" i="3" s="1"/>
  <c r="CK17" i="3"/>
  <c r="HA17" i="3"/>
  <c r="BB17" i="3"/>
  <c r="BF17" i="3" s="1"/>
  <c r="CL16" i="3"/>
  <c r="HB16" i="3"/>
  <c r="BC16" i="3"/>
  <c r="BG16" i="3" s="1"/>
  <c r="CM16" i="3"/>
  <c r="HC16" i="3"/>
  <c r="BD16" i="3"/>
  <c r="BH16" i="3" s="1"/>
  <c r="CJ23" i="3"/>
  <c r="GZ23" i="3"/>
  <c r="BA23" i="3"/>
  <c r="BE23" i="3" s="1"/>
  <c r="CM19" i="3"/>
  <c r="HC19" i="3"/>
  <c r="BD19" i="3"/>
  <c r="BH19" i="3" s="1"/>
  <c r="CJ19" i="3"/>
  <c r="GZ19" i="3"/>
  <c r="BA19" i="3"/>
  <c r="BE19" i="3" s="1"/>
  <c r="CJ21" i="3"/>
  <c r="GZ21" i="3"/>
  <c r="BA21" i="3"/>
  <c r="BE21" i="3" s="1"/>
  <c r="CJ17" i="3"/>
  <c r="GZ17" i="3"/>
  <c r="BA17" i="3"/>
  <c r="BE17" i="3" s="1"/>
  <c r="CL17" i="3"/>
  <c r="HB17" i="3"/>
  <c r="BC17" i="3"/>
  <c r="BG17" i="3" s="1"/>
  <c r="CK7" i="3"/>
  <c r="HA7" i="3"/>
  <c r="BB7" i="3"/>
  <c r="BF7" i="3" s="1"/>
  <c r="CL7" i="3"/>
  <c r="HB7" i="3"/>
  <c r="BC7" i="3"/>
  <c r="BG7" i="3" s="1"/>
  <c r="CJ7" i="3"/>
  <c r="GZ7" i="3"/>
  <c r="BA7" i="3"/>
  <c r="BE7" i="3" s="1"/>
  <c r="CM7" i="3"/>
  <c r="HC7" i="3"/>
  <c r="BD7" i="3"/>
  <c r="BH7" i="3" s="1"/>
  <c r="OI9" i="3"/>
  <c r="PB11" i="3"/>
  <c r="OJ14" i="3"/>
  <c r="OL11" i="3"/>
  <c r="OI11" i="3"/>
  <c r="OF11" i="3"/>
  <c r="OG11" i="3"/>
  <c r="OM11" i="3"/>
  <c r="OH11" i="3"/>
  <c r="OJ11" i="3"/>
  <c r="OK11" i="3"/>
  <c r="OM12" i="3"/>
  <c r="OL10" i="3"/>
  <c r="PB10" i="3"/>
  <c r="OM9" i="3"/>
  <c r="OJ13" i="3"/>
  <c r="OI13" i="3"/>
  <c r="OH10" i="3"/>
  <c r="OG14" i="3"/>
  <c r="OI14" i="3"/>
  <c r="OL14" i="3"/>
  <c r="OH14" i="3"/>
  <c r="OM14" i="3"/>
  <c r="OK14" i="3"/>
  <c r="OE14" i="3"/>
  <c r="OF14" i="3"/>
  <c r="OJ12" i="3"/>
  <c r="OM10" i="3"/>
  <c r="OG10" i="3"/>
  <c r="OK9" i="3"/>
  <c r="OI10" i="3"/>
  <c r="OF10" i="3"/>
  <c r="OH9" i="3"/>
  <c r="OE10" i="3"/>
  <c r="OI12" i="3"/>
  <c r="OJ10" i="3"/>
  <c r="OE9" i="3"/>
  <c r="PB12" i="3"/>
  <c r="OG12" i="3"/>
  <c r="OL9" i="3"/>
  <c r="OG9" i="3"/>
  <c r="OF9" i="3"/>
  <c r="OJ9" i="3"/>
  <c r="OF12" i="3"/>
  <c r="OE12" i="3"/>
  <c r="OK13" i="3"/>
  <c r="PB13" i="3"/>
  <c r="OH12" i="3"/>
  <c r="OE13" i="3"/>
  <c r="OL12" i="3"/>
  <c r="OH13" i="3"/>
  <c r="OM13" i="3"/>
  <c r="OF13" i="3"/>
  <c r="OL13" i="3"/>
  <c r="PB8" i="3"/>
  <c r="OE8" i="3"/>
  <c r="OI8" i="3"/>
  <c r="OH8" i="3"/>
  <c r="OJ8" i="3"/>
  <c r="OF8" i="3"/>
  <c r="OM8" i="3"/>
  <c r="OL8" i="3"/>
  <c r="OG8" i="3"/>
  <c r="OK8" i="3"/>
  <c r="LZ24" i="3" l="1"/>
  <c r="DS24" i="3"/>
  <c r="DG24" i="3"/>
  <c r="DW24" i="3"/>
  <c r="DC24" i="3"/>
  <c r="MB24" i="3"/>
  <c r="DE24" i="3"/>
  <c r="DU24" i="3"/>
  <c r="DI24" i="3"/>
  <c r="DY24" i="3"/>
  <c r="LY24" i="3"/>
  <c r="DB24" i="3"/>
  <c r="DR24" i="3"/>
  <c r="DV24" i="3"/>
  <c r="DF24" i="3"/>
  <c r="MA24" i="3"/>
  <c r="DH24" i="3"/>
  <c r="DT24" i="3"/>
  <c r="DD24" i="3"/>
  <c r="DX24" i="3"/>
  <c r="BV12" i="3"/>
  <c r="JQ12" i="3" s="1"/>
  <c r="BZ12" i="3"/>
  <c r="BY12" i="3" s="1"/>
  <c r="JT12" i="3" s="1"/>
  <c r="BX12" i="3"/>
  <c r="JS12" i="3" s="1"/>
  <c r="BW12" i="3"/>
  <c r="JR12" i="3" s="1"/>
  <c r="BV10" i="3"/>
  <c r="IV10" i="3" s="1"/>
  <c r="BZ10" i="3"/>
  <c r="BY10" i="3" s="1"/>
  <c r="IY10" i="3" s="1"/>
  <c r="BW10" i="3"/>
  <c r="IW10" i="3" s="1"/>
  <c r="BX10" i="3"/>
  <c r="IX10" i="3" s="1"/>
  <c r="BZ11" i="3"/>
  <c r="BY11" i="3" s="1"/>
  <c r="BV11" i="3"/>
  <c r="BX11" i="3"/>
  <c r="BW11" i="3"/>
  <c r="BV8" i="3"/>
  <c r="FT8" i="3" s="1"/>
  <c r="BX8" i="3"/>
  <c r="FV8" i="3" s="1"/>
  <c r="BW8" i="3"/>
  <c r="FU8" i="3" s="1"/>
  <c r="BZ8" i="3"/>
  <c r="BY8" i="3" s="1"/>
  <c r="FW8" i="3" s="1"/>
  <c r="BZ13" i="3"/>
  <c r="BY13" i="3" s="1"/>
  <c r="KR13" i="3" s="1"/>
  <c r="BV13" i="3"/>
  <c r="KO13" i="3" s="1"/>
  <c r="BX13" i="3"/>
  <c r="KQ13" i="3" s="1"/>
  <c r="BW13" i="3"/>
  <c r="KP13" i="3" s="1"/>
  <c r="DX7" i="3"/>
  <c r="DH7" i="3"/>
  <c r="DT7" i="3"/>
  <c r="DD7" i="3"/>
  <c r="DF7" i="3"/>
  <c r="DR7" i="3"/>
  <c r="DB7" i="3"/>
  <c r="DV7" i="3"/>
  <c r="DV28" i="3"/>
  <c r="DR28" i="3"/>
  <c r="DF28" i="3"/>
  <c r="DB28" i="3"/>
  <c r="DW28" i="3"/>
  <c r="DY28" i="3"/>
  <c r="DU28" i="3"/>
  <c r="DI28" i="3"/>
  <c r="DE28" i="3"/>
  <c r="DS28" i="3"/>
  <c r="DG28" i="3"/>
  <c r="DX28" i="3"/>
  <c r="DT28" i="3"/>
  <c r="DH28" i="3"/>
  <c r="DD28" i="3"/>
  <c r="DC28" i="3"/>
  <c r="CO24" i="3"/>
  <c r="CS24" i="3" s="1"/>
  <c r="CB24" i="3"/>
  <c r="EI24" i="3" s="1"/>
  <c r="CQ24" i="3"/>
  <c r="CU24" i="3" s="1"/>
  <c r="CD24" i="3"/>
  <c r="EK24" i="3" s="1"/>
  <c r="DC7" i="3"/>
  <c r="DW7" i="3"/>
  <c r="DG7" i="3"/>
  <c r="DS7" i="3"/>
  <c r="CN24" i="3"/>
  <c r="CR24" i="3" s="1"/>
  <c r="CA24" i="3"/>
  <c r="CC24" i="3"/>
  <c r="EJ24" i="3" s="1"/>
  <c r="CP24" i="3"/>
  <c r="CT24" i="3" s="1"/>
  <c r="DE7" i="3"/>
  <c r="DI7" i="3"/>
  <c r="DU7" i="3"/>
  <c r="DY7" i="3"/>
  <c r="HB15" i="3"/>
  <c r="BC15" i="3"/>
  <c r="BG15" i="3" s="1"/>
  <c r="CC15" i="3" s="1"/>
  <c r="EJ15" i="3" s="1"/>
  <c r="BD15" i="3"/>
  <c r="BH15" i="3" s="1"/>
  <c r="CQ15" i="3" s="1"/>
  <c r="CU15" i="3" s="1"/>
  <c r="CM9" i="3"/>
  <c r="BA9" i="3"/>
  <c r="BE9" i="3" s="1"/>
  <c r="CK14" i="3"/>
  <c r="HC15" i="3"/>
  <c r="BA14" i="3"/>
  <c r="BE14" i="3" s="1"/>
  <c r="BB9" i="3"/>
  <c r="BF9" i="3" s="1"/>
  <c r="HC14" i="3"/>
  <c r="HB14" i="3"/>
  <c r="MB7" i="3"/>
  <c r="DI19" i="3"/>
  <c r="DY19" i="3"/>
  <c r="DU19" i="3"/>
  <c r="DE19" i="3"/>
  <c r="DR18" i="3"/>
  <c r="DF18" i="3"/>
  <c r="DV18" i="3"/>
  <c r="DB18" i="3"/>
  <c r="DT18" i="3"/>
  <c r="DX18" i="3"/>
  <c r="DH18" i="3"/>
  <c r="DD18" i="3"/>
  <c r="DY15" i="3"/>
  <c r="DI15" i="3"/>
  <c r="DU15" i="3"/>
  <c r="DE15" i="3"/>
  <c r="LZ7" i="3"/>
  <c r="DV19" i="3"/>
  <c r="DR19" i="3"/>
  <c r="DF19" i="3"/>
  <c r="DB19" i="3"/>
  <c r="DH16" i="3"/>
  <c r="DX16" i="3"/>
  <c r="DT16" i="3"/>
  <c r="DD16" i="3"/>
  <c r="DB20" i="3"/>
  <c r="DV20" i="3"/>
  <c r="DR20" i="3"/>
  <c r="DF20" i="3"/>
  <c r="DV22" i="3"/>
  <c r="DF22" i="3"/>
  <c r="DR22" i="3"/>
  <c r="DB22" i="3"/>
  <c r="DI17" i="3"/>
  <c r="DE17" i="3"/>
  <c r="DY17" i="3"/>
  <c r="DU17" i="3"/>
  <c r="DH21" i="3"/>
  <c r="DX21" i="3"/>
  <c r="DD21" i="3"/>
  <c r="DT21" i="3"/>
  <c r="DR15" i="3"/>
  <c r="DV15" i="3"/>
  <c r="DF15" i="3"/>
  <c r="DB15" i="3"/>
  <c r="DU22" i="3"/>
  <c r="DY22" i="3"/>
  <c r="DI22" i="3"/>
  <c r="DE22" i="3"/>
  <c r="DB16" i="3"/>
  <c r="DR16" i="3"/>
  <c r="DF16" i="3"/>
  <c r="DV16" i="3"/>
  <c r="MA7" i="3"/>
  <c r="DV21" i="3"/>
  <c r="DF21" i="3"/>
  <c r="DR21" i="3"/>
  <c r="DB21" i="3"/>
  <c r="DU16" i="3"/>
  <c r="DY16" i="3"/>
  <c r="DI16" i="3"/>
  <c r="DE16" i="3"/>
  <c r="DW17" i="3"/>
  <c r="DG17" i="3"/>
  <c r="DC17" i="3"/>
  <c r="DS17" i="3"/>
  <c r="DS22" i="3"/>
  <c r="DW22" i="3"/>
  <c r="DG22" i="3"/>
  <c r="DC22" i="3"/>
  <c r="DS16" i="3"/>
  <c r="DC16" i="3"/>
  <c r="DW16" i="3"/>
  <c r="DG16" i="3"/>
  <c r="DH20" i="3"/>
  <c r="DT20" i="3"/>
  <c r="DD20" i="3"/>
  <c r="DX20" i="3"/>
  <c r="DE18" i="3"/>
  <c r="DY18" i="3"/>
  <c r="DU18" i="3"/>
  <c r="DI18" i="3"/>
  <c r="DG19" i="3"/>
  <c r="DW19" i="3"/>
  <c r="DC19" i="3"/>
  <c r="DS19" i="3"/>
  <c r="DH23" i="3"/>
  <c r="DD23" i="3"/>
  <c r="DX23" i="3"/>
  <c r="DT23" i="3"/>
  <c r="DH17" i="3"/>
  <c r="DX17" i="3"/>
  <c r="DT17" i="3"/>
  <c r="DD17" i="3"/>
  <c r="DI21" i="3"/>
  <c r="DU21" i="3"/>
  <c r="DE21" i="3"/>
  <c r="DY21" i="3"/>
  <c r="DC15" i="3"/>
  <c r="DW15" i="3"/>
  <c r="DG15" i="3"/>
  <c r="DS15" i="3"/>
  <c r="DT22" i="3"/>
  <c r="DH22" i="3"/>
  <c r="DD22" i="3"/>
  <c r="DX22" i="3"/>
  <c r="DU20" i="3"/>
  <c r="DE20" i="3"/>
  <c r="DI20" i="3"/>
  <c r="DY20" i="3"/>
  <c r="LY7" i="3"/>
  <c r="DR17" i="3"/>
  <c r="DV17" i="3"/>
  <c r="DF17" i="3"/>
  <c r="DB17" i="3"/>
  <c r="DR23" i="3"/>
  <c r="DF23" i="3"/>
  <c r="DV23" i="3"/>
  <c r="DB23" i="3"/>
  <c r="DT19" i="3"/>
  <c r="DD19" i="3"/>
  <c r="DH19" i="3"/>
  <c r="DX19" i="3"/>
  <c r="DY23" i="3"/>
  <c r="DI23" i="3"/>
  <c r="DE23" i="3"/>
  <c r="DU23" i="3"/>
  <c r="DS20" i="3"/>
  <c r="DC20" i="3"/>
  <c r="DW20" i="3"/>
  <c r="DG20" i="3"/>
  <c r="DS18" i="3"/>
  <c r="DW18" i="3"/>
  <c r="DG18" i="3"/>
  <c r="DC18" i="3"/>
  <c r="DG21" i="3"/>
  <c r="DW21" i="3"/>
  <c r="DC21" i="3"/>
  <c r="DS21" i="3"/>
  <c r="DW23" i="3"/>
  <c r="DS23" i="3"/>
  <c r="DC23" i="3"/>
  <c r="DG23" i="3"/>
  <c r="DT15" i="3"/>
  <c r="DH15" i="3"/>
  <c r="DD15" i="3"/>
  <c r="DX15" i="3"/>
  <c r="MA17" i="3"/>
  <c r="LS17" i="3"/>
  <c r="MB19" i="3"/>
  <c r="LT19" i="3"/>
  <c r="MB21" i="3"/>
  <c r="LT21" i="3"/>
  <c r="LY18" i="3"/>
  <c r="LQ18" i="3"/>
  <c r="LZ15" i="3"/>
  <c r="LR15" i="3"/>
  <c r="LS22" i="3"/>
  <c r="MA22" i="3"/>
  <c r="LT20" i="3"/>
  <c r="MB20" i="3"/>
  <c r="LS18" i="3"/>
  <c r="MA18" i="3"/>
  <c r="MB15" i="3"/>
  <c r="LT15" i="3"/>
  <c r="LQ19" i="3"/>
  <c r="LY19" i="3"/>
  <c r="LS16" i="3"/>
  <c r="MA16" i="3"/>
  <c r="LY20" i="3"/>
  <c r="LQ20" i="3"/>
  <c r="LY22" i="3"/>
  <c r="LQ22" i="3"/>
  <c r="MB17" i="3"/>
  <c r="LT17" i="3"/>
  <c r="MA21" i="3"/>
  <c r="LS21" i="3"/>
  <c r="LQ15" i="3"/>
  <c r="LY15" i="3"/>
  <c r="LT22" i="3"/>
  <c r="MB22" i="3"/>
  <c r="LY16" i="3"/>
  <c r="LQ16" i="3"/>
  <c r="LY21" i="3"/>
  <c r="LQ21" i="3"/>
  <c r="LT16" i="3"/>
  <c r="MB16" i="3"/>
  <c r="LR17" i="3"/>
  <c r="LZ17" i="3"/>
  <c r="LZ22" i="3"/>
  <c r="LR22" i="3"/>
  <c r="LZ16" i="3"/>
  <c r="LR16" i="3"/>
  <c r="LS20" i="3"/>
  <c r="MA20" i="3"/>
  <c r="LT18" i="3"/>
  <c r="MB18" i="3"/>
  <c r="LZ19" i="3"/>
  <c r="LR19" i="3"/>
  <c r="MA23" i="3"/>
  <c r="LS23" i="3"/>
  <c r="LY17" i="3"/>
  <c r="LQ17" i="3"/>
  <c r="LQ23" i="3"/>
  <c r="LY23" i="3"/>
  <c r="MA19" i="3"/>
  <c r="LS19" i="3"/>
  <c r="MB23" i="3"/>
  <c r="LT23" i="3"/>
  <c r="LZ20" i="3"/>
  <c r="LR20" i="3"/>
  <c r="LZ18" i="3"/>
  <c r="LR18" i="3"/>
  <c r="LZ21" i="3"/>
  <c r="LR21" i="3"/>
  <c r="LZ23" i="3"/>
  <c r="LR23" i="3"/>
  <c r="MA15" i="3"/>
  <c r="LS15" i="3"/>
  <c r="CL9" i="3"/>
  <c r="HB9" i="3"/>
  <c r="CN21" i="3"/>
  <c r="CR21" i="3" s="1"/>
  <c r="CA21" i="3"/>
  <c r="EH21" i="3" s="1"/>
  <c r="CQ16" i="3"/>
  <c r="CU16" i="3" s="1"/>
  <c r="CD16" i="3"/>
  <c r="EK16" i="3" s="1"/>
  <c r="CO17" i="3"/>
  <c r="CS17" i="3" s="1"/>
  <c r="CB17" i="3"/>
  <c r="EI17" i="3" s="1"/>
  <c r="CO22" i="3"/>
  <c r="CS22" i="3" s="1"/>
  <c r="CB22" i="3"/>
  <c r="EI22" i="3" s="1"/>
  <c r="CO16" i="3"/>
  <c r="CS16" i="3" s="1"/>
  <c r="CB16" i="3"/>
  <c r="EI16" i="3" s="1"/>
  <c r="CP20" i="3"/>
  <c r="CT20" i="3" s="1"/>
  <c r="CC20" i="3"/>
  <c r="EJ20" i="3" s="1"/>
  <c r="CQ18" i="3"/>
  <c r="CU18" i="3" s="1"/>
  <c r="CD18" i="3"/>
  <c r="EK18" i="3" s="1"/>
  <c r="CO19" i="3"/>
  <c r="CS19" i="3" s="1"/>
  <c r="CB19" i="3"/>
  <c r="EI19" i="3" s="1"/>
  <c r="CP23" i="3"/>
  <c r="CT23" i="3" s="1"/>
  <c r="CC23" i="3"/>
  <c r="EJ23" i="3" s="1"/>
  <c r="CN17" i="3"/>
  <c r="CR17" i="3" s="1"/>
  <c r="CA17" i="3"/>
  <c r="CN23" i="3"/>
  <c r="CR23" i="3" s="1"/>
  <c r="CA23" i="3"/>
  <c r="CJ9" i="3"/>
  <c r="GZ9" i="3"/>
  <c r="CP19" i="3"/>
  <c r="CT19" i="3" s="1"/>
  <c r="CC19" i="3"/>
  <c r="EJ19" i="3" s="1"/>
  <c r="CQ23" i="3"/>
  <c r="CU23" i="3" s="1"/>
  <c r="CD23" i="3"/>
  <c r="EK23" i="3" s="1"/>
  <c r="CO20" i="3"/>
  <c r="CS20" i="3" s="1"/>
  <c r="CB20" i="3"/>
  <c r="EI20" i="3" s="1"/>
  <c r="CO18" i="3"/>
  <c r="CS18" i="3" s="1"/>
  <c r="CB18" i="3"/>
  <c r="EI18" i="3" s="1"/>
  <c r="CO21" i="3"/>
  <c r="CS21" i="3" s="1"/>
  <c r="CB21" i="3"/>
  <c r="EI21" i="3" s="1"/>
  <c r="CO23" i="3"/>
  <c r="CS23" i="3" s="1"/>
  <c r="CB23" i="3"/>
  <c r="EI23" i="3" s="1"/>
  <c r="CP17" i="3"/>
  <c r="CT17" i="3" s="1"/>
  <c r="CC17" i="3"/>
  <c r="EJ17" i="3" s="1"/>
  <c r="CQ19" i="3"/>
  <c r="CU19" i="3" s="1"/>
  <c r="CD19" i="3"/>
  <c r="EK19" i="3" s="1"/>
  <c r="CJ14" i="3"/>
  <c r="GZ14" i="3"/>
  <c r="CQ21" i="3"/>
  <c r="CU21" i="3" s="1"/>
  <c r="CD21" i="3"/>
  <c r="EK21" i="3" s="1"/>
  <c r="CN18" i="3"/>
  <c r="CR18" i="3" s="1"/>
  <c r="CA18" i="3"/>
  <c r="EH18" i="3" s="1"/>
  <c r="CO15" i="3"/>
  <c r="CS15" i="3" s="1"/>
  <c r="CB15" i="3"/>
  <c r="EI15" i="3" s="1"/>
  <c r="CP22" i="3"/>
  <c r="CT22" i="3" s="1"/>
  <c r="CC22" i="3"/>
  <c r="EJ22" i="3" s="1"/>
  <c r="CQ20" i="3"/>
  <c r="CU20" i="3" s="1"/>
  <c r="CD20" i="3"/>
  <c r="EK20" i="3" s="1"/>
  <c r="CP18" i="3"/>
  <c r="CT18" i="3" s="1"/>
  <c r="CC18" i="3"/>
  <c r="EJ18" i="3" s="1"/>
  <c r="CN19" i="3"/>
  <c r="CR19" i="3" s="1"/>
  <c r="CA19" i="3"/>
  <c r="CP16" i="3"/>
  <c r="CT16" i="3" s="1"/>
  <c r="CC16" i="3"/>
  <c r="EJ16" i="3" s="1"/>
  <c r="CN20" i="3"/>
  <c r="CR20" i="3" s="1"/>
  <c r="CA20" i="3"/>
  <c r="CN22" i="3"/>
  <c r="CR22" i="3" s="1"/>
  <c r="CA22" i="3"/>
  <c r="CQ17" i="3"/>
  <c r="CU17" i="3" s="1"/>
  <c r="CD17" i="3"/>
  <c r="EK17" i="3" s="1"/>
  <c r="CP21" i="3"/>
  <c r="CT21" i="3" s="1"/>
  <c r="CC21" i="3"/>
  <c r="EJ21" i="3" s="1"/>
  <c r="CN15" i="3"/>
  <c r="CR15" i="3" s="1"/>
  <c r="CA15" i="3"/>
  <c r="EH15" i="3" s="1"/>
  <c r="CQ22" i="3"/>
  <c r="CU22" i="3" s="1"/>
  <c r="CD22" i="3"/>
  <c r="EK22" i="3" s="1"/>
  <c r="CN16" i="3"/>
  <c r="CR16" i="3" s="1"/>
  <c r="CA16" i="3"/>
  <c r="LS7" i="3"/>
  <c r="LQ7" i="3"/>
  <c r="CO7" i="3"/>
  <c r="CS7" i="3" s="1"/>
  <c r="CB7" i="3"/>
  <c r="LT7" i="3"/>
  <c r="CP7" i="3"/>
  <c r="CT7" i="3" s="1"/>
  <c r="CC7" i="3"/>
  <c r="CQ7" i="3"/>
  <c r="CU7" i="3" s="1"/>
  <c r="CD7" i="3"/>
  <c r="CN7" i="3"/>
  <c r="CR7" i="3" s="1"/>
  <c r="CA7" i="3"/>
  <c r="LR7" i="3"/>
  <c r="MR7" i="3"/>
  <c r="MQ7" i="3"/>
  <c r="MR24" i="3"/>
  <c r="MO7" i="3"/>
  <c r="MP7" i="3"/>
  <c r="HF24" i="3" l="1"/>
  <c r="HG24" i="3"/>
  <c r="HD24" i="3"/>
  <c r="HE24" i="3"/>
  <c r="NU21" i="3"/>
  <c r="CY21" i="3"/>
  <c r="NU16" i="3"/>
  <c r="CY16" i="3"/>
  <c r="NS18" i="3"/>
  <c r="CW18" i="3"/>
  <c r="NU19" i="3"/>
  <c r="CY19" i="3"/>
  <c r="NT17" i="3"/>
  <c r="CX17" i="3"/>
  <c r="CX7" i="3"/>
  <c r="DO7" i="3" s="1"/>
  <c r="NS16" i="3"/>
  <c r="CW16" i="3"/>
  <c r="NS15" i="3"/>
  <c r="CW15" i="3"/>
  <c r="DN15" i="3" s="1"/>
  <c r="NS20" i="3"/>
  <c r="CW20" i="3"/>
  <c r="NS19" i="3"/>
  <c r="CW19" i="3"/>
  <c r="NT15" i="3"/>
  <c r="CX15" i="3"/>
  <c r="NT23" i="3"/>
  <c r="CX23" i="3"/>
  <c r="NT18" i="3"/>
  <c r="CX18" i="3"/>
  <c r="NS17" i="3"/>
  <c r="CW17" i="3"/>
  <c r="DJ17" i="3" s="1"/>
  <c r="NT19" i="3"/>
  <c r="CX19" i="3"/>
  <c r="NU20" i="3"/>
  <c r="CY20" i="3"/>
  <c r="NT22" i="3"/>
  <c r="CX22" i="3"/>
  <c r="CY24" i="3"/>
  <c r="EB24" i="3" s="1"/>
  <c r="FD24" i="3" s="1"/>
  <c r="NU24" i="3"/>
  <c r="FR24" i="3"/>
  <c r="GH24" i="3" s="1"/>
  <c r="NS22" i="3"/>
  <c r="CW22" i="3"/>
  <c r="NU22" i="3"/>
  <c r="CY22" i="3"/>
  <c r="NU17" i="3"/>
  <c r="CY17" i="3"/>
  <c r="NT20" i="3"/>
  <c r="CX20" i="3"/>
  <c r="NU23" i="3"/>
  <c r="CY23" i="3"/>
  <c r="NT16" i="3"/>
  <c r="CX16" i="3"/>
  <c r="CW7" i="3"/>
  <c r="ED7" i="3" s="1"/>
  <c r="CY7" i="3"/>
  <c r="DL7" i="3" s="1"/>
  <c r="CZ24" i="3"/>
  <c r="EC24" i="3" s="1"/>
  <c r="FS24" i="3"/>
  <c r="GI24" i="3" s="1"/>
  <c r="NV24" i="3"/>
  <c r="HP24" i="3"/>
  <c r="EH24" i="3"/>
  <c r="NU18" i="3"/>
  <c r="CY18" i="3"/>
  <c r="NT21" i="3"/>
  <c r="CX21" i="3"/>
  <c r="NS23" i="3"/>
  <c r="CW23" i="3"/>
  <c r="NS21" i="3"/>
  <c r="CW21" i="3"/>
  <c r="CW24" i="3"/>
  <c r="DJ24" i="3" s="1"/>
  <c r="FP24" i="3"/>
  <c r="GF24" i="3" s="1"/>
  <c r="NS24" i="3"/>
  <c r="CX24" i="3"/>
  <c r="EA24" i="3" s="1"/>
  <c r="NT24" i="3"/>
  <c r="FQ24" i="3"/>
  <c r="GG24" i="3" s="1"/>
  <c r="NV20" i="3"/>
  <c r="CZ20" i="3"/>
  <c r="NV23" i="3"/>
  <c r="CZ23" i="3"/>
  <c r="NV15" i="3"/>
  <c r="CZ15" i="3"/>
  <c r="NV21" i="3"/>
  <c r="CZ21" i="3"/>
  <c r="NV16" i="3"/>
  <c r="CZ16" i="3"/>
  <c r="NV22" i="3"/>
  <c r="CZ22" i="3"/>
  <c r="NV18" i="3"/>
  <c r="CZ18" i="3"/>
  <c r="NV17" i="3"/>
  <c r="CZ17" i="3"/>
  <c r="NV19" i="3"/>
  <c r="CZ19" i="3"/>
  <c r="CZ7" i="3"/>
  <c r="DM7" i="3" s="1"/>
  <c r="NT7" i="3"/>
  <c r="NS7" i="3"/>
  <c r="NU7" i="3"/>
  <c r="NV7" i="3"/>
  <c r="CP15" i="3"/>
  <c r="CT15" i="3" s="1"/>
  <c r="FR15" i="3" s="1"/>
  <c r="DV9" i="3"/>
  <c r="DR9" i="3"/>
  <c r="EI7" i="3"/>
  <c r="EH7" i="3"/>
  <c r="EJ7" i="3"/>
  <c r="EK7" i="3"/>
  <c r="DZ19" i="3"/>
  <c r="EH19" i="3"/>
  <c r="EH17" i="3"/>
  <c r="DJ16" i="3"/>
  <c r="EH16" i="3"/>
  <c r="ED20" i="3"/>
  <c r="EH20" i="3"/>
  <c r="DN22" i="3"/>
  <c r="EH22" i="3"/>
  <c r="ED23" i="3"/>
  <c r="EH23" i="3"/>
  <c r="CD15" i="3"/>
  <c r="EK15" i="3" s="1"/>
  <c r="HC9" i="3"/>
  <c r="BD9" i="3"/>
  <c r="BH9" i="3" s="1"/>
  <c r="CQ9" i="3" s="1"/>
  <c r="CU9" i="3" s="1"/>
  <c r="IA9" i="3" s="1"/>
  <c r="BC9" i="3"/>
  <c r="BG9" i="3" s="1"/>
  <c r="CC9" i="3" s="1"/>
  <c r="EJ9" i="3" s="1"/>
  <c r="HA14" i="3"/>
  <c r="CK9" i="3"/>
  <c r="BC14" i="3"/>
  <c r="BG14" i="3" s="1"/>
  <c r="BB14" i="3"/>
  <c r="BF14" i="3" s="1"/>
  <c r="CO14" i="3" s="1"/>
  <c r="CS14" i="3" s="1"/>
  <c r="HA9" i="3"/>
  <c r="CM14" i="3"/>
  <c r="DE14" i="3" s="1"/>
  <c r="BD14" i="3"/>
  <c r="BH14" i="3" s="1"/>
  <c r="CL14" i="3"/>
  <c r="DX14" i="3" s="1"/>
  <c r="LU16" i="3"/>
  <c r="MC16" i="3" s="1"/>
  <c r="MS16" i="3" s="1"/>
  <c r="DZ16" i="3"/>
  <c r="LU15" i="3"/>
  <c r="LX17" i="3"/>
  <c r="MF17" i="3" s="1"/>
  <c r="LU20" i="3"/>
  <c r="MC20" i="3" s="1"/>
  <c r="MS20" i="3" s="1"/>
  <c r="DJ20" i="3"/>
  <c r="DZ20" i="3"/>
  <c r="LU19" i="3"/>
  <c r="MC19" i="3" s="1"/>
  <c r="MS19" i="3" s="1"/>
  <c r="LX19" i="3"/>
  <c r="LV23" i="3"/>
  <c r="MD23" i="3" s="1"/>
  <c r="MT23" i="3" s="1"/>
  <c r="LV18" i="3"/>
  <c r="MD18" i="3" s="1"/>
  <c r="MT18" i="3" s="1"/>
  <c r="LX23" i="3"/>
  <c r="MF23" i="3" s="1"/>
  <c r="DW14" i="3"/>
  <c r="DS14" i="3"/>
  <c r="DG14" i="3"/>
  <c r="DC14" i="3"/>
  <c r="DU9" i="3"/>
  <c r="DY9" i="3"/>
  <c r="DI9" i="3"/>
  <c r="DE9" i="3"/>
  <c r="LW18" i="3"/>
  <c r="LW22" i="3"/>
  <c r="LU18" i="3"/>
  <c r="DB9" i="3"/>
  <c r="DF9" i="3"/>
  <c r="LU17" i="3"/>
  <c r="MC17" i="3" s="1"/>
  <c r="MS17" i="3" s="1"/>
  <c r="LV19" i="3"/>
  <c r="LW20" i="3"/>
  <c r="LV22" i="3"/>
  <c r="LX16" i="3"/>
  <c r="LX22" i="3"/>
  <c r="LW21" i="3"/>
  <c r="LU22" i="3"/>
  <c r="MC22" i="3" s="1"/>
  <c r="MS22" i="3" s="1"/>
  <c r="DZ22" i="3"/>
  <c r="LW16" i="3"/>
  <c r="ME16" i="3" s="1"/>
  <c r="MU16" i="3" s="1"/>
  <c r="DB14" i="3"/>
  <c r="DV14" i="3"/>
  <c r="DR14" i="3"/>
  <c r="DF14" i="3"/>
  <c r="LW17" i="3"/>
  <c r="ME17" i="3" s="1"/>
  <c r="MU17" i="3" s="1"/>
  <c r="LW15" i="3"/>
  <c r="ME15" i="3" s="1"/>
  <c r="MU15" i="3" s="1"/>
  <c r="LV21" i="3"/>
  <c r="MD21" i="3" s="1"/>
  <c r="MT21" i="3" s="1"/>
  <c r="LV20" i="3"/>
  <c r="LW19" i="3"/>
  <c r="LX15" i="3"/>
  <c r="MF15" i="3" s="1"/>
  <c r="LX20" i="3"/>
  <c r="MF20" i="3" s="1"/>
  <c r="LV15" i="3"/>
  <c r="MD15" i="3" s="1"/>
  <c r="MT15" i="3" s="1"/>
  <c r="LX21" i="3"/>
  <c r="MF21" i="3" s="1"/>
  <c r="LU23" i="3"/>
  <c r="MC23" i="3" s="1"/>
  <c r="MS23" i="3" s="1"/>
  <c r="DJ23" i="3"/>
  <c r="DZ23" i="3"/>
  <c r="LW23" i="3"/>
  <c r="ME23" i="3" s="1"/>
  <c r="MU23" i="3" s="1"/>
  <c r="LX18" i="3"/>
  <c r="MF18" i="3" s="1"/>
  <c r="LV16" i="3"/>
  <c r="LV17" i="3"/>
  <c r="MD17" i="3" s="1"/>
  <c r="MT17" i="3" s="1"/>
  <c r="LU21" i="3"/>
  <c r="DX9" i="3"/>
  <c r="DH9" i="3"/>
  <c r="DD9" i="3"/>
  <c r="DT9" i="3"/>
  <c r="LZ14" i="3"/>
  <c r="LR14" i="3"/>
  <c r="MB9" i="3"/>
  <c r="LT9" i="3"/>
  <c r="LY9" i="3"/>
  <c r="LQ9" i="3"/>
  <c r="LS14" i="3"/>
  <c r="LY14" i="3"/>
  <c r="LQ14" i="3"/>
  <c r="LT14" i="3"/>
  <c r="LR9" i="3"/>
  <c r="MA9" i="3"/>
  <c r="LS9" i="3"/>
  <c r="FP16" i="3"/>
  <c r="HD16" i="3"/>
  <c r="FP15" i="3"/>
  <c r="HD15" i="3"/>
  <c r="FS17" i="3"/>
  <c r="HG17" i="3"/>
  <c r="FP20" i="3"/>
  <c r="HD20" i="3"/>
  <c r="FP19" i="3"/>
  <c r="HD19" i="3"/>
  <c r="DN18" i="3"/>
  <c r="CN14" i="3"/>
  <c r="CR14" i="3" s="1"/>
  <c r="CA14" i="3"/>
  <c r="FS19" i="3"/>
  <c r="HG19" i="3"/>
  <c r="CM10" i="3"/>
  <c r="HC10" i="3"/>
  <c r="BD10" i="3"/>
  <c r="BH10" i="3" s="1"/>
  <c r="CJ13" i="3"/>
  <c r="GZ13" i="3"/>
  <c r="BA13" i="3"/>
  <c r="BE13" i="3" s="1"/>
  <c r="CM13" i="3"/>
  <c r="HC13" i="3"/>
  <c r="BD13" i="3"/>
  <c r="BH13" i="3" s="1"/>
  <c r="FQ23" i="3"/>
  <c r="HE23" i="3"/>
  <c r="FQ18" i="3"/>
  <c r="HE18" i="3"/>
  <c r="FS23" i="3"/>
  <c r="HG23" i="3"/>
  <c r="CM12" i="3"/>
  <c r="HC12" i="3"/>
  <c r="BD12" i="3"/>
  <c r="BH12" i="3" s="1"/>
  <c r="CK12" i="3"/>
  <c r="DS12" i="3" s="1"/>
  <c r="HA12" i="3"/>
  <c r="BB12" i="3"/>
  <c r="BF12" i="3" s="1"/>
  <c r="CL8" i="3"/>
  <c r="HB8" i="3"/>
  <c r="BC8" i="3"/>
  <c r="BG8" i="3" s="1"/>
  <c r="CJ11" i="3"/>
  <c r="GZ11" i="3"/>
  <c r="BA11" i="3"/>
  <c r="BE11" i="3" s="1"/>
  <c r="CK11" i="3"/>
  <c r="HA11" i="3"/>
  <c r="BB11" i="3"/>
  <c r="BF11" i="3" s="1"/>
  <c r="FR18" i="3"/>
  <c r="HF18" i="3"/>
  <c r="FR22" i="3"/>
  <c r="HF22" i="3"/>
  <c r="FP18" i="3"/>
  <c r="HD18" i="3"/>
  <c r="CL10" i="3"/>
  <c r="HB10" i="3"/>
  <c r="BC10" i="3"/>
  <c r="BG10" i="3" s="1"/>
  <c r="FP17" i="3"/>
  <c r="HD17" i="3"/>
  <c r="FQ19" i="3"/>
  <c r="HE19" i="3"/>
  <c r="FR20" i="3"/>
  <c r="HF20" i="3"/>
  <c r="FQ22" i="3"/>
  <c r="HE22" i="3"/>
  <c r="FS16" i="3"/>
  <c r="HG16" i="3"/>
  <c r="CL12" i="3"/>
  <c r="HB12" i="3"/>
  <c r="BC12" i="3"/>
  <c r="BG12" i="3" s="1"/>
  <c r="CK8" i="3"/>
  <c r="HA8" i="3"/>
  <c r="BB8" i="3"/>
  <c r="BF8" i="3" s="1"/>
  <c r="CJ8" i="3"/>
  <c r="GZ8" i="3"/>
  <c r="BA8" i="3"/>
  <c r="BE8" i="3" s="1"/>
  <c r="CB9" i="3"/>
  <c r="FS22" i="3"/>
  <c r="HG22" i="3"/>
  <c r="FR21" i="3"/>
  <c r="HF21" i="3"/>
  <c r="FP22" i="3"/>
  <c r="HD22" i="3"/>
  <c r="FR16" i="3"/>
  <c r="HF16" i="3"/>
  <c r="CL11" i="3"/>
  <c r="HB11" i="3"/>
  <c r="BC11" i="3"/>
  <c r="BG11" i="3" s="1"/>
  <c r="FR17" i="3"/>
  <c r="HF17" i="3"/>
  <c r="CK10" i="3"/>
  <c r="HA10" i="3"/>
  <c r="BB10" i="3"/>
  <c r="BF10" i="3" s="1"/>
  <c r="CL13" i="3"/>
  <c r="HB13" i="3"/>
  <c r="BC13" i="3"/>
  <c r="BG13" i="3" s="1"/>
  <c r="FQ21" i="3"/>
  <c r="HE21" i="3"/>
  <c r="FQ20" i="3"/>
  <c r="HE20" i="3"/>
  <c r="FR19" i="3"/>
  <c r="HF19" i="3"/>
  <c r="DZ21" i="3"/>
  <c r="CM11" i="3"/>
  <c r="HC11" i="3"/>
  <c r="BD11" i="3"/>
  <c r="BH11" i="3" s="1"/>
  <c r="FS15" i="3"/>
  <c r="HG15" i="3"/>
  <c r="FS20" i="3"/>
  <c r="HG20" i="3"/>
  <c r="FQ15" i="3"/>
  <c r="HE15" i="3"/>
  <c r="FS21" i="3"/>
  <c r="HG21" i="3"/>
  <c r="CJ10" i="3"/>
  <c r="GZ10" i="3"/>
  <c r="BA10" i="3"/>
  <c r="BE10" i="3" s="1"/>
  <c r="CK13" i="3"/>
  <c r="HA13" i="3"/>
  <c r="BB13" i="3"/>
  <c r="BF13" i="3" s="1"/>
  <c r="CN9" i="3"/>
  <c r="CR9" i="3" s="1"/>
  <c r="HX9" i="3" s="1"/>
  <c r="CA9" i="3"/>
  <c r="EH9" i="3" s="1"/>
  <c r="FP23" i="3"/>
  <c r="HD23" i="3"/>
  <c r="FR23" i="3"/>
  <c r="HF23" i="3"/>
  <c r="FS18" i="3"/>
  <c r="HG18" i="3"/>
  <c r="FQ16" i="3"/>
  <c r="HE16" i="3"/>
  <c r="FQ17" i="3"/>
  <c r="HE17" i="3"/>
  <c r="FP21" i="3"/>
  <c r="HD21" i="3"/>
  <c r="CJ12" i="3"/>
  <c r="DR12" i="3" s="1"/>
  <c r="GZ12" i="3"/>
  <c r="BA12" i="3"/>
  <c r="BE12" i="3" s="1"/>
  <c r="CM8" i="3"/>
  <c r="HC8" i="3"/>
  <c r="BD8" i="3"/>
  <c r="BH8" i="3" s="1"/>
  <c r="FS7" i="3"/>
  <c r="LX7" i="3"/>
  <c r="HG7" i="3"/>
  <c r="HD7" i="3"/>
  <c r="LU7" i="3"/>
  <c r="FP7" i="3"/>
  <c r="FR7" i="3"/>
  <c r="HF7" i="3"/>
  <c r="LW7" i="3"/>
  <c r="FQ7" i="3"/>
  <c r="LV7" i="3"/>
  <c r="MD7" i="3" s="1"/>
  <c r="MT7" i="3" s="1"/>
  <c r="HE7" i="3"/>
  <c r="MC24" i="3"/>
  <c r="MS24" i="3" s="1"/>
  <c r="MD24" i="3"/>
  <c r="MT24" i="3" s="1"/>
  <c r="ME24" i="3"/>
  <c r="MU24" i="3" s="1"/>
  <c r="DO24" i="3" l="1"/>
  <c r="DN24" i="3"/>
  <c r="DQ24" i="3"/>
  <c r="DP24" i="3"/>
  <c r="ER24" i="3" s="1"/>
  <c r="EE24" i="3"/>
  <c r="EU24" i="3" s="1"/>
  <c r="ED24" i="3"/>
  <c r="EG24" i="3"/>
  <c r="EW24" i="3" s="1"/>
  <c r="EF24" i="3"/>
  <c r="EV24" i="3" s="1"/>
  <c r="DK24" i="3"/>
  <c r="DZ24" i="3"/>
  <c r="FB24" i="3" s="1"/>
  <c r="DM24" i="3"/>
  <c r="DL24" i="3"/>
  <c r="EZ24" i="3" s="1"/>
  <c r="ED17" i="3"/>
  <c r="EI9" i="3"/>
  <c r="DZ17" i="3"/>
  <c r="DT14" i="3"/>
  <c r="EA7" i="3"/>
  <c r="NW21" i="3"/>
  <c r="EX24" i="3"/>
  <c r="EP24" i="3"/>
  <c r="NW17" i="3"/>
  <c r="DJ7" i="3"/>
  <c r="EB7" i="3"/>
  <c r="ET24" i="3"/>
  <c r="NW18" i="3"/>
  <c r="EE7" i="3"/>
  <c r="DP7" i="3"/>
  <c r="NW7" i="3"/>
  <c r="EF7" i="3"/>
  <c r="DZ7" i="3"/>
  <c r="DK7" i="3"/>
  <c r="NW22" i="3"/>
  <c r="NW19" i="3"/>
  <c r="NW20" i="3"/>
  <c r="NW16" i="3"/>
  <c r="NW23" i="3"/>
  <c r="NS9" i="3"/>
  <c r="CW9" i="3"/>
  <c r="DZ9" i="3" s="1"/>
  <c r="NS14" i="3"/>
  <c r="CW14" i="3"/>
  <c r="DZ14" i="3" s="1"/>
  <c r="NT14" i="3"/>
  <c r="CX14" i="3"/>
  <c r="DN7" i="3"/>
  <c r="NW24" i="3"/>
  <c r="NU15" i="3"/>
  <c r="NW15" i="3" s="1"/>
  <c r="CY15" i="3"/>
  <c r="NV9" i="3"/>
  <c r="CZ9" i="3"/>
  <c r="EG7" i="3"/>
  <c r="EC7" i="3"/>
  <c r="DQ7" i="3"/>
  <c r="HF15" i="3"/>
  <c r="DY14" i="3"/>
  <c r="DJ19" i="3"/>
  <c r="EP7" i="3"/>
  <c r="DS10" i="3"/>
  <c r="DW10" i="3"/>
  <c r="DV11" i="3"/>
  <c r="DR11" i="3"/>
  <c r="DN23" i="3"/>
  <c r="DN17" i="3"/>
  <c r="DN20" i="3"/>
  <c r="DW9" i="3"/>
  <c r="DS9" i="3"/>
  <c r="DR10" i="3"/>
  <c r="DV10" i="3"/>
  <c r="DW11" i="3"/>
  <c r="DS11" i="3"/>
  <c r="DS8" i="3"/>
  <c r="DW8" i="3"/>
  <c r="DV8" i="3"/>
  <c r="DR8" i="3"/>
  <c r="EH14" i="3"/>
  <c r="ED22" i="3"/>
  <c r="ED19" i="3"/>
  <c r="DN16" i="3"/>
  <c r="DJ22" i="3"/>
  <c r="DN19" i="3"/>
  <c r="ED16" i="3"/>
  <c r="CD9" i="3"/>
  <c r="EK9" i="3" s="1"/>
  <c r="CP9" i="3"/>
  <c r="CT9" i="3" s="1"/>
  <c r="HZ9" i="3" s="1"/>
  <c r="DC9" i="3"/>
  <c r="DG9" i="3"/>
  <c r="CO9" i="3"/>
  <c r="CS9" i="3" s="1"/>
  <c r="HY9" i="3" s="1"/>
  <c r="LZ9" i="3"/>
  <c r="CQ14" i="3"/>
  <c r="CU14" i="3" s="1"/>
  <c r="CP14" i="3"/>
  <c r="CT14" i="3" s="1"/>
  <c r="CC14" i="3"/>
  <c r="EJ14" i="3" s="1"/>
  <c r="CD14" i="3"/>
  <c r="EK14" i="3" s="1"/>
  <c r="CB14" i="3"/>
  <c r="EI14" i="3" s="1"/>
  <c r="MA14" i="3"/>
  <c r="DD14" i="3"/>
  <c r="DH14" i="3"/>
  <c r="DI14" i="3"/>
  <c r="DU14" i="3"/>
  <c r="MB14" i="3"/>
  <c r="DJ21" i="3"/>
  <c r="DN21" i="3"/>
  <c r="ED15" i="3"/>
  <c r="DJ18" i="3"/>
  <c r="DE8" i="3"/>
  <c r="DI8" i="3"/>
  <c r="DY8" i="3"/>
  <c r="DU8" i="3"/>
  <c r="DF10" i="3"/>
  <c r="DB10" i="3"/>
  <c r="DG10" i="3"/>
  <c r="DC10" i="3"/>
  <c r="LW9" i="3"/>
  <c r="DG8" i="3"/>
  <c r="DC8" i="3"/>
  <c r="LX14" i="3"/>
  <c r="DE10" i="3"/>
  <c r="DU10" i="3"/>
  <c r="DY10" i="3"/>
  <c r="DI10" i="3"/>
  <c r="LU14" i="3"/>
  <c r="MC14" i="3" s="1"/>
  <c r="MS14" i="3" s="1"/>
  <c r="LW14" i="3"/>
  <c r="LU9" i="3"/>
  <c r="DS13" i="3"/>
  <c r="DC13" i="3"/>
  <c r="DG13" i="3"/>
  <c r="DW13" i="3"/>
  <c r="LV14" i="3"/>
  <c r="MD14" i="3" s="1"/>
  <c r="MT14" i="3" s="1"/>
  <c r="DX13" i="3"/>
  <c r="DD13" i="3"/>
  <c r="DH13" i="3"/>
  <c r="DT13" i="3"/>
  <c r="DF8" i="3"/>
  <c r="DB8" i="3"/>
  <c r="DD10" i="3"/>
  <c r="DX10" i="3"/>
  <c r="DH10" i="3"/>
  <c r="DT10" i="3"/>
  <c r="DF11" i="3"/>
  <c r="DB11" i="3"/>
  <c r="DE12" i="3"/>
  <c r="DU12" i="3"/>
  <c r="DY12" i="3"/>
  <c r="DI12" i="3"/>
  <c r="DF13" i="3"/>
  <c r="DR13" i="3"/>
  <c r="DV13" i="3"/>
  <c r="DB13" i="3"/>
  <c r="DZ18" i="3"/>
  <c r="DZ15" i="3"/>
  <c r="DX11" i="3"/>
  <c r="DH11" i="3"/>
  <c r="DD11" i="3"/>
  <c r="DT11" i="3"/>
  <c r="LV9" i="3"/>
  <c r="DC11" i="3"/>
  <c r="DG11" i="3"/>
  <c r="DW12" i="3"/>
  <c r="DC12" i="3"/>
  <c r="DG12" i="3"/>
  <c r="DY13" i="3"/>
  <c r="DU13" i="3"/>
  <c r="DI13" i="3"/>
  <c r="DE13" i="3"/>
  <c r="ED21" i="3"/>
  <c r="ED18" i="3"/>
  <c r="DJ15" i="3"/>
  <c r="DB12" i="3"/>
  <c r="DF12" i="3"/>
  <c r="DV12" i="3"/>
  <c r="DU11" i="3"/>
  <c r="DI11" i="3"/>
  <c r="DY11" i="3"/>
  <c r="DE11" i="3"/>
  <c r="LX9" i="3"/>
  <c r="DD12" i="3"/>
  <c r="DT12" i="3"/>
  <c r="DH12" i="3"/>
  <c r="DX12" i="3"/>
  <c r="DD8" i="3"/>
  <c r="DX8" i="3"/>
  <c r="DT8" i="3"/>
  <c r="DH8" i="3"/>
  <c r="LT8" i="3"/>
  <c r="MB8" i="3"/>
  <c r="LY10" i="3"/>
  <c r="LQ10" i="3"/>
  <c r="LZ10" i="3"/>
  <c r="LR10" i="3"/>
  <c r="LZ8" i="3"/>
  <c r="LR8" i="3"/>
  <c r="LT10" i="3"/>
  <c r="MB10" i="3"/>
  <c r="LR13" i="3"/>
  <c r="LZ13" i="3"/>
  <c r="MA13" i="3"/>
  <c r="LS13" i="3"/>
  <c r="LY8" i="3"/>
  <c r="LQ8" i="3"/>
  <c r="LS10" i="3"/>
  <c r="MA10" i="3"/>
  <c r="LQ11" i="3"/>
  <c r="LY11" i="3"/>
  <c r="LT12" i="3"/>
  <c r="MB12" i="3"/>
  <c r="LY13" i="3"/>
  <c r="LQ13" i="3"/>
  <c r="MA11" i="3"/>
  <c r="LS11" i="3"/>
  <c r="LZ11" i="3"/>
  <c r="LR11" i="3"/>
  <c r="LZ12" i="3"/>
  <c r="LR12" i="3"/>
  <c r="MB13" i="3"/>
  <c r="LT13" i="3"/>
  <c r="LY12" i="3"/>
  <c r="LQ12" i="3"/>
  <c r="MB11" i="3"/>
  <c r="LT11" i="3"/>
  <c r="LS12" i="3"/>
  <c r="MA12" i="3"/>
  <c r="LS8" i="3"/>
  <c r="MA8" i="3"/>
  <c r="MC21" i="3"/>
  <c r="MS21" i="3" s="1"/>
  <c r="ME18" i="3"/>
  <c r="MU18" i="3" s="1"/>
  <c r="MC15" i="3"/>
  <c r="MS15" i="3" s="1"/>
  <c r="CO13" i="3"/>
  <c r="CS13" i="3" s="1"/>
  <c r="CB13" i="3"/>
  <c r="EI13" i="3" s="1"/>
  <c r="CQ11" i="3"/>
  <c r="CU11" i="3" s="1"/>
  <c r="CD11" i="3"/>
  <c r="EK11" i="3" s="1"/>
  <c r="CP12" i="3"/>
  <c r="CT12" i="3" s="1"/>
  <c r="CC12" i="3"/>
  <c r="EJ12" i="3" s="1"/>
  <c r="CO11" i="3"/>
  <c r="CS11" i="3" s="1"/>
  <c r="CB11" i="3"/>
  <c r="EI11" i="3" s="1"/>
  <c r="CP8" i="3"/>
  <c r="CT8" i="3" s="1"/>
  <c r="FZ8" i="3" s="1"/>
  <c r="CC8" i="3"/>
  <c r="EJ8" i="3" s="1"/>
  <c r="CN13" i="3"/>
  <c r="CR13" i="3" s="1"/>
  <c r="CA13" i="3"/>
  <c r="EH13" i="3" s="1"/>
  <c r="CN12" i="3"/>
  <c r="CR12" i="3" s="1"/>
  <c r="CA12" i="3"/>
  <c r="EH12" i="3" s="1"/>
  <c r="FP9" i="3"/>
  <c r="HD9" i="3"/>
  <c r="FQ14" i="3"/>
  <c r="HE14" i="3"/>
  <c r="CO8" i="3"/>
  <c r="CS8" i="3" s="1"/>
  <c r="FY8" i="3" s="1"/>
  <c r="CB8" i="3"/>
  <c r="EI8" i="3" s="1"/>
  <c r="CP10" i="3"/>
  <c r="CT10" i="3" s="1"/>
  <c r="JB10" i="3" s="1"/>
  <c r="CC10" i="3"/>
  <c r="EJ10" i="3" s="1"/>
  <c r="CQ13" i="3"/>
  <c r="CU13" i="3" s="1"/>
  <c r="CD13" i="3"/>
  <c r="EK13" i="3" s="1"/>
  <c r="FP14" i="3"/>
  <c r="HD14" i="3"/>
  <c r="CQ8" i="3"/>
  <c r="CU8" i="3" s="1"/>
  <c r="GA8" i="3" s="1"/>
  <c r="CD8" i="3"/>
  <c r="EK8" i="3" s="1"/>
  <c r="CO10" i="3"/>
  <c r="CS10" i="3" s="1"/>
  <c r="JA10" i="3" s="1"/>
  <c r="CB10" i="3"/>
  <c r="EI10" i="3" s="1"/>
  <c r="CN8" i="3"/>
  <c r="CR8" i="3" s="1"/>
  <c r="FX8" i="3" s="1"/>
  <c r="CA8" i="3"/>
  <c r="EH8" i="3" s="1"/>
  <c r="CQ12" i="3"/>
  <c r="CU12" i="3" s="1"/>
  <c r="CD12" i="3"/>
  <c r="EK12" i="3" s="1"/>
  <c r="CN10" i="3"/>
  <c r="CR10" i="3" s="1"/>
  <c r="IZ10" i="3" s="1"/>
  <c r="CA10" i="3"/>
  <c r="EH10" i="3" s="1"/>
  <c r="FS9" i="3"/>
  <c r="HG9" i="3"/>
  <c r="CP13" i="3"/>
  <c r="CT13" i="3" s="1"/>
  <c r="CC13" i="3"/>
  <c r="EJ13" i="3" s="1"/>
  <c r="CP11" i="3"/>
  <c r="CT11" i="3" s="1"/>
  <c r="CC11" i="3"/>
  <c r="EJ11" i="3" s="1"/>
  <c r="CN11" i="3"/>
  <c r="CR11" i="3" s="1"/>
  <c r="CA11" i="3"/>
  <c r="EH11" i="3" s="1"/>
  <c r="ME21" i="3"/>
  <c r="MU21" i="3" s="1"/>
  <c r="CO12" i="3"/>
  <c r="CS12" i="3" s="1"/>
  <c r="CB12" i="3"/>
  <c r="EI12" i="3" s="1"/>
  <c r="CQ10" i="3"/>
  <c r="CU10" i="3" s="1"/>
  <c r="JC10" i="3" s="1"/>
  <c r="CD10" i="3"/>
  <c r="EK10" i="3" s="1"/>
  <c r="MC18" i="3"/>
  <c r="MS18" i="3" s="1"/>
  <c r="EQ24" i="3"/>
  <c r="FC24" i="3"/>
  <c r="FK24" i="3" s="1"/>
  <c r="EY24" i="3"/>
  <c r="ES24" i="3"/>
  <c r="MF19" i="3"/>
  <c r="MD20" i="3"/>
  <c r="MT20" i="3" s="1"/>
  <c r="ME20" i="3"/>
  <c r="MU20" i="3" s="1"/>
  <c r="MF16" i="3"/>
  <c r="MD19" i="3"/>
  <c r="MT19" i="3" s="1"/>
  <c r="ME19" i="3"/>
  <c r="MU19" i="3" s="1"/>
  <c r="MF24" i="3"/>
  <c r="MV24" i="3" s="1"/>
  <c r="MW24" i="3" s="1"/>
  <c r="MD16" i="3"/>
  <c r="MT16" i="3" s="1"/>
  <c r="ME22" i="3"/>
  <c r="MU22" i="3" s="1"/>
  <c r="MD22" i="3"/>
  <c r="MT22" i="3" s="1"/>
  <c r="MF22" i="3"/>
  <c r="FH24" i="3"/>
  <c r="FA24" i="3"/>
  <c r="IJ24" i="3"/>
  <c r="JY24" i="3"/>
  <c r="IF24" i="3"/>
  <c r="KC24" i="3"/>
  <c r="GN24" i="3"/>
  <c r="GJ24" i="3"/>
  <c r="FL24" i="3"/>
  <c r="FE24" i="3"/>
  <c r="FM24" i="3" s="1"/>
  <c r="KB24" i="3"/>
  <c r="LD24" i="3" s="1"/>
  <c r="IM24" i="3"/>
  <c r="GM24" i="3"/>
  <c r="GY24" i="3" s="1"/>
  <c r="KF24" i="3"/>
  <c r="GQ24" i="3"/>
  <c r="II24" i="3"/>
  <c r="IQ24" i="3" s="1"/>
  <c r="IK24" i="3"/>
  <c r="IG24" i="3"/>
  <c r="JI24" i="3" s="1"/>
  <c r="JZ24" i="3"/>
  <c r="GO24" i="3"/>
  <c r="GK24" i="3"/>
  <c r="GS24" i="3" s="1"/>
  <c r="KD24" i="3"/>
  <c r="KE24" i="3"/>
  <c r="GP24" i="3"/>
  <c r="IL24" i="3"/>
  <c r="KA24" i="3"/>
  <c r="KY24" i="3" s="1"/>
  <c r="GL24" i="3"/>
  <c r="GX24" i="3" s="1"/>
  <c r="IH24" i="3"/>
  <c r="IP24" i="3" s="1"/>
  <c r="KI24" i="3" l="1"/>
  <c r="HR24" i="3"/>
  <c r="LC24" i="3"/>
  <c r="HQ24" i="3"/>
  <c r="JM24" i="3"/>
  <c r="HS24" i="3"/>
  <c r="KZ24" i="3"/>
  <c r="KJ24" i="3"/>
  <c r="IT24" i="3"/>
  <c r="GT24" i="3"/>
  <c r="IS24" i="3"/>
  <c r="IO24" i="3"/>
  <c r="GU24" i="3"/>
  <c r="IU24" i="3"/>
  <c r="IE24" i="3" s="1"/>
  <c r="KN24" i="3"/>
  <c r="FJ24" i="3"/>
  <c r="FO24" i="3" s="1"/>
  <c r="HN24" i="3"/>
  <c r="KM24" i="3"/>
  <c r="JN24" i="3"/>
  <c r="HM24" i="3"/>
  <c r="GW24" i="3"/>
  <c r="HO24" i="3"/>
  <c r="JJ24" i="3"/>
  <c r="JK24" i="3"/>
  <c r="JO24" i="3"/>
  <c r="FF24" i="3"/>
  <c r="NU14" i="3"/>
  <c r="CY14" i="3"/>
  <c r="NS11" i="3"/>
  <c r="CW11" i="3"/>
  <c r="NU13" i="3"/>
  <c r="CY13" i="3"/>
  <c r="NS10" i="3"/>
  <c r="CW10" i="3"/>
  <c r="ED10" i="3" s="1"/>
  <c r="NS8" i="3"/>
  <c r="CW8" i="3"/>
  <c r="DN8" i="3" s="1"/>
  <c r="NT8" i="3"/>
  <c r="CX8" i="3"/>
  <c r="NS13" i="3"/>
  <c r="CW13" i="3"/>
  <c r="DN13" i="3" s="1"/>
  <c r="NT11" i="3"/>
  <c r="CX11" i="3"/>
  <c r="NT12" i="3"/>
  <c r="CX12" i="3"/>
  <c r="NU9" i="3"/>
  <c r="CY9" i="3"/>
  <c r="NU11" i="3"/>
  <c r="CY11" i="3"/>
  <c r="NT10" i="3"/>
  <c r="CX10" i="3"/>
  <c r="NU10" i="3"/>
  <c r="CY10" i="3"/>
  <c r="NS12" i="3"/>
  <c r="CW12" i="3"/>
  <c r="DZ12" i="3" s="1"/>
  <c r="NU8" i="3"/>
  <c r="CY8" i="3"/>
  <c r="NU12" i="3"/>
  <c r="CY12" i="3"/>
  <c r="NT13" i="3"/>
  <c r="CX13" i="3"/>
  <c r="NT9" i="3"/>
  <c r="CX9" i="3"/>
  <c r="NV12" i="3"/>
  <c r="CZ12" i="3"/>
  <c r="NV10" i="3"/>
  <c r="CZ10" i="3"/>
  <c r="NV8" i="3"/>
  <c r="CZ8" i="3"/>
  <c r="NV13" i="3"/>
  <c r="CZ13" i="3"/>
  <c r="NV11" i="3"/>
  <c r="CZ11" i="3"/>
  <c r="NV14" i="3"/>
  <c r="CZ14" i="3"/>
  <c r="ED14" i="3"/>
  <c r="DJ14" i="3"/>
  <c r="HF9" i="3"/>
  <c r="DN14" i="3"/>
  <c r="FR9" i="3"/>
  <c r="HF14" i="3"/>
  <c r="FR14" i="3"/>
  <c r="HE9" i="3"/>
  <c r="FQ9" i="3"/>
  <c r="HG14" i="3"/>
  <c r="FS14" i="3"/>
  <c r="ED9" i="3"/>
  <c r="LV12" i="3"/>
  <c r="LV10" i="3"/>
  <c r="LU12" i="3"/>
  <c r="LW8" i="3"/>
  <c r="LW12" i="3"/>
  <c r="LV13" i="3"/>
  <c r="LX10" i="3"/>
  <c r="LU11" i="3"/>
  <c r="MC11" i="3" s="1"/>
  <c r="MS11" i="3" s="1"/>
  <c r="LW11" i="3"/>
  <c r="ME11" i="3" s="1"/>
  <c r="MU11" i="3" s="1"/>
  <c r="LW10" i="3"/>
  <c r="ME10" i="3" s="1"/>
  <c r="MU10" i="3" s="1"/>
  <c r="LU13" i="3"/>
  <c r="DN9" i="3"/>
  <c r="LU8" i="3"/>
  <c r="LX8" i="3"/>
  <c r="MF8" i="3" s="1"/>
  <c r="LX13" i="3"/>
  <c r="LV11" i="3"/>
  <c r="LX11" i="3"/>
  <c r="DJ9" i="3"/>
  <c r="LW13" i="3"/>
  <c r="LU10" i="3"/>
  <c r="LX12" i="3"/>
  <c r="LV8" i="3"/>
  <c r="MD8" i="3" s="1"/>
  <c r="MT8" i="3" s="1"/>
  <c r="JW24" i="3"/>
  <c r="KV24" i="3"/>
  <c r="KU24" i="3"/>
  <c r="MD9" i="3"/>
  <c r="MT9" i="3" s="1"/>
  <c r="MF14" i="3"/>
  <c r="ME9" i="3"/>
  <c r="MU9" i="3" s="1"/>
  <c r="MF9" i="3"/>
  <c r="ME14" i="3"/>
  <c r="MU14" i="3" s="1"/>
  <c r="FS10" i="3"/>
  <c r="HG10" i="3"/>
  <c r="FQ12" i="3"/>
  <c r="HE12" i="3"/>
  <c r="DN11" i="3"/>
  <c r="FS13" i="3"/>
  <c r="HG13" i="3"/>
  <c r="FR10" i="3"/>
  <c r="HF10" i="3"/>
  <c r="FP12" i="3"/>
  <c r="HD12" i="3"/>
  <c r="FP13" i="3"/>
  <c r="HD13" i="3"/>
  <c r="FR8" i="3"/>
  <c r="HF8" i="3"/>
  <c r="FR12" i="3"/>
  <c r="HF12" i="3"/>
  <c r="FQ13" i="3"/>
  <c r="HE13" i="3"/>
  <c r="FP11" i="3"/>
  <c r="HD11" i="3"/>
  <c r="FR11" i="3"/>
  <c r="HF11" i="3"/>
  <c r="FS12" i="3"/>
  <c r="HG12" i="3"/>
  <c r="FQ8" i="3"/>
  <c r="HE8" i="3"/>
  <c r="FQ11" i="3"/>
  <c r="HE11" i="3"/>
  <c r="FS11" i="3"/>
  <c r="HG11" i="3"/>
  <c r="FR13" i="3"/>
  <c r="HF13" i="3"/>
  <c r="FP10" i="3"/>
  <c r="HD10" i="3"/>
  <c r="FP8" i="3"/>
  <c r="HD8" i="3"/>
  <c r="FQ10" i="3"/>
  <c r="HE10" i="3"/>
  <c r="FS8" i="3"/>
  <c r="HG8" i="3"/>
  <c r="MC9" i="3"/>
  <c r="MS9" i="3" s="1"/>
  <c r="FG24" i="3"/>
  <c r="KH24" i="3"/>
  <c r="HK24" i="3"/>
  <c r="KL24" i="3"/>
  <c r="KX24" i="3"/>
  <c r="LB24" i="3"/>
  <c r="GE24" i="3"/>
  <c r="JG24" i="3"/>
  <c r="JF24" i="3"/>
  <c r="IR24" i="3"/>
  <c r="IN24" i="3"/>
  <c r="GC24" i="3"/>
  <c r="GR24" i="3"/>
  <c r="HI24" i="3"/>
  <c r="LA24" i="3"/>
  <c r="HJ24" i="3"/>
  <c r="KG24" i="3"/>
  <c r="KK24" i="3"/>
  <c r="FI24" i="3"/>
  <c r="GD24" i="3"/>
  <c r="JE24" i="3"/>
  <c r="JL24" i="3"/>
  <c r="IC24" i="3"/>
  <c r="KW24" i="3"/>
  <c r="ID24" i="3"/>
  <c r="HL24" i="3"/>
  <c r="JH24" i="3"/>
  <c r="GV24" i="3"/>
  <c r="JX24" i="3" l="1"/>
  <c r="LO24" i="3"/>
  <c r="LN24" i="3"/>
  <c r="FN24" i="3"/>
  <c r="MX24" i="3" s="1"/>
  <c r="NW9" i="3"/>
  <c r="NW14" i="3"/>
  <c r="NW10" i="3"/>
  <c r="NW11" i="3"/>
  <c r="NW8" i="3"/>
  <c r="NW12" i="3"/>
  <c r="NW13" i="3"/>
  <c r="DJ8" i="3"/>
  <c r="DJ10" i="3"/>
  <c r="DZ8" i="3"/>
  <c r="ED12" i="3"/>
  <c r="ED13" i="3"/>
  <c r="DJ12" i="3"/>
  <c r="DZ10" i="3"/>
  <c r="ED8" i="3"/>
  <c r="DZ13" i="3"/>
  <c r="ED11" i="3"/>
  <c r="DN12" i="3"/>
  <c r="DJ13" i="3"/>
  <c r="DZ11" i="3"/>
  <c r="DN10" i="3"/>
  <c r="DJ11" i="3"/>
  <c r="JV24" i="3"/>
  <c r="LM24" i="3" s="1"/>
  <c r="JU24" i="3"/>
  <c r="KT24" i="3"/>
  <c r="KS24" i="3"/>
  <c r="MD10" i="3"/>
  <c r="MT10" i="3" s="1"/>
  <c r="MF12" i="3"/>
  <c r="MC13" i="3"/>
  <c r="MS13" i="3" s="1"/>
  <c r="MD13" i="3"/>
  <c r="MT13" i="3" s="1"/>
  <c r="MF10" i="3"/>
  <c r="MC10" i="3"/>
  <c r="MS10" i="3" s="1"/>
  <c r="MF11" i="3"/>
  <c r="MD11" i="3"/>
  <c r="MT11" i="3" s="1"/>
  <c r="ME12" i="3"/>
  <c r="MU12" i="3" s="1"/>
  <c r="MC12" i="3"/>
  <c r="MS12" i="3" s="1"/>
  <c r="MF13" i="3"/>
  <c r="MD12" i="3"/>
  <c r="MT12" i="3" s="1"/>
  <c r="ME13" i="3"/>
  <c r="MU13" i="3" s="1"/>
  <c r="GB24" i="3"/>
  <c r="IB24" i="3"/>
  <c r="JD24" i="3"/>
  <c r="HH24" i="3"/>
  <c r="MC8" i="3"/>
  <c r="MS8" i="3" s="1"/>
  <c r="NH24" i="3" l="1"/>
  <c r="LL24" i="3"/>
  <c r="LP24" i="3" s="1"/>
  <c r="MY24" i="3" s="1"/>
  <c r="MZ24" i="3" s="1"/>
  <c r="NX24" i="3" l="1"/>
  <c r="NO24" i="3"/>
  <c r="NP24" i="3" s="1"/>
  <c r="T20" i="11"/>
  <c r="U20" i="11" s="1"/>
  <c r="NQ24" i="3"/>
  <c r="V20" i="11" l="1"/>
  <c r="W20" i="11" s="1"/>
  <c r="O20" i="11"/>
  <c r="N20" i="11" s="1"/>
  <c r="AG20" i="11" s="1"/>
  <c r="X20" i="11"/>
  <c r="ME8" i="3"/>
  <c r="MU8" i="3" s="1"/>
  <c r="MC7" i="3"/>
  <c r="MS7" i="3" s="1"/>
  <c r="ME7" i="3"/>
  <c r="MU7" i="3" s="1"/>
  <c r="MF7" i="3"/>
  <c r="MV7" i="3" s="1"/>
  <c r="Y20" i="11" l="1"/>
  <c r="MW7" i="3"/>
  <c r="H7" i="55" s="1"/>
  <c r="MR16" i="3" l="1"/>
  <c r="MV16" i="3" s="1"/>
  <c r="MW16" i="3" s="1"/>
  <c r="MR20" i="3"/>
  <c r="MV20" i="3" s="1"/>
  <c r="MW20" i="3" s="1"/>
  <c r="EP19" i="3"/>
  <c r="MR9" i="3"/>
  <c r="MV9" i="3" s="1"/>
  <c r="MW9" i="3" s="1"/>
  <c r="MR13" i="3"/>
  <c r="MV13" i="3" s="1"/>
  <c r="MW13" i="3" s="1"/>
  <c r="MR22" i="3"/>
  <c r="MV22" i="3" s="1"/>
  <c r="MW22" i="3" s="1"/>
  <c r="MR15" i="3"/>
  <c r="MV15" i="3" s="1"/>
  <c r="MW15" i="3" s="1"/>
  <c r="MR10" i="3"/>
  <c r="MV10" i="3" s="1"/>
  <c r="MW10" i="3" s="1"/>
  <c r="EX18" i="3" l="1"/>
  <c r="FB16" i="3"/>
  <c r="ET23" i="3"/>
  <c r="EX15" i="3"/>
  <c r="EX22" i="3"/>
  <c r="EX21" i="3"/>
  <c r="ET19" i="3"/>
  <c r="GF17" i="3"/>
  <c r="JY17" i="3" s="1"/>
  <c r="EP20" i="3"/>
  <c r="EP17" i="3"/>
  <c r="EX20" i="3"/>
  <c r="ET21" i="3"/>
  <c r="EX17" i="3"/>
  <c r="ET22" i="3"/>
  <c r="GF22" i="3"/>
  <c r="KC22" i="3" s="1"/>
  <c r="GF21" i="3"/>
  <c r="GN21" i="3" s="1"/>
  <c r="ET17" i="3"/>
  <c r="ET20" i="3"/>
  <c r="FB20" i="3"/>
  <c r="GF20" i="3"/>
  <c r="JY20" i="3" s="1"/>
  <c r="FB22" i="3"/>
  <c r="FB21" i="3"/>
  <c r="FB17" i="3"/>
  <c r="EX19" i="3"/>
  <c r="FF19" i="3" s="1"/>
  <c r="GF15" i="3"/>
  <c r="GJ15" i="3" s="1"/>
  <c r="EP21" i="3"/>
  <c r="MR8" i="3"/>
  <c r="MV8" i="3" s="1"/>
  <c r="MW8" i="3" s="1"/>
  <c r="FB15" i="3"/>
  <c r="EP18" i="3"/>
  <c r="FF18" i="3" s="1"/>
  <c r="GF23" i="3"/>
  <c r="JY23" i="3" s="1"/>
  <c r="FB23" i="3"/>
  <c r="MR11" i="3"/>
  <c r="MV11" i="3" s="1"/>
  <c r="MW11" i="3" s="1"/>
  <c r="GF18" i="3"/>
  <c r="GN18" i="3" s="1"/>
  <c r="EX23" i="3"/>
  <c r="FB18" i="3"/>
  <c r="GF16" i="3"/>
  <c r="IF16" i="3" s="1"/>
  <c r="EP23" i="3"/>
  <c r="EP16" i="3"/>
  <c r="EX16" i="3"/>
  <c r="ET16" i="3"/>
  <c r="GF19" i="3"/>
  <c r="GJ19" i="3" s="1"/>
  <c r="FB19" i="3"/>
  <c r="EP22" i="3"/>
  <c r="ET18" i="3"/>
  <c r="ET15" i="3"/>
  <c r="EP15" i="3"/>
  <c r="GF13" i="3"/>
  <c r="EP13" i="3"/>
  <c r="FB13" i="3"/>
  <c r="EX13" i="3"/>
  <c r="ET13" i="3"/>
  <c r="GI19" i="3"/>
  <c r="GG16" i="3"/>
  <c r="GI21" i="3"/>
  <c r="GI23" i="3"/>
  <c r="GG23" i="3"/>
  <c r="GI17" i="3"/>
  <c r="GI18" i="3"/>
  <c r="GH21" i="3"/>
  <c r="GG17" i="3"/>
  <c r="EX14" i="3"/>
  <c r="GF14" i="3"/>
  <c r="FB14" i="3"/>
  <c r="ET14" i="3"/>
  <c r="EP14" i="3"/>
  <c r="GG21" i="3"/>
  <c r="GH15" i="3"/>
  <c r="GH17" i="3"/>
  <c r="EX12" i="3"/>
  <c r="EP12" i="3"/>
  <c r="ET12" i="3"/>
  <c r="FB12" i="3"/>
  <c r="GF12" i="3"/>
  <c r="GH22" i="3"/>
  <c r="FB10" i="3"/>
  <c r="EX10" i="3"/>
  <c r="GF10" i="3"/>
  <c r="EP10" i="3"/>
  <c r="ET10" i="3"/>
  <c r="GF9" i="3"/>
  <c r="EP9" i="3"/>
  <c r="ET9" i="3"/>
  <c r="FB9" i="3"/>
  <c r="EX9" i="3"/>
  <c r="GG22" i="3"/>
  <c r="EX8" i="3"/>
  <c r="ET8" i="3"/>
  <c r="FB8" i="3"/>
  <c r="GF8" i="3"/>
  <c r="EP8" i="3"/>
  <c r="GG19" i="3"/>
  <c r="FF22" i="3" l="1"/>
  <c r="FC7" i="3"/>
  <c r="EU7" i="3"/>
  <c r="EY7" i="3"/>
  <c r="DK12" i="3"/>
  <c r="EE12" i="3"/>
  <c r="EA12" i="3"/>
  <c r="DO12" i="3"/>
  <c r="DQ15" i="3"/>
  <c r="ES15" i="3" s="1"/>
  <c r="DM15" i="3"/>
  <c r="EG15" i="3"/>
  <c r="EW15" i="3" s="1"/>
  <c r="EC15" i="3"/>
  <c r="FE15" i="3" s="1"/>
  <c r="DO16" i="3"/>
  <c r="DK16" i="3"/>
  <c r="EY16" i="3" s="1"/>
  <c r="EE16" i="3"/>
  <c r="EU16" i="3" s="1"/>
  <c r="EA16" i="3"/>
  <c r="FC16" i="3" s="1"/>
  <c r="DO14" i="3"/>
  <c r="DK14" i="3"/>
  <c r="EY14" i="3" s="1"/>
  <c r="EE14" i="3"/>
  <c r="EU14" i="3" s="1"/>
  <c r="EA14" i="3"/>
  <c r="FC14" i="3" s="1"/>
  <c r="DP19" i="3"/>
  <c r="ER19" i="3" s="1"/>
  <c r="EB19" i="3"/>
  <c r="DL19" i="3"/>
  <c r="EZ19" i="3" s="1"/>
  <c r="EF19" i="3"/>
  <c r="EV19" i="3" s="1"/>
  <c r="EF22" i="3"/>
  <c r="EV22" i="3" s="1"/>
  <c r="DP22" i="3"/>
  <c r="ER22" i="3" s="1"/>
  <c r="EB22" i="3"/>
  <c r="FD22" i="3" s="1"/>
  <c r="DL22" i="3"/>
  <c r="EZ22" i="3" s="1"/>
  <c r="DO17" i="3"/>
  <c r="EQ17" i="3" s="1"/>
  <c r="EA17" i="3"/>
  <c r="DK17" i="3"/>
  <c r="EY17" i="3" s="1"/>
  <c r="EE17" i="3"/>
  <c r="EU17" i="3" s="1"/>
  <c r="DP16" i="3"/>
  <c r="ER16" i="3" s="1"/>
  <c r="EB16" i="3"/>
  <c r="DL16" i="3"/>
  <c r="EZ16" i="3" s="1"/>
  <c r="EF16" i="3"/>
  <c r="EV16" i="3" s="1"/>
  <c r="EE18" i="3"/>
  <c r="EU18" i="3" s="1"/>
  <c r="EA18" i="3"/>
  <c r="DO18" i="3"/>
  <c r="EQ18" i="3" s="1"/>
  <c r="DK18" i="3"/>
  <c r="EY18" i="3" s="1"/>
  <c r="EA23" i="3"/>
  <c r="FC23" i="3" s="1"/>
  <c r="DO23" i="3"/>
  <c r="DK23" i="3"/>
  <c r="EY23" i="3" s="1"/>
  <c r="EE23" i="3"/>
  <c r="EU23" i="3" s="1"/>
  <c r="EF20" i="3"/>
  <c r="DL20" i="3"/>
  <c r="DP20" i="3"/>
  <c r="ER20" i="3" s="1"/>
  <c r="EB20" i="3"/>
  <c r="FD20" i="3" s="1"/>
  <c r="EA19" i="3"/>
  <c r="FC19" i="3" s="1"/>
  <c r="DK19" i="3"/>
  <c r="EE19" i="3"/>
  <c r="EU19" i="3" s="1"/>
  <c r="DO19" i="3"/>
  <c r="EQ19" i="3" s="1"/>
  <c r="EC20" i="3"/>
  <c r="DM20" i="3"/>
  <c r="DQ20" i="3"/>
  <c r="ES20" i="3" s="1"/>
  <c r="EG20" i="3"/>
  <c r="EW20" i="3" s="1"/>
  <c r="DL9" i="3"/>
  <c r="EZ9" i="3" s="1"/>
  <c r="DP9" i="3"/>
  <c r="EB9" i="3"/>
  <c r="FD9" i="3" s="1"/>
  <c r="EF9" i="3"/>
  <c r="EV9" i="3" s="1"/>
  <c r="EF15" i="3"/>
  <c r="EV15" i="3" s="1"/>
  <c r="DL15" i="3"/>
  <c r="EB15" i="3"/>
  <c r="FD15" i="3" s="1"/>
  <c r="DP15" i="3"/>
  <c r="ER15" i="3" s="1"/>
  <c r="EB21" i="3"/>
  <c r="FD21" i="3" s="1"/>
  <c r="DL21" i="3"/>
  <c r="DP21" i="3"/>
  <c r="ER21" i="3" s="1"/>
  <c r="EF21" i="3"/>
  <c r="EV21" i="3" s="1"/>
  <c r="EG22" i="3"/>
  <c r="EW22" i="3" s="1"/>
  <c r="DM22" i="3"/>
  <c r="FA22" i="3" s="1"/>
  <c r="EC22" i="3"/>
  <c r="FE22" i="3" s="1"/>
  <c r="DQ22" i="3"/>
  <c r="ES22" i="3" s="1"/>
  <c r="DK15" i="3"/>
  <c r="EY15" i="3" s="1"/>
  <c r="EE15" i="3"/>
  <c r="EU15" i="3" s="1"/>
  <c r="EA15" i="3"/>
  <c r="FC15" i="3" s="1"/>
  <c r="DO15" i="3"/>
  <c r="EQ15" i="3" s="1"/>
  <c r="EF17" i="3"/>
  <c r="EV17" i="3" s="1"/>
  <c r="DP17" i="3"/>
  <c r="ER17" i="3" s="1"/>
  <c r="DL17" i="3"/>
  <c r="EZ17" i="3" s="1"/>
  <c r="EB17" i="3"/>
  <c r="FD17" i="3" s="1"/>
  <c r="DM16" i="3"/>
  <c r="FA16" i="3" s="1"/>
  <c r="EC16" i="3"/>
  <c r="DQ16" i="3"/>
  <c r="ES16" i="3" s="1"/>
  <c r="EG16" i="3"/>
  <c r="EW16" i="3" s="1"/>
  <c r="DO13" i="3"/>
  <c r="EQ13" i="3" s="1"/>
  <c r="EE13" i="3"/>
  <c r="EA13" i="3"/>
  <c r="FC13" i="3" s="1"/>
  <c r="DK13" i="3"/>
  <c r="EY13" i="3" s="1"/>
  <c r="EQ7" i="3"/>
  <c r="EE22" i="3"/>
  <c r="EU22" i="3" s="1"/>
  <c r="DK22" i="3"/>
  <c r="EY22" i="3" s="1"/>
  <c r="EA22" i="3"/>
  <c r="FC22" i="3" s="1"/>
  <c r="DO22" i="3"/>
  <c r="EQ22" i="3" s="1"/>
  <c r="EF18" i="3"/>
  <c r="EV18" i="3" s="1"/>
  <c r="DP18" i="3"/>
  <c r="ER18" i="3" s="1"/>
  <c r="EB18" i="3"/>
  <c r="FD18" i="3" s="1"/>
  <c r="DL18" i="3"/>
  <c r="EZ18" i="3" s="1"/>
  <c r="EE11" i="3"/>
  <c r="EU11" i="3" s="1"/>
  <c r="EA11" i="3"/>
  <c r="FC11" i="3" s="1"/>
  <c r="DO11" i="3"/>
  <c r="EQ11" i="3" s="1"/>
  <c r="DK11" i="3"/>
  <c r="EY11" i="3" s="1"/>
  <c r="DK20" i="3"/>
  <c r="EE20" i="3"/>
  <c r="EU20" i="3" s="1"/>
  <c r="EA20" i="3"/>
  <c r="FC20" i="3" s="1"/>
  <c r="DO20" i="3"/>
  <c r="EQ20" i="3" s="1"/>
  <c r="DK9" i="3"/>
  <c r="EY9" i="3" s="1"/>
  <c r="EE9" i="3"/>
  <c r="EU9" i="3" s="1"/>
  <c r="EA9" i="3"/>
  <c r="FC9" i="3" s="1"/>
  <c r="DO9" i="3"/>
  <c r="EQ9" i="3" s="1"/>
  <c r="DO8" i="3"/>
  <c r="EQ8" i="3" s="1"/>
  <c r="EE8" i="3"/>
  <c r="EU8" i="3" s="1"/>
  <c r="DK8" i="3"/>
  <c r="EY8" i="3" s="1"/>
  <c r="EA8" i="3"/>
  <c r="FC8" i="3" s="1"/>
  <c r="DL23" i="3"/>
  <c r="EZ23" i="3" s="1"/>
  <c r="EB23" i="3"/>
  <c r="FD23" i="3" s="1"/>
  <c r="EF23" i="3"/>
  <c r="EV23" i="3" s="1"/>
  <c r="DP23" i="3"/>
  <c r="ER23" i="3" s="1"/>
  <c r="EE21" i="3"/>
  <c r="EU21" i="3" s="1"/>
  <c r="DO21" i="3"/>
  <c r="EQ21" i="3" s="1"/>
  <c r="EA21" i="3"/>
  <c r="FC21" i="3" s="1"/>
  <c r="DK21" i="3"/>
  <c r="EY21" i="3" s="1"/>
  <c r="FJ16" i="3"/>
  <c r="FJ23" i="3"/>
  <c r="MR18" i="3"/>
  <c r="MV18" i="3" s="1"/>
  <c r="MW18" i="3" s="1"/>
  <c r="MR23" i="3"/>
  <c r="MV23" i="3" s="1"/>
  <c r="MW23" i="3" s="1"/>
  <c r="MR12" i="3"/>
  <c r="MV12" i="3" s="1"/>
  <c r="MW12" i="3" s="1"/>
  <c r="MR19" i="3"/>
  <c r="MV19" i="3" s="1"/>
  <c r="MW19" i="3" s="1"/>
  <c r="MR21" i="3"/>
  <c r="MV21" i="3" s="1"/>
  <c r="MW21" i="3" s="1"/>
  <c r="MR17" i="3"/>
  <c r="MV17" i="3" s="1"/>
  <c r="MW17" i="3" s="1"/>
  <c r="MR14" i="3"/>
  <c r="MV14" i="3" s="1"/>
  <c r="MW14" i="3" s="1"/>
  <c r="FJ15" i="3"/>
  <c r="GN10" i="3"/>
  <c r="IJ10" i="3"/>
  <c r="KC17" i="3"/>
  <c r="KK17" i="3" s="1"/>
  <c r="FJ19" i="3"/>
  <c r="GJ17" i="3"/>
  <c r="IF17" i="3"/>
  <c r="GN17" i="3"/>
  <c r="FF20" i="3"/>
  <c r="IJ17" i="3"/>
  <c r="FF15" i="3"/>
  <c r="FF21" i="3"/>
  <c r="GG18" i="3"/>
  <c r="KD18" i="3" s="1"/>
  <c r="FB11" i="3"/>
  <c r="GH23" i="3"/>
  <c r="GI22" i="3"/>
  <c r="GH18" i="3"/>
  <c r="KE18" i="3" s="1"/>
  <c r="GH20" i="3"/>
  <c r="KA20" i="3" s="1"/>
  <c r="GI20" i="3"/>
  <c r="GI15" i="3"/>
  <c r="GI16" i="3"/>
  <c r="IM16" i="3" s="1"/>
  <c r="GH19" i="3"/>
  <c r="GH9" i="3"/>
  <c r="GL9" i="3" s="1"/>
  <c r="ET7" i="3"/>
  <c r="GG20" i="3"/>
  <c r="GG15" i="3"/>
  <c r="KD15" i="3" s="1"/>
  <c r="GH16" i="3"/>
  <c r="FJ22" i="3"/>
  <c r="FJ21" i="3"/>
  <c r="FF17" i="3"/>
  <c r="GN22" i="3"/>
  <c r="JY19" i="3"/>
  <c r="FJ10" i="3"/>
  <c r="IF20" i="3"/>
  <c r="JY22" i="3"/>
  <c r="KW22" i="3" s="1"/>
  <c r="IJ22" i="3"/>
  <c r="GJ22" i="3"/>
  <c r="KC21" i="3"/>
  <c r="GJ21" i="3"/>
  <c r="HL21" i="3" s="1"/>
  <c r="KC23" i="3"/>
  <c r="KW23" i="3" s="1"/>
  <c r="IJ21" i="3"/>
  <c r="IF22" i="3"/>
  <c r="FJ20" i="3"/>
  <c r="FJ17" i="3"/>
  <c r="JY21" i="3"/>
  <c r="IF21" i="3"/>
  <c r="GN20" i="3"/>
  <c r="GJ20" i="3"/>
  <c r="IJ20" i="3"/>
  <c r="KC20" i="3"/>
  <c r="KK20" i="3" s="1"/>
  <c r="JY15" i="3"/>
  <c r="ER9" i="3"/>
  <c r="IF23" i="3"/>
  <c r="GJ16" i="3"/>
  <c r="IJ16" i="3"/>
  <c r="IR16" i="3" s="1"/>
  <c r="GN16" i="3"/>
  <c r="IF18" i="3"/>
  <c r="GJ18" i="3"/>
  <c r="GR18" i="3" s="1"/>
  <c r="EP11" i="3"/>
  <c r="IJ15" i="3"/>
  <c r="KC15" i="3"/>
  <c r="GN15" i="3"/>
  <c r="HL15" i="3" s="1"/>
  <c r="IF15" i="3"/>
  <c r="GN23" i="3"/>
  <c r="FB7" i="3"/>
  <c r="EX7" i="3"/>
  <c r="GJ23" i="3"/>
  <c r="GF7" i="3"/>
  <c r="IJ23" i="3"/>
  <c r="IJ19" i="3"/>
  <c r="EY19" i="3"/>
  <c r="GF11" i="3"/>
  <c r="IJ11" i="3" s="1"/>
  <c r="KC16" i="3"/>
  <c r="JY16" i="3"/>
  <c r="EX11" i="3"/>
  <c r="IJ18" i="3"/>
  <c r="JY18" i="3"/>
  <c r="ET11" i="3"/>
  <c r="FC18" i="3"/>
  <c r="FA15" i="3"/>
  <c r="KC18" i="3"/>
  <c r="FJ18" i="3"/>
  <c r="FF16" i="3"/>
  <c r="FF23" i="3"/>
  <c r="KC19" i="3"/>
  <c r="IF19" i="3"/>
  <c r="GN19" i="3"/>
  <c r="GV19" i="3" s="1"/>
  <c r="FF8" i="3"/>
  <c r="FF14" i="3"/>
  <c r="EZ20" i="3"/>
  <c r="FE20" i="3"/>
  <c r="EV20" i="3"/>
  <c r="EY20" i="3"/>
  <c r="FJ13" i="3"/>
  <c r="FJ8" i="3"/>
  <c r="FF9" i="3"/>
  <c r="FE16" i="3"/>
  <c r="FA20" i="3"/>
  <c r="FF10" i="3"/>
  <c r="FF12" i="3"/>
  <c r="KD19" i="3"/>
  <c r="GK19" i="3"/>
  <c r="JZ19" i="3"/>
  <c r="IK19" i="3"/>
  <c r="GO19" i="3"/>
  <c r="IG19" i="3"/>
  <c r="GH7" i="3"/>
  <c r="FJ9" i="3"/>
  <c r="GG11" i="3"/>
  <c r="GL22" i="3"/>
  <c r="KE22" i="3"/>
  <c r="IH22" i="3"/>
  <c r="KA22" i="3"/>
  <c r="IL22" i="3"/>
  <c r="GP22" i="3"/>
  <c r="FJ12" i="3"/>
  <c r="GI7" i="3"/>
  <c r="GG10" i="3"/>
  <c r="EZ15" i="3"/>
  <c r="GJ14" i="3"/>
  <c r="IF14" i="3"/>
  <c r="KC14" i="3"/>
  <c r="IJ14" i="3"/>
  <c r="JY14" i="3"/>
  <c r="GN14" i="3"/>
  <c r="EQ14" i="3"/>
  <c r="GG14" i="3"/>
  <c r="KF17" i="3"/>
  <c r="GQ17" i="3"/>
  <c r="II17" i="3"/>
  <c r="KB17" i="3"/>
  <c r="GM17" i="3"/>
  <c r="IM17" i="3"/>
  <c r="JZ23" i="3"/>
  <c r="GO23" i="3"/>
  <c r="IG23" i="3"/>
  <c r="GK23" i="3"/>
  <c r="KD23" i="3"/>
  <c r="IK23" i="3"/>
  <c r="KF23" i="3"/>
  <c r="GM23" i="3"/>
  <c r="HS23" i="3" s="1"/>
  <c r="IM23" i="3"/>
  <c r="KB23" i="3"/>
  <c r="GQ23" i="3"/>
  <c r="II23" i="3"/>
  <c r="JK23" i="3" s="1"/>
  <c r="GH12" i="3"/>
  <c r="FF13" i="3"/>
  <c r="GI14" i="3"/>
  <c r="FD19" i="3"/>
  <c r="GL17" i="3"/>
  <c r="GP17" i="3"/>
  <c r="IL17" i="3"/>
  <c r="KA17" i="3"/>
  <c r="IH17" i="3"/>
  <c r="KE17" i="3"/>
  <c r="KA15" i="3"/>
  <c r="KE15" i="3"/>
  <c r="IL15" i="3"/>
  <c r="IH15" i="3"/>
  <c r="GL15" i="3"/>
  <c r="GP15" i="3"/>
  <c r="IK21" i="3"/>
  <c r="KD21" i="3"/>
  <c r="IG21" i="3"/>
  <c r="JZ21" i="3"/>
  <c r="GO21" i="3"/>
  <c r="GK21" i="3"/>
  <c r="EZ21" i="3"/>
  <c r="EU13" i="3"/>
  <c r="GG13" i="3"/>
  <c r="GH13" i="3"/>
  <c r="EQ23" i="3"/>
  <c r="II21" i="3"/>
  <c r="GM21" i="3"/>
  <c r="IM21" i="3"/>
  <c r="KF21" i="3"/>
  <c r="GQ21" i="3"/>
  <c r="KB21" i="3"/>
  <c r="GI11" i="3"/>
  <c r="JZ16" i="3"/>
  <c r="GO16" i="3"/>
  <c r="GK16" i="3"/>
  <c r="IK16" i="3"/>
  <c r="IG16" i="3"/>
  <c r="KD16" i="3"/>
  <c r="IJ13" i="3"/>
  <c r="JY13" i="3"/>
  <c r="IF13" i="3"/>
  <c r="GN13" i="3"/>
  <c r="KC13" i="3"/>
  <c r="GJ13" i="3"/>
  <c r="GN8" i="3"/>
  <c r="JY8" i="3"/>
  <c r="IF8" i="3"/>
  <c r="IJ8" i="3"/>
  <c r="KC8" i="3"/>
  <c r="GJ8" i="3"/>
  <c r="GG8" i="3"/>
  <c r="JZ22" i="3"/>
  <c r="GO22" i="3"/>
  <c r="KD22" i="3"/>
  <c r="GK22" i="3"/>
  <c r="IK22" i="3"/>
  <c r="IG22" i="3"/>
  <c r="GN9" i="3"/>
  <c r="JY9" i="3"/>
  <c r="KC9" i="3"/>
  <c r="IF9" i="3"/>
  <c r="IJ9" i="3"/>
  <c r="GJ9" i="3"/>
  <c r="KC10" i="3"/>
  <c r="GJ10" i="3"/>
  <c r="IF10" i="3"/>
  <c r="JY10" i="3"/>
  <c r="KC12" i="3"/>
  <c r="GN12" i="3"/>
  <c r="IJ12" i="3"/>
  <c r="IF12" i="3"/>
  <c r="JY12" i="3"/>
  <c r="GJ12" i="3"/>
  <c r="GH10" i="3"/>
  <c r="GH11" i="3"/>
  <c r="FJ14" i="3"/>
  <c r="FC17" i="3"/>
  <c r="KA21" i="3"/>
  <c r="KM21" i="3" s="1"/>
  <c r="IL21" i="3"/>
  <c r="IH21" i="3"/>
  <c r="KE21" i="3"/>
  <c r="GP21" i="3"/>
  <c r="GL21" i="3"/>
  <c r="FD16" i="3"/>
  <c r="GG9" i="3"/>
  <c r="EQ16" i="3"/>
  <c r="GG7" i="3"/>
  <c r="GK17" i="3"/>
  <c r="GO17" i="3"/>
  <c r="IG17" i="3"/>
  <c r="KD17" i="3"/>
  <c r="IK17" i="3"/>
  <c r="JZ17" i="3"/>
  <c r="II18" i="3"/>
  <c r="IM18" i="3"/>
  <c r="GQ18" i="3"/>
  <c r="KF18" i="3"/>
  <c r="GM18" i="3"/>
  <c r="KB18" i="3"/>
  <c r="GI8" i="3"/>
  <c r="GI12" i="3"/>
  <c r="KF19" i="3"/>
  <c r="GM19" i="3"/>
  <c r="II19" i="3"/>
  <c r="IM19" i="3"/>
  <c r="KB19" i="3"/>
  <c r="KJ19" i="3" s="1"/>
  <c r="GQ19" i="3"/>
  <c r="KC7" i="3" l="1"/>
  <c r="KJ23" i="3"/>
  <c r="JO23" i="3"/>
  <c r="JJ22" i="3"/>
  <c r="IU23" i="3"/>
  <c r="IQ23" i="3"/>
  <c r="LD23" i="3"/>
  <c r="KV23" i="3" s="1"/>
  <c r="KZ23" i="3"/>
  <c r="GY23" i="3"/>
  <c r="GU23" i="3"/>
  <c r="HO23" i="3"/>
  <c r="KN23" i="3"/>
  <c r="JJ21" i="3"/>
  <c r="GT22" i="3"/>
  <c r="JO21" i="3"/>
  <c r="KI22" i="3"/>
  <c r="IT22" i="3"/>
  <c r="ID22" i="3" s="1"/>
  <c r="IP22" i="3"/>
  <c r="HN22" i="3"/>
  <c r="HR22" i="3"/>
  <c r="LC22" i="3"/>
  <c r="JN22" i="3"/>
  <c r="GX22" i="3"/>
  <c r="GD22" i="3" s="1"/>
  <c r="KY22" i="3"/>
  <c r="KM22" i="3"/>
  <c r="GT21" i="3"/>
  <c r="LD21" i="3"/>
  <c r="KY21" i="3"/>
  <c r="KI21" i="3"/>
  <c r="JW21" i="3" s="1"/>
  <c r="IP21" i="3"/>
  <c r="IQ21" i="3"/>
  <c r="KZ21" i="3"/>
  <c r="KJ21" i="3"/>
  <c r="HO21" i="3"/>
  <c r="JK19" i="3"/>
  <c r="GY19" i="3"/>
  <c r="HO19" i="3"/>
  <c r="HS19" i="3"/>
  <c r="HR17" i="3"/>
  <c r="HO18" i="3"/>
  <c r="JO18" i="3"/>
  <c r="IU18" i="3"/>
  <c r="JK18" i="3"/>
  <c r="KZ18" i="3"/>
  <c r="KM17" i="3"/>
  <c r="HO17" i="3"/>
  <c r="IU17" i="3"/>
  <c r="KI17" i="3"/>
  <c r="KN17" i="3"/>
  <c r="JJ17" i="3"/>
  <c r="GT15" i="3"/>
  <c r="KM15" i="3"/>
  <c r="JN15" i="3"/>
  <c r="HR15" i="3"/>
  <c r="KI15" i="3"/>
  <c r="KY15" i="3"/>
  <c r="JJ15" i="3"/>
  <c r="HN15" i="3"/>
  <c r="HJ15" i="3" s="1"/>
  <c r="IU21" i="3"/>
  <c r="JN21" i="3"/>
  <c r="KN21" i="3"/>
  <c r="JX21" i="3" s="1"/>
  <c r="HS21" i="3"/>
  <c r="GY21" i="3"/>
  <c r="GU21" i="3"/>
  <c r="GX21" i="3"/>
  <c r="GD21" i="3" s="1"/>
  <c r="JK21" i="3"/>
  <c r="IT21" i="3"/>
  <c r="ID21" i="3" s="1"/>
  <c r="HN21" i="3"/>
  <c r="LC21" i="3"/>
  <c r="HR21" i="3"/>
  <c r="GU19" i="3"/>
  <c r="GE19" i="3" s="1"/>
  <c r="KZ19" i="3"/>
  <c r="JO19" i="3"/>
  <c r="IU19" i="3"/>
  <c r="IQ19" i="3"/>
  <c r="KN19" i="3"/>
  <c r="JX19" i="3" s="1"/>
  <c r="LD19" i="3"/>
  <c r="GY18" i="3"/>
  <c r="KN18" i="3"/>
  <c r="KJ18" i="3"/>
  <c r="IQ18" i="3"/>
  <c r="LD18" i="3"/>
  <c r="GU18" i="3"/>
  <c r="HS18" i="3"/>
  <c r="LC17" i="3"/>
  <c r="KY17" i="3"/>
  <c r="LD17" i="3"/>
  <c r="JK17" i="3"/>
  <c r="JO17" i="3"/>
  <c r="KJ17" i="3"/>
  <c r="JN17" i="3"/>
  <c r="HN17" i="3"/>
  <c r="HJ17" i="3" s="1"/>
  <c r="IP17" i="3"/>
  <c r="KZ17" i="3"/>
  <c r="HS17" i="3"/>
  <c r="GY17" i="3"/>
  <c r="IT17" i="3"/>
  <c r="GX17" i="3"/>
  <c r="GT17" i="3"/>
  <c r="GU17" i="3"/>
  <c r="GE17" i="3" s="1"/>
  <c r="IQ17" i="3"/>
  <c r="IT15" i="3"/>
  <c r="GX15" i="3"/>
  <c r="IP15" i="3"/>
  <c r="LC15" i="3"/>
  <c r="EW7" i="3"/>
  <c r="EV7" i="3"/>
  <c r="EZ7" i="3"/>
  <c r="HQ16" i="3"/>
  <c r="GW19" i="3"/>
  <c r="FA7" i="3"/>
  <c r="JI19" i="3"/>
  <c r="JI17" i="3"/>
  <c r="GS22" i="3"/>
  <c r="HQ21" i="3"/>
  <c r="JM23" i="3"/>
  <c r="HQ17" i="3"/>
  <c r="IO22" i="3"/>
  <c r="JI16" i="3"/>
  <c r="IS21" i="3"/>
  <c r="GS23" i="3"/>
  <c r="HM21" i="3"/>
  <c r="HQ19" i="3"/>
  <c r="HM19" i="3"/>
  <c r="IS22" i="3"/>
  <c r="HQ22" i="3"/>
  <c r="JM21" i="3"/>
  <c r="GS17" i="3"/>
  <c r="IO17" i="3"/>
  <c r="HQ23" i="3"/>
  <c r="IS23" i="3"/>
  <c r="GW16" i="3"/>
  <c r="IO16" i="3"/>
  <c r="HM17" i="3"/>
  <c r="GW21" i="3"/>
  <c r="GS19" i="3"/>
  <c r="HM22" i="3"/>
  <c r="HI22" i="3" s="1"/>
  <c r="GW17" i="3"/>
  <c r="JI23" i="3"/>
  <c r="HM23" i="3"/>
  <c r="JM16" i="3"/>
  <c r="IO23" i="3"/>
  <c r="IO21" i="3"/>
  <c r="GS21" i="3"/>
  <c r="IS19" i="3"/>
  <c r="JM19" i="3"/>
  <c r="JI22" i="3"/>
  <c r="JM22" i="3"/>
  <c r="JM17" i="3"/>
  <c r="GW23" i="3"/>
  <c r="IS16" i="3"/>
  <c r="HM16" i="3"/>
  <c r="GS16" i="3"/>
  <c r="JI21" i="3"/>
  <c r="IO19" i="3"/>
  <c r="GW22" i="3"/>
  <c r="IS17" i="3"/>
  <c r="FH17" i="3"/>
  <c r="FK22" i="3"/>
  <c r="FK16" i="3"/>
  <c r="FK21" i="3"/>
  <c r="FL21" i="3"/>
  <c r="EF11" i="3"/>
  <c r="EV11" i="3" s="1"/>
  <c r="DP11" i="3"/>
  <c r="ER11" i="3" s="1"/>
  <c r="EB11" i="3"/>
  <c r="FD11" i="3" s="1"/>
  <c r="DL11" i="3"/>
  <c r="EZ11" i="3" s="1"/>
  <c r="EF8" i="3"/>
  <c r="EV8" i="3" s="1"/>
  <c r="EB8" i="3"/>
  <c r="FD8" i="3" s="1"/>
  <c r="DL8" i="3"/>
  <c r="EZ8" i="3" s="1"/>
  <c r="DP8" i="3"/>
  <c r="ER8" i="3" s="1"/>
  <c r="FH22" i="3"/>
  <c r="EC10" i="3"/>
  <c r="FE10" i="3" s="1"/>
  <c r="DQ10" i="3"/>
  <c r="ES10" i="3" s="1"/>
  <c r="DM10" i="3"/>
  <c r="FA10" i="3" s="1"/>
  <c r="EG10" i="3"/>
  <c r="EW10" i="3" s="1"/>
  <c r="DM8" i="3"/>
  <c r="FA8" i="3" s="1"/>
  <c r="DQ8" i="3"/>
  <c r="ES8" i="3" s="1"/>
  <c r="EG8" i="3"/>
  <c r="EW8" i="3" s="1"/>
  <c r="EC8" i="3"/>
  <c r="FE8" i="3" s="1"/>
  <c r="EB10" i="3"/>
  <c r="FD10" i="3" s="1"/>
  <c r="EF10" i="3"/>
  <c r="EV10" i="3" s="1"/>
  <c r="DL10" i="3"/>
  <c r="EZ10" i="3" s="1"/>
  <c r="DP10" i="3"/>
  <c r="ER10" i="3" s="1"/>
  <c r="EF13" i="3"/>
  <c r="EV13" i="3" s="1"/>
  <c r="DP13" i="3"/>
  <c r="ER13" i="3" s="1"/>
  <c r="DL13" i="3"/>
  <c r="EZ13" i="3" s="1"/>
  <c r="EB13" i="3"/>
  <c r="FD13" i="3" s="1"/>
  <c r="FK23" i="3"/>
  <c r="DO10" i="3"/>
  <c r="EQ10" i="3" s="1"/>
  <c r="EE10" i="3"/>
  <c r="EU10" i="3" s="1"/>
  <c r="EA10" i="3"/>
  <c r="FC10" i="3" s="1"/>
  <c r="DK10" i="3"/>
  <c r="EY10" i="3" s="1"/>
  <c r="FG17" i="3"/>
  <c r="DM13" i="3"/>
  <c r="FA13" i="3" s="1"/>
  <c r="EG13" i="3"/>
  <c r="EW13" i="3" s="1"/>
  <c r="EC13" i="3"/>
  <c r="FE13" i="3" s="1"/>
  <c r="DQ13" i="3"/>
  <c r="ES13" i="3" s="1"/>
  <c r="ES7" i="3"/>
  <c r="FE7" i="3"/>
  <c r="ER7" i="3"/>
  <c r="FD7" i="3"/>
  <c r="DM14" i="3"/>
  <c r="FA14" i="3" s="1"/>
  <c r="EG14" i="3"/>
  <c r="EW14" i="3" s="1"/>
  <c r="EC14" i="3"/>
  <c r="FE14" i="3" s="1"/>
  <c r="DQ14" i="3"/>
  <c r="ES14" i="3" s="1"/>
  <c r="EG21" i="3"/>
  <c r="EW21" i="3" s="1"/>
  <c r="DM21" i="3"/>
  <c r="FA21" i="3" s="1"/>
  <c r="EC21" i="3"/>
  <c r="FE21" i="3" s="1"/>
  <c r="DQ21" i="3"/>
  <c r="ES21" i="3" s="1"/>
  <c r="DM12" i="3"/>
  <c r="FA12" i="3" s="1"/>
  <c r="DQ12" i="3"/>
  <c r="ES12" i="3" s="1"/>
  <c r="EG12" i="3"/>
  <c r="EW12" i="3" s="1"/>
  <c r="EC12" i="3"/>
  <c r="FE12" i="3" s="1"/>
  <c r="DM18" i="3"/>
  <c r="FA18" i="3" s="1"/>
  <c r="EC18" i="3"/>
  <c r="FE18" i="3" s="1"/>
  <c r="DQ18" i="3"/>
  <c r="ES18" i="3" s="1"/>
  <c r="EG18" i="3"/>
  <c r="EW18" i="3" s="1"/>
  <c r="FL15" i="3"/>
  <c r="EB14" i="3"/>
  <c r="FD14" i="3" s="1"/>
  <c r="DL14" i="3"/>
  <c r="EZ14" i="3" s="1"/>
  <c r="EF14" i="3"/>
  <c r="EV14" i="3" s="1"/>
  <c r="DP14" i="3"/>
  <c r="ER14" i="3" s="1"/>
  <c r="DQ9" i="3"/>
  <c r="ES9" i="3" s="1"/>
  <c r="EG9" i="3"/>
  <c r="EW9" i="3" s="1"/>
  <c r="DM9" i="3"/>
  <c r="FA9" i="3" s="1"/>
  <c r="EC9" i="3"/>
  <c r="FE9" i="3" s="1"/>
  <c r="DQ11" i="3"/>
  <c r="ES11" i="3" s="1"/>
  <c r="DM11" i="3"/>
  <c r="FA11" i="3" s="1"/>
  <c r="EC11" i="3"/>
  <c r="FE11" i="3" s="1"/>
  <c r="EG11" i="3"/>
  <c r="EW11" i="3" s="1"/>
  <c r="DM17" i="3"/>
  <c r="FA17" i="3" s="1"/>
  <c r="EG17" i="3"/>
  <c r="EW17" i="3" s="1"/>
  <c r="DQ17" i="3"/>
  <c r="ES17" i="3" s="1"/>
  <c r="EC17" i="3"/>
  <c r="FE17" i="3" s="1"/>
  <c r="EG19" i="3"/>
  <c r="EW19" i="3" s="1"/>
  <c r="DQ19" i="3"/>
  <c r="ES19" i="3" s="1"/>
  <c r="EC19" i="3"/>
  <c r="FE19" i="3" s="1"/>
  <c r="DM19" i="3"/>
  <c r="FA19" i="3" s="1"/>
  <c r="EC23" i="3"/>
  <c r="FE23" i="3" s="1"/>
  <c r="DQ23" i="3"/>
  <c r="ES23" i="3" s="1"/>
  <c r="EG23" i="3"/>
  <c r="EW23" i="3" s="1"/>
  <c r="DM23" i="3"/>
  <c r="FA23" i="3" s="1"/>
  <c r="DL12" i="3"/>
  <c r="EZ12" i="3" s="1"/>
  <c r="EF12" i="3"/>
  <c r="EV12" i="3" s="1"/>
  <c r="DP12" i="3"/>
  <c r="ER12" i="3" s="1"/>
  <c r="EB12" i="3"/>
  <c r="FD12" i="3" s="1"/>
  <c r="IN17" i="3"/>
  <c r="HP12" i="3"/>
  <c r="II16" i="3"/>
  <c r="JL17" i="3"/>
  <c r="JG23" i="3"/>
  <c r="GM20" i="3"/>
  <c r="KV21" i="3"/>
  <c r="JX23" i="3"/>
  <c r="IR17" i="3"/>
  <c r="JH17" i="3"/>
  <c r="HP23" i="3"/>
  <c r="KW21" i="3"/>
  <c r="KG17" i="3"/>
  <c r="JU17" i="3" s="1"/>
  <c r="KW17" i="3"/>
  <c r="HL17" i="3"/>
  <c r="GV18" i="3"/>
  <c r="GB18" i="3" s="1"/>
  <c r="LA17" i="3"/>
  <c r="GV17" i="3"/>
  <c r="FH18" i="3"/>
  <c r="HP17" i="3"/>
  <c r="GR17" i="3"/>
  <c r="HP22" i="3"/>
  <c r="KF20" i="3"/>
  <c r="JZ20" i="3"/>
  <c r="GP9" i="3"/>
  <c r="GP16" i="3"/>
  <c r="FF7" i="3"/>
  <c r="JZ18" i="3"/>
  <c r="KL18" i="3" s="1"/>
  <c r="IH16" i="3"/>
  <c r="IL23" i="3"/>
  <c r="FH16" i="3"/>
  <c r="GK15" i="3"/>
  <c r="IH20" i="3"/>
  <c r="IH19" i="3"/>
  <c r="GP20" i="3"/>
  <c r="GQ15" i="3"/>
  <c r="KE19" i="3"/>
  <c r="IG15" i="3"/>
  <c r="IK15" i="3"/>
  <c r="KF15" i="3"/>
  <c r="GM22" i="3"/>
  <c r="IL19" i="3"/>
  <c r="GL20" i="3"/>
  <c r="IM15" i="3"/>
  <c r="IM22" i="3"/>
  <c r="GQ22" i="3"/>
  <c r="JZ15" i="3"/>
  <c r="KX15" i="3" s="1"/>
  <c r="GO15" i="3"/>
  <c r="GP19" i="3"/>
  <c r="KE20" i="3"/>
  <c r="IL20" i="3"/>
  <c r="II15" i="3"/>
  <c r="JO15" i="3" s="1"/>
  <c r="II22" i="3"/>
  <c r="KA19" i="3"/>
  <c r="GL19" i="3"/>
  <c r="KB15" i="3"/>
  <c r="GM15" i="3"/>
  <c r="KB22" i="3"/>
  <c r="KF22" i="3"/>
  <c r="FJ11" i="3"/>
  <c r="FJ7" i="3"/>
  <c r="IH9" i="3"/>
  <c r="GO18" i="3"/>
  <c r="GL18" i="3"/>
  <c r="IG18" i="3"/>
  <c r="KA9" i="3"/>
  <c r="IL16" i="3"/>
  <c r="GK20" i="3"/>
  <c r="GK18" i="3"/>
  <c r="KE9" i="3"/>
  <c r="KB20" i="3"/>
  <c r="GL16" i="3"/>
  <c r="KA18" i="3"/>
  <c r="IL18" i="3"/>
  <c r="KD20" i="3"/>
  <c r="GO20" i="3"/>
  <c r="GM16" i="3"/>
  <c r="KF16" i="3"/>
  <c r="GP23" i="3"/>
  <c r="KA23" i="3"/>
  <c r="IK18" i="3"/>
  <c r="IL9" i="3"/>
  <c r="II20" i="3"/>
  <c r="IH18" i="3"/>
  <c r="IK20" i="3"/>
  <c r="GQ16" i="3"/>
  <c r="KB16" i="3"/>
  <c r="IH23" i="3"/>
  <c r="GQ20" i="3"/>
  <c r="IM20" i="3"/>
  <c r="KA16" i="3"/>
  <c r="KE16" i="3"/>
  <c r="GP18" i="3"/>
  <c r="IG20" i="3"/>
  <c r="KE23" i="3"/>
  <c r="GL23" i="3"/>
  <c r="IN20" i="3"/>
  <c r="HP21" i="3"/>
  <c r="HH21" i="3" s="1"/>
  <c r="FK19" i="3"/>
  <c r="GV16" i="3"/>
  <c r="KG19" i="3"/>
  <c r="FI16" i="3"/>
  <c r="LA23" i="3"/>
  <c r="KS23" i="3" s="1"/>
  <c r="KW20" i="3"/>
  <c r="KK21" i="3"/>
  <c r="GI9" i="3"/>
  <c r="FH19" i="3"/>
  <c r="LA21" i="3"/>
  <c r="KG21" i="3"/>
  <c r="LA20" i="3"/>
  <c r="GI10" i="3"/>
  <c r="FK15" i="3"/>
  <c r="KK22" i="3"/>
  <c r="KK23" i="3"/>
  <c r="KG23" i="3"/>
  <c r="LA22" i="3"/>
  <c r="KS22" i="3" s="1"/>
  <c r="KG22" i="3"/>
  <c r="HL22" i="3"/>
  <c r="GV22" i="3"/>
  <c r="GR22" i="3"/>
  <c r="IN21" i="3"/>
  <c r="JL21" i="3"/>
  <c r="KK15" i="3"/>
  <c r="GR21" i="3"/>
  <c r="GV21" i="3"/>
  <c r="IR21" i="3"/>
  <c r="HL20" i="3"/>
  <c r="JH22" i="3"/>
  <c r="GJ11" i="3"/>
  <c r="JL22" i="3"/>
  <c r="IR22" i="3"/>
  <c r="IN22" i="3"/>
  <c r="JH21" i="3"/>
  <c r="JL19" i="3"/>
  <c r="JH23" i="3"/>
  <c r="EU12" i="3"/>
  <c r="GH8" i="3"/>
  <c r="GG12" i="3"/>
  <c r="JH20" i="3"/>
  <c r="FH9" i="3"/>
  <c r="JL20" i="3"/>
  <c r="KW19" i="3"/>
  <c r="IR20" i="3"/>
  <c r="FL23" i="3"/>
  <c r="EY12" i="3"/>
  <c r="FC12" i="3"/>
  <c r="IF11" i="3"/>
  <c r="IN11" i="3" s="1"/>
  <c r="JF17" i="3"/>
  <c r="JH16" i="3"/>
  <c r="HL19" i="3"/>
  <c r="EQ12" i="3"/>
  <c r="JY11" i="3"/>
  <c r="FI22" i="3"/>
  <c r="KC11" i="3"/>
  <c r="GN11" i="3"/>
  <c r="GV20" i="3"/>
  <c r="JL16" i="3"/>
  <c r="GR19" i="3"/>
  <c r="GB19" i="3" s="1"/>
  <c r="IN16" i="3"/>
  <c r="IB16" i="3" s="1"/>
  <c r="HP20" i="3"/>
  <c r="IN23" i="3"/>
  <c r="FI15" i="3"/>
  <c r="HP19" i="3"/>
  <c r="KG20" i="3"/>
  <c r="JU20" i="3" s="1"/>
  <c r="FH20" i="3"/>
  <c r="GR20" i="3"/>
  <c r="IR23" i="3"/>
  <c r="JL23" i="3"/>
  <c r="IN19" i="3"/>
  <c r="JL18" i="3"/>
  <c r="GJ7" i="3"/>
  <c r="GR7" i="3" s="1"/>
  <c r="IJ7" i="3"/>
  <c r="KW16" i="3"/>
  <c r="HP16" i="3"/>
  <c r="JH15" i="3"/>
  <c r="GN7" i="3"/>
  <c r="IF7" i="3"/>
  <c r="KW15" i="3"/>
  <c r="JY7" i="3"/>
  <c r="HL16" i="3"/>
  <c r="GR16" i="3"/>
  <c r="FK20" i="3"/>
  <c r="LA15" i="3"/>
  <c r="KG15" i="3"/>
  <c r="GH14" i="3"/>
  <c r="GV15" i="3"/>
  <c r="HP15" i="3"/>
  <c r="HH15" i="3" s="1"/>
  <c r="GR15" i="3"/>
  <c r="IN18" i="3"/>
  <c r="HP18" i="3"/>
  <c r="HL18" i="3"/>
  <c r="JH18" i="3"/>
  <c r="KW18" i="3"/>
  <c r="FG19" i="3"/>
  <c r="FF11" i="3"/>
  <c r="IR15" i="3"/>
  <c r="HL23" i="3"/>
  <c r="GR23" i="3"/>
  <c r="JL15" i="3"/>
  <c r="GV23" i="3"/>
  <c r="IN15" i="3"/>
  <c r="KG18" i="3"/>
  <c r="KK18" i="3"/>
  <c r="FL9" i="3"/>
  <c r="FK18" i="3"/>
  <c r="IR18" i="3"/>
  <c r="GI13" i="3"/>
  <c r="LA18" i="3"/>
  <c r="LA16" i="3"/>
  <c r="FI20" i="3"/>
  <c r="KG16" i="3"/>
  <c r="KK16" i="3"/>
  <c r="FG20" i="3"/>
  <c r="JH19" i="3"/>
  <c r="IR19" i="3"/>
  <c r="HK17" i="3"/>
  <c r="LA19" i="3"/>
  <c r="KK19" i="3"/>
  <c r="FG15" i="3"/>
  <c r="GE21" i="3"/>
  <c r="HK23" i="3"/>
  <c r="FG22" i="3"/>
  <c r="JG21" i="3"/>
  <c r="HJ22" i="3"/>
  <c r="KK12" i="3"/>
  <c r="FM20" i="3"/>
  <c r="HK21" i="3"/>
  <c r="FL20" i="3"/>
  <c r="JF22" i="3"/>
  <c r="IE23" i="3"/>
  <c r="GE23" i="3"/>
  <c r="HL8" i="3"/>
  <c r="LB21" i="3"/>
  <c r="KW9" i="3"/>
  <c r="IR8" i="3"/>
  <c r="LB22" i="3"/>
  <c r="IN13" i="3"/>
  <c r="FG21" i="3"/>
  <c r="LA13" i="3"/>
  <c r="KG14" i="3"/>
  <c r="KK10" i="3"/>
  <c r="IN9" i="3"/>
  <c r="GV14" i="3"/>
  <c r="KW12" i="3"/>
  <c r="KW10" i="3"/>
  <c r="GV9" i="3"/>
  <c r="GR8" i="3"/>
  <c r="GV13" i="3"/>
  <c r="HJ21" i="3"/>
  <c r="JH12" i="3"/>
  <c r="LA10" i="3"/>
  <c r="HP8" i="3"/>
  <c r="KG12" i="3"/>
  <c r="IN12" i="3"/>
  <c r="HL13" i="3"/>
  <c r="LA14" i="3"/>
  <c r="HP14" i="3"/>
  <c r="KX19" i="3"/>
  <c r="IR10" i="3"/>
  <c r="KG8" i="3"/>
  <c r="IR14" i="3"/>
  <c r="LA12" i="3"/>
  <c r="IR9" i="3"/>
  <c r="KK8" i="3"/>
  <c r="GV8" i="3"/>
  <c r="GR13" i="3"/>
  <c r="GR14" i="3"/>
  <c r="FM16" i="3"/>
  <c r="KL19" i="3"/>
  <c r="LA8" i="3"/>
  <c r="KH22" i="3"/>
  <c r="KK9" i="3"/>
  <c r="KW13" i="3"/>
  <c r="HP13" i="3"/>
  <c r="HL14" i="3"/>
  <c r="JL12" i="3"/>
  <c r="JL10" i="3"/>
  <c r="HP10" i="3"/>
  <c r="KG9" i="3"/>
  <c r="LA9" i="3"/>
  <c r="IR13" i="3"/>
  <c r="KK14" i="3"/>
  <c r="JH14" i="3"/>
  <c r="KH21" i="3"/>
  <c r="IR12" i="3"/>
  <c r="HP9" i="3"/>
  <c r="JH8" i="3"/>
  <c r="KL17" i="3"/>
  <c r="KX17" i="3"/>
  <c r="KH17" i="3"/>
  <c r="LB17" i="3"/>
  <c r="GR12" i="3"/>
  <c r="HL12" i="3"/>
  <c r="GR10" i="3"/>
  <c r="KG10" i="3"/>
  <c r="GR9" i="3"/>
  <c r="HL9" i="3"/>
  <c r="JL9" i="3"/>
  <c r="IN8" i="3"/>
  <c r="JL13" i="3"/>
  <c r="KL21" i="3"/>
  <c r="KX22" i="3"/>
  <c r="JL8" i="3"/>
  <c r="GV12" i="3"/>
  <c r="HL10" i="3"/>
  <c r="GV10" i="3"/>
  <c r="JH13" i="3"/>
  <c r="KL23" i="3"/>
  <c r="LB23" i="3"/>
  <c r="KH23" i="3"/>
  <c r="KX23" i="3"/>
  <c r="JL14" i="3"/>
  <c r="KH19" i="3"/>
  <c r="KL22" i="3"/>
  <c r="JH10" i="3"/>
  <c r="IN10" i="3"/>
  <c r="FM22" i="3"/>
  <c r="JH9" i="3"/>
  <c r="KW8" i="3"/>
  <c r="KG13" i="3"/>
  <c r="KK13" i="3"/>
  <c r="LB16" i="3"/>
  <c r="KX16" i="3"/>
  <c r="KL16" i="3"/>
  <c r="KH16" i="3"/>
  <c r="FG14" i="3"/>
  <c r="IN14" i="3"/>
  <c r="KW14" i="3"/>
  <c r="KX21" i="3"/>
  <c r="LB19" i="3"/>
  <c r="FL18" i="3"/>
  <c r="FG18" i="3"/>
  <c r="FK11" i="3"/>
  <c r="FL22" i="3"/>
  <c r="FG9" i="3"/>
  <c r="FK14" i="3"/>
  <c r="FK7" i="3"/>
  <c r="FL19" i="3"/>
  <c r="KD9" i="3"/>
  <c r="IG9" i="3"/>
  <c r="GK9" i="3"/>
  <c r="GO9" i="3"/>
  <c r="JZ9" i="3"/>
  <c r="IK9" i="3"/>
  <c r="FG23" i="3"/>
  <c r="GK13" i="3"/>
  <c r="GO13" i="3"/>
  <c r="IK13" i="3"/>
  <c r="IG13" i="3"/>
  <c r="JZ13" i="3"/>
  <c r="KD13" i="3"/>
  <c r="FL16" i="3"/>
  <c r="FL17" i="3"/>
  <c r="GK10" i="3"/>
  <c r="IK10" i="3"/>
  <c r="KD10" i="3"/>
  <c r="IG10" i="3"/>
  <c r="JZ10" i="3"/>
  <c r="GO10" i="3"/>
  <c r="JZ11" i="3"/>
  <c r="KD11" i="3"/>
  <c r="IG11" i="3"/>
  <c r="GO11" i="3"/>
  <c r="GK11" i="3"/>
  <c r="IK11" i="3"/>
  <c r="GM12" i="3"/>
  <c r="GQ12" i="3"/>
  <c r="IM12" i="3"/>
  <c r="KF12" i="3"/>
  <c r="KB12" i="3"/>
  <c r="II12" i="3"/>
  <c r="GQ8" i="3"/>
  <c r="GU8" i="3" s="1"/>
  <c r="II8" i="3"/>
  <c r="GM8" i="3"/>
  <c r="KF8" i="3"/>
  <c r="KB8" i="3"/>
  <c r="KZ8" i="3" s="1"/>
  <c r="IM8" i="3"/>
  <c r="IG7" i="3"/>
  <c r="GO7" i="3"/>
  <c r="JZ7" i="3"/>
  <c r="KD7" i="3"/>
  <c r="GK7" i="3"/>
  <c r="IK7" i="3"/>
  <c r="FG16" i="3"/>
  <c r="GP11" i="3"/>
  <c r="IL11" i="3"/>
  <c r="IH11" i="3"/>
  <c r="GL11" i="3"/>
  <c r="KE11" i="3"/>
  <c r="KA11" i="3"/>
  <c r="KA10" i="3"/>
  <c r="IL10" i="3"/>
  <c r="IH10" i="3"/>
  <c r="KE10" i="3"/>
  <c r="GL10" i="3"/>
  <c r="GP10" i="3"/>
  <c r="FG8" i="3"/>
  <c r="GM11" i="3"/>
  <c r="KB11" i="3"/>
  <c r="II11" i="3"/>
  <c r="GQ11" i="3"/>
  <c r="KF11" i="3"/>
  <c r="IM11" i="3"/>
  <c r="IL13" i="3"/>
  <c r="IH13" i="3"/>
  <c r="GP13" i="3"/>
  <c r="KA13" i="3"/>
  <c r="KE13" i="3"/>
  <c r="GL13" i="3"/>
  <c r="FK13" i="3"/>
  <c r="FH23" i="3"/>
  <c r="GP12" i="3"/>
  <c r="KA12" i="3"/>
  <c r="KE12" i="3"/>
  <c r="IH12" i="3"/>
  <c r="GL12" i="3"/>
  <c r="GT12" i="3" s="1"/>
  <c r="IL12" i="3"/>
  <c r="GK14" i="3"/>
  <c r="KD14" i="3"/>
  <c r="GO14" i="3"/>
  <c r="IK14" i="3"/>
  <c r="JZ14" i="3"/>
  <c r="IG14" i="3"/>
  <c r="FH21" i="3"/>
  <c r="KB7" i="3"/>
  <c r="IM7" i="3"/>
  <c r="GM7" i="3"/>
  <c r="II7" i="3"/>
  <c r="GQ7" i="3"/>
  <c r="KF7" i="3"/>
  <c r="FG11" i="3"/>
  <c r="FK9" i="3"/>
  <c r="FK8" i="3"/>
  <c r="IK8" i="3"/>
  <c r="GO8" i="3"/>
  <c r="JZ8" i="3"/>
  <c r="KD8" i="3"/>
  <c r="GK8" i="3"/>
  <c r="IG8" i="3"/>
  <c r="FG13" i="3"/>
  <c r="FK17" i="3"/>
  <c r="FG7" i="3"/>
  <c r="KF14" i="3"/>
  <c r="GQ14" i="3"/>
  <c r="IM14" i="3"/>
  <c r="II14" i="3"/>
  <c r="GM14" i="3"/>
  <c r="KB14" i="3"/>
  <c r="FM15" i="3"/>
  <c r="FH15" i="3"/>
  <c r="IL7" i="3"/>
  <c r="KE7" i="3"/>
  <c r="GP7" i="3"/>
  <c r="KA7" i="3"/>
  <c r="IH7" i="3"/>
  <c r="IT7" i="3" s="1"/>
  <c r="GL7" i="3"/>
  <c r="JF15" i="3" l="1"/>
  <c r="HO8" i="3"/>
  <c r="JK8" i="3"/>
  <c r="LD8" i="3"/>
  <c r="GY8" i="3"/>
  <c r="GE8" i="3" s="1"/>
  <c r="JO8" i="3"/>
  <c r="HS8" i="3"/>
  <c r="IU8" i="3"/>
  <c r="KJ8" i="3"/>
  <c r="KN8" i="3"/>
  <c r="IQ8" i="3"/>
  <c r="KU22" i="3"/>
  <c r="HR23" i="3"/>
  <c r="GT23" i="3"/>
  <c r="GD23" i="3" s="1"/>
  <c r="GX23" i="3"/>
  <c r="JN23" i="3"/>
  <c r="IT23" i="3"/>
  <c r="IP23" i="3"/>
  <c r="ID23" i="3" s="1"/>
  <c r="JJ23" i="3"/>
  <c r="KM23" i="3"/>
  <c r="KI23" i="3"/>
  <c r="LC23" i="3"/>
  <c r="KY23" i="3"/>
  <c r="JF21" i="3"/>
  <c r="HN23" i="3"/>
  <c r="HJ23" i="3" s="1"/>
  <c r="LD22" i="3"/>
  <c r="HK18" i="3"/>
  <c r="KU21" i="3"/>
  <c r="JW22" i="3"/>
  <c r="JJ18" i="3"/>
  <c r="KV17" i="3"/>
  <c r="KV18" i="3"/>
  <c r="IE19" i="3"/>
  <c r="JE16" i="3"/>
  <c r="IE17" i="3"/>
  <c r="ID17" i="3"/>
  <c r="JG19" i="3"/>
  <c r="KN22" i="3"/>
  <c r="KZ22" i="3"/>
  <c r="KJ22" i="3"/>
  <c r="IU22" i="3"/>
  <c r="IQ22" i="3"/>
  <c r="JO22" i="3"/>
  <c r="JK22" i="3"/>
  <c r="JG22" i="3" s="1"/>
  <c r="GU22" i="3"/>
  <c r="HS22" i="3"/>
  <c r="HO22" i="3"/>
  <c r="GY22" i="3"/>
  <c r="IE21" i="3"/>
  <c r="JX17" i="3"/>
  <c r="IE18" i="3"/>
  <c r="HK19" i="3"/>
  <c r="IP19" i="3"/>
  <c r="HN18" i="3"/>
  <c r="GD17" i="3"/>
  <c r="KU17" i="3"/>
  <c r="KV19" i="3"/>
  <c r="JW17" i="3"/>
  <c r="GE18" i="3"/>
  <c r="JX18" i="3"/>
  <c r="JG18" i="3"/>
  <c r="GT18" i="3"/>
  <c r="JN18" i="3"/>
  <c r="JF18" i="3" s="1"/>
  <c r="GD15" i="3"/>
  <c r="JG17" i="3"/>
  <c r="ID15" i="3"/>
  <c r="KN7" i="3"/>
  <c r="JW15" i="3"/>
  <c r="GX13" i="3"/>
  <c r="IQ12" i="3"/>
  <c r="JJ13" i="3"/>
  <c r="JN12" i="3"/>
  <c r="JN13" i="3"/>
  <c r="HR13" i="3"/>
  <c r="HN13" i="3"/>
  <c r="GT13" i="3"/>
  <c r="IT13" i="3"/>
  <c r="IP13" i="3"/>
  <c r="LC13" i="3"/>
  <c r="JO12" i="3"/>
  <c r="GU12" i="3"/>
  <c r="JK12" i="3"/>
  <c r="KZ11" i="3"/>
  <c r="IP11" i="3"/>
  <c r="GY12" i="3"/>
  <c r="JJ12" i="3"/>
  <c r="LC12" i="3"/>
  <c r="KN12" i="3"/>
  <c r="HO12" i="3"/>
  <c r="KJ12" i="3"/>
  <c r="IT12" i="3"/>
  <c r="LD12" i="3"/>
  <c r="HR12" i="3"/>
  <c r="IP12" i="3"/>
  <c r="KZ12" i="3"/>
  <c r="IU12" i="3"/>
  <c r="GX12" i="3"/>
  <c r="GD12" i="3" s="1"/>
  <c r="HS12" i="3"/>
  <c r="HN12" i="3"/>
  <c r="GX11" i="3"/>
  <c r="GU11" i="3"/>
  <c r="JK11" i="3"/>
  <c r="KI11" i="3"/>
  <c r="HO14" i="3"/>
  <c r="LC10" i="3"/>
  <c r="HN10" i="3"/>
  <c r="IP10" i="3"/>
  <c r="LC9" i="3"/>
  <c r="KY9" i="3"/>
  <c r="KM9" i="3"/>
  <c r="KI9" i="3"/>
  <c r="JN9" i="3"/>
  <c r="JJ9" i="3"/>
  <c r="IP9" i="3"/>
  <c r="IT9" i="3"/>
  <c r="GX9" i="3"/>
  <c r="GT9" i="3"/>
  <c r="HN9" i="3"/>
  <c r="HR9" i="3"/>
  <c r="JJ10" i="3"/>
  <c r="IT10" i="3"/>
  <c r="KI10" i="3"/>
  <c r="KM11" i="3"/>
  <c r="HR11" i="3"/>
  <c r="GT11" i="3"/>
  <c r="IQ11" i="3"/>
  <c r="IU11" i="3"/>
  <c r="LD11" i="3"/>
  <c r="KY10" i="3"/>
  <c r="KU10" i="3" s="1"/>
  <c r="GX10" i="3"/>
  <c r="KM10" i="3"/>
  <c r="LC11" i="3"/>
  <c r="HN11" i="3"/>
  <c r="KY11" i="3"/>
  <c r="GY11" i="3"/>
  <c r="HO11" i="3"/>
  <c r="KN11" i="3"/>
  <c r="GT10" i="3"/>
  <c r="GD10" i="3" s="1"/>
  <c r="HR10" i="3"/>
  <c r="IT11" i="3"/>
  <c r="JJ11" i="3"/>
  <c r="KJ11" i="3"/>
  <c r="HS11" i="3"/>
  <c r="JO11" i="3"/>
  <c r="JN10" i="3"/>
  <c r="JN11" i="3"/>
  <c r="KU15" i="3"/>
  <c r="JO14" i="3"/>
  <c r="IT20" i="3"/>
  <c r="JN20" i="3"/>
  <c r="IP20" i="3"/>
  <c r="JJ20" i="3"/>
  <c r="IU20" i="3"/>
  <c r="JO20" i="3"/>
  <c r="JK20" i="3"/>
  <c r="KJ20" i="3"/>
  <c r="KZ20" i="3"/>
  <c r="LD20" i="3"/>
  <c r="KN20" i="3"/>
  <c r="GX20" i="3"/>
  <c r="GT20" i="3"/>
  <c r="HR20" i="3"/>
  <c r="HN20" i="3"/>
  <c r="GU20" i="3"/>
  <c r="GY20" i="3"/>
  <c r="HO20" i="3"/>
  <c r="HS20" i="3"/>
  <c r="IQ20" i="3"/>
  <c r="HN19" i="3"/>
  <c r="GT19" i="3"/>
  <c r="HR19" i="3"/>
  <c r="GX19" i="3"/>
  <c r="JN19" i="3"/>
  <c r="JJ19" i="3"/>
  <c r="IT19" i="3"/>
  <c r="GC19" i="3"/>
  <c r="GX18" i="3"/>
  <c r="GD18" i="3" s="1"/>
  <c r="IP18" i="3"/>
  <c r="IT18" i="3"/>
  <c r="HR18" i="3"/>
  <c r="HJ18" i="3" s="1"/>
  <c r="GY15" i="3"/>
  <c r="HO15" i="3"/>
  <c r="GU15" i="3"/>
  <c r="HS15" i="3"/>
  <c r="LD15" i="3"/>
  <c r="KN15" i="3"/>
  <c r="KJ15" i="3"/>
  <c r="KZ15" i="3"/>
  <c r="IQ15" i="3"/>
  <c r="JK15" i="3"/>
  <c r="JG15" i="3" s="1"/>
  <c r="IU15" i="3"/>
  <c r="JN16" i="3"/>
  <c r="IT16" i="3"/>
  <c r="JJ16" i="3"/>
  <c r="HN16" i="3"/>
  <c r="HR16" i="3"/>
  <c r="GT16" i="3"/>
  <c r="GX16" i="3"/>
  <c r="KM16" i="3"/>
  <c r="LC16" i="3"/>
  <c r="KY16" i="3"/>
  <c r="KI16" i="3"/>
  <c r="LD16" i="3"/>
  <c r="KZ16" i="3"/>
  <c r="KJ16" i="3"/>
  <c r="KN16" i="3"/>
  <c r="GY16" i="3"/>
  <c r="GU16" i="3"/>
  <c r="HS16" i="3"/>
  <c r="HO16" i="3"/>
  <c r="JO16" i="3"/>
  <c r="JK16" i="3"/>
  <c r="IU16" i="3"/>
  <c r="IQ16" i="3"/>
  <c r="IP16" i="3"/>
  <c r="KY7" i="3"/>
  <c r="IU14" i="3"/>
  <c r="GW9" i="3"/>
  <c r="KN14" i="3"/>
  <c r="GU14" i="3"/>
  <c r="GY14" i="3"/>
  <c r="KJ14" i="3"/>
  <c r="IQ14" i="3"/>
  <c r="LD14" i="3"/>
  <c r="JK14" i="3"/>
  <c r="HS14" i="3"/>
  <c r="KZ14" i="3"/>
  <c r="HO7" i="3"/>
  <c r="LD7" i="3"/>
  <c r="HR7" i="3"/>
  <c r="IO8" i="3"/>
  <c r="HM9" i="3"/>
  <c r="JI9" i="3"/>
  <c r="KJ7" i="3"/>
  <c r="GT7" i="3"/>
  <c r="JK7" i="3"/>
  <c r="KM7" i="3"/>
  <c r="HN7" i="3"/>
  <c r="JN7" i="3"/>
  <c r="LC7" i="3"/>
  <c r="KU7" i="3" s="1"/>
  <c r="KZ7" i="3"/>
  <c r="KV7" i="3" s="1"/>
  <c r="JO7" i="3"/>
  <c r="IQ7" i="3"/>
  <c r="JJ7" i="3"/>
  <c r="HS7" i="3"/>
  <c r="GX7" i="3"/>
  <c r="IP7" i="3"/>
  <c r="ID7" i="3" s="1"/>
  <c r="GY7" i="3"/>
  <c r="GU7" i="3"/>
  <c r="KI7" i="3"/>
  <c r="IU7" i="3"/>
  <c r="HI16" i="3"/>
  <c r="IC17" i="3"/>
  <c r="GS8" i="3"/>
  <c r="IS8" i="3"/>
  <c r="IC8" i="3" s="1"/>
  <c r="JI8" i="3"/>
  <c r="JM8" i="3"/>
  <c r="HQ8" i="3"/>
  <c r="HM8" i="3"/>
  <c r="GW8" i="3"/>
  <c r="GS18" i="3"/>
  <c r="JI15" i="3"/>
  <c r="JE19" i="3"/>
  <c r="HI17" i="3"/>
  <c r="IC22" i="3"/>
  <c r="GC23" i="3"/>
  <c r="JE17" i="3"/>
  <c r="JE23" i="3"/>
  <c r="GC22" i="3"/>
  <c r="HI23" i="3"/>
  <c r="HQ7" i="3"/>
  <c r="IC19" i="3"/>
  <c r="IC16" i="3"/>
  <c r="IC23" i="3"/>
  <c r="HI21" i="3"/>
  <c r="JI7" i="3"/>
  <c r="JE21" i="3"/>
  <c r="JE22" i="3"/>
  <c r="GC21" i="3"/>
  <c r="GC16" i="3"/>
  <c r="HI19" i="3"/>
  <c r="IC21" i="3"/>
  <c r="GS7" i="3"/>
  <c r="IO7" i="3"/>
  <c r="HM7" i="3"/>
  <c r="GW7" i="3"/>
  <c r="JM7" i="3"/>
  <c r="IS7" i="3"/>
  <c r="JI14" i="3"/>
  <c r="HQ11" i="3"/>
  <c r="HQ13" i="3"/>
  <c r="GW14" i="3"/>
  <c r="GC17" i="3"/>
  <c r="IO11" i="3"/>
  <c r="IO13" i="3"/>
  <c r="IO18" i="3"/>
  <c r="GS11" i="3"/>
  <c r="IO20" i="3"/>
  <c r="JM15" i="3"/>
  <c r="GW18" i="3"/>
  <c r="JM18" i="3"/>
  <c r="IS18" i="3"/>
  <c r="JI20" i="3"/>
  <c r="IS11" i="3"/>
  <c r="GS13" i="3"/>
  <c r="HM13" i="3"/>
  <c r="GS20" i="3"/>
  <c r="GW15" i="3"/>
  <c r="IS20" i="3"/>
  <c r="JI18" i="3"/>
  <c r="JM20" i="3"/>
  <c r="GW11" i="3"/>
  <c r="HM11" i="3"/>
  <c r="JI11" i="3"/>
  <c r="JI13" i="3"/>
  <c r="GW13" i="3"/>
  <c r="HM14" i="3"/>
  <c r="JM14" i="3"/>
  <c r="GW20" i="3"/>
  <c r="HQ20" i="3"/>
  <c r="JM13" i="3"/>
  <c r="JM11" i="3"/>
  <c r="IS13" i="3"/>
  <c r="HQ14" i="3"/>
  <c r="IO14" i="3"/>
  <c r="GS15" i="3"/>
  <c r="HM15" i="3"/>
  <c r="IS14" i="3"/>
  <c r="GS14" i="3"/>
  <c r="HQ15" i="3"/>
  <c r="IO15" i="3"/>
  <c r="IS15" i="3"/>
  <c r="HM18" i="3"/>
  <c r="HQ18" i="3"/>
  <c r="HM20" i="3"/>
  <c r="JU22" i="3"/>
  <c r="JU21" i="3"/>
  <c r="KY19" i="3"/>
  <c r="LC19" i="3"/>
  <c r="KM19" i="3"/>
  <c r="KI19" i="3"/>
  <c r="KI20" i="3"/>
  <c r="KY20" i="3"/>
  <c r="LC20" i="3"/>
  <c r="KM20" i="3"/>
  <c r="LC18" i="3"/>
  <c r="KY18" i="3"/>
  <c r="KM18" i="3"/>
  <c r="KI18" i="3"/>
  <c r="KI12" i="3"/>
  <c r="KY12" i="3"/>
  <c r="KI13" i="3"/>
  <c r="KM12" i="3"/>
  <c r="KM13" i="3"/>
  <c r="KY13" i="3"/>
  <c r="FI12" i="3"/>
  <c r="FI8" i="3"/>
  <c r="FI19" i="3"/>
  <c r="FN19" i="3" s="1"/>
  <c r="MX19" i="3" s="1"/>
  <c r="FM23" i="3"/>
  <c r="FO23" i="3" s="1"/>
  <c r="FH13" i="3"/>
  <c r="FL11" i="3"/>
  <c r="FH10" i="3"/>
  <c r="FI21" i="3"/>
  <c r="FN21" i="3" s="1"/>
  <c r="MX21" i="3" s="1"/>
  <c r="FH12" i="3"/>
  <c r="FK10" i="3"/>
  <c r="FH7" i="3"/>
  <c r="FI7" i="3"/>
  <c r="FM18" i="3"/>
  <c r="FO18" i="3" s="1"/>
  <c r="FM11" i="3"/>
  <c r="FI17" i="3"/>
  <c r="FN17" i="3" s="1"/>
  <c r="MX17" i="3" s="1"/>
  <c r="FI14" i="3"/>
  <c r="FL13" i="3"/>
  <c r="HH12" i="3"/>
  <c r="KX18" i="3"/>
  <c r="IB17" i="3"/>
  <c r="JV19" i="3"/>
  <c r="FH11" i="3"/>
  <c r="FG10" i="3"/>
  <c r="FN16" i="3"/>
  <c r="MX16" i="3" s="1"/>
  <c r="KS8" i="3"/>
  <c r="JD17" i="3"/>
  <c r="JU10" i="3"/>
  <c r="FN22" i="3"/>
  <c r="MX22" i="3" s="1"/>
  <c r="KT21" i="3"/>
  <c r="KS13" i="3"/>
  <c r="JV16" i="3"/>
  <c r="KS10" i="3"/>
  <c r="JU12" i="3"/>
  <c r="JU15" i="3"/>
  <c r="JU18" i="3"/>
  <c r="KS15" i="3"/>
  <c r="KS20" i="3"/>
  <c r="JV23" i="3"/>
  <c r="KT22" i="3"/>
  <c r="JV17" i="3"/>
  <c r="KS14" i="3"/>
  <c r="JU23" i="3"/>
  <c r="KT17" i="3"/>
  <c r="KT16" i="3"/>
  <c r="KV8" i="3"/>
  <c r="JU9" i="3"/>
  <c r="LO17" i="3"/>
  <c r="LN22" i="3"/>
  <c r="KS17" i="3"/>
  <c r="KT23" i="3"/>
  <c r="JU14" i="3"/>
  <c r="LO23" i="3"/>
  <c r="LO21" i="3"/>
  <c r="KS19" i="3"/>
  <c r="JU19" i="3"/>
  <c r="KT19" i="3"/>
  <c r="KS9" i="3"/>
  <c r="KS18" i="3"/>
  <c r="KS16" i="3"/>
  <c r="KS21" i="3"/>
  <c r="JU13" i="3"/>
  <c r="JV21" i="3"/>
  <c r="JV22" i="3"/>
  <c r="JU8" i="3"/>
  <c r="KS12" i="3"/>
  <c r="JU16" i="3"/>
  <c r="FO15" i="3"/>
  <c r="FN20" i="3"/>
  <c r="MX20" i="3" s="1"/>
  <c r="HH23" i="3"/>
  <c r="FN15" i="3"/>
  <c r="MX15" i="3" s="1"/>
  <c r="FO22" i="3"/>
  <c r="FO20" i="3"/>
  <c r="FO16" i="3"/>
  <c r="FM19" i="3"/>
  <c r="FO19" i="3" s="1"/>
  <c r="FM21" i="3"/>
  <c r="FO21" i="3" s="1"/>
  <c r="FL12" i="3"/>
  <c r="FM17" i="3"/>
  <c r="FO17" i="3" s="1"/>
  <c r="KH18" i="3"/>
  <c r="JV18" i="3" s="1"/>
  <c r="FM12" i="3"/>
  <c r="GB17" i="3"/>
  <c r="FI18" i="3"/>
  <c r="HH22" i="3"/>
  <c r="LB18" i="3"/>
  <c r="HH17" i="3"/>
  <c r="LB20" i="3"/>
  <c r="FM14" i="3"/>
  <c r="KH20" i="3"/>
  <c r="KL20" i="3"/>
  <c r="KH15" i="3"/>
  <c r="KL15" i="3"/>
  <c r="LB15" i="3"/>
  <c r="KT15" i="3" s="1"/>
  <c r="IB20" i="3"/>
  <c r="KX20" i="3"/>
  <c r="FI23" i="3"/>
  <c r="FL7" i="3"/>
  <c r="FI11" i="3"/>
  <c r="FL10" i="3"/>
  <c r="JM10" i="3"/>
  <c r="FM7" i="3"/>
  <c r="GS10" i="3"/>
  <c r="FM8" i="3"/>
  <c r="IS10" i="3"/>
  <c r="HM10" i="3"/>
  <c r="GW10" i="3"/>
  <c r="JI10" i="3"/>
  <c r="IO10" i="3"/>
  <c r="HQ10" i="3"/>
  <c r="GS9" i="3"/>
  <c r="HQ9" i="3"/>
  <c r="IO9" i="3"/>
  <c r="JM9" i="3"/>
  <c r="IS9" i="3"/>
  <c r="FL14" i="3"/>
  <c r="FM9" i="3"/>
  <c r="FO9" i="3" s="1"/>
  <c r="GR11" i="3"/>
  <c r="HL11" i="3"/>
  <c r="KH9" i="3"/>
  <c r="JD19" i="3"/>
  <c r="GV11" i="3"/>
  <c r="KF9" i="3"/>
  <c r="IR11" i="3"/>
  <c r="IB11" i="3" s="1"/>
  <c r="GB16" i="3"/>
  <c r="HP11" i="3"/>
  <c r="FM10" i="3"/>
  <c r="JL7" i="3"/>
  <c r="JL11" i="3"/>
  <c r="JH7" i="3"/>
  <c r="JH11" i="3"/>
  <c r="HL7" i="3"/>
  <c r="GV7" i="3"/>
  <c r="IN7" i="3"/>
  <c r="HP7" i="3"/>
  <c r="IR7" i="3"/>
  <c r="FI9" i="3"/>
  <c r="KF10" i="3"/>
  <c r="II10" i="3"/>
  <c r="GQ10" i="3"/>
  <c r="IM10" i="3"/>
  <c r="KB10" i="3"/>
  <c r="GM10" i="3"/>
  <c r="GQ9" i="3"/>
  <c r="IM9" i="3"/>
  <c r="FG12" i="3"/>
  <c r="GM9" i="3"/>
  <c r="KB9" i="3"/>
  <c r="II9" i="3"/>
  <c r="FI10" i="3"/>
  <c r="GL8" i="3"/>
  <c r="FK12" i="3"/>
  <c r="IB23" i="3"/>
  <c r="HH20" i="3"/>
  <c r="IB21" i="3"/>
  <c r="FL8" i="3"/>
  <c r="JD21" i="3"/>
  <c r="GB22" i="3"/>
  <c r="IB22" i="3"/>
  <c r="KK11" i="3"/>
  <c r="JD22" i="3"/>
  <c r="GB21" i="3"/>
  <c r="JD16" i="3"/>
  <c r="IK12" i="3"/>
  <c r="KG11" i="3"/>
  <c r="JD23" i="3"/>
  <c r="KD12" i="3"/>
  <c r="GB20" i="3"/>
  <c r="JD20" i="3"/>
  <c r="GQ13" i="3"/>
  <c r="KE8" i="3"/>
  <c r="IL8" i="3"/>
  <c r="IM13" i="3"/>
  <c r="IT8" i="3"/>
  <c r="KA8" i="3"/>
  <c r="KY8" i="3" s="1"/>
  <c r="IH8" i="3"/>
  <c r="JN8" i="3" s="1"/>
  <c r="GP8" i="3"/>
  <c r="HN8" i="3" s="1"/>
  <c r="GL14" i="3"/>
  <c r="II13" i="3"/>
  <c r="KM8" i="3"/>
  <c r="GX8" i="3"/>
  <c r="KW11" i="3"/>
  <c r="FH8" i="3"/>
  <c r="JZ12" i="3"/>
  <c r="GK12" i="3"/>
  <c r="LA11" i="3"/>
  <c r="GO12" i="3"/>
  <c r="IG12" i="3"/>
  <c r="KK7" i="3"/>
  <c r="HH19" i="3"/>
  <c r="KF13" i="3"/>
  <c r="GM13" i="3"/>
  <c r="KB13" i="3"/>
  <c r="JD18" i="3"/>
  <c r="IB19" i="3"/>
  <c r="LG2" i="3"/>
  <c r="KW7" i="3"/>
  <c r="KG7" i="3"/>
  <c r="LA7" i="3"/>
  <c r="JD15" i="3"/>
  <c r="HH16" i="3"/>
  <c r="FI13" i="3"/>
  <c r="FH14" i="3"/>
  <c r="IH14" i="3"/>
  <c r="IB18" i="3"/>
  <c r="GP14" i="3"/>
  <c r="KE14" i="3"/>
  <c r="KA14" i="3"/>
  <c r="HH18" i="3"/>
  <c r="IL14" i="3"/>
  <c r="GB15" i="3"/>
  <c r="FM13" i="3"/>
  <c r="IB15" i="3"/>
  <c r="GB23" i="3"/>
  <c r="IB14" i="3"/>
  <c r="GB14" i="3"/>
  <c r="JD12" i="3"/>
  <c r="IB9" i="3"/>
  <c r="GB10" i="3"/>
  <c r="HH14" i="3"/>
  <c r="GB9" i="3"/>
  <c r="HH8" i="3"/>
  <c r="IB13" i="3"/>
  <c r="IB8" i="3"/>
  <c r="IB10" i="3"/>
  <c r="KL14" i="3"/>
  <c r="JD10" i="3"/>
  <c r="JD9" i="3"/>
  <c r="HH10" i="3"/>
  <c r="GB8" i="3"/>
  <c r="IB12" i="3"/>
  <c r="GB12" i="3"/>
  <c r="KL13" i="3"/>
  <c r="JD13" i="3"/>
  <c r="JD14" i="3"/>
  <c r="LB7" i="3"/>
  <c r="LB11" i="3"/>
  <c r="GB13" i="3"/>
  <c r="HH13" i="3"/>
  <c r="KH8" i="3"/>
  <c r="GE12" i="3"/>
  <c r="HH9" i="3"/>
  <c r="LB10" i="3"/>
  <c r="KH7" i="3"/>
  <c r="LB13" i="3"/>
  <c r="KH14" i="3"/>
  <c r="GC8" i="3"/>
  <c r="KX9" i="3"/>
  <c r="LB9" i="3"/>
  <c r="JG8" i="3"/>
  <c r="KL7" i="3"/>
  <c r="KX10" i="3"/>
  <c r="KL10" i="3"/>
  <c r="KX14" i="3"/>
  <c r="KL9" i="3"/>
  <c r="KH10" i="3"/>
  <c r="KX7" i="3"/>
  <c r="KL11" i="3"/>
  <c r="KH13" i="3"/>
  <c r="KX13" i="3"/>
  <c r="KX8" i="3"/>
  <c r="LB14" i="3"/>
  <c r="HK8" i="3"/>
  <c r="IE8" i="3"/>
  <c r="KX11" i="3"/>
  <c r="KH11" i="3"/>
  <c r="HJ7" i="3"/>
  <c r="KL8" i="3"/>
  <c r="LB8" i="3"/>
  <c r="JD8" i="3"/>
  <c r="JX8" i="3" l="1"/>
  <c r="JE8" i="3"/>
  <c r="HI8" i="3"/>
  <c r="LC8" i="3"/>
  <c r="KU8" i="3" s="1"/>
  <c r="GT8" i="3"/>
  <c r="KI8" i="3"/>
  <c r="JJ8" i="3"/>
  <c r="HR8" i="3"/>
  <c r="HJ8" i="3" s="1"/>
  <c r="IP8" i="3"/>
  <c r="JX7" i="3"/>
  <c r="LN21" i="3"/>
  <c r="KV22" i="3"/>
  <c r="KU23" i="3"/>
  <c r="JF23" i="3"/>
  <c r="LN23" i="3" s="1"/>
  <c r="IC20" i="3"/>
  <c r="JW23" i="3"/>
  <c r="LN17" i="3"/>
  <c r="JX22" i="3"/>
  <c r="HK22" i="3"/>
  <c r="IE20" i="3"/>
  <c r="GE20" i="3"/>
  <c r="LO18" i="3"/>
  <c r="LO19" i="3"/>
  <c r="ID19" i="3"/>
  <c r="IE22" i="3"/>
  <c r="GE22" i="3"/>
  <c r="LO22" i="3" s="1"/>
  <c r="NH22" i="3"/>
  <c r="ID20" i="3"/>
  <c r="ID11" i="3"/>
  <c r="LN15" i="3"/>
  <c r="HJ19" i="3"/>
  <c r="JF20" i="3"/>
  <c r="HJ20" i="3"/>
  <c r="JG20" i="3"/>
  <c r="JF19" i="3"/>
  <c r="GD19" i="3"/>
  <c r="ID18" i="3"/>
  <c r="GC18" i="3"/>
  <c r="ID16" i="3"/>
  <c r="IE16" i="3"/>
  <c r="HK16" i="3"/>
  <c r="HK12" i="3"/>
  <c r="JF12" i="3"/>
  <c r="JF16" i="3"/>
  <c r="KJ10" i="3"/>
  <c r="HK14" i="3"/>
  <c r="HK11" i="3"/>
  <c r="GE15" i="3"/>
  <c r="GE14" i="3"/>
  <c r="IE12" i="3"/>
  <c r="GE11" i="3"/>
  <c r="HJ11" i="3"/>
  <c r="GD13" i="3"/>
  <c r="JW10" i="3"/>
  <c r="HJ13" i="3"/>
  <c r="JF13" i="3"/>
  <c r="JG14" i="3"/>
  <c r="IE14" i="3"/>
  <c r="JE14" i="3"/>
  <c r="HN14" i="3"/>
  <c r="HJ10" i="3"/>
  <c r="ID10" i="3"/>
  <c r="JW11" i="3"/>
  <c r="ID12" i="3"/>
  <c r="JG11" i="3"/>
  <c r="GU13" i="3"/>
  <c r="GC9" i="3"/>
  <c r="KU12" i="3"/>
  <c r="KV11" i="3"/>
  <c r="JF10" i="3"/>
  <c r="GD11" i="3"/>
  <c r="KV12" i="3"/>
  <c r="JX12" i="3"/>
  <c r="JG12" i="3"/>
  <c r="ID13" i="3"/>
  <c r="GD9" i="3"/>
  <c r="KN13" i="3"/>
  <c r="JX14" i="3"/>
  <c r="HO13" i="3"/>
  <c r="GY13" i="3"/>
  <c r="KJ13" i="3"/>
  <c r="JX13" i="3" s="1"/>
  <c r="KZ13" i="3"/>
  <c r="IQ13" i="3"/>
  <c r="JF9" i="3"/>
  <c r="LD13" i="3"/>
  <c r="HS13" i="3"/>
  <c r="JK13" i="3"/>
  <c r="JO13" i="3"/>
  <c r="GC13" i="3"/>
  <c r="IU13" i="3"/>
  <c r="KU13" i="3"/>
  <c r="JE13" i="3"/>
  <c r="JW7" i="3"/>
  <c r="HI11" i="3"/>
  <c r="JF11" i="3"/>
  <c r="JX11" i="3"/>
  <c r="HJ9" i="3"/>
  <c r="HJ12" i="3"/>
  <c r="HI9" i="3"/>
  <c r="KU11" i="3"/>
  <c r="IE11" i="3"/>
  <c r="KJ9" i="3"/>
  <c r="GY9" i="3"/>
  <c r="GU10" i="3"/>
  <c r="KN9" i="3"/>
  <c r="LD9" i="3"/>
  <c r="HS9" i="3"/>
  <c r="GU9" i="3"/>
  <c r="HO10" i="3"/>
  <c r="KU9" i="3"/>
  <c r="IU9" i="3"/>
  <c r="KN10" i="3"/>
  <c r="KZ9" i="3"/>
  <c r="GY10" i="3"/>
  <c r="ID9" i="3"/>
  <c r="HO9" i="3"/>
  <c r="IQ9" i="3"/>
  <c r="HS10" i="3"/>
  <c r="JK9" i="3"/>
  <c r="JW9" i="3"/>
  <c r="JO9" i="3"/>
  <c r="IU10" i="3"/>
  <c r="GC11" i="3"/>
  <c r="IP14" i="3"/>
  <c r="KZ10" i="3"/>
  <c r="LD10" i="3"/>
  <c r="JO10" i="3"/>
  <c r="JK10" i="3"/>
  <c r="IQ10" i="3"/>
  <c r="KV14" i="3"/>
  <c r="IC14" i="3"/>
  <c r="HI14" i="3"/>
  <c r="HR14" i="3"/>
  <c r="KV15" i="3"/>
  <c r="GX14" i="3"/>
  <c r="JJ14" i="3"/>
  <c r="JX20" i="3"/>
  <c r="KU16" i="3"/>
  <c r="NH21" i="3"/>
  <c r="NO21" i="3" s="1"/>
  <c r="NP21" i="3" s="1"/>
  <c r="NH20" i="3"/>
  <c r="NO20" i="3" s="1"/>
  <c r="NP20" i="3" s="1"/>
  <c r="HK20" i="3"/>
  <c r="GD20" i="3"/>
  <c r="KV20" i="3"/>
  <c r="NH19" i="3"/>
  <c r="NO19" i="3" s="1"/>
  <c r="NP19" i="3" s="1"/>
  <c r="HI18" i="3"/>
  <c r="JE18" i="3"/>
  <c r="NH17" i="3"/>
  <c r="NO17" i="3" s="1"/>
  <c r="NP17" i="3" s="1"/>
  <c r="HI15" i="3"/>
  <c r="JE15" i="3"/>
  <c r="JX15" i="3"/>
  <c r="HK15" i="3"/>
  <c r="NH15" i="3"/>
  <c r="NO15" i="3" s="1"/>
  <c r="NP15" i="3" s="1"/>
  <c r="IE15" i="3"/>
  <c r="JW16" i="3"/>
  <c r="JX16" i="3"/>
  <c r="GD16" i="3"/>
  <c r="JG16" i="3"/>
  <c r="GE16" i="3"/>
  <c r="KV16" i="3"/>
  <c r="HJ16" i="3"/>
  <c r="NH16" i="3"/>
  <c r="NO16" i="3" s="1"/>
  <c r="NP16" i="3" s="1"/>
  <c r="JF7" i="3"/>
  <c r="JG7" i="3"/>
  <c r="IE7" i="3"/>
  <c r="GD7" i="3"/>
  <c r="IT14" i="3"/>
  <c r="GT14" i="3"/>
  <c r="GD14" i="3" s="1"/>
  <c r="JN14" i="3"/>
  <c r="GE7" i="3"/>
  <c r="HK7" i="3"/>
  <c r="KM14" i="3"/>
  <c r="JE9" i="3"/>
  <c r="JE7" i="3"/>
  <c r="HI13" i="3"/>
  <c r="KT11" i="3"/>
  <c r="JV13" i="3"/>
  <c r="IC13" i="3"/>
  <c r="HI7" i="3"/>
  <c r="FN7" i="3"/>
  <c r="JE11" i="3"/>
  <c r="GC15" i="3"/>
  <c r="IC11" i="3"/>
  <c r="IC18" i="3"/>
  <c r="GC14" i="3"/>
  <c r="GC7" i="3"/>
  <c r="IC7" i="3"/>
  <c r="KT10" i="3"/>
  <c r="IC15" i="3"/>
  <c r="GC20" i="3"/>
  <c r="JE20" i="3"/>
  <c r="JI12" i="3"/>
  <c r="HQ12" i="3"/>
  <c r="JM12" i="3"/>
  <c r="GS12" i="3"/>
  <c r="HM12" i="3"/>
  <c r="GW12" i="3"/>
  <c r="IO12" i="3"/>
  <c r="IS12" i="3"/>
  <c r="HI20" i="3"/>
  <c r="KU18" i="3"/>
  <c r="JW13" i="3"/>
  <c r="KU19" i="3"/>
  <c r="JW12" i="3"/>
  <c r="JW18" i="3"/>
  <c r="JW19" i="3"/>
  <c r="KU20" i="3"/>
  <c r="JW20" i="3"/>
  <c r="KY14" i="3"/>
  <c r="KI14" i="3"/>
  <c r="LC14" i="3"/>
  <c r="NO22" i="3"/>
  <c r="NP22" i="3" s="1"/>
  <c r="FO11" i="3"/>
  <c r="FN13" i="3"/>
  <c r="MX13" i="3" s="1"/>
  <c r="JV11" i="3"/>
  <c r="LM19" i="3"/>
  <c r="FO13" i="3"/>
  <c r="JV10" i="3"/>
  <c r="KT18" i="3"/>
  <c r="JV14" i="3"/>
  <c r="KT20" i="3"/>
  <c r="LL21" i="3"/>
  <c r="LM23" i="3"/>
  <c r="LM16" i="3"/>
  <c r="LL23" i="3"/>
  <c r="LM21" i="3"/>
  <c r="LM17" i="3"/>
  <c r="KT7" i="3"/>
  <c r="FO14" i="3"/>
  <c r="FO12" i="3"/>
  <c r="LL12" i="3"/>
  <c r="JV15" i="3"/>
  <c r="LL17" i="3"/>
  <c r="LM22" i="3"/>
  <c r="LL19" i="3"/>
  <c r="KT9" i="3"/>
  <c r="JV20" i="3"/>
  <c r="LL18" i="3"/>
  <c r="LL10" i="3"/>
  <c r="LL15" i="3"/>
  <c r="JW8" i="3"/>
  <c r="JU7" i="3"/>
  <c r="JV7" i="3"/>
  <c r="KS7" i="3"/>
  <c r="FO7" i="3"/>
  <c r="H5" i="55" s="1"/>
  <c r="KT8" i="3"/>
  <c r="KT13" i="3"/>
  <c r="KT14" i="3"/>
  <c r="LO8" i="3"/>
  <c r="LL14" i="3"/>
  <c r="JV8" i="3"/>
  <c r="LL8" i="3"/>
  <c r="KS11" i="3"/>
  <c r="LL16" i="3"/>
  <c r="JV9" i="3"/>
  <c r="LL13" i="3"/>
  <c r="LL9" i="3"/>
  <c r="LL20" i="3"/>
  <c r="JU11" i="3"/>
  <c r="LL22" i="3"/>
  <c r="FO10" i="3"/>
  <c r="FN23" i="3"/>
  <c r="MX23" i="3" s="1"/>
  <c r="FO8" i="3"/>
  <c r="FN9" i="3"/>
  <c r="MX9" i="3" s="1"/>
  <c r="FN10" i="3"/>
  <c r="MX10" i="3" s="1"/>
  <c r="FN18" i="3"/>
  <c r="MX18" i="3" s="1"/>
  <c r="FN12" i="3"/>
  <c r="MX12" i="3" s="1"/>
  <c r="FN11" i="3"/>
  <c r="MX11" i="3" s="1"/>
  <c r="FN14" i="3"/>
  <c r="MX14" i="3" s="1"/>
  <c r="FN8" i="3"/>
  <c r="MX8" i="3" s="1"/>
  <c r="GC10" i="3"/>
  <c r="IC10" i="3"/>
  <c r="IC9" i="3"/>
  <c r="JE10" i="3"/>
  <c r="HI10" i="3"/>
  <c r="HH11" i="3"/>
  <c r="GB11" i="3"/>
  <c r="JD7" i="3"/>
  <c r="JD11" i="3"/>
  <c r="GB7" i="3"/>
  <c r="IB7" i="3"/>
  <c r="KL12" i="3"/>
  <c r="HH7" i="3"/>
  <c r="LB12" i="3"/>
  <c r="KH12" i="3"/>
  <c r="KX12" i="3"/>
  <c r="JF8" i="3"/>
  <c r="ID8" i="3"/>
  <c r="GD8" i="3"/>
  <c r="NH23" i="3" l="1"/>
  <c r="NO23" i="3" s="1"/>
  <c r="NP23" i="3" s="1"/>
  <c r="LN18" i="3"/>
  <c r="LO20" i="3"/>
  <c r="JX10" i="3"/>
  <c r="LN16" i="3"/>
  <c r="LO14" i="3"/>
  <c r="LO11" i="3"/>
  <c r="ID14" i="3"/>
  <c r="IE13" i="3"/>
  <c r="JG10" i="3"/>
  <c r="HJ14" i="3"/>
  <c r="HK10" i="3"/>
  <c r="LN10" i="3"/>
  <c r="JX9" i="3"/>
  <c r="KV13" i="3"/>
  <c r="HK9" i="3"/>
  <c r="GE13" i="3"/>
  <c r="JF14" i="3"/>
  <c r="GE9" i="3"/>
  <c r="JE12" i="3"/>
  <c r="IE9" i="3"/>
  <c r="HK13" i="3"/>
  <c r="LN11" i="3"/>
  <c r="LO12" i="3"/>
  <c r="LN7" i="3"/>
  <c r="LM13" i="3"/>
  <c r="GE10" i="3"/>
  <c r="IE10" i="3"/>
  <c r="LN12" i="3"/>
  <c r="JG13" i="3"/>
  <c r="LN13" i="3"/>
  <c r="NH12" i="3"/>
  <c r="NO12" i="3" s="1"/>
  <c r="NP12" i="3" s="1"/>
  <c r="KV9" i="3"/>
  <c r="LN9" i="3"/>
  <c r="KV10" i="3"/>
  <c r="NH13" i="3"/>
  <c r="NO13" i="3" s="1"/>
  <c r="NP13" i="3" s="1"/>
  <c r="JG9" i="3"/>
  <c r="NH10" i="3"/>
  <c r="NO10" i="3" s="1"/>
  <c r="NP10" i="3" s="1"/>
  <c r="NH11" i="3"/>
  <c r="NO11" i="3" s="1"/>
  <c r="NP11" i="3" s="1"/>
  <c r="LO15" i="3"/>
  <c r="JW14" i="3"/>
  <c r="NH18" i="3"/>
  <c r="NO18" i="3" s="1"/>
  <c r="NP18" i="3" s="1"/>
  <c r="LO16" i="3"/>
  <c r="LO7" i="3"/>
  <c r="NH14" i="3"/>
  <c r="NO14" i="3" s="1"/>
  <c r="NP14" i="3" s="1"/>
  <c r="NH9" i="3"/>
  <c r="NO9" i="3" s="1"/>
  <c r="NP9" i="3" s="1"/>
  <c r="MX7" i="3"/>
  <c r="H8" i="55" s="1"/>
  <c r="H4" i="55"/>
  <c r="LM15" i="3"/>
  <c r="LM11" i="3"/>
  <c r="HI12" i="3"/>
  <c r="LM18" i="3"/>
  <c r="LP18" i="3" s="1"/>
  <c r="MY18" i="3" s="1"/>
  <c r="MZ18" i="3" s="1"/>
  <c r="GC12" i="3"/>
  <c r="NH8" i="3"/>
  <c r="NO8" i="3" s="1"/>
  <c r="NP8" i="3" s="1"/>
  <c r="IC12" i="3"/>
  <c r="LN20" i="3"/>
  <c r="LN19" i="3"/>
  <c r="LP19" i="3" s="1"/>
  <c r="MY19" i="3" s="1"/>
  <c r="KU14" i="3"/>
  <c r="LM14" i="3"/>
  <c r="LP17" i="3"/>
  <c r="MY17" i="3" s="1"/>
  <c r="LM20" i="3"/>
  <c r="LP22" i="3"/>
  <c r="MY22" i="3" s="1"/>
  <c r="LP21" i="3"/>
  <c r="MY21" i="3" s="1"/>
  <c r="LP23" i="3"/>
  <c r="MY23" i="3" s="1"/>
  <c r="NQ23" i="3" s="1"/>
  <c r="LM9" i="3"/>
  <c r="LM7" i="3"/>
  <c r="KT12" i="3"/>
  <c r="LM8" i="3"/>
  <c r="LN8" i="3"/>
  <c r="LL11" i="3"/>
  <c r="LM10" i="3"/>
  <c r="JV12" i="3"/>
  <c r="LL7" i="3"/>
  <c r="MZ23" i="3" l="1"/>
  <c r="NQ22" i="3"/>
  <c r="NX22" i="3" s="1"/>
  <c r="MZ22" i="3"/>
  <c r="T18" i="11" s="1"/>
  <c r="LP16" i="3"/>
  <c r="MY16" i="3" s="1"/>
  <c r="NQ16" i="3" s="1"/>
  <c r="NX16" i="3" s="1"/>
  <c r="LP15" i="3"/>
  <c r="MY15" i="3" s="1"/>
  <c r="NQ15" i="3" s="1"/>
  <c r="NX15" i="3" s="1"/>
  <c r="LO10" i="3"/>
  <c r="LP10" i="3" s="1"/>
  <c r="MY10" i="3" s="1"/>
  <c r="MZ10" i="3" s="1"/>
  <c r="LN14" i="3"/>
  <c r="LP14" i="3" s="1"/>
  <c r="MY14" i="3" s="1"/>
  <c r="LO13" i="3"/>
  <c r="LP13" i="3" s="1"/>
  <c r="MY13" i="3" s="1"/>
  <c r="LP11" i="3"/>
  <c r="MY11" i="3" s="1"/>
  <c r="LO9" i="3"/>
  <c r="NH7" i="3"/>
  <c r="NO7" i="3" s="1"/>
  <c r="NP7" i="3" s="1"/>
  <c r="NQ21" i="3"/>
  <c r="NX21" i="3" s="1"/>
  <c r="MZ21" i="3"/>
  <c r="T17" i="11" s="1"/>
  <c r="NQ19" i="3"/>
  <c r="NX19" i="3" s="1"/>
  <c r="MZ19" i="3"/>
  <c r="T15" i="11" s="1"/>
  <c r="NQ17" i="3"/>
  <c r="NX17" i="3" s="1"/>
  <c r="MZ17" i="3"/>
  <c r="T13" i="11" s="1"/>
  <c r="MZ16" i="3"/>
  <c r="T12" i="11" s="1"/>
  <c r="LP20" i="3"/>
  <c r="MY20" i="3" s="1"/>
  <c r="NX23" i="3"/>
  <c r="T14" i="11"/>
  <c r="V14" i="11" s="1"/>
  <c r="W14" i="11" s="1"/>
  <c r="NQ18" i="3"/>
  <c r="NX18" i="3" s="1"/>
  <c r="LP8" i="3"/>
  <c r="MY8" i="3" s="1"/>
  <c r="LP7" i="3"/>
  <c r="LP9" i="3"/>
  <c r="MY9" i="3" s="1"/>
  <c r="LM12" i="3"/>
  <c r="LP12" i="3" s="1"/>
  <c r="MY12" i="3" s="1"/>
  <c r="T19" i="11"/>
  <c r="M19" i="11"/>
  <c r="L19" i="11"/>
  <c r="L13" i="11"/>
  <c r="M13" i="11"/>
  <c r="MZ15" i="3" l="1"/>
  <c r="T11" i="11" s="1"/>
  <c r="NQ12" i="3"/>
  <c r="NX12" i="3" s="1"/>
  <c r="MZ12" i="3"/>
  <c r="NQ13" i="3"/>
  <c r="NX13" i="3" s="1"/>
  <c r="MZ13" i="3"/>
  <c r="T9" i="11" s="1"/>
  <c r="NQ11" i="3"/>
  <c r="NX11" i="3" s="1"/>
  <c r="MZ11" i="3"/>
  <c r="T7" i="11" s="1"/>
  <c r="NQ20" i="3"/>
  <c r="NX20" i="3" s="1"/>
  <c r="MZ20" i="3"/>
  <c r="T16" i="11" s="1"/>
  <c r="V16" i="11" s="1"/>
  <c r="W16" i="11" s="1"/>
  <c r="NQ14" i="3"/>
  <c r="NX14" i="3" s="1"/>
  <c r="MZ14" i="3"/>
  <c r="T10" i="11" s="1"/>
  <c r="U10" i="11" s="1"/>
  <c r="NQ9" i="3"/>
  <c r="NX9" i="3" s="1"/>
  <c r="MZ9" i="3"/>
  <c r="T5" i="11" s="1"/>
  <c r="MY7" i="3"/>
  <c r="H9" i="55" s="1"/>
  <c r="H6" i="55"/>
  <c r="NQ8" i="3"/>
  <c r="NX8" i="3" s="1"/>
  <c r="MZ8" i="3"/>
  <c r="T4" i="11" s="1"/>
  <c r="NQ10" i="3"/>
  <c r="NX10" i="3" s="1"/>
  <c r="U14" i="11"/>
  <c r="X14" i="11" s="1"/>
  <c r="V12" i="11"/>
  <c r="W12" i="11" s="1"/>
  <c r="U12" i="11"/>
  <c r="X12" i="11" s="1"/>
  <c r="U18" i="11"/>
  <c r="X18" i="11" s="1"/>
  <c r="V18" i="11"/>
  <c r="W18" i="11" s="1"/>
  <c r="U15" i="11"/>
  <c r="X15" i="11" s="1"/>
  <c r="V15" i="11"/>
  <c r="W15" i="11" s="1"/>
  <c r="U13" i="11"/>
  <c r="X13" i="11" s="1"/>
  <c r="V13" i="11"/>
  <c r="W13" i="11" s="1"/>
  <c r="U11" i="11"/>
  <c r="X11" i="11" s="1"/>
  <c r="V11" i="11"/>
  <c r="W11" i="11" s="1"/>
  <c r="U17" i="11"/>
  <c r="X17" i="11" s="1"/>
  <c r="V17" i="11"/>
  <c r="W17" i="11" s="1"/>
  <c r="V19" i="11"/>
  <c r="U19" i="11"/>
  <c r="X19" i="11" s="1"/>
  <c r="T8" i="11"/>
  <c r="L17" i="11"/>
  <c r="M17" i="11"/>
  <c r="L14" i="11"/>
  <c r="M14" i="11"/>
  <c r="M16" i="11"/>
  <c r="L16" i="11"/>
  <c r="M12" i="11"/>
  <c r="L12" i="11"/>
  <c r="L5" i="11"/>
  <c r="M5" i="11"/>
  <c r="M11" i="11"/>
  <c r="L11" i="11"/>
  <c r="M15" i="11"/>
  <c r="L15" i="11"/>
  <c r="L18" i="11"/>
  <c r="M18" i="11"/>
  <c r="Y14" i="11"/>
  <c r="T6" i="11"/>
  <c r="MZ7" i="3" l="1"/>
  <c r="U16" i="11"/>
  <c r="X16" i="11" s="1"/>
  <c r="NQ7" i="3"/>
  <c r="NX7" i="3" s="1"/>
  <c r="T3" i="11"/>
  <c r="H11" i="55"/>
  <c r="O11" i="11"/>
  <c r="N11" i="11" s="1"/>
  <c r="AG11" i="11" s="1"/>
  <c r="O13" i="11"/>
  <c r="N13" i="11" s="1"/>
  <c r="AG13" i="11" s="1"/>
  <c r="O14" i="11"/>
  <c r="N14" i="11" s="1"/>
  <c r="AG14" i="11" s="1"/>
  <c r="Y16" i="11"/>
  <c r="O16" i="11"/>
  <c r="N16" i="11" s="1"/>
  <c r="AG16" i="11" s="1"/>
  <c r="O18" i="11"/>
  <c r="N18" i="11" s="1"/>
  <c r="AG18" i="11" s="1"/>
  <c r="O17" i="11"/>
  <c r="N17" i="11" s="1"/>
  <c r="AG17" i="11" s="1"/>
  <c r="Y12" i="11"/>
  <c r="O12" i="11"/>
  <c r="N12" i="11" s="1"/>
  <c r="AG12" i="11" s="1"/>
  <c r="O15" i="11"/>
  <c r="N15" i="11" s="1"/>
  <c r="AG15" i="11" s="1"/>
  <c r="Y11" i="11"/>
  <c r="Y15" i="11"/>
  <c r="O19" i="11"/>
  <c r="N19" i="11" s="1"/>
  <c r="AG19" i="11" s="1"/>
  <c r="V8" i="11"/>
  <c r="W8" i="11" s="1"/>
  <c r="U8" i="11"/>
  <c r="X8" i="11" s="1"/>
  <c r="U9" i="11"/>
  <c r="X9" i="11" s="1"/>
  <c r="V9" i="11"/>
  <c r="W9" i="11" s="1"/>
  <c r="U4" i="11"/>
  <c r="X4" i="11" s="1"/>
  <c r="V4" i="11"/>
  <c r="W4" i="11" s="1"/>
  <c r="U5" i="11"/>
  <c r="X5" i="11" s="1"/>
  <c r="V5" i="11"/>
  <c r="W5" i="11" s="1"/>
  <c r="V7" i="11"/>
  <c r="Y7" i="11" s="1"/>
  <c r="U7" i="11"/>
  <c r="X7" i="11" s="1"/>
  <c r="V10" i="11"/>
  <c r="W10" i="11" s="1"/>
  <c r="Y17" i="11"/>
  <c r="Y13" i="11"/>
  <c r="Y18" i="11"/>
  <c r="W19" i="11"/>
  <c r="Y19" i="11"/>
  <c r="M4" i="11"/>
  <c r="L4" i="11"/>
  <c r="L3" i="11"/>
  <c r="L7" i="11"/>
  <c r="M7" i="11"/>
  <c r="M8" i="11"/>
  <c r="L8" i="11"/>
  <c r="L10" i="11"/>
  <c r="M10" i="11"/>
  <c r="O10" i="11" s="1"/>
  <c r="L9" i="11"/>
  <c r="M9" i="11"/>
  <c r="X10" i="11"/>
  <c r="U6" i="11"/>
  <c r="V6" i="11"/>
  <c r="U3" i="11" l="1"/>
  <c r="O3" i="11" s="1"/>
  <c r="D12" i="56" s="1"/>
  <c r="D15" i="56"/>
  <c r="Y9" i="11"/>
  <c r="Y10" i="11"/>
  <c r="O9" i="11"/>
  <c r="N9" i="11" s="1"/>
  <c r="AG9" i="11" s="1"/>
  <c r="O8" i="11"/>
  <c r="N8" i="11" s="1"/>
  <c r="AG8" i="11" s="1"/>
  <c r="Y8" i="11"/>
  <c r="O7" i="11"/>
  <c r="N7" i="11" s="1"/>
  <c r="AG7" i="11" s="1"/>
  <c r="Y4" i="11"/>
  <c r="O4" i="11"/>
  <c r="N4" i="11" s="1"/>
  <c r="AG4" i="11" s="1"/>
  <c r="W7" i="11"/>
  <c r="Y5" i="11"/>
  <c r="O5" i="11"/>
  <c r="N5" i="11" s="1"/>
  <c r="AG5" i="11" s="1"/>
  <c r="N10" i="11"/>
  <c r="AG10" i="11" s="1"/>
  <c r="L6" i="11"/>
  <c r="M6" i="11"/>
  <c r="O6" i="11" s="1"/>
  <c r="W6" i="11"/>
  <c r="Y6" i="11"/>
  <c r="X6" i="11"/>
  <c r="N6" i="11" l="1"/>
  <c r="AG6" i="11" s="1"/>
  <c r="AO3" i="9"/>
  <c r="H12" i="54" l="1"/>
  <c r="R3" i="11"/>
  <c r="P3" i="11"/>
  <c r="D13" i="56" s="1"/>
  <c r="S3" i="11" l="1"/>
  <c r="X3" i="11" s="1"/>
  <c r="H4" i="56" s="1"/>
  <c r="D14" i="56"/>
  <c r="N3" i="11"/>
  <c r="V3" i="11"/>
  <c r="D16" i="56" s="1"/>
  <c r="Z3" i="11"/>
  <c r="H6" i="56" s="1"/>
  <c r="Q3" i="11"/>
  <c r="AE12" i="17" l="1"/>
  <c r="E12" i="17" s="1"/>
  <c r="AF9" i="17"/>
  <c r="F9" i="17" s="1"/>
  <c r="AC12" i="17"/>
  <c r="C12" i="17" s="1"/>
  <c r="AC11" i="17"/>
  <c r="C11" i="17" s="1"/>
  <c r="AE11" i="17"/>
  <c r="E11" i="17" s="1"/>
  <c r="AG11" i="17"/>
  <c r="G11" i="17" s="1"/>
  <c r="AF11" i="17"/>
  <c r="F11" i="17" s="1"/>
  <c r="AE10" i="17"/>
  <c r="E10" i="17" s="1"/>
  <c r="AD12" i="17"/>
  <c r="D12" i="17" s="1"/>
  <c r="AF12" i="17"/>
  <c r="F12" i="17" s="1"/>
  <c r="AG9" i="17"/>
  <c r="G9" i="17" s="1"/>
  <c r="AD11" i="17"/>
  <c r="D11" i="17" s="1"/>
  <c r="AD8" i="17"/>
  <c r="D8" i="17" s="1"/>
  <c r="AF8" i="17"/>
  <c r="F8" i="17" s="1"/>
  <c r="AC8" i="17"/>
  <c r="C8" i="17" s="1"/>
  <c r="AD10" i="17"/>
  <c r="D10" i="17" s="1"/>
  <c r="AG10" i="17"/>
  <c r="G10" i="17" s="1"/>
  <c r="AE9" i="17"/>
  <c r="E9" i="17" s="1"/>
  <c r="AF10" i="17"/>
  <c r="F10" i="17" s="1"/>
  <c r="AG12" i="17"/>
  <c r="G12" i="17" s="1"/>
  <c r="AG8" i="17"/>
  <c r="G8" i="17" s="1"/>
  <c r="AC10" i="17"/>
  <c r="C10" i="17" s="1"/>
  <c r="Y3" i="11"/>
  <c r="H5" i="56" s="1"/>
  <c r="AE8" i="17"/>
  <c r="E8" i="17" s="1"/>
  <c r="AD9" i="17"/>
  <c r="D9" i="17" s="1"/>
  <c r="AC9" i="17"/>
  <c r="C9" i="17" s="1"/>
  <c r="AG3" i="11"/>
  <c r="H13" i="56" s="1"/>
  <c r="D11" i="56"/>
  <c r="W3" i="11"/>
  <c r="D17" i="56" s="1"/>
  <c r="X5" i="43"/>
  <c r="Y5" i="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E4" authorId="0" shapeId="0" xr:uid="{00000000-0006-0000-0000-000001000000}">
      <text>
        <r>
          <rPr>
            <b/>
            <sz val="9"/>
            <color indexed="81"/>
            <rFont val="Segoe UI"/>
            <family val="2"/>
          </rPr>
          <t>Caso não seja inserido valor a planilha considera um Risk Target baseado no valor do DF Target inserido ou automático.</t>
        </r>
      </text>
    </comment>
    <comment ref="F4" authorId="0" shapeId="0" xr:uid="{00000000-0006-0000-0000-000002000000}">
      <text>
        <r>
          <rPr>
            <b/>
            <sz val="9"/>
            <color indexed="81"/>
            <rFont val="Segoe UI"/>
            <family val="2"/>
          </rPr>
          <t>Caso não seja inserido valor é utilizado automaticamente os valores de DF 20 para Consequência D e E e DF 100 para Consequência A, B e C.</t>
        </r>
      </text>
    </comment>
    <comment ref="D44" authorId="0" shapeId="0" xr:uid="{00000000-0006-0000-0000-000003000000}">
      <text>
        <r>
          <rPr>
            <b/>
            <sz val="9"/>
            <color indexed="81"/>
            <rFont val="Segoe UI"/>
            <family val="2"/>
          </rPr>
          <t>Caso o material escolhido for "Outros", o campo Custo de Material deve ser preenchido.</t>
        </r>
      </text>
    </comment>
    <comment ref="H44" authorId="0" shapeId="0" xr:uid="{00000000-0006-0000-0000-000004000000}">
      <text>
        <r>
          <rPr>
            <b/>
            <sz val="14"/>
            <color indexed="81"/>
            <rFont val="Segoe UI"/>
            <family val="2"/>
          </rPr>
          <t>The example cost estimates shown in Table 4.15 are based on carbon steel prices obtained in 2001. The holecost_n may be multipled by costfactor (user defined) to reflect changed in carbon steel and replacement costs from the 2001 basis and experience.</t>
        </r>
      </text>
    </comment>
    <comment ref="I44" authorId="0" shapeId="0" xr:uid="{00000000-0006-0000-0000-000005000000}">
      <text>
        <r>
          <rPr>
            <b/>
            <sz val="12"/>
            <color indexed="81"/>
            <rFont val="Segoe UI"/>
            <family val="2"/>
          </rPr>
          <t>Equip Cost is the process unit replacement costs for component, $/m2</t>
        </r>
        <r>
          <rPr>
            <sz val="9"/>
            <color indexed="81"/>
            <rFont val="Segoe UI"/>
            <family val="2"/>
          </rPr>
          <t xml:space="preserve">
</t>
        </r>
        <r>
          <rPr>
            <b/>
            <sz val="11"/>
            <color indexed="81"/>
            <rFont val="Segoe UI"/>
            <family val="2"/>
          </rPr>
          <t>It is necessary to calculate the component damage costs to other equipment components in the vicinity of the failure, if the failure results in a flammable (or explosive) event. Toxic releases do not result in damage to surrounding equipment. Typically, a constant value of the process unit replacement cost, equipcost , is used.</t>
        </r>
      </text>
    </comment>
    <comment ref="L44" authorId="0" shapeId="0" xr:uid="{00000000-0006-0000-0000-000006000000}">
      <text>
        <r>
          <rPr>
            <b/>
            <sz val="9"/>
            <color indexed="81"/>
            <rFont val="Segoe UI"/>
            <family val="2"/>
          </rPr>
          <t>is the cost of lost production due to downtime to repair equipment, $/day</t>
        </r>
        <r>
          <rPr>
            <sz val="9"/>
            <color indexed="81"/>
            <rFont val="Segoe UI"/>
            <family val="2"/>
          </rPr>
          <t xml:space="preserve">
</t>
        </r>
      </text>
    </comment>
    <comment ref="M44" authorId="0" shapeId="0" xr:uid="{00000000-0006-0000-0000-000007000000}">
      <text>
        <r>
          <rPr>
            <b/>
            <sz val="9"/>
            <color indexed="81"/>
            <rFont val="Segoe UI"/>
            <family val="2"/>
          </rPr>
          <t>The unit population density, popdens , is the
average number of personnel on the unit per m2</t>
        </r>
      </text>
    </comment>
    <comment ref="N44" authorId="0" shapeId="0" xr:uid="{00000000-0006-0000-0000-000008000000}">
      <text>
        <r>
          <rPr>
            <b/>
            <sz val="9"/>
            <color indexed="81"/>
            <rFont val="Segoe UI"/>
            <family val="2"/>
          </rPr>
          <t>The personnel injury cost, injcost , is the
cost incurred by the company as a result serious injury or fatality of personnel</t>
        </r>
        <r>
          <rPr>
            <sz val="9"/>
            <color indexed="81"/>
            <rFont val="Segoe UI"/>
            <family val="2"/>
          </rPr>
          <t xml:space="preserve">
</t>
        </r>
      </text>
    </comment>
    <comment ref="O44" authorId="0" shapeId="0" xr:uid="{00000000-0006-0000-0000-000009000000}">
      <text>
        <r>
          <rPr>
            <b/>
            <sz val="9"/>
            <color indexed="81"/>
            <rFont val="Segoe UI"/>
            <family val="2"/>
          </rPr>
          <t>The environmental costs, envcost
, are the environmental cleanup costs, $/bbl</t>
        </r>
      </text>
    </comment>
    <comment ref="P44" authorId="0" shapeId="0" xr:uid="{00000000-0006-0000-0000-00000A000000}">
      <text>
        <r>
          <rPr>
            <b/>
            <sz val="9"/>
            <color indexed="81"/>
            <rFont val="Segoe UI"/>
            <family val="2"/>
          </rPr>
          <t>As a general rule, it is not necessary to evaluate a toxic release if the concentration of the stored fluid within
the component or equipment item is at or below the immediately dangerous to life or health (IDLH) value. For
HF, this is 30 ppm, for H2S this is 100 ppm, for NH3 this is 300 ppm, and for Cl this is 10 ppm. Other IDLH
values are provided in Table 4.14.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F7" authorId="0" shapeId="0" xr:uid="{00000000-0006-0000-0100-000001000000}">
      <text>
        <r>
          <rPr>
            <b/>
            <sz val="16"/>
            <color indexed="81"/>
            <rFont val="Segoe UI"/>
            <family val="2"/>
          </rPr>
          <t>A planilha só calcula o volume para cilindros. Para as demais geometrias, como calotas, deve ser inserido o volume manualmente.</t>
        </r>
      </text>
    </comment>
    <comment ref="F8" authorId="0" shapeId="0" xr:uid="{00000000-0006-0000-0100-000002000000}">
      <text>
        <r>
          <rPr>
            <b/>
            <sz val="16"/>
            <color indexed="81"/>
            <rFont val="Segoe UI"/>
            <family val="2"/>
          </rPr>
          <t>A planilha só calcula o volume para cilindros. Para as demais geometrias, como calotas, deve ser inserido o volume manualmente.</t>
        </r>
      </text>
    </comment>
    <comment ref="F12" authorId="0" shapeId="0" xr:uid="{00000000-0006-0000-0100-000003000000}">
      <text>
        <r>
          <rPr>
            <b/>
            <sz val="14"/>
            <color indexed="81"/>
            <rFont val="Segoe UI"/>
            <family val="2"/>
          </rPr>
          <t>Foi utilizado Kv,n = 1 (valor para fluidos não viscosos). Para outra abordagem o número de Reynolds deve ser inserido.</t>
        </r>
      </text>
    </comment>
    <comment ref="I12" authorId="0" shapeId="0" xr:uid="{00000000-0006-0000-0100-000004000000}">
      <text>
        <r>
          <rPr>
            <b/>
            <sz val="9"/>
            <color indexed="81"/>
            <rFont val="Segoe UI"/>
            <family val="2"/>
          </rPr>
          <t>As a general rule, it is not necessary to evaluate a toxic release if the concentration of the stored fluid within the component or equipment item is at or below the immediately dangerous to life or health (IDLH) value.
 For HF, this is 30 ppm, for H2S this is 100 ppm, for NH3 this is 300 ppm, and for Cl this is 10 ppm. Other IDLH values are provided in Part 3 - Table 4.14.
Para consultar tabela clique em Tabela IDLH.</t>
        </r>
      </text>
    </comment>
    <comment ref="C16" authorId="0" shapeId="0" xr:uid="{00000000-0006-0000-0100-000005000000}">
      <text>
        <r>
          <rPr>
            <b/>
            <sz val="9"/>
            <color indexed="81"/>
            <rFont val="Segoe UI"/>
            <family val="2"/>
          </rPr>
          <t>Para definição ver parte 3 - Tabela 4.5</t>
        </r>
        <r>
          <rPr>
            <sz val="9"/>
            <color indexed="81"/>
            <rFont val="Segoe UI"/>
            <family val="2"/>
          </rPr>
          <t xml:space="preserve">
</t>
        </r>
        <r>
          <rPr>
            <b/>
            <sz val="9"/>
            <color indexed="81"/>
            <rFont val="Segoe UI"/>
            <family val="2"/>
          </rPr>
          <t>Clique em Consultar Tabela</t>
        </r>
      </text>
    </comment>
    <comment ref="C17" authorId="0" shapeId="0" xr:uid="{00000000-0006-0000-0100-000006000000}">
      <text>
        <r>
          <rPr>
            <b/>
            <sz val="9"/>
            <color indexed="81"/>
            <rFont val="Segoe UI"/>
            <family val="2"/>
          </rPr>
          <t>Para definição ver parte 3 - Tabela 4.5</t>
        </r>
        <r>
          <rPr>
            <sz val="9"/>
            <color indexed="81"/>
            <rFont val="Segoe UI"/>
            <family val="2"/>
          </rPr>
          <t xml:space="preserve">
</t>
        </r>
        <r>
          <rPr>
            <b/>
            <sz val="9"/>
            <color indexed="81"/>
            <rFont val="Segoe UI"/>
            <family val="2"/>
          </rPr>
          <t>Clique em Consultar Tabela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H11" authorId="0" shapeId="0" xr:uid="{00000000-0006-0000-0200-000001000000}">
      <text>
        <r>
          <rPr>
            <b/>
            <sz val="9"/>
            <color indexed="81"/>
            <rFont val="Segoe UI"/>
            <family val="2"/>
          </rPr>
          <t>The management systems factor, FMS, is an adjustment factor that accounts for the influence of the facility’s management system on the mechanical integrity of the plant equipment. This factor accounts for the probability that accumulating damage that may result in a loss of containment will be discovered prior to the occurrence. 
The factor is also indicative of the quality of a facility’s mechanical integrity and PSM programs. This factor is derived from the results of an evaluation of facility or operating unit management systems that affect plant risk. 
The management systems evaluation is provided in Part 2, Annex 2.A of API RP 581.</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G8" authorId="0" shapeId="0" xr:uid="{00000000-0006-0000-0600-000001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G11" authorId="0" shapeId="0" xr:uid="{00000000-0006-0000-0600-000002000000}">
      <text>
        <r>
          <rPr>
            <b/>
            <sz val="9"/>
            <color indexed="81"/>
            <rFont val="Segoe UI"/>
            <family val="2"/>
          </rPr>
          <t>Quantidade de Inspeções Efetividade A - Ver Parte 2 - Anexo 2.C</t>
        </r>
      </text>
    </comment>
    <comment ref="J11" authorId="0" shapeId="0" xr:uid="{00000000-0006-0000-0600-000003000000}">
      <text>
        <r>
          <rPr>
            <b/>
            <sz val="9"/>
            <color indexed="81"/>
            <rFont val="Segoe UI"/>
            <family val="2"/>
          </rPr>
          <t>Function of On-line Monitoring. See Parte 2 - Table 4.8
Clique em Consultar Tabela</t>
        </r>
      </text>
    </comment>
    <comment ref="C12" authorId="0" shapeId="0" xr:uid="{00000000-0006-0000-0600-000004000000}">
      <text>
        <r>
          <rPr>
            <b/>
            <sz val="9"/>
            <color indexed="81"/>
            <rFont val="Segoe UI"/>
            <family val="2"/>
          </rPr>
          <t>Menor espessura encontrada na última inspeção.</t>
        </r>
      </text>
    </comment>
    <comment ref="G12" authorId="0" shapeId="0" xr:uid="{00000000-0006-0000-0600-000005000000}">
      <text>
        <r>
          <rPr>
            <b/>
            <sz val="9"/>
            <color indexed="81"/>
            <rFont val="Segoe UI"/>
            <family val="2"/>
          </rPr>
          <t>Quantidade de Inspeções Efetividade B - Ver Parte 2 - Anexo 2.C</t>
        </r>
      </text>
    </comment>
    <comment ref="J12" authorId="0" shapeId="0" xr:uid="{00000000-0006-0000-0600-000006000000}">
      <text>
        <r>
          <rPr>
            <b/>
            <sz val="9"/>
            <color indexed="81"/>
            <rFont val="Segoe UI"/>
            <family val="2"/>
          </rPr>
          <t>Adjustment for Injection/Mix Points, FIP—An injection/mix point is defined as a point where a chemical (including water) is being added to the main flow stream. A corrosive mix point is defined as:
— mixing of vapor and liquid streams where vaporization of the liquid stream can occur;
— water is present in either or both streams; or
— temperature of the mixed streams is below the water dew point of the combined stream.
If a piping circuit contains an injection/mix point, then an adjustment factor equal to FIP = 3 should be used to account for the higher likelihood of thinning activity at this location. If a highly effective inspection specifically for injection/mix point corrosion within the injection point circuit (according to API 570) is performed, then an adjustment is not necessary, or FIP = 1.</t>
        </r>
      </text>
    </comment>
    <comment ref="C13" authorId="0" shapeId="0" xr:uid="{00000000-0006-0000-0600-000007000000}">
      <text>
        <r>
          <rPr>
            <b/>
            <sz val="9"/>
            <color indexed="81"/>
            <rFont val="Segoe UI"/>
            <family val="2"/>
          </rPr>
          <t>Corrosion Rate Material Base</t>
        </r>
      </text>
    </comment>
    <comment ref="G13" authorId="0" shapeId="0" xr:uid="{00000000-0006-0000-0600-000008000000}">
      <text>
        <r>
          <rPr>
            <b/>
            <sz val="9"/>
            <color indexed="81"/>
            <rFont val="Segoe UI"/>
            <family val="2"/>
          </rPr>
          <t>Quantidade de Inspeções Efetividade C - Ver Parte 2 - Anexo 2.C</t>
        </r>
      </text>
    </comment>
    <comment ref="J13" authorId="0" shapeId="0" xr:uid="{00000000-0006-0000-0600-000009000000}">
      <text>
        <r>
          <rPr>
            <b/>
            <sz val="9"/>
            <color indexed="81"/>
            <rFont val="Segoe UI"/>
            <family val="2"/>
          </rPr>
          <t>A dead-leg is defined as a section of piping or piping circuit that is used only during intermittent service such as start-ups, shutdowns, or regeneration cycles rather than continuous service. Dead-legs include components of piping that normally have no significant flow. If a piping circuit contains a dead-leg, then an adjustment should be made to the thinning DF to account for the higher likelihood of thinning activity at this location. 
The adjustment factor is FDL = 3. If a highly effective inspection method is used to address the potential of localized corrosion in the dead-leg, then an adjustment is not necessary, or FDL = 1</t>
        </r>
      </text>
    </comment>
    <comment ref="C14" authorId="0" shapeId="0" xr:uid="{00000000-0006-0000-0600-00000A000000}">
      <text>
        <r>
          <rPr>
            <b/>
            <sz val="9"/>
            <color indexed="81"/>
            <rFont val="Segoe UI"/>
            <family val="2"/>
          </rPr>
          <t>Corrosion Rate Clad</t>
        </r>
      </text>
    </comment>
    <comment ref="G14" authorId="0" shapeId="0" xr:uid="{00000000-0006-0000-0600-00000B000000}">
      <text>
        <r>
          <rPr>
            <b/>
            <sz val="9"/>
            <color indexed="81"/>
            <rFont val="Segoe UI"/>
            <family val="2"/>
          </rPr>
          <t>Quantidade de Inspeções Efetividade D - Ver Parte 2 - Anexo 2.C</t>
        </r>
      </text>
    </comment>
    <comment ref="C16" authorId="0" shapeId="0" xr:uid="{00000000-0006-0000-0600-00000C000000}">
      <text>
        <r>
          <rPr>
            <b/>
            <sz val="9"/>
            <color indexed="81"/>
            <rFont val="Segoe UI"/>
            <family val="2"/>
          </rPr>
          <t>The uncertainty in the corrosion rate varies, depending on the source and quality of the corrosion rate data.
For general thinning, the reliability of the information sources used to establish a corrosion rate can be put into the following three categories.
a) Low Confidence Information Sources for Corrosion Rates—Sources such as published data, corrosion rate tables, and expert opinion. Although they are often used for design decisions, the actual corrosion rate that will be observed in a given process situation may significantly differ from the design value.
b) Medium Confidence Information Sources for Corrosion Rates—Sources such as laboratory testing with simulated process conditions or limited in situ corrosion coupon testing. Corrosion rate data developed from sources that simulate the actual process conditions usually provide a higher level of confidence in the predicted corrosion rate.
c) High Confidence Information Sources for Corrosion Rates—Sources such as extensive field data from thorough inspections. Coupon data, reflecting five or more years of experience with the process equipment (assuming significant process changes have not occurred), provide a high level of confidence in the predicted corrosion rate. If enough data are available from actual process experience, the actual corrosion rate is very likely to be close to the expected value under normal operating conditions.</t>
        </r>
        <r>
          <rPr>
            <sz val="9"/>
            <color indexed="81"/>
            <rFont val="Segoe U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D2" authorId="0" shapeId="0" xr:uid="{00000000-0006-0000-0700-000001000000}">
      <text>
        <r>
          <rPr>
            <b/>
            <sz val="9"/>
            <color indexed="81"/>
            <rFont val="Segoe UI"/>
            <family val="2"/>
          </rPr>
          <t>Caso não seja inserido valor a planilha considera um Risk Target baseado no valor do DF Target inserido ou automático.</t>
        </r>
      </text>
    </comment>
    <comment ref="E2" authorId="0" shapeId="0" xr:uid="{00000000-0006-0000-0700-000002000000}">
      <text>
        <r>
          <rPr>
            <b/>
            <sz val="9"/>
            <color indexed="81"/>
            <rFont val="Segoe UI"/>
            <family val="2"/>
          </rPr>
          <t>Caso não seja inserido valor é utilizado automaticamente os valores de DF 20 para Consequência D e E e DF 100 para Consequência A, B e C.</t>
        </r>
      </text>
    </comment>
    <comment ref="P11" authorId="0" shapeId="0" xr:uid="{00000000-0006-0000-0700-000003000000}">
      <text>
        <r>
          <rPr>
            <b/>
            <sz val="9"/>
            <color indexed="81"/>
            <rFont val="Segoe UI"/>
            <family val="2"/>
          </rPr>
          <t>A planilha só calcula o volume para cilindros. Para as demais geometrias, como calotas, deve ser inserido o volume manualmente.</t>
        </r>
      </text>
    </comment>
    <comment ref="Q11" authorId="0" shapeId="0" xr:uid="{00000000-0006-0000-0700-000004000000}">
      <text>
        <r>
          <rPr>
            <b/>
            <sz val="9"/>
            <color indexed="81"/>
            <rFont val="Segoe UI"/>
            <family val="2"/>
          </rPr>
          <t>A planilha só calcula o volume para cilindros. Para as demais geometrias, como calotas, deve ser inserido o volume manualmente.</t>
        </r>
      </text>
    </comment>
    <comment ref="W11" authorId="0" shapeId="0" xr:uid="{00000000-0006-0000-0700-000005000000}">
      <text>
        <r>
          <rPr>
            <b/>
            <sz val="9"/>
            <color indexed="81"/>
            <rFont val="Segoe UI"/>
            <family val="2"/>
          </rPr>
          <t>Management System Factor</t>
        </r>
      </text>
    </comment>
    <comment ref="BD11" authorId="0" shapeId="0" xr:uid="{00000000-0006-0000-0700-000006000000}">
      <text>
        <r>
          <rPr>
            <b/>
            <sz val="9"/>
            <color indexed="81"/>
            <rFont val="Segoe UI"/>
            <family val="2"/>
          </rPr>
          <t>Corrosion Rate Material Base</t>
        </r>
      </text>
    </comment>
    <comment ref="BE11" authorId="0" shapeId="0" xr:uid="{00000000-0006-0000-0700-000007000000}">
      <text>
        <r>
          <rPr>
            <b/>
            <sz val="9"/>
            <color indexed="81"/>
            <rFont val="Segoe UI"/>
            <family val="2"/>
          </rPr>
          <t>Corrosion Rate Clad</t>
        </r>
      </text>
    </comment>
    <comment ref="BG11" authorId="0" shapeId="0" xr:uid="{00000000-0006-0000-0700-000008000000}">
      <text>
        <r>
          <rPr>
            <b/>
            <sz val="9"/>
            <color indexed="81"/>
            <rFont val="Segoe UI"/>
            <family val="2"/>
          </rPr>
          <t>Menor espessura encontrada na última inspeção.</t>
        </r>
      </text>
    </comment>
    <comment ref="BI11" authorId="0" shapeId="0" xr:uid="{00000000-0006-0000-0700-000009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BO11" authorId="0" shapeId="0" xr:uid="{00000000-0006-0000-0700-00000A000000}">
      <text>
        <r>
          <rPr>
            <b/>
            <sz val="9"/>
            <color indexed="81"/>
            <rFont val="Segoe UI"/>
            <family val="2"/>
          </rPr>
          <t>Parte 2 - Anexo 2.C</t>
        </r>
      </text>
    </comment>
    <comment ref="BP11" authorId="0" shapeId="0" xr:uid="{00000000-0006-0000-0700-00000B000000}">
      <text>
        <r>
          <rPr>
            <b/>
            <sz val="9"/>
            <color indexed="81"/>
            <rFont val="Segoe UI"/>
            <family val="2"/>
          </rPr>
          <t>Parte 2 - Anexo 2.C</t>
        </r>
      </text>
    </comment>
    <comment ref="BQ11" authorId="0" shapeId="0" xr:uid="{00000000-0006-0000-0700-00000C000000}">
      <text>
        <r>
          <rPr>
            <b/>
            <sz val="9"/>
            <color indexed="81"/>
            <rFont val="Segoe UI"/>
            <family val="2"/>
          </rPr>
          <t>Parte 2 - Anexo 2.C</t>
        </r>
      </text>
    </comment>
    <comment ref="BR11" authorId="0" shapeId="0" xr:uid="{00000000-0006-0000-0700-00000D000000}">
      <text>
        <r>
          <rPr>
            <b/>
            <sz val="9"/>
            <color indexed="81"/>
            <rFont val="Segoe UI"/>
            <family val="2"/>
          </rPr>
          <t>Parte 2 - Anexo 2.C</t>
        </r>
      </text>
    </comment>
    <comment ref="BT11" authorId="0" shapeId="0" xr:uid="{00000000-0006-0000-0700-00000E000000}">
      <text>
        <r>
          <rPr>
            <b/>
            <sz val="9"/>
            <color indexed="81"/>
            <rFont val="Segoe UI"/>
            <family val="2"/>
          </rPr>
          <t>Function of On-line Monitoring. See Parte 2 - Table 4.8</t>
        </r>
      </text>
    </comment>
    <comment ref="BU11" authorId="0" shapeId="0" xr:uid="{00000000-0006-0000-0700-00000F000000}">
      <text>
        <r>
          <rPr>
            <b/>
            <sz val="9"/>
            <color indexed="81"/>
            <rFont val="Segoe UI"/>
            <family val="2"/>
          </rPr>
          <t>Adjustment for Injection/Mix Points, FIP—An injection/mix point is defined as a point where a chemical (including water) is being added to the main flow stream. A corrosive mix point is defined as:
— mixing of vapor and liquid streams where vaporization of the liquid stream can occur;
— water is present in either or both streams; or
— temperature of the mixed streams is below the water dew point of the combined stream.
If a piping circuit contains an injection/mix point, then an adjustment factor equal to FIP = 3 should
be used to account for the higher likelihood of thinning activity at this location. If a highly effective
inspection specifically for injection/mix point corrosion within the injection point circuit (according to API 570) is performed, then an adjustment is not necessary, or FIP = 1.</t>
        </r>
      </text>
    </comment>
    <comment ref="BV11" authorId="0" shapeId="0" xr:uid="{00000000-0006-0000-0700-000010000000}">
      <text>
        <r>
          <rPr>
            <b/>
            <sz val="9"/>
            <color indexed="81"/>
            <rFont val="Segoe UI"/>
            <family val="2"/>
          </rPr>
          <t>A dead-leg is defined as a section of piping or piping circuit that is used only during intermittent service such as start-ups, shutdowns, or regeneration cycles rather than continuous service. Dead-legs include components of piping that normally have no significant flow. If a piping circuit contains a dead-leg, then an adjustment should be made to the thinning DF to account for the higher likelihood of thinning activity at this location. The adjustment factor is FDL = 3. If a highly effective inspection method is used to address the potential of localized corrosion in the dead-leg, then an adjustment is not necessary, or FDL = 1</t>
        </r>
      </text>
    </comment>
    <comment ref="CA11" authorId="0" shapeId="0" xr:uid="{00000000-0006-0000-0700-000011000000}">
      <text>
        <r>
          <rPr>
            <b/>
            <sz val="9"/>
            <color indexed="81"/>
            <rFont val="Segoe UI"/>
            <family val="2"/>
          </rPr>
          <t>Menor espessura encontrada na última inspeção.</t>
        </r>
      </text>
    </comment>
    <comment ref="CB11" authorId="0" shapeId="0" xr:uid="{00000000-0006-0000-0700-000012000000}">
      <text>
        <r>
          <rPr>
            <b/>
            <sz val="9"/>
            <color indexed="81"/>
            <rFont val="Segoe UI"/>
            <family val="2"/>
          </rPr>
          <t>Menor espessura encontrada na última inspeção.</t>
        </r>
      </text>
    </comment>
    <comment ref="CE11" authorId="0" shapeId="0" xr:uid="{00000000-0006-0000-0700-000013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CF11" authorId="0" shapeId="0" xr:uid="{00000000-0006-0000-0700-000014000000}">
      <text>
        <r>
          <rPr>
            <b/>
            <sz val="9"/>
            <color indexed="81"/>
            <rFont val="Segoe UI"/>
            <family val="2"/>
          </rPr>
          <t>Adjustment for Equipment Design or Fabrication, FEQ — If the equipment has a design that allows
water to pool and increase metal loss rates, such as piping supported directly on beams, vessel
stiffening rings or insulation supports, or other such configuration that does not allow water egress and/or does not allow for proper coating maintenance, then FEQ = 2; otherwise, FEQ = 1.</t>
        </r>
      </text>
    </comment>
    <comment ref="CG11" authorId="0" shapeId="0" xr:uid="{00000000-0006-0000-0700-000015000000}">
      <text>
        <r>
          <rPr>
            <b/>
            <sz val="9"/>
            <color indexed="81"/>
            <rFont val="Segoe UI"/>
            <family val="2"/>
          </rPr>
          <t>Adjustment for Interface, FIF — If the piping has an interface where it enters either soil or water, then FIF = 2; otherwise, FIF = 1.</t>
        </r>
      </text>
    </comment>
    <comment ref="CH11" authorId="0" shapeId="0" xr:uid="{00000000-0006-0000-0700-000016000000}">
      <text>
        <r>
          <rPr>
            <b/>
            <sz val="9"/>
            <color indexed="81"/>
            <rFont val="Segoe UI"/>
            <family val="2"/>
          </rPr>
          <t>Parte 2 - Anexo 2.C</t>
        </r>
      </text>
    </comment>
    <comment ref="CI11" authorId="0" shapeId="0" xr:uid="{00000000-0006-0000-0700-000017000000}">
      <text>
        <r>
          <rPr>
            <b/>
            <sz val="9"/>
            <color indexed="81"/>
            <rFont val="Segoe UI"/>
            <family val="2"/>
          </rPr>
          <t>Parte 2 - Anexo 2.C</t>
        </r>
      </text>
    </comment>
    <comment ref="CJ11" authorId="0" shapeId="0" xr:uid="{00000000-0006-0000-0700-000018000000}">
      <text>
        <r>
          <rPr>
            <b/>
            <sz val="9"/>
            <color indexed="81"/>
            <rFont val="Segoe UI"/>
            <family val="2"/>
          </rPr>
          <t>Parte 2 - Anexo 2.C</t>
        </r>
      </text>
    </comment>
    <comment ref="CK11" authorId="0" shapeId="0" xr:uid="{00000000-0006-0000-0700-000019000000}">
      <text>
        <r>
          <rPr>
            <b/>
            <sz val="9"/>
            <color indexed="81"/>
            <rFont val="Segoe UI"/>
            <family val="2"/>
          </rPr>
          <t>Parte 2 - Anexo 2.C</t>
        </r>
      </text>
    </comment>
    <comment ref="CU11" authorId="0" shapeId="0" xr:uid="{00000000-0006-0000-0700-00001A000000}">
      <text>
        <r>
          <rPr>
            <b/>
            <sz val="9"/>
            <color indexed="81"/>
            <rFont val="Segoe UI"/>
            <family val="2"/>
          </rPr>
          <t>Function of On-line Monitoring. See Parte 2 - Table 9.5</t>
        </r>
      </text>
    </comment>
    <comment ref="CV11" authorId="0" shapeId="0" xr:uid="{00000000-0006-0000-0700-00001B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CW11" authorId="0" shapeId="0" xr:uid="{00000000-0006-0000-0700-00001C000000}">
      <text>
        <r>
          <rPr>
            <b/>
            <sz val="9"/>
            <color indexed="81"/>
            <rFont val="Segoe UI"/>
            <family val="2"/>
          </rPr>
          <t>See Parte 2 - Anexo 2.C</t>
        </r>
      </text>
    </comment>
    <comment ref="CX11" authorId="0" shapeId="0" xr:uid="{00000000-0006-0000-0700-00001D000000}">
      <text>
        <r>
          <rPr>
            <b/>
            <sz val="9"/>
            <color indexed="81"/>
            <rFont val="Segoe UI"/>
            <family val="2"/>
          </rPr>
          <t>See Parte 2 - Anexo 2.C</t>
        </r>
      </text>
    </comment>
    <comment ref="CY11" authorId="0" shapeId="0" xr:uid="{00000000-0006-0000-0700-00001E000000}">
      <text>
        <r>
          <rPr>
            <b/>
            <sz val="9"/>
            <color indexed="81"/>
            <rFont val="Segoe UI"/>
            <family val="2"/>
          </rPr>
          <t>See Parte 2 - Anexo 2.C</t>
        </r>
      </text>
    </comment>
    <comment ref="CZ11" authorId="0" shapeId="0" xr:uid="{00000000-0006-0000-0700-00001F000000}">
      <text>
        <r>
          <rPr>
            <b/>
            <sz val="9"/>
            <color indexed="81"/>
            <rFont val="Segoe UI"/>
            <family val="2"/>
          </rPr>
          <t>See Parte 2 - Anexo 2.C</t>
        </r>
      </text>
    </comment>
    <comment ref="DA11" authorId="0" shapeId="0" xr:uid="{00000000-0006-0000-0700-000020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B11" authorId="0" shapeId="0" xr:uid="{00000000-0006-0000-0700-000021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C11" authorId="0" shapeId="0" xr:uid="{00000000-0006-0000-0700-000022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D11" authorId="0" shapeId="0" xr:uid="{00000000-0006-0000-0700-000023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D2" authorId="0" shapeId="0" xr:uid="{00000000-0006-0000-0800-000001000000}">
      <text>
        <r>
          <rPr>
            <b/>
            <sz val="9"/>
            <color indexed="81"/>
            <rFont val="Segoe UI"/>
            <family val="2"/>
          </rPr>
          <t>Caso não seja inserido valor a planilha considera um Risk Target baseado no valor do DF Target inserido ou automático.</t>
        </r>
      </text>
    </comment>
    <comment ref="E2" authorId="0" shapeId="0" xr:uid="{00000000-0006-0000-0800-000002000000}">
      <text>
        <r>
          <rPr>
            <b/>
            <sz val="9"/>
            <color indexed="81"/>
            <rFont val="Segoe UI"/>
            <family val="2"/>
          </rPr>
          <t>Caso não seja inserido valor é utilizado automaticamente os valores de DF 20 para Consequência D e E e DF 100 para Consequência A, B e C.</t>
        </r>
      </text>
    </comment>
    <comment ref="P11" authorId="0" shapeId="0" xr:uid="{00000000-0006-0000-0800-000003000000}">
      <text>
        <r>
          <rPr>
            <b/>
            <sz val="9"/>
            <color indexed="81"/>
            <rFont val="Segoe UI"/>
            <family val="2"/>
          </rPr>
          <t>A planilha só calcula o volume para cilindros. Para as demais geometrias, como calotas, deve ser inserido o volume manualmente.</t>
        </r>
      </text>
    </comment>
    <comment ref="Q11" authorId="0" shapeId="0" xr:uid="{00000000-0006-0000-0800-000004000000}">
      <text>
        <r>
          <rPr>
            <b/>
            <sz val="9"/>
            <color indexed="81"/>
            <rFont val="Segoe UI"/>
            <family val="2"/>
          </rPr>
          <t>A planilha só calcula o volume para cilindros. Para as demais geometrias, como calotas, deve ser inserido o volume manualmente.</t>
        </r>
      </text>
    </comment>
    <comment ref="W11" authorId="0" shapeId="0" xr:uid="{00000000-0006-0000-0800-000005000000}">
      <text>
        <r>
          <rPr>
            <b/>
            <sz val="9"/>
            <color indexed="81"/>
            <rFont val="Segoe UI"/>
            <family val="2"/>
          </rPr>
          <t>Management System Factor</t>
        </r>
      </text>
    </comment>
    <comment ref="BD11" authorId="0" shapeId="0" xr:uid="{00000000-0006-0000-0800-000006000000}">
      <text>
        <r>
          <rPr>
            <b/>
            <sz val="9"/>
            <color indexed="81"/>
            <rFont val="Segoe UI"/>
            <family val="2"/>
          </rPr>
          <t>Corrosion Rate Material Base</t>
        </r>
      </text>
    </comment>
    <comment ref="BE11" authorId="0" shapeId="0" xr:uid="{00000000-0006-0000-0800-000007000000}">
      <text>
        <r>
          <rPr>
            <b/>
            <sz val="9"/>
            <color indexed="81"/>
            <rFont val="Segoe UI"/>
            <family val="2"/>
          </rPr>
          <t>Corrosion Rate Clad</t>
        </r>
      </text>
    </comment>
    <comment ref="BG11" authorId="0" shapeId="0" xr:uid="{00000000-0006-0000-0800-000008000000}">
      <text>
        <r>
          <rPr>
            <b/>
            <sz val="9"/>
            <color indexed="81"/>
            <rFont val="Segoe UI"/>
            <family val="2"/>
          </rPr>
          <t>Menor espessura encontrada na última inspeção.</t>
        </r>
      </text>
    </comment>
    <comment ref="BI11" authorId="0" shapeId="0" xr:uid="{00000000-0006-0000-0800-000009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BO11" authorId="0" shapeId="0" xr:uid="{00000000-0006-0000-0800-00000A000000}">
      <text>
        <r>
          <rPr>
            <b/>
            <sz val="9"/>
            <color indexed="81"/>
            <rFont val="Segoe UI"/>
            <family val="2"/>
          </rPr>
          <t>Parte 2 - Anexo 2.C</t>
        </r>
      </text>
    </comment>
    <comment ref="BP11" authorId="0" shapeId="0" xr:uid="{00000000-0006-0000-0800-00000B000000}">
      <text>
        <r>
          <rPr>
            <b/>
            <sz val="9"/>
            <color indexed="81"/>
            <rFont val="Segoe UI"/>
            <family val="2"/>
          </rPr>
          <t>Parte 2 - Anexo 2.C</t>
        </r>
      </text>
    </comment>
    <comment ref="BQ11" authorId="0" shapeId="0" xr:uid="{00000000-0006-0000-0800-00000C000000}">
      <text>
        <r>
          <rPr>
            <b/>
            <sz val="9"/>
            <color indexed="81"/>
            <rFont val="Segoe UI"/>
            <family val="2"/>
          </rPr>
          <t>Parte 2 - Anexo 2.C</t>
        </r>
      </text>
    </comment>
    <comment ref="BR11" authorId="0" shapeId="0" xr:uid="{00000000-0006-0000-0800-00000D000000}">
      <text>
        <r>
          <rPr>
            <b/>
            <sz val="9"/>
            <color indexed="81"/>
            <rFont val="Segoe UI"/>
            <family val="2"/>
          </rPr>
          <t>Parte 2 - Anexo 2.C</t>
        </r>
      </text>
    </comment>
    <comment ref="BT11" authorId="0" shapeId="0" xr:uid="{00000000-0006-0000-0800-00000E000000}">
      <text>
        <r>
          <rPr>
            <b/>
            <sz val="9"/>
            <color indexed="81"/>
            <rFont val="Segoe UI"/>
            <family val="2"/>
          </rPr>
          <t>Function of On-line Monitoring. See Parte 2 - Table 4.8</t>
        </r>
      </text>
    </comment>
    <comment ref="BU11" authorId="0" shapeId="0" xr:uid="{00000000-0006-0000-0800-00000F000000}">
      <text>
        <r>
          <rPr>
            <b/>
            <sz val="9"/>
            <color indexed="81"/>
            <rFont val="Segoe UI"/>
            <family val="2"/>
          </rPr>
          <t>Adjustment for Injection/Mix Points, FIP—An injection/mix point is defined as a point where a chemical (including water) is being added to the main flow stream. A corrosive mix point is defined as:
— mixing of vapor and liquid streams where vaporization of the liquid stream can occur;
— water is present in either or both streams; or
— temperature of the mixed streams is below the water dew point of the combined stream.
If a piping circuit contains an injection/mix point, then an adjustment factor equal to FIP = 3 should
be used to account for the higher likelihood of thinning activity at this location. If a highly effective
inspection specifically for injection/mix point corrosion within the injection point circuit (according to API 570) is performed, then an adjustment is not necessary, or FIP = 1.</t>
        </r>
      </text>
    </comment>
    <comment ref="BV11" authorId="0" shapeId="0" xr:uid="{00000000-0006-0000-0800-000010000000}">
      <text>
        <r>
          <rPr>
            <b/>
            <sz val="9"/>
            <color indexed="81"/>
            <rFont val="Segoe UI"/>
            <family val="2"/>
          </rPr>
          <t>A dead-leg is defined as a section of piping or piping circuit that is used only during intermittent service such as start-ups, shutdowns, or regeneration cycles rather than continuous service. Dead-legs include components of piping that normally have no significant flow. If a piping circuit contains a dead-leg, then an adjustment should be made to the thinning DF to account for the higher likelihood of thinning activity at this location. The adjustment factor is FDL = 3. If a highly effective inspection method is used to address the potential of localized corrosion in the dead-leg, then an adjustment is not necessary, or FDL = 1</t>
        </r>
      </text>
    </comment>
    <comment ref="CA11" authorId="0" shapeId="0" xr:uid="{00000000-0006-0000-0800-000011000000}">
      <text>
        <r>
          <rPr>
            <b/>
            <sz val="9"/>
            <color indexed="81"/>
            <rFont val="Segoe UI"/>
            <family val="2"/>
          </rPr>
          <t>Menor espessura encontrada na última inspeção.</t>
        </r>
      </text>
    </comment>
    <comment ref="CB11" authorId="0" shapeId="0" xr:uid="{00000000-0006-0000-0800-000012000000}">
      <text>
        <r>
          <rPr>
            <b/>
            <sz val="9"/>
            <color indexed="81"/>
            <rFont val="Segoe UI"/>
            <family val="2"/>
          </rPr>
          <t>Menor espessura encontrada na última inspeção.</t>
        </r>
      </text>
    </comment>
    <comment ref="CE11" authorId="0" shapeId="0" xr:uid="{00000000-0006-0000-0800-000013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CF11" authorId="0" shapeId="0" xr:uid="{00000000-0006-0000-0800-000014000000}">
      <text>
        <r>
          <rPr>
            <b/>
            <sz val="9"/>
            <color indexed="81"/>
            <rFont val="Segoe UI"/>
            <family val="2"/>
          </rPr>
          <t>Adjustment for Equipment Design or Fabrication, FEQ — If the equipment has a design that allows
water to pool and increase metal loss rates, such as piping supported directly on beams, vessel
stiffening rings or insulation supports, or other such configuration that does not allow water egress and/or does not allow for proper coating maintenance, then FEQ = 2; otherwise, FEQ = 1.</t>
        </r>
      </text>
    </comment>
    <comment ref="CG11" authorId="0" shapeId="0" xr:uid="{00000000-0006-0000-0800-000015000000}">
      <text>
        <r>
          <rPr>
            <b/>
            <sz val="9"/>
            <color indexed="81"/>
            <rFont val="Segoe UI"/>
            <family val="2"/>
          </rPr>
          <t>Adjustment for Interface, FIF — If the piping has an interface where it enters either soil or water, then FIF = 2; otherwise, FIF = 1.</t>
        </r>
      </text>
    </comment>
    <comment ref="CH11" authorId="0" shapeId="0" xr:uid="{00000000-0006-0000-0800-000016000000}">
      <text>
        <r>
          <rPr>
            <b/>
            <sz val="9"/>
            <color indexed="81"/>
            <rFont val="Segoe UI"/>
            <family val="2"/>
          </rPr>
          <t>Parte 2 - Anexo 2.C</t>
        </r>
      </text>
    </comment>
    <comment ref="CI11" authorId="0" shapeId="0" xr:uid="{00000000-0006-0000-0800-000017000000}">
      <text>
        <r>
          <rPr>
            <b/>
            <sz val="9"/>
            <color indexed="81"/>
            <rFont val="Segoe UI"/>
            <family val="2"/>
          </rPr>
          <t>Parte 2 - Anexo 2.C</t>
        </r>
      </text>
    </comment>
    <comment ref="CJ11" authorId="0" shapeId="0" xr:uid="{00000000-0006-0000-0800-000018000000}">
      <text>
        <r>
          <rPr>
            <b/>
            <sz val="9"/>
            <color indexed="81"/>
            <rFont val="Segoe UI"/>
            <family val="2"/>
          </rPr>
          <t>Parte 2 - Anexo 2.C</t>
        </r>
      </text>
    </comment>
    <comment ref="CK11" authorId="0" shapeId="0" xr:uid="{00000000-0006-0000-0800-000019000000}">
      <text>
        <r>
          <rPr>
            <b/>
            <sz val="9"/>
            <color indexed="81"/>
            <rFont val="Segoe UI"/>
            <family val="2"/>
          </rPr>
          <t>Parte 2 - Anexo 2.C</t>
        </r>
      </text>
    </comment>
    <comment ref="CU11" authorId="0" shapeId="0" xr:uid="{00000000-0006-0000-0800-00001A000000}">
      <text>
        <r>
          <rPr>
            <b/>
            <sz val="9"/>
            <color indexed="81"/>
            <rFont val="Segoe UI"/>
            <family val="2"/>
          </rPr>
          <t>Function of On-line Monitoring. See Parte 2 - Table 9.5</t>
        </r>
      </text>
    </comment>
    <comment ref="CV11" authorId="0" shapeId="0" xr:uid="{00000000-0006-0000-0800-00001B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CW11" authorId="0" shapeId="0" xr:uid="{00000000-0006-0000-0800-00001C000000}">
      <text>
        <r>
          <rPr>
            <b/>
            <sz val="9"/>
            <color indexed="81"/>
            <rFont val="Segoe UI"/>
            <family val="2"/>
          </rPr>
          <t>See Parte 2 - Anexo 2.C</t>
        </r>
      </text>
    </comment>
    <comment ref="CX11" authorId="0" shapeId="0" xr:uid="{00000000-0006-0000-0800-00001D000000}">
      <text>
        <r>
          <rPr>
            <b/>
            <sz val="9"/>
            <color indexed="81"/>
            <rFont val="Segoe UI"/>
            <family val="2"/>
          </rPr>
          <t>See Parte 2 - Anexo 2.C</t>
        </r>
      </text>
    </comment>
    <comment ref="CY11" authorId="0" shapeId="0" xr:uid="{00000000-0006-0000-0800-00001E000000}">
      <text>
        <r>
          <rPr>
            <b/>
            <sz val="9"/>
            <color indexed="81"/>
            <rFont val="Segoe UI"/>
            <family val="2"/>
          </rPr>
          <t>See Parte 2 - Anexo 2.C</t>
        </r>
      </text>
    </comment>
    <comment ref="CZ11" authorId="0" shapeId="0" xr:uid="{00000000-0006-0000-0800-00001F000000}">
      <text>
        <r>
          <rPr>
            <b/>
            <sz val="9"/>
            <color indexed="81"/>
            <rFont val="Segoe UI"/>
            <family val="2"/>
          </rPr>
          <t>See Parte 2 - Anexo 2.C</t>
        </r>
      </text>
    </comment>
    <comment ref="DA11" authorId="0" shapeId="0" xr:uid="{00000000-0006-0000-0800-000020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B11" authorId="0" shapeId="0" xr:uid="{00000000-0006-0000-0800-000021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C11" authorId="0" shapeId="0" xr:uid="{00000000-0006-0000-0800-000022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DD11" authorId="0" shapeId="0" xr:uid="{00000000-0006-0000-0800-000023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L2" authorId="0" shapeId="0" xr:uid="{00000000-0006-0000-0A00-000001000000}">
      <text>
        <r>
          <rPr>
            <b/>
            <sz val="9"/>
            <color indexed="81"/>
            <rFont val="Segoe UI"/>
            <family val="2"/>
          </rPr>
          <t>Caso não seja inserido valor a planilha considera um Risk Target baseado no valor do DF Target inserido ou automático.</t>
        </r>
      </text>
    </comment>
    <comment ref="M2" authorId="0" shapeId="0" xr:uid="{00000000-0006-0000-0A00-000002000000}">
      <text>
        <r>
          <rPr>
            <b/>
            <sz val="9"/>
            <color indexed="81"/>
            <rFont val="Segoe UI"/>
            <family val="2"/>
          </rPr>
          <t>Caso não seja inserido valor é utilizado automaticamente os valores de DF 20 para Consequência D e E e DF 100 para Consequência A, B e 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tc={3969CB20-E9B1-4917-BFCB-BE01C3069C45}</author>
  </authors>
  <commentList>
    <comment ref="D2" authorId="0" shapeId="0" xr:uid="{00000000-0006-0000-0B00-000001000000}">
      <text>
        <r>
          <rPr>
            <b/>
            <sz val="9"/>
            <color indexed="81"/>
            <rFont val="Segoe UI"/>
            <family val="2"/>
          </rPr>
          <t>Management System Factor</t>
        </r>
      </text>
    </comment>
    <comment ref="L2" authorId="1" shapeId="0" xr:uid="{00000000-0006-0000-0B00-000002000000}">
      <text>
        <t>[Comentário encadeado]
Sua versão do Excel permite que você leia este comentário encadeado, no entanto, as edições serão removidas se o arquivo for aberto em uma versão mais recente do Excel. Saiba mais: https://go.microsoft.com/fwlink/?linkid=870924
Comentário:
    Colocar uma fórmula para se basear em 
no mecanismo de corrosão externa governante.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E4" authorId="0" shapeId="0" xr:uid="{00000000-0006-0000-0C00-000001000000}">
      <text>
        <r>
          <rPr>
            <b/>
            <sz val="9"/>
            <color indexed="81"/>
            <rFont val="Segoe UI"/>
            <family val="2"/>
          </rPr>
          <t>Espessura nominal.</t>
        </r>
      </text>
    </comment>
    <comment ref="I4" authorId="0" shapeId="0" xr:uid="{00000000-0006-0000-0C00-000002000000}">
      <text>
        <r>
          <rPr>
            <b/>
            <sz val="9"/>
            <color indexed="81"/>
            <rFont val="Segoe UI"/>
            <family val="2"/>
          </rPr>
          <t>Espessura do Clad</t>
        </r>
      </text>
    </comment>
    <comment ref="J4" authorId="0" shapeId="0" xr:uid="{00000000-0006-0000-0C00-000003000000}">
      <text>
        <r>
          <rPr>
            <b/>
            <sz val="9"/>
            <color indexed="81"/>
            <rFont val="Segoe UI"/>
            <family val="2"/>
          </rPr>
          <t>Corrosion Rate Material Base</t>
        </r>
      </text>
    </comment>
    <comment ref="K4" authorId="0" shapeId="0" xr:uid="{00000000-0006-0000-0C00-000004000000}">
      <text>
        <r>
          <rPr>
            <b/>
            <sz val="9"/>
            <color indexed="81"/>
            <rFont val="Segoe UI"/>
            <family val="2"/>
          </rPr>
          <t>Corrosion Rate Clad</t>
        </r>
      </text>
    </comment>
    <comment ref="M4" authorId="0" shapeId="0" xr:uid="{00000000-0006-0000-0C00-000005000000}">
      <text>
        <r>
          <rPr>
            <b/>
            <sz val="9"/>
            <color indexed="81"/>
            <rFont val="Segoe UI"/>
            <family val="2"/>
          </rPr>
          <t>Menor espessura encontrada na última inspeção.</t>
        </r>
      </text>
    </comment>
    <comment ref="O4" authorId="0" shapeId="0" xr:uid="{00000000-0006-0000-0C00-000006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U4" authorId="0" shapeId="0" xr:uid="{00000000-0006-0000-0C00-000007000000}">
      <text>
        <r>
          <rPr>
            <b/>
            <sz val="9"/>
            <color indexed="81"/>
            <rFont val="Segoe UI"/>
            <family val="2"/>
          </rPr>
          <t>Parte 2 - Anexo 2.C</t>
        </r>
      </text>
    </comment>
    <comment ref="V4" authorId="0" shapeId="0" xr:uid="{00000000-0006-0000-0C00-000008000000}">
      <text>
        <r>
          <rPr>
            <b/>
            <sz val="9"/>
            <color indexed="81"/>
            <rFont val="Segoe UI"/>
            <family val="2"/>
          </rPr>
          <t>Parte 2 - Anexo 2.C</t>
        </r>
      </text>
    </comment>
    <comment ref="W4" authorId="0" shapeId="0" xr:uid="{00000000-0006-0000-0C00-000009000000}">
      <text>
        <r>
          <rPr>
            <b/>
            <sz val="9"/>
            <color indexed="81"/>
            <rFont val="Segoe UI"/>
            <family val="2"/>
          </rPr>
          <t>Parte 2 - Anexo 2.C</t>
        </r>
      </text>
    </comment>
    <comment ref="X4" authorId="0" shapeId="0" xr:uid="{00000000-0006-0000-0C00-00000A000000}">
      <text>
        <r>
          <rPr>
            <b/>
            <sz val="9"/>
            <color indexed="81"/>
            <rFont val="Segoe UI"/>
            <family val="2"/>
          </rPr>
          <t>Parte 2 - Anexo 2.C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E4" authorId="0" shapeId="0" xr:uid="{00000000-0006-0000-0D00-000001000000}">
      <text>
        <r>
          <rPr>
            <b/>
            <sz val="9"/>
            <color indexed="81"/>
            <rFont val="Segoe UI"/>
            <family val="2"/>
          </rPr>
          <t>Espessura nominal.</t>
        </r>
      </text>
    </comment>
    <comment ref="H4" authorId="0" shapeId="0" xr:uid="{00000000-0006-0000-0D00-000002000000}">
      <text>
        <r>
          <rPr>
            <b/>
            <sz val="9"/>
            <color indexed="81"/>
            <rFont val="Segoe UI"/>
            <family val="2"/>
          </rPr>
          <t>Corrosion Rate Material Base</t>
        </r>
      </text>
    </comment>
    <comment ref="K4" authorId="0" shapeId="0" xr:uid="{00000000-0006-0000-0D00-000003000000}">
      <text>
        <r>
          <rPr>
            <b/>
            <sz val="9"/>
            <color indexed="81"/>
            <rFont val="Segoe UI"/>
            <family val="2"/>
          </rPr>
          <t>Menor espessura encontrada na última inspeção.</t>
        </r>
      </text>
    </comment>
    <comment ref="M4" authorId="0" shapeId="0" xr:uid="{00000000-0006-0000-0D00-000004000000}">
      <text>
        <r>
          <rPr>
            <b/>
            <sz val="9"/>
            <color indexed="81"/>
            <rFont val="Segoe UI"/>
            <family val="2"/>
          </rPr>
          <t>For AST-Bottom Determine the inspection effectiveness, A, B, C or D for the last inspection performed using Part 2, Section 4.5.6 for guidance.</t>
        </r>
        <r>
          <rPr>
            <sz val="9"/>
            <color indexed="81"/>
            <rFont val="Segoe UI"/>
            <family val="2"/>
          </rPr>
          <t xml:space="preserve">
</t>
        </r>
      </text>
    </comment>
    <comment ref="N4" authorId="0" shapeId="0" xr:uid="{00000000-0006-0000-0D00-000005000000}">
      <text>
        <r>
          <rPr>
            <b/>
            <sz val="9"/>
            <color indexed="81"/>
            <rFont val="Segoe UI"/>
            <family val="2"/>
          </rPr>
          <t>Adjustment for Welded Construction, Fwd – If the component is welded (i.e. not riveted), then Fwd = 1; otherwise, Fwd = 10.</t>
        </r>
      </text>
    </comment>
    <comment ref="O4" authorId="0" shapeId="0" xr:uid="{00000000-0006-0000-0D00-000006000000}">
      <text>
        <r>
          <rPr>
            <b/>
            <sz val="9"/>
            <color indexed="81"/>
            <rFont val="Segoe UI"/>
            <family val="2"/>
          </rPr>
          <t>Adjustment for Maintenance in Accordance with API STD 653, Fam – If the storage tank is maintained in accordance with API STD 653, then Fam = 1; otherwise, Fam = 5.</t>
        </r>
      </text>
    </comment>
    <comment ref="P4" authorId="0" shapeId="0" xr:uid="{00000000-0006-0000-0D00-000007000000}">
      <text>
        <r>
          <rPr>
            <b/>
            <sz val="9"/>
            <color indexed="81"/>
            <rFont val="Segoe UI"/>
            <family val="2"/>
          </rPr>
          <t>Adjustment for Settlement, Fsm – It is determined based on the following criteria:
 Recorded settlement exceeds API STD 653 criteria – Fsm = 2
 Recorded settlement meets API STD 653 criteria – Fsm = 1
 Settlement never evaluated – Fsm = 1,5
 Concrete foundation, no settlement – 1</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I3" authorId="0" shapeId="0" xr:uid="{00000000-0006-0000-0E00-000001000000}">
      <text>
        <r>
          <rPr>
            <b/>
            <sz val="9"/>
            <color indexed="81"/>
            <rFont val="Segoe UI"/>
            <family val="2"/>
          </rPr>
          <t>Adjustment for On-line Monitoring, FOM:
Some lined components have monitoring to allow early detection of a leak or other failure of the lining. The monitoring allows orderly shutdown of the component before failure occurs. 
If on-line monitoring is used, and it is known to be effective at detecting lining deterioration, FOM = 0,1; otherwise FOM = 1. 
Examples of monitoring systems include thermography or heat sensitive paint (refractory linings), weep holes with detection devices (loose alloy linings), and electrical resistance detection (glass linings).</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G3" authorId="0" shapeId="0" xr:uid="{00000000-0006-0000-0F00-000001000000}">
      <text>
        <r>
          <rPr>
            <b/>
            <sz val="9"/>
            <color indexed="81"/>
            <rFont val="Segoe UI"/>
            <family val="2"/>
          </rPr>
          <t>Determine the maximum process temperature in this component. Consider
local heating due to mixing if at a caustic injection point.</t>
        </r>
      </text>
    </comment>
    <comment ref="H3" authorId="0" shapeId="0" xr:uid="{00000000-0006-0000-0F00-000002000000}">
      <text>
        <r>
          <rPr>
            <b/>
            <sz val="9"/>
            <color indexed="81"/>
            <rFont val="Segoe UI"/>
            <family val="2"/>
          </rPr>
          <t>Plotar valores de concentração de NaOH e Temperatura máxima do processo na figura 6.1 localizada na aba "Figures - Part 2".</t>
        </r>
      </text>
    </comment>
    <comment ref="L3" authorId="0" shapeId="0" xr:uid="{00000000-0006-0000-0F00-000003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M3" authorId="0" shapeId="0" xr:uid="{00000000-0006-0000-0F00-000004000000}">
      <text>
        <r>
          <rPr>
            <b/>
            <sz val="9"/>
            <color indexed="81"/>
            <rFont val="Segoe UI"/>
            <family val="2"/>
          </rPr>
          <t>See Parte 2 - Anexo 2.C</t>
        </r>
      </text>
    </comment>
    <comment ref="N3" authorId="0" shapeId="0" xr:uid="{00000000-0006-0000-0F00-000005000000}">
      <text>
        <r>
          <rPr>
            <b/>
            <sz val="9"/>
            <color indexed="81"/>
            <rFont val="Segoe UI"/>
            <family val="2"/>
          </rPr>
          <t>See Parte 2 - Anexo 2.C</t>
        </r>
      </text>
    </comment>
    <comment ref="O3" authorId="0" shapeId="0" xr:uid="{00000000-0006-0000-0F00-000006000000}">
      <text>
        <r>
          <rPr>
            <b/>
            <sz val="9"/>
            <color indexed="81"/>
            <rFont val="Segoe UI"/>
            <family val="2"/>
          </rPr>
          <t>See Parte 2 - Anexo 2.C</t>
        </r>
      </text>
    </comment>
    <comment ref="P3" authorId="0" shapeId="0" xr:uid="{00000000-0006-0000-0F00-000007000000}">
      <text>
        <r>
          <rPr>
            <b/>
            <sz val="9"/>
            <color indexed="81"/>
            <rFont val="Segoe UI"/>
            <family val="2"/>
          </rPr>
          <t>See Parte 2 - Anexo 2.C</t>
        </r>
      </text>
    </comment>
    <comment ref="Q3" authorId="0" shapeId="0" xr:uid="{00000000-0006-0000-0F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0F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0F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T3" authorId="0" shapeId="0" xr:uid="{00000000-0006-0000-0F00-00000B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I3" authorId="0" shapeId="0" xr:uid="{00000000-0006-0000-1000-000001000000}">
      <text>
        <r>
          <rPr>
            <b/>
            <sz val="9"/>
            <color indexed="81"/>
            <rFont val="Segoe UI"/>
            <family val="2"/>
          </rPr>
          <t>Determine the maximum process temperature in this component. Consider
local heating due to mixing if at a caustic injection point.</t>
        </r>
      </text>
    </comment>
    <comment ref="M3" authorId="0" shapeId="0" xr:uid="{00000000-0006-0000-1000-000002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N3" authorId="0" shapeId="0" xr:uid="{00000000-0006-0000-1000-000003000000}">
      <text>
        <r>
          <rPr>
            <b/>
            <sz val="9"/>
            <color indexed="81"/>
            <rFont val="Segoe UI"/>
            <family val="2"/>
          </rPr>
          <t>See Parte 2 - Anexo 2.C</t>
        </r>
      </text>
    </comment>
    <comment ref="O3" authorId="0" shapeId="0" xr:uid="{00000000-0006-0000-1000-000004000000}">
      <text>
        <r>
          <rPr>
            <b/>
            <sz val="9"/>
            <color indexed="81"/>
            <rFont val="Segoe UI"/>
            <family val="2"/>
          </rPr>
          <t>See Parte 2 - Anexo 2.C</t>
        </r>
      </text>
    </comment>
    <comment ref="P3" authorId="0" shapeId="0" xr:uid="{00000000-0006-0000-1000-000005000000}">
      <text>
        <r>
          <rPr>
            <b/>
            <sz val="9"/>
            <color indexed="81"/>
            <rFont val="Segoe UI"/>
            <family val="2"/>
          </rPr>
          <t>See Parte 2 - Anexo 2.C</t>
        </r>
      </text>
    </comment>
    <comment ref="Q3" authorId="0" shapeId="0" xr:uid="{00000000-0006-0000-1000-000006000000}">
      <text>
        <r>
          <rPr>
            <b/>
            <sz val="9"/>
            <color indexed="81"/>
            <rFont val="Segoe UI"/>
            <family val="2"/>
          </rPr>
          <t>See Parte 2 - Anexo 2.C</t>
        </r>
      </text>
    </comment>
    <comment ref="R3" authorId="0" shapeId="0" xr:uid="{00000000-0006-0000-10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0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T3" authorId="0" shapeId="0" xr:uid="{00000000-0006-0000-10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U3" authorId="0" shapeId="0" xr:uid="{00000000-0006-0000-10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K3" authorId="0" shapeId="0" xr:uid="{00000000-0006-0000-11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L3" authorId="0" shapeId="0" xr:uid="{00000000-0006-0000-1100-000002000000}">
      <text>
        <r>
          <rPr>
            <b/>
            <sz val="9"/>
            <color indexed="81"/>
            <rFont val="Segoe UI"/>
            <family val="2"/>
          </rPr>
          <t>See Parte 2 - Anexo 2.C</t>
        </r>
      </text>
    </comment>
    <comment ref="M3" authorId="0" shapeId="0" xr:uid="{00000000-0006-0000-1100-000003000000}">
      <text>
        <r>
          <rPr>
            <b/>
            <sz val="9"/>
            <color indexed="81"/>
            <rFont val="Segoe UI"/>
            <family val="2"/>
          </rPr>
          <t>See Parte 2 - Anexo 2.C</t>
        </r>
      </text>
    </comment>
    <comment ref="N3" authorId="0" shapeId="0" xr:uid="{00000000-0006-0000-1100-000004000000}">
      <text>
        <r>
          <rPr>
            <b/>
            <sz val="9"/>
            <color indexed="81"/>
            <rFont val="Segoe UI"/>
            <family val="2"/>
          </rPr>
          <t>See Parte 2 - Anexo 2.C</t>
        </r>
      </text>
    </comment>
    <comment ref="O3" authorId="0" shapeId="0" xr:uid="{00000000-0006-0000-1100-000005000000}">
      <text>
        <r>
          <rPr>
            <b/>
            <sz val="9"/>
            <color indexed="81"/>
            <rFont val="Segoe UI"/>
            <family val="2"/>
          </rPr>
          <t>See Parte 2 - Anexo 2.C</t>
        </r>
      </text>
    </comment>
    <comment ref="P3" authorId="0" shapeId="0" xr:uid="{00000000-0006-0000-1100-000006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1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11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1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K3" authorId="0" shapeId="0" xr:uid="{00000000-0006-0000-1200-000001000000}">
      <text>
        <r>
          <rPr>
            <b/>
            <sz val="9"/>
            <color indexed="81"/>
            <rFont val="Segoe UI"/>
            <family val="2"/>
          </rPr>
          <t>Function of On-line Monitoring. See Parte 2 - Table 9.5</t>
        </r>
      </text>
    </comment>
    <comment ref="L3" authorId="0" shapeId="0" xr:uid="{00000000-0006-0000-1200-000002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M3" authorId="0" shapeId="0" xr:uid="{00000000-0006-0000-1200-000003000000}">
      <text>
        <r>
          <rPr>
            <b/>
            <sz val="9"/>
            <color indexed="81"/>
            <rFont val="Segoe UI"/>
            <family val="2"/>
          </rPr>
          <t>See Parte 2 - Anexo 2.C</t>
        </r>
      </text>
    </comment>
    <comment ref="N3" authorId="0" shapeId="0" xr:uid="{00000000-0006-0000-1200-000004000000}">
      <text>
        <r>
          <rPr>
            <b/>
            <sz val="9"/>
            <color indexed="81"/>
            <rFont val="Segoe UI"/>
            <family val="2"/>
          </rPr>
          <t>See Parte 2 - Anexo 2.C</t>
        </r>
      </text>
    </comment>
    <comment ref="O3" authorId="0" shapeId="0" xr:uid="{00000000-0006-0000-1200-000005000000}">
      <text>
        <r>
          <rPr>
            <b/>
            <sz val="9"/>
            <color indexed="81"/>
            <rFont val="Segoe UI"/>
            <family val="2"/>
          </rPr>
          <t>See Parte 2 - Anexo 2.C</t>
        </r>
      </text>
    </comment>
    <comment ref="P3" authorId="0" shapeId="0" xr:uid="{00000000-0006-0000-1200-000006000000}">
      <text>
        <r>
          <rPr>
            <b/>
            <sz val="9"/>
            <color indexed="81"/>
            <rFont val="Segoe UI"/>
            <family val="2"/>
          </rPr>
          <t>See Parte 2 - Anexo 2.C</t>
        </r>
      </text>
    </comment>
    <comment ref="Q3" authorId="0" shapeId="0" xr:uid="{00000000-0006-0000-12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12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2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T3" authorId="0" shapeId="0" xr:uid="{00000000-0006-0000-12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I3" authorId="0" shapeId="0" xr:uid="{00000000-0006-0000-13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J3" authorId="0" shapeId="0" xr:uid="{00000000-0006-0000-1300-000002000000}">
      <text>
        <r>
          <rPr>
            <b/>
            <sz val="9"/>
            <color indexed="81"/>
            <rFont val="Segoe UI"/>
            <family val="2"/>
          </rPr>
          <t>See Parte 2 - Anexo 2.C</t>
        </r>
      </text>
    </comment>
    <comment ref="K3" authorId="0" shapeId="0" xr:uid="{00000000-0006-0000-1300-000003000000}">
      <text>
        <r>
          <rPr>
            <b/>
            <sz val="9"/>
            <color indexed="81"/>
            <rFont val="Segoe UI"/>
            <family val="2"/>
          </rPr>
          <t>See Parte 2 - Anexo 2.C</t>
        </r>
      </text>
    </comment>
    <comment ref="L3" authorId="0" shapeId="0" xr:uid="{00000000-0006-0000-1300-000004000000}">
      <text>
        <r>
          <rPr>
            <b/>
            <sz val="9"/>
            <color indexed="81"/>
            <rFont val="Segoe UI"/>
            <family val="2"/>
          </rPr>
          <t>See Parte 2 - Anexo 2.C</t>
        </r>
      </text>
    </comment>
    <comment ref="M3" authorId="0" shapeId="0" xr:uid="{00000000-0006-0000-1300-000005000000}">
      <text>
        <r>
          <rPr>
            <b/>
            <sz val="9"/>
            <color indexed="81"/>
            <rFont val="Segoe UI"/>
            <family val="2"/>
          </rPr>
          <t>See Parte 2 - Anexo 2.C</t>
        </r>
      </text>
    </comment>
    <comment ref="N3" authorId="0" shapeId="0" xr:uid="{00000000-0006-0000-1300-000006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O3" authorId="0" shapeId="0" xr:uid="{00000000-0006-0000-13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P3" authorId="0" shapeId="0" xr:uid="{00000000-0006-0000-13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3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K3" authorId="0" shapeId="0" xr:uid="{00000000-0006-0000-14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L3" authorId="0" shapeId="0" xr:uid="{00000000-0006-0000-1400-000002000000}">
      <text>
        <r>
          <rPr>
            <b/>
            <sz val="9"/>
            <color indexed="81"/>
            <rFont val="Segoe UI"/>
            <family val="2"/>
          </rPr>
          <t>See Parte 2 - Anexo 2.C</t>
        </r>
      </text>
    </comment>
    <comment ref="M3" authorId="0" shapeId="0" xr:uid="{00000000-0006-0000-1400-000003000000}">
      <text>
        <r>
          <rPr>
            <b/>
            <sz val="9"/>
            <color indexed="81"/>
            <rFont val="Segoe UI"/>
            <family val="2"/>
          </rPr>
          <t>See Parte 2 - Anexo 2.C</t>
        </r>
      </text>
    </comment>
    <comment ref="N3" authorId="0" shapeId="0" xr:uid="{00000000-0006-0000-1400-000004000000}">
      <text>
        <r>
          <rPr>
            <b/>
            <sz val="9"/>
            <color indexed="81"/>
            <rFont val="Segoe UI"/>
            <family val="2"/>
          </rPr>
          <t>See Parte 2 - Anexo 2.C</t>
        </r>
      </text>
    </comment>
    <comment ref="O3" authorId="0" shapeId="0" xr:uid="{00000000-0006-0000-1400-000005000000}">
      <text>
        <r>
          <rPr>
            <b/>
            <sz val="9"/>
            <color indexed="81"/>
            <rFont val="Segoe UI"/>
            <family val="2"/>
          </rPr>
          <t>See Parte 2 - Anexo 2.C</t>
        </r>
      </text>
    </comment>
    <comment ref="P3" authorId="0" shapeId="0" xr:uid="{00000000-0006-0000-1400-000006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4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14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4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I3" authorId="0" shapeId="0" xr:uid="{00000000-0006-0000-15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J3" authorId="0" shapeId="0" xr:uid="{00000000-0006-0000-1500-000002000000}">
      <text>
        <r>
          <rPr>
            <b/>
            <sz val="9"/>
            <color indexed="81"/>
            <rFont val="Segoe UI"/>
            <family val="2"/>
          </rPr>
          <t>See Parte 2 - Anexo 2.C</t>
        </r>
      </text>
    </comment>
    <comment ref="K3" authorId="0" shapeId="0" xr:uid="{00000000-0006-0000-1500-000003000000}">
      <text>
        <r>
          <rPr>
            <b/>
            <sz val="9"/>
            <color indexed="81"/>
            <rFont val="Segoe UI"/>
            <family val="2"/>
          </rPr>
          <t>See Parte 2 - Anexo 2.C</t>
        </r>
      </text>
    </comment>
    <comment ref="L3" authorId="0" shapeId="0" xr:uid="{00000000-0006-0000-1500-000004000000}">
      <text>
        <r>
          <rPr>
            <b/>
            <sz val="9"/>
            <color indexed="81"/>
            <rFont val="Segoe UI"/>
            <family val="2"/>
          </rPr>
          <t>See Parte 2 - Anexo 2.C</t>
        </r>
      </text>
    </comment>
    <comment ref="M3" authorId="0" shapeId="0" xr:uid="{00000000-0006-0000-1500-000005000000}">
      <text>
        <r>
          <rPr>
            <b/>
            <sz val="9"/>
            <color indexed="81"/>
            <rFont val="Segoe UI"/>
            <family val="2"/>
          </rPr>
          <t>See Parte 2 - Anexo 2.C</t>
        </r>
      </text>
    </comment>
    <comment ref="N3" authorId="0" shapeId="0" xr:uid="{00000000-0006-0000-1500-000006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O3" authorId="0" shapeId="0" xr:uid="{00000000-0006-0000-15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P3" authorId="0" shapeId="0" xr:uid="{00000000-0006-0000-15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5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H3" authorId="0" shapeId="0" xr:uid="{00000000-0006-0000-1600-000001000000}">
      <text>
        <r>
          <rPr>
            <b/>
            <sz val="9"/>
            <color indexed="81"/>
            <rFont val="Segoe UI"/>
            <family val="2"/>
          </rPr>
          <t>Determine the maximum Brinnell hardness actually measured at the weldments of the steel component. Readings should be made and reported using Brinnell
scale, not converted from micro-hardness techniques (e.g. Vicker, Knoop, etc.).
If actual readings are not available, use the maximum allowable hardness permitted by the fabrication specification.</t>
        </r>
      </text>
    </comment>
    <comment ref="J3" authorId="0" shapeId="0" xr:uid="{00000000-0006-0000-1600-000002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K3" authorId="0" shapeId="0" xr:uid="{00000000-0006-0000-1600-000003000000}">
      <text>
        <r>
          <rPr>
            <b/>
            <sz val="9"/>
            <color indexed="81"/>
            <rFont val="Segoe UI"/>
            <family val="2"/>
          </rPr>
          <t>See Parte 2 - Anexo 2.C</t>
        </r>
      </text>
    </comment>
    <comment ref="L3" authorId="0" shapeId="0" xr:uid="{00000000-0006-0000-1600-000004000000}">
      <text>
        <r>
          <rPr>
            <b/>
            <sz val="9"/>
            <color indexed="81"/>
            <rFont val="Segoe UI"/>
            <family val="2"/>
          </rPr>
          <t>See Parte 2 - Anexo 2.C</t>
        </r>
      </text>
    </comment>
    <comment ref="M3" authorId="0" shapeId="0" xr:uid="{00000000-0006-0000-1600-000005000000}">
      <text>
        <r>
          <rPr>
            <b/>
            <sz val="9"/>
            <color indexed="81"/>
            <rFont val="Segoe UI"/>
            <family val="2"/>
          </rPr>
          <t>See Parte 2 - Anexo 2.C</t>
        </r>
      </text>
    </comment>
    <comment ref="N3" authorId="0" shapeId="0" xr:uid="{00000000-0006-0000-1600-000006000000}">
      <text>
        <r>
          <rPr>
            <b/>
            <sz val="9"/>
            <color indexed="81"/>
            <rFont val="Segoe UI"/>
            <family val="2"/>
          </rPr>
          <t>See Parte 2 - Anexo 2.C</t>
        </r>
      </text>
    </comment>
    <comment ref="O3" authorId="0" shapeId="0" xr:uid="{00000000-0006-0000-16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P3" authorId="0" shapeId="0" xr:uid="{00000000-0006-0000-16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6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16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K3" authorId="0" shapeId="0" xr:uid="{00000000-0006-0000-17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L3" authorId="0" shapeId="0" xr:uid="{00000000-0006-0000-1700-000002000000}">
      <text>
        <r>
          <rPr>
            <b/>
            <sz val="9"/>
            <color indexed="81"/>
            <rFont val="Segoe UI"/>
            <family val="2"/>
          </rPr>
          <t>See Parte 2 - Anexo 2.C</t>
        </r>
      </text>
    </comment>
    <comment ref="M3" authorId="0" shapeId="0" xr:uid="{00000000-0006-0000-1700-000003000000}">
      <text>
        <r>
          <rPr>
            <b/>
            <sz val="9"/>
            <color indexed="81"/>
            <rFont val="Segoe UI"/>
            <family val="2"/>
          </rPr>
          <t>See Parte 2 - Anexo 2.C</t>
        </r>
      </text>
    </comment>
    <comment ref="N3" authorId="0" shapeId="0" xr:uid="{00000000-0006-0000-1700-000004000000}">
      <text>
        <r>
          <rPr>
            <b/>
            <sz val="9"/>
            <color indexed="81"/>
            <rFont val="Segoe UI"/>
            <family val="2"/>
          </rPr>
          <t>See Parte 2 - Anexo 2.C</t>
        </r>
      </text>
    </comment>
    <comment ref="O3" authorId="0" shapeId="0" xr:uid="{00000000-0006-0000-1700-000005000000}">
      <text>
        <r>
          <rPr>
            <b/>
            <sz val="9"/>
            <color indexed="81"/>
            <rFont val="Segoe UI"/>
            <family val="2"/>
          </rPr>
          <t>See Parte 2 - Anexo 2.C</t>
        </r>
      </text>
    </comment>
    <comment ref="P3" authorId="0" shapeId="0" xr:uid="{00000000-0006-0000-1700-000006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Q3" authorId="0" shapeId="0" xr:uid="{00000000-0006-0000-17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R3" authorId="0" shapeId="0" xr:uid="{00000000-0006-0000-17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7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O3" authorId="0" shapeId="0" xr:uid="{00000000-0006-0000-1800-000001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P3" authorId="0" shapeId="0" xr:uid="{00000000-0006-0000-1800-000002000000}">
      <text>
        <r>
          <rPr>
            <b/>
            <sz val="9"/>
            <color indexed="81"/>
            <rFont val="Segoe UI"/>
            <family val="2"/>
          </rPr>
          <t>Adjustment for Equipment Design or Fabrication, FEQ — If the equipment has a design that allows
water to pool and increase metal loss rates, such as piping supported directly on beams, vessel
stiffening rings or insulation supports, or other such configuration that does not allow water egress and/or does not allow for proper coating maintenance, then FEQ = 2; otherwise, FEQ = 1.</t>
        </r>
      </text>
    </comment>
    <comment ref="Q3" authorId="0" shapeId="0" xr:uid="{00000000-0006-0000-1800-000003000000}">
      <text>
        <r>
          <rPr>
            <b/>
            <sz val="9"/>
            <color indexed="81"/>
            <rFont val="Segoe UI"/>
            <family val="2"/>
          </rPr>
          <t>Adjustment for Interface, FIF — If the piping has an interface where it enters either soil or water, then FIF = 2; otherwise, FIF = 1.</t>
        </r>
      </text>
    </comment>
    <comment ref="S3" authorId="0" shapeId="0" xr:uid="{00000000-0006-0000-1800-000004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X3" authorId="0" shapeId="0" xr:uid="{00000000-0006-0000-1800-000005000000}">
      <text>
        <r>
          <rPr>
            <b/>
            <sz val="9"/>
            <color indexed="81"/>
            <rFont val="Segoe UI"/>
            <family val="2"/>
          </rPr>
          <t>Parte 2 - Anexo 2.C</t>
        </r>
      </text>
    </comment>
    <comment ref="Y3" authorId="0" shapeId="0" xr:uid="{00000000-0006-0000-1800-000006000000}">
      <text>
        <r>
          <rPr>
            <b/>
            <sz val="9"/>
            <color indexed="81"/>
            <rFont val="Segoe UI"/>
            <family val="2"/>
          </rPr>
          <t>Parte 2 - Anexo 2.C</t>
        </r>
      </text>
    </comment>
    <comment ref="Z3" authorId="0" shapeId="0" xr:uid="{00000000-0006-0000-1800-000007000000}">
      <text>
        <r>
          <rPr>
            <b/>
            <sz val="9"/>
            <color indexed="81"/>
            <rFont val="Segoe UI"/>
            <family val="2"/>
          </rPr>
          <t>Parte 2 - Anexo 2.C</t>
        </r>
      </text>
    </comment>
    <comment ref="AA3" authorId="0" shapeId="0" xr:uid="{00000000-0006-0000-1800-000008000000}">
      <text>
        <r>
          <rPr>
            <b/>
            <sz val="9"/>
            <color indexed="81"/>
            <rFont val="Segoe UI"/>
            <family val="2"/>
          </rPr>
          <t>Parte 2 - Anexo 2.C</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tc={9B191EF6-4AE1-4506-A616-22835643214C}</author>
  </authors>
  <commentList>
    <comment ref="N3" authorId="0" shapeId="0" xr:uid="{00000000-0006-0000-1900-000001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O3" authorId="0" shapeId="0" xr:uid="{00000000-0006-0000-1900-000002000000}">
      <text>
        <r>
          <rPr>
            <b/>
            <sz val="9"/>
            <color indexed="81"/>
            <rFont val="Segoe UI"/>
            <family val="2"/>
          </rPr>
          <t>Adjustment for Complexity, FCM—Established based on the following criteria.
— If the complexity is Below Average, then FCM = 0.75.
— If the complexity is Average, then FCM = 1.0.
— If the complexity is Above Average, then FCM = 1.25</t>
        </r>
      </text>
    </comment>
    <comment ref="P3" authorId="0" shapeId="0" xr:uid="{00000000-0006-0000-1900-000003000000}">
      <text>
        <r>
          <rPr>
            <b/>
            <sz val="9"/>
            <color indexed="81"/>
            <rFont val="Segoe UI"/>
            <family val="2"/>
          </rPr>
          <t>Adjustment for Insulation Condition, FIC—Established based on the following criteria.
— If the insulation condition is Below Average, then FIC = 1.25.
— If the insulation condition is Average, then FIC = 1.0.
— If the insulation condition is Above Average, then FIC = 0.75.</t>
        </r>
      </text>
    </comment>
    <comment ref="Q3" authorId="0" shapeId="0" xr:uid="{00000000-0006-0000-1900-000004000000}">
      <text>
        <r>
          <rPr>
            <b/>
            <sz val="9"/>
            <color indexed="81"/>
            <rFont val="Segoe UI"/>
            <family val="2"/>
          </rPr>
          <t>Adjustment for Equipment Design or Fabrication, FEQ—If equipment has a design that allows water to pool and increase metal loss rates, such as piping supported directly on beams, vessel external stiffening rings or insulation supports, or other such configuration that does not allow water egress and/or does not allow for proper coating maintenance, then FEQ = 2; otherwise, FEQ = 1.</t>
        </r>
      </text>
    </comment>
    <comment ref="R3" authorId="0" shapeId="0" xr:uid="{00000000-0006-0000-1900-000005000000}">
      <text>
        <r>
          <rPr>
            <b/>
            <sz val="9"/>
            <color indexed="81"/>
            <rFont val="Segoe UI"/>
            <family val="2"/>
          </rPr>
          <t>Adjustment for Interface, FIF—If the piping has an interface where it enters either soil or water, then FIF = 2; otherwise, FIF = 1.</t>
        </r>
      </text>
    </comment>
    <comment ref="T3" authorId="0" shapeId="0" xr:uid="{00000000-0006-0000-1900-000006000000}">
      <text>
        <r>
          <rPr>
            <b/>
            <sz val="9"/>
            <color indexed="81"/>
            <rFont val="Segoe UI"/>
            <family val="2"/>
          </rPr>
          <t xml:space="preserve">Minimum structural thickness of the component base material. 
It is appropriate where external pressure and/or structural considerations dominate.
</t>
        </r>
        <r>
          <rPr>
            <sz val="9"/>
            <color indexed="81"/>
            <rFont val="Segoe UI"/>
            <family val="2"/>
          </rPr>
          <t>Se utilizado, a tensão admissível deve ser preenchida.</t>
        </r>
      </text>
    </comment>
    <comment ref="Y3" authorId="0" shapeId="0" xr:uid="{00000000-0006-0000-1900-000007000000}">
      <text>
        <r>
          <rPr>
            <b/>
            <sz val="9"/>
            <color indexed="81"/>
            <rFont val="Segoe UI"/>
            <family val="2"/>
          </rPr>
          <t>Parte 2 - Anexo 2.C</t>
        </r>
      </text>
    </comment>
    <comment ref="Z3" authorId="0" shapeId="0" xr:uid="{00000000-0006-0000-1900-000008000000}">
      <text>
        <r>
          <rPr>
            <b/>
            <sz val="9"/>
            <color indexed="81"/>
            <rFont val="Segoe UI"/>
            <family val="2"/>
          </rPr>
          <t>Parte 2 - Anexo 2.C</t>
        </r>
      </text>
    </comment>
    <comment ref="AA3" authorId="0" shapeId="0" xr:uid="{00000000-0006-0000-1900-000009000000}">
      <text>
        <r>
          <rPr>
            <b/>
            <sz val="9"/>
            <color indexed="81"/>
            <rFont val="Segoe UI"/>
            <family val="2"/>
          </rPr>
          <t>Parte 2 - Anexo 2.C</t>
        </r>
      </text>
    </comment>
    <comment ref="AB3" authorId="0" shapeId="0" xr:uid="{00000000-0006-0000-1900-00000A000000}">
      <text>
        <r>
          <rPr>
            <b/>
            <sz val="9"/>
            <color indexed="81"/>
            <rFont val="Segoe UI"/>
            <family val="2"/>
          </rPr>
          <t>Parte 2 - Anexo 2.C</t>
        </r>
      </text>
    </comment>
    <comment ref="AU3" authorId="1" shapeId="0" xr:uid="{00000000-0006-0000-1900-00000B000000}">
      <text>
        <t>[Comentário encadeado]
Sua versão do Excel permite que você leia este comentário encadeado, no entanto, as edições serão removidas se o arquivo for aberto em uma versão mais recente do Excel. Saiba mais: https://go.microsoft.com/fwlink/?linkid=870924
Comentário:
    Esse cálculo é diferente da corrosão externa e do thinning.</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J3" authorId="0" shapeId="0" xr:uid="{00000000-0006-0000-1A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M3" authorId="0" shapeId="0" xr:uid="{00000000-0006-0000-1A00-000002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N3" authorId="0" shapeId="0" xr:uid="{00000000-0006-0000-1A00-000003000000}">
      <text>
        <r>
          <rPr>
            <b/>
            <sz val="9"/>
            <color indexed="81"/>
            <rFont val="Segoe UI"/>
            <family val="2"/>
          </rPr>
          <t>See Parte 2 - Anexo 2.C</t>
        </r>
      </text>
    </comment>
    <comment ref="O3" authorId="0" shapeId="0" xr:uid="{00000000-0006-0000-1A00-000004000000}">
      <text>
        <r>
          <rPr>
            <b/>
            <sz val="9"/>
            <color indexed="81"/>
            <rFont val="Segoe UI"/>
            <family val="2"/>
          </rPr>
          <t>See Parte 2 - Anexo 2.C</t>
        </r>
      </text>
    </comment>
    <comment ref="P3" authorId="0" shapeId="0" xr:uid="{00000000-0006-0000-1A00-000005000000}">
      <text>
        <r>
          <rPr>
            <b/>
            <sz val="9"/>
            <color indexed="81"/>
            <rFont val="Segoe UI"/>
            <family val="2"/>
          </rPr>
          <t>See Parte 2 - Anexo 2.C</t>
        </r>
      </text>
    </comment>
    <comment ref="Q3" authorId="0" shapeId="0" xr:uid="{00000000-0006-0000-1A00-000006000000}">
      <text>
        <r>
          <rPr>
            <b/>
            <sz val="9"/>
            <color indexed="81"/>
            <rFont val="Segoe UI"/>
            <family val="2"/>
          </rPr>
          <t>See Parte 2 - Anexo 2.C</t>
        </r>
      </text>
    </comment>
    <comment ref="R3" authorId="0" shapeId="0" xr:uid="{00000000-0006-0000-1A00-000007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S3" authorId="0" shapeId="0" xr:uid="{00000000-0006-0000-1A00-000008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T3" authorId="0" shapeId="0" xr:uid="{00000000-0006-0000-1A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U3" authorId="0" shapeId="0" xr:uid="{00000000-0006-0000-1A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J3" authorId="0" shapeId="0" xr:uid="{00000000-0006-0000-1B00-000001000000}">
      <text>
        <r>
          <rPr>
            <b/>
            <sz val="9"/>
            <color indexed="81"/>
            <rFont val="Segoe UI"/>
            <family val="2"/>
          </rPr>
          <t>Date that the last Level A, B, or C inspection was performed with no cracking detected or cracking was repaired.
Se nenhuma inspeção foi realizada utilizar a data do início de operação do equipamento.</t>
        </r>
      </text>
    </comment>
    <comment ref="M3" authorId="0" shapeId="0" xr:uid="{00000000-0006-0000-1B00-000002000000}">
      <text>
        <r>
          <rPr>
            <b/>
            <sz val="9"/>
            <color indexed="81"/>
            <rFont val="Segoe UI"/>
            <family val="2"/>
          </rPr>
          <t>Driver is defined as the atmospheric condition causing the corrosion rate. See Part 2, Section 15.6.2 for explanation of drivers.
Severe—High wetting (e.g. &gt;60 % of time); very high rainfall [e.g. &gt;2250 mm/year (100 in./year)]; frequent deluge testing; highly corrosive industrial atmosphere; in a coastal zone with very high atmospheric chloride content (e.g. &gt;1500 mg/m2/day).
Moderate—Frequently wet (e.g. 30 % to 60 % of time); downwind of a cooling tower; high rainfall [e.g. 1524 to 2250 mm/year (60 to 100 in./year)]; corrosive industrial atmosphere; near the coast with high chloride content in rainwater (e.g. 300 to 1500 mg/m2/day).
Mild—Occasionally wet (e.g. &lt;30 % of time); moderate rainfall [e.g. 762 to 1524 mm/year (20 to 60 in./year)]; low chloride content in rainwater (e.g. 60 to 300 mg/m2/day).
Dry—Very dry or cold zone with very low pollution and time of wetness; low rainfall [e.g. &lt;508 mm/year (&lt;20 in./year)]; inside building (operating above dew point); low chloride content in rainwater (e.g. &lt;60 mg/m2/day).</t>
        </r>
      </text>
    </comment>
    <comment ref="N3" authorId="0" shapeId="0" xr:uid="{00000000-0006-0000-1B00-000003000000}">
      <text>
        <r>
          <rPr>
            <b/>
            <sz val="9"/>
            <color indexed="81"/>
            <rFont val="Segoe UI"/>
            <family val="2"/>
          </rPr>
          <t>Adjustment for Complexity, FCM
The number of protrusions such as branch connections, nozzles, pipe supports, poorly designed insulation support rings, etc., and any design feature that would promote the retention and/or collection of moisture.
The complexity is defined as follows:
Below Average—penetrations in the insulation system do not exist;
Average—some penetrations in the insulation systems, or the insulation system is slightly complex do to some appurtenances or multiple branches in a piping system;
Above Average—many penetrations in the insulation systems, or the insulation system is very complex do to many appurtenances or multiple branches in a piping system.</t>
        </r>
      </text>
    </comment>
    <comment ref="O3" authorId="0" shapeId="0" xr:uid="{00000000-0006-0000-1B00-000004000000}">
      <text>
        <r>
          <rPr>
            <b/>
            <sz val="9"/>
            <color indexed="81"/>
            <rFont val="Segoe UI"/>
            <family val="2"/>
          </rPr>
          <t>Adjustment for Insulation Condition, FIC, based on external visual inspection of jacketing condition.
Above average insulation will show no signs of damage (i.e. punctured, torn, or missing waterproofing, and missing caulking) or standing water (i.e. brown, green, or black stains). Take careful note of areas where water can enter into the insulation system, such as inspection ports and areas where the insulation is penetrated (i.e. nozzles, ring supports and clips). Horizontal areas also accumulate water.
Average insulation condition will have good jacketing with some areas of failed weatherproofing or small damaged areas.
Note that the susceptibilities represent susceptibilities for CUI for average/typical insulation systems found in most plants. This should be considered when determining if any adjustments apply.</t>
        </r>
      </text>
    </comment>
    <comment ref="Q3" authorId="0" shapeId="0" xr:uid="{00000000-0006-0000-1B00-000005000000}">
      <text>
        <r>
          <rPr>
            <b/>
            <sz val="9"/>
            <color indexed="81"/>
            <rFont val="Segoe UI"/>
            <family val="2"/>
          </rPr>
          <t>See Parte 2 - Anexo 2.C</t>
        </r>
      </text>
    </comment>
    <comment ref="R3" authorId="0" shapeId="0" xr:uid="{00000000-0006-0000-1B00-000006000000}">
      <text>
        <r>
          <rPr>
            <b/>
            <sz val="9"/>
            <color indexed="81"/>
            <rFont val="Segoe UI"/>
            <family val="2"/>
          </rPr>
          <t>See Parte 2 - Anexo 2.C</t>
        </r>
      </text>
    </comment>
    <comment ref="S3" authorId="0" shapeId="0" xr:uid="{00000000-0006-0000-1B00-000007000000}">
      <text>
        <r>
          <rPr>
            <b/>
            <sz val="9"/>
            <color indexed="81"/>
            <rFont val="Segoe UI"/>
            <family val="2"/>
          </rPr>
          <t>See Parte 2 - Anexo 2.C</t>
        </r>
      </text>
    </comment>
    <comment ref="T3" authorId="0" shapeId="0" xr:uid="{00000000-0006-0000-1B00-000008000000}">
      <text>
        <r>
          <rPr>
            <b/>
            <sz val="9"/>
            <color indexed="81"/>
            <rFont val="Segoe UI"/>
            <family val="2"/>
          </rPr>
          <t>See Parte 2 - Anexo 2.C</t>
        </r>
      </text>
    </comment>
    <comment ref="U3" authorId="0" shapeId="0" xr:uid="{00000000-0006-0000-1B00-000009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V3" authorId="0" shapeId="0" xr:uid="{00000000-0006-0000-1B00-00000A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W3" authorId="0" shapeId="0" xr:uid="{00000000-0006-0000-1B00-00000B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X3" authorId="0" shapeId="0" xr:uid="{00000000-0006-0000-1B00-00000C000000}">
      <text>
        <r>
          <rPr>
            <b/>
            <sz val="9"/>
            <color indexed="81"/>
            <rFont val="Segoe UI"/>
            <family val="2"/>
          </rPr>
          <t>Inspeções efetividade E não entram nessa conta.
Combine the inspections to the highest effectiveness performed using Section 3.4.3.
a) 2 Usually Effective (B) Inspections = 1 Highly Effective (A) Inspection, or 2B = 1A.
b) 2 Fairly Effective (C) Inspections = 1 Usually Effective (B) Inspection, or 2C = 1B.
c) 2 Poorly Effective (D) Inspections = 1 Fairly Effective (C) Inspection, or 2D = 1C.
Por exemplo:
1A + 1B = 2B + 1B = 3B (três inspeções equivalentes de efetividade B). 
Observação: é permitido também considerar que 1B = 0,5A. Neste caso, o resultado seria 1,5A. Seria necessária uma interpolação Parte 2 - Tabela 6.3 entre 1A e 2A e inserir o valor do D_fb manualmente na célula correspondente.</t>
        </r>
      </text>
    </comment>
    <comment ref="AG3" authorId="0" shapeId="0" xr:uid="{00000000-0006-0000-1B00-00000D000000}">
      <text>
        <r>
          <rPr>
            <b/>
            <sz val="9"/>
            <color indexed="81"/>
            <rFont val="Segoe UI"/>
            <family val="2"/>
          </rPr>
          <t>Vinicius Holanda Monteiro:</t>
        </r>
        <r>
          <rPr>
            <sz val="9"/>
            <color indexed="81"/>
            <rFont val="Segoe UI"/>
            <family val="2"/>
          </rPr>
          <t xml:space="preserve">
Fiquei na dúvida se nesse caso pode reduzir de low para none.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H6" authorId="0" shapeId="0" xr:uid="{00000000-0006-0000-1C00-000001000000}">
      <text>
        <r>
          <rPr>
            <b/>
            <sz val="9"/>
            <color indexed="81"/>
            <rFont val="Segoe UI"/>
            <family val="2"/>
          </rPr>
          <t>Foi utilizado Kv,n = 1 (valor conservativo). Para outra abordagem o número de Reynolds deve ser inserido.</t>
        </r>
      </text>
    </comment>
    <comment ref="K6" authorId="0" shapeId="0" xr:uid="{00000000-0006-0000-1C00-000002000000}">
      <text>
        <r>
          <rPr>
            <b/>
            <sz val="9"/>
            <color indexed="81"/>
            <rFont val="Segoe UI"/>
            <family val="2"/>
          </rPr>
          <t>Falta acrescentar alguns fluidos tóxicos</t>
        </r>
      </text>
    </comment>
    <comment ref="M6" authorId="0" shapeId="0" xr:uid="{00000000-0006-0000-1C00-000003000000}">
      <text>
        <r>
          <rPr>
            <b/>
            <sz val="9"/>
            <color indexed="81"/>
            <rFont val="Segoe UI"/>
            <family val="2"/>
          </rPr>
          <t>As a general rule, it is not necessary to evaluate a toxic release if the concentration of the stored fluid within
the component or equipment item is at or below the immediately dangerous to life or health (IDLH) value. For
HF, this is 30 ppm, for H2S this is 100 ppm, for NH3 this is 300 ppm, and for Cl this is 10 ppm. Other IDLH
values are provided in Table 4.14.</t>
        </r>
      </text>
    </comment>
    <comment ref="P6" authorId="0" shapeId="0" xr:uid="{00000000-0006-0000-1C00-000004000000}">
      <text>
        <r>
          <rPr>
            <b/>
            <sz val="9"/>
            <color indexed="81"/>
            <rFont val="Segoe UI"/>
            <family val="2"/>
          </rPr>
          <t>A planilha só calcula o volume para cilindros. Para as demais geometrias, como calotas, deve ser inserido o volume manualmente.</t>
        </r>
      </text>
    </comment>
    <comment ref="Q6" authorId="0" shapeId="0" xr:uid="{00000000-0006-0000-1C00-000005000000}">
      <text>
        <r>
          <rPr>
            <b/>
            <sz val="9"/>
            <color indexed="81"/>
            <rFont val="Segoe UI"/>
            <family val="2"/>
          </rPr>
          <t>A planilha só calcula o volume para cilindros. Para as demais geometrias, como calotas, deve ser inserido o volume manualmente.</t>
        </r>
      </text>
    </comment>
    <comment ref="W6" authorId="0" shapeId="0" xr:uid="{00000000-0006-0000-1C00-000006000000}">
      <text>
        <r>
          <rPr>
            <b/>
            <sz val="9"/>
            <color indexed="81"/>
            <rFont val="Segoe UI"/>
            <family val="2"/>
          </rPr>
          <t>Caso o material escolhido for "Outros", o campo Custo de Material deve ser preenchido.</t>
        </r>
      </text>
    </comment>
    <comment ref="Y6" authorId="0" shapeId="0" xr:uid="{00000000-0006-0000-1C00-000007000000}">
      <text>
        <r>
          <rPr>
            <b/>
            <sz val="14"/>
            <color indexed="81"/>
            <rFont val="Segoe UI"/>
            <family val="2"/>
          </rPr>
          <t>The example cost estimates shown in Table 4.15 are based on carbon steel prices obtained in 2001. The holecost_n may be multipled by costfactor (user defined) to reflect changed in carbon steel and replacement costs from the 2001 basis and experience.</t>
        </r>
      </text>
    </comment>
    <comment ref="Z6" authorId="0" shapeId="0" xr:uid="{00000000-0006-0000-1C00-000008000000}">
      <text>
        <r>
          <rPr>
            <b/>
            <sz val="12"/>
            <color indexed="81"/>
            <rFont val="Segoe UI"/>
            <family val="2"/>
          </rPr>
          <t>Equip Cost is the process unit replacement costs for component, $/m2</t>
        </r>
        <r>
          <rPr>
            <sz val="9"/>
            <color indexed="81"/>
            <rFont val="Segoe UI"/>
            <family val="2"/>
          </rPr>
          <t xml:space="preserve">
</t>
        </r>
        <r>
          <rPr>
            <b/>
            <sz val="11"/>
            <color indexed="81"/>
            <rFont val="Segoe UI"/>
            <family val="2"/>
          </rPr>
          <t>It is necessary to calculate the component damage costs to other equipment components in the vicinity of the failure, if the failure results in a flammable (or explosive) event. Toxic releases do not result in damage to surrounding equipment. Typically, a constant value of the process unit replacement cost, equipcost , is used.</t>
        </r>
      </text>
    </comment>
    <comment ref="AA6" authorId="0" shapeId="0" xr:uid="{00000000-0006-0000-1C00-000009000000}">
      <text>
        <r>
          <rPr>
            <b/>
            <sz val="12"/>
            <color indexed="81"/>
            <rFont val="Segoe UI"/>
            <family val="2"/>
          </rPr>
          <t>Downtimes presented in Table 4.17 are the minimum time required to repair equipment damage in the event of a loss of containment. When a loss of containment occurs, such as a nonflammable/nontoxic event, a financial impact results based on the cost to perform a leak repair. If actual downtimes are significantly higher than the time in Table 4.17, the outage multiplier, mult Outage , may be used to reflect the increase.</t>
        </r>
      </text>
    </comment>
    <comment ref="AB6" authorId="0" shapeId="0" xr:uid="{00000000-0006-0000-1C00-00000A000000}">
      <text>
        <r>
          <rPr>
            <b/>
            <sz val="9"/>
            <color indexed="81"/>
            <rFont val="Segoe UI"/>
            <family val="2"/>
          </rPr>
          <t>is the cost of lost production due to downtime to repair equipment, $/day</t>
        </r>
        <r>
          <rPr>
            <sz val="9"/>
            <color indexed="81"/>
            <rFont val="Segoe UI"/>
            <family val="2"/>
          </rPr>
          <t xml:space="preserve">
</t>
        </r>
      </text>
    </comment>
    <comment ref="AC6" authorId="0" shapeId="0" xr:uid="{00000000-0006-0000-1C00-00000B000000}">
      <text>
        <r>
          <rPr>
            <b/>
            <sz val="9"/>
            <color indexed="81"/>
            <rFont val="Segoe UI"/>
            <family val="2"/>
          </rPr>
          <t>The unit population density, popdens , is the
average number of personnel on the unit per m2</t>
        </r>
      </text>
    </comment>
    <comment ref="AD6" authorId="0" shapeId="0" xr:uid="{00000000-0006-0000-1C00-00000C000000}">
      <text>
        <r>
          <rPr>
            <b/>
            <sz val="9"/>
            <color indexed="81"/>
            <rFont val="Segoe UI"/>
            <family val="2"/>
          </rPr>
          <t>The personnel injury cost, injcost , is the
cost incurred by the company as a result serious injury or fatality of personnel</t>
        </r>
        <r>
          <rPr>
            <sz val="9"/>
            <color indexed="81"/>
            <rFont val="Segoe UI"/>
            <family val="2"/>
          </rPr>
          <t xml:space="preserve">
</t>
        </r>
      </text>
    </comment>
    <comment ref="AE6" authorId="0" shapeId="0" xr:uid="{00000000-0006-0000-1C00-00000D000000}">
      <text>
        <r>
          <rPr>
            <b/>
            <sz val="9"/>
            <color indexed="81"/>
            <rFont val="Segoe UI"/>
            <family val="2"/>
          </rPr>
          <t>The environmental costs, envcost
, are the environmental cleanup costs, $/bbl</t>
        </r>
      </text>
    </comment>
    <comment ref="AF6" authorId="0" shapeId="0" xr:uid="{00000000-0006-0000-1C00-00000E000000}">
      <text>
        <r>
          <rPr>
            <b/>
            <sz val="9"/>
            <color indexed="81"/>
            <rFont val="Segoe UI"/>
            <family val="2"/>
          </rPr>
          <t>is the maximum fill height in the storage tank</t>
        </r>
        <r>
          <rPr>
            <sz val="9"/>
            <color indexed="81"/>
            <rFont val="Segoe UI"/>
            <family val="2"/>
          </rPr>
          <t xml:space="preserve">
</t>
        </r>
      </text>
    </comment>
    <comment ref="AG6" authorId="0" shapeId="0" xr:uid="{00000000-0006-0000-1C00-00000F000000}">
      <text>
        <r>
          <rPr>
            <b/>
            <sz val="11"/>
            <color indexed="81"/>
            <rFont val="Segoe UI"/>
            <family val="2"/>
          </rPr>
          <t xml:space="preserve">Número do anel, do fundo para o teto. Por exemplo:
Em um tanque com 5 anéis, o anel número 1 é o soldado ao fundo enquanto o anel número 5 é o soldado ao teto.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Vinicius Holanda Monteiro</author>
  </authors>
  <commentList>
    <comment ref="I3" authorId="0" shapeId="0" xr:uid="{00000000-0006-0000-2100-000001000000}">
      <text>
        <r>
          <rPr>
            <b/>
            <sz val="9"/>
            <color indexed="81"/>
            <rFont val="Segoe UI"/>
            <family val="2"/>
          </rPr>
          <t>NORMAL BOILING POINT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<sst xmlns="http://schemas.openxmlformats.org/spreadsheetml/2006/main" count="5687" uniqueCount="1599">
  <si>
    <t>Table 4.1—List of Representative Fluids Available for Level 1 Consequence Analysis</t>
  </si>
  <si>
    <t>Representative Fluid</t>
  </si>
  <si>
    <t>Examples of Applicable Materials</t>
  </si>
  <si>
    <t>NOTE 1 HCl, nitric acid, NO2, and TDI are TYPE 1 toxic fluids.</t>
  </si>
  <si>
    <t>NOTE 2 DEE is a TYPE 0 toxic fluid.</t>
  </si>
  <si>
    <t xml:space="preserve">H2S </t>
  </si>
  <si>
    <t xml:space="preserve">AlCl3 </t>
  </si>
  <si>
    <t xml:space="preserve">Ammonia </t>
  </si>
  <si>
    <t xml:space="preserve">Chlorine </t>
  </si>
  <si>
    <t xml:space="preserve">Nitric acid </t>
  </si>
  <si>
    <t xml:space="preserve">NO2 </t>
  </si>
  <si>
    <t xml:space="preserve">Phosgene </t>
  </si>
  <si>
    <t>TDI</t>
  </si>
  <si>
    <t xml:space="preserve">TDI </t>
  </si>
  <si>
    <t>Toluene diisocyanate</t>
  </si>
  <si>
    <t>TYPE 0</t>
  </si>
  <si>
    <t>Methane, ethane, ethylene, LNG, fuel gas</t>
  </si>
  <si>
    <t>Propane, butane, isobutane, LPG</t>
  </si>
  <si>
    <t>Pentane</t>
  </si>
  <si>
    <t>Gasoline, naphtha, light straight run, heptane</t>
  </si>
  <si>
    <t>Diesel, kerosene</t>
  </si>
  <si>
    <t>Jet fuel, kerosene, atmospheric gas oil</t>
  </si>
  <si>
    <t>Gas oil, typical crude</t>
  </si>
  <si>
    <t>Residuum, heavy crude, lube oil, seal oil</t>
  </si>
  <si>
    <t>Hydrogen</t>
  </si>
  <si>
    <t>Hydrogen sulfide</t>
  </si>
  <si>
    <t>Hydrogen fluoride</t>
  </si>
  <si>
    <t>Hydrochloric acid</t>
  </si>
  <si>
    <t>Water</t>
  </si>
  <si>
    <t>Steam</t>
  </si>
  <si>
    <t>Acid, caustic</t>
  </si>
  <si>
    <t>TYPE 1</t>
  </si>
  <si>
    <t>Benzene, toluene, xylene, cumene</t>
  </si>
  <si>
    <t>Aluminum chloride</t>
  </si>
  <si>
    <t>Pyrophoric materials</t>
  </si>
  <si>
    <t>Ammonia</t>
  </si>
  <si>
    <t>Chlorine</t>
  </si>
  <si>
    <t>Carbon monoxide</t>
  </si>
  <si>
    <t>Diethyl ether</t>
  </si>
  <si>
    <t>Hydrogen chloride</t>
  </si>
  <si>
    <t>Nitric acid</t>
  </si>
  <si>
    <t>Nitrogen dioxide</t>
  </si>
  <si>
    <t>Phosgene</t>
  </si>
  <si>
    <t>Methanol</t>
  </si>
  <si>
    <t>Propylene oxide</t>
  </si>
  <si>
    <t>Styrene</t>
  </si>
  <si>
    <t>Ethylene glycol monoethyl ether acetate</t>
  </si>
  <si>
    <t>Ethylene glycol monoethyl ether</t>
  </si>
  <si>
    <t>Ethylene glycol</t>
  </si>
  <si>
    <t>Ethylene oxide</t>
  </si>
  <si>
    <t>Table 4.2M—Properties of the Representative Fluids Used in Level 1 Consequence Analysis</t>
  </si>
  <si>
    <t>Liquid</t>
  </si>
  <si>
    <t>Cp</t>
  </si>
  <si>
    <t>Ideal Gas Constant
A</t>
  </si>
  <si>
    <t>Ideal Gas Constant
B</t>
  </si>
  <si>
    <t>Ideal Gas Constant
C</t>
  </si>
  <si>
    <t>Ideal Gas Constant
D</t>
  </si>
  <si>
    <t>Ideal Gas Constant
E</t>
  </si>
  <si>
    <t>Ambient State</t>
  </si>
  <si>
    <t>NBP
(°C)</t>
  </si>
  <si>
    <t>Gas</t>
  </si>
  <si>
    <t>N/A</t>
  </si>
  <si>
    <t>Acid/Caustic</t>
  </si>
  <si>
    <t>17.03</t>
  </si>
  <si>
    <t>—</t>
  </si>
  <si>
    <t>CO</t>
  </si>
  <si>
    <t>DEE</t>
  </si>
  <si>
    <t>AlCl3</t>
  </si>
  <si>
    <t>133.5</t>
  </si>
  <si>
    <t>Powder</t>
  </si>
  <si>
    <t>NO2</t>
  </si>
  <si>
    <t>PO</t>
  </si>
  <si>
    <t>EEA</t>
  </si>
  <si>
    <t>EE</t>
  </si>
  <si>
    <t>EG</t>
  </si>
  <si>
    <t>EO</t>
  </si>
  <si>
    <t>Note 4</t>
  </si>
  <si>
    <t>Table 4.3—Level 1 Guidelines for Determining the Phase of a Fluid</t>
  </si>
  <si>
    <t>Phase of Fluid at Normal
Operating (Storage) Conditions</t>
  </si>
  <si>
    <t>Phase of Fluid at Ambient
(After Release) Conditions</t>
  </si>
  <si>
    <t>Determination of Final Phase for
Consequence Calculation</t>
  </si>
  <si>
    <t>Model as gas</t>
  </si>
  <si>
    <t>Model as liquid</t>
  </si>
  <si>
    <t>Model as gas unless the fluid boiling point at ambient conditions is greater than 80 °F, then model as a liquid</t>
  </si>
  <si>
    <t>MW</t>
  </si>
  <si>
    <t>Liquid Density
(kg/m³)</t>
  </si>
  <si>
    <t>Fluid</t>
  </si>
  <si>
    <t>COMPOSIÇÃO DO FLUIDO</t>
  </si>
  <si>
    <t>Fluido</t>
  </si>
  <si>
    <t>Descrição</t>
  </si>
  <si>
    <t>Storage Fluid Phase</t>
  </si>
  <si>
    <t>Stored Fluido Phase</t>
  </si>
  <si>
    <t>Fluido Representativo</t>
  </si>
  <si>
    <t>HCl (Gas)</t>
  </si>
  <si>
    <t>Menor Valor</t>
  </si>
  <si>
    <t>Fluido Representativo (NBP)</t>
  </si>
  <si>
    <t>MW (kg/kg-mol)</t>
  </si>
  <si>
    <t>AIT (K)</t>
  </si>
  <si>
    <t>k</t>
  </si>
  <si>
    <t>Cp (J/kg-mol-K)</t>
  </si>
  <si>
    <t>Liquidy Density (kg/m³)</t>
  </si>
  <si>
    <t>AIT
(°C)</t>
  </si>
  <si>
    <t>Propriedades</t>
  </si>
  <si>
    <t>Two-phase</t>
  </si>
  <si>
    <t>mol%</t>
  </si>
  <si>
    <t>Diâmetro (mm)</t>
  </si>
  <si>
    <t>Table 3.1—Suggested Component Generic Failure Frequencies</t>
  </si>
  <si>
    <t>Equipment Type</t>
  </si>
  <si>
    <t>Component Type</t>
  </si>
  <si>
    <t>GFF As a Function of Hole Size (failures/yr)</t>
  </si>
  <si>
    <t>Small</t>
  </si>
  <si>
    <t>Medium</t>
  </si>
  <si>
    <t>Large</t>
  </si>
  <si>
    <t>Rupture</t>
  </si>
  <si>
    <t>gfftotal
(failures/yr)</t>
  </si>
  <si>
    <t>Compressor</t>
  </si>
  <si>
    <t>COMPC</t>
  </si>
  <si>
    <t>COMPR</t>
  </si>
  <si>
    <t>HEXTS</t>
  </si>
  <si>
    <t>Heat exchanger</t>
  </si>
  <si>
    <t>HEXSS</t>
  </si>
  <si>
    <t>Pipe</t>
  </si>
  <si>
    <t>PIPE-2</t>
  </si>
  <si>
    <t>PIPE-6</t>
  </si>
  <si>
    <t>PIPEGT16</t>
  </si>
  <si>
    <t>Pump</t>
  </si>
  <si>
    <t>PUMP1S</t>
  </si>
  <si>
    <t>Tank650</t>
  </si>
  <si>
    <t>TANKBOTTOM</t>
  </si>
  <si>
    <t>COURSE-1-10</t>
  </si>
  <si>
    <t>COLMID</t>
  </si>
  <si>
    <t>PIPE-1</t>
  </si>
  <si>
    <t>PIPE-4</t>
  </si>
  <si>
    <t>PIPE-8</t>
  </si>
  <si>
    <t>PIPE-10</t>
  </si>
  <si>
    <t>PIPE-12</t>
  </si>
  <si>
    <t>PIPE-16</t>
  </si>
  <si>
    <t>PUMP2S</t>
  </si>
  <si>
    <t>PUMPR</t>
  </si>
  <si>
    <t>KODRUM</t>
  </si>
  <si>
    <t>COLBTM</t>
  </si>
  <si>
    <t>FINFAN</t>
  </si>
  <si>
    <t>FILTER</t>
  </si>
  <si>
    <t>DRUM</t>
  </si>
  <si>
    <t>REACTOR</t>
  </si>
  <si>
    <t>COLTOP</t>
  </si>
  <si>
    <t>NOTE See References [1] through [8] for discussion of failure frequencies for equipment.</t>
  </si>
  <si>
    <t>Heat_exchanger</t>
  </si>
  <si>
    <t>Release Hole Number</t>
  </si>
  <si>
    <t>Release Hole Size</t>
  </si>
  <si>
    <t>Range of Hole Diameters (mm)</t>
  </si>
  <si>
    <t>Release Hole Diameter, dn (mm)</t>
  </si>
  <si>
    <t>0 to 6,4</t>
  </si>
  <si>
    <t>&gt;6,4 to 51</t>
  </si>
  <si>
    <t>&gt;51 to 152</t>
  </si>
  <si>
    <t>&gt;152</t>
  </si>
  <si>
    <t>Table 4.4M—Release Hole Sizes and Areas Used in Level 1 and 2 Consequence Analyses</t>
  </si>
  <si>
    <t>d1 = 6,4</t>
  </si>
  <si>
    <t>d4 = min[D,406]</t>
  </si>
  <si>
    <t>d3 = 102
d3 = min[D,102]</t>
  </si>
  <si>
    <t>d2 = 25
d2 = min[D,25]</t>
  </si>
  <si>
    <t>gff_total</t>
  </si>
  <si>
    <t>Patm =</t>
  </si>
  <si>
    <t>1 kgf/cm²=</t>
  </si>
  <si>
    <t>kPa</t>
  </si>
  <si>
    <t>Kvn (Líquido)</t>
  </si>
  <si>
    <t>Vessel</t>
  </si>
  <si>
    <t>Table 3.B.2.1—SI and U.S. Customary Conversion Factors for Equations in Part 3</t>
  </si>
  <si>
    <t>Conversion Factor</t>
  </si>
  <si>
    <t>SI Units</t>
  </si>
  <si>
    <t>C1</t>
  </si>
  <si>
    <t>C2</t>
  </si>
  <si>
    <t>C3</t>
  </si>
  <si>
    <t>C5</t>
  </si>
  <si>
    <t>C6</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</si>
  <si>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</si>
  <si>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</si>
  <si>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</si>
  <si>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</si>
  <si>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</si>
  <si>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</si>
  <si>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</si>
  <si>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</si>
  <si>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</si>
  <si>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</si>
  <si>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</si>
  <si>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</si>
  <si>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</si>
  <si>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</si>
  <si>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</si>
  <si>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</si>
  <si>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</si>
  <si>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</si>
  <si>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</si>
  <si>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</si>
  <si>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</si>
  <si>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</si>
  <si>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</si>
  <si>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</si>
  <si>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</si>
  <si>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</si>
  <si>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</si>
  <si>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</si>
  <si>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</si>
  <si>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</si>
  <si>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</si>
  <si>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</si>
  <si>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</si>
  <si>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</si>
  <si>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C4a e C4b</t>
  </si>
  <si>
    <t xml:space="preserve">T = </t>
  </si>
  <si>
    <t>Volume (m³)</t>
  </si>
  <si>
    <t>Comprimento (mm)</t>
  </si>
  <si>
    <t>Volume Calculado (m³)</t>
  </si>
  <si>
    <t>Small Hole Size Diameter (mm)</t>
  </si>
  <si>
    <t>Medium Hole Size Diameter (mm)</t>
  </si>
  <si>
    <t>Large Hole Size Diameter (mm)</t>
  </si>
  <si>
    <t>Rupture Hole Size Diameter (mm)</t>
  </si>
  <si>
    <t>Small Hole Área (mm²)</t>
  </si>
  <si>
    <t>Medium Hole Área (mm²)</t>
  </si>
  <si>
    <t>Large Hole Área (mm²)</t>
  </si>
  <si>
    <t>Rupture Hole Área (mm²)</t>
  </si>
  <si>
    <t>gff1</t>
  </si>
  <si>
    <t>gff2</t>
  </si>
  <si>
    <t>gff3</t>
  </si>
  <si>
    <t>gff4</t>
  </si>
  <si>
    <t>Liquid Rate 1</t>
  </si>
  <si>
    <t>Liquid Rate 2</t>
  </si>
  <si>
    <t>Liquid Rate 3</t>
  </si>
  <si>
    <t>Liquid Rate 4</t>
  </si>
  <si>
    <t>Vapor  Rate 1
P.O&gt;Ptrans</t>
  </si>
  <si>
    <t>Vapor  Rate 2
P.O&gt;Ptrans</t>
  </si>
  <si>
    <t>Vapor  Rate 3
P.O&gt;Ptrans</t>
  </si>
  <si>
    <t>Vapor  Rate 4
P.O&gt;Ptrans</t>
  </si>
  <si>
    <t>Vapor 1 Rate
P.O&lt;=Ptrans</t>
  </si>
  <si>
    <t>Vapor 2 Rate
P.O&lt;=Ptrans</t>
  </si>
  <si>
    <t>Vapor 3 Rate
P.O&lt;=Ptrans</t>
  </si>
  <si>
    <t>Vapor 4 Rate
P.O&lt;=Ptrans</t>
  </si>
  <si>
    <t>Release Rate W1</t>
  </si>
  <si>
    <t>Release Rate W2</t>
  </si>
  <si>
    <t>Release Rate W3</t>
  </si>
  <si>
    <t>Release Rate W4</t>
  </si>
  <si>
    <t>Massa_comp (kg)</t>
  </si>
  <si>
    <t>Preencher um ou outro</t>
  </si>
  <si>
    <t>Sim</t>
  </si>
  <si>
    <t>Não</t>
  </si>
  <si>
    <t>Revisar depois</t>
  </si>
  <si>
    <t>Além disso, quando mudar a temperatura de operação vai alterar o valor do cp e do k (que é utilizado para o cálculo da Vapor rate na Ptrans no equipamento principal)</t>
  </si>
  <si>
    <t>Sugestão:</t>
  </si>
  <si>
    <t>Para sistema de tubulações criar uma nova planilha com alguns ajustes.</t>
  </si>
  <si>
    <t>Liquid Rate Max</t>
  </si>
  <si>
    <t>Vapor Rate Max</t>
  </si>
  <si>
    <t>Release Rate Wmax8</t>
  </si>
  <si>
    <t>Massa_add1</t>
  </si>
  <si>
    <t>Massa_add4</t>
  </si>
  <si>
    <t>Massa_add2</t>
  </si>
  <si>
    <t>Massa_add3</t>
  </si>
  <si>
    <t>Massa_disp1</t>
  </si>
  <si>
    <t>Massa_disp2</t>
  </si>
  <si>
    <t>Massa_disp3</t>
  </si>
  <si>
    <t>Massa_disp4</t>
  </si>
  <si>
    <t>Para tubulações como equipamento principal é necessário inserir uma coluna para indicar a temperatura da linha e a pressão, pois isso vai influenciar no cálculo da massa do fluido. Isso também se aplica a torres e permutadores?</t>
  </si>
  <si>
    <t>Instantâneo</t>
  </si>
  <si>
    <t>Contínuo</t>
  </si>
  <si>
    <t>Release Type 1</t>
  </si>
  <si>
    <t>Release Type 2</t>
  </si>
  <si>
    <t>Release Type 3</t>
  </si>
  <si>
    <t>Release Type 4</t>
  </si>
  <si>
    <t>Pressão (kPa)</t>
  </si>
  <si>
    <t>Note 1</t>
  </si>
  <si>
    <t>Note 2</t>
  </si>
  <si>
    <t>Note 3</t>
  </si>
  <si>
    <t>Note Cp</t>
  </si>
  <si>
    <t>Ptrans</t>
  </si>
  <si>
    <t>D</t>
  </si>
  <si>
    <t>Modelagem</t>
  </si>
  <si>
    <t>Verificar cp</t>
  </si>
  <si>
    <t>gc</t>
  </si>
  <si>
    <t>A</t>
  </si>
  <si>
    <t>B</t>
  </si>
  <si>
    <t>C</t>
  </si>
  <si>
    <t>E</t>
  </si>
  <si>
    <t>STEP 1.3</t>
  </si>
  <si>
    <t>STEP 3.2</t>
  </si>
  <si>
    <t>STEP 3.3 , 3.4 e 4.5</t>
  </si>
  <si>
    <t>STEP 3.4 e 4.6</t>
  </si>
  <si>
    <t>STEP 4.1</t>
  </si>
  <si>
    <t>STEP 4.6</t>
  </si>
  <si>
    <t>STEP 4.7</t>
  </si>
  <si>
    <t>STEP 2.1</t>
  </si>
  <si>
    <t>STEP 2.2</t>
  </si>
  <si>
    <t>Table 4.5—Detection and Isolation System Rating Guide</t>
  </si>
  <si>
    <t>Type of Detection System</t>
  </si>
  <si>
    <t>Instrumentation designed specifically to detect material losses by changes in operating conditions (i.e. loss of pressure or flow) in the system.</t>
  </si>
  <si>
    <t>Suitably located detectors to determine when the material is present outside the pressure-containing envelope.</t>
  </si>
  <si>
    <t>Visual detection, cameras, or detectors with marginal coverage.</t>
  </si>
  <si>
    <t>Type of Isolation System</t>
  </si>
  <si>
    <t>Isolation or shutdown systems activated directly from process instrumentation or detectors, with no operator intervention.</t>
  </si>
  <si>
    <t>Isolation or shutdown systems activated by operators in the control room or other suitable locations remote from the leak.</t>
  </si>
  <si>
    <t>Isolation dependent on manually operated valves.</t>
  </si>
  <si>
    <t>Detection Classification</t>
  </si>
  <si>
    <t xml:space="preserve"> Isolation Classification</t>
  </si>
  <si>
    <t>Table 4.6—Adjustments to Release Based on Detection and Isolation Systems</t>
  </si>
  <si>
    <t>System Classifications</t>
  </si>
  <si>
    <t>Detection</t>
  </si>
  <si>
    <t>Isolation</t>
  </si>
  <si>
    <t>Release Magnitude Adjustment</t>
  </si>
  <si>
    <t>Reduce release rate or mass by 25 %</t>
  </si>
  <si>
    <t>Reduce release rate or mass by 20 %</t>
  </si>
  <si>
    <t>Reduce release rate or mass by 10 %</t>
  </si>
  <si>
    <t>Reduce release rate or mass by 15 %</t>
  </si>
  <si>
    <t>No adjustment to release rate or mass</t>
  </si>
  <si>
    <t>Reduction Factor, fact_di</t>
  </si>
  <si>
    <t>Detection System</t>
  </si>
  <si>
    <t>Isolation System</t>
  </si>
  <si>
    <t>STEP 6.2</t>
  </si>
  <si>
    <t>STEP 6.3</t>
  </si>
  <si>
    <t>STEP 5.1</t>
  </si>
  <si>
    <t>STEP 5.2</t>
  </si>
  <si>
    <t>STEP 6.4</t>
  </si>
  <si>
    <t>fact_di</t>
  </si>
  <si>
    <t>Verificação</t>
  </si>
  <si>
    <t>Table 4.7—Leak Durations Based on Detection and Isolation Systems</t>
  </si>
  <si>
    <t>Detection System Rating</t>
  </si>
  <si>
    <t>Isolation System Rating</t>
  </si>
  <si>
    <t>Maximum Leak Duration, ld_max</t>
  </si>
  <si>
    <t>dn</t>
  </si>
  <si>
    <t>ld_max</t>
  </si>
  <si>
    <t>20 minutes for 6.4 mm leaks</t>
  </si>
  <si>
    <t>10 minutes for 25 mm leaks</t>
  </si>
  <si>
    <t>5 minutes for 102 mm leaks</t>
  </si>
  <si>
    <t>30 minutes for 6.4 mm leaks</t>
  </si>
  <si>
    <t>20 minutes for 25 mm leaks</t>
  </si>
  <si>
    <t>10 minutes for 102 mm leaks</t>
  </si>
  <si>
    <t>40 minutes for 6.4 mm leaks</t>
  </si>
  <si>
    <t>30 minutes for 25 mm leaks</t>
  </si>
  <si>
    <t>20 minutes for 102 mm leaks</t>
  </si>
  <si>
    <t>1 hour for 6.4 mm leaks</t>
  </si>
  <si>
    <t>40 minutes for 25 mm leaks</t>
  </si>
  <si>
    <t>ld_max1</t>
  </si>
  <si>
    <t>ld_max2</t>
  </si>
  <si>
    <t>ld_max3</t>
  </si>
  <si>
    <t>ld_max4</t>
  </si>
  <si>
    <t>STEP 6.5</t>
  </si>
  <si>
    <t>DS e IS</t>
  </si>
  <si>
    <t>A ou B</t>
  </si>
  <si>
    <t>Para o ld_max4 foi utilizado o mesmo valor do ld_max3</t>
  </si>
  <si>
    <t>O FACTdi não tem todas as combinações. Então foram feitas algumas ponderações do tipo... Se detection C, então isolation = 0 e se detection B e isolation diferente de C, então 0,15.</t>
  </si>
  <si>
    <t>Rate 1</t>
  </si>
  <si>
    <t>Rate 2</t>
  </si>
  <si>
    <t>Rate 3</t>
  </si>
  <si>
    <t>Rate 4</t>
  </si>
  <si>
    <t>STEP 7.1</t>
  </si>
  <si>
    <t>ld1</t>
  </si>
  <si>
    <t>ld2</t>
  </si>
  <si>
    <t>ld3</t>
  </si>
  <si>
    <t>ld4</t>
  </si>
  <si>
    <t>STEP 7.2</t>
  </si>
  <si>
    <t>STEP 7.3</t>
  </si>
  <si>
    <t>mass1</t>
  </si>
  <si>
    <t>mass2</t>
  </si>
  <si>
    <t>mass3</t>
  </si>
  <si>
    <t>mass4</t>
  </si>
  <si>
    <t>Table 4.10—Adjustments to Flammable Consequence for Mitigation Systems</t>
  </si>
  <si>
    <t>Mitigation System</t>
  </si>
  <si>
    <t>Consequence Area Adjustment</t>
  </si>
  <si>
    <t>Inventory blowdown, coupled with isolation system classification B or higher</t>
  </si>
  <si>
    <t>Fire water deluge system and monitors</t>
  </si>
  <si>
    <t>Fire water monitors only</t>
  </si>
  <si>
    <t>Foam spray system</t>
  </si>
  <si>
    <t>Reduce consequence area by 25 %</t>
  </si>
  <si>
    <t>Reduce consequence area by 20 %</t>
  </si>
  <si>
    <t>Reduce consequence area by 5 %</t>
  </si>
  <si>
    <t>Reduce consequence area by 15 %</t>
  </si>
  <si>
    <t>Consequence Area Reduction Factor, fact_mit</t>
  </si>
  <si>
    <t>STEP 8.1</t>
  </si>
  <si>
    <t>STEP 8.2</t>
  </si>
  <si>
    <t>eneff1</t>
  </si>
  <si>
    <t>eneff2</t>
  </si>
  <si>
    <t>eneff3</t>
  </si>
  <si>
    <t>eneff4</t>
  </si>
  <si>
    <t>Fluid Type</t>
  </si>
  <si>
    <t>AINL-CONT1</t>
  </si>
  <si>
    <t>AINL-CONT2</t>
  </si>
  <si>
    <t>AINL-CONT3</t>
  </si>
  <si>
    <t>AINL-CONT4</t>
  </si>
  <si>
    <t>Fluid Type
(see Section 4.1.5)</t>
  </si>
  <si>
    <t>Continuous Releases Constants</t>
  </si>
  <si>
    <t>Autoignition Not Likely
(AINL-CONT)</t>
  </si>
  <si>
    <t>Autoignition Likely
(AIL-CONT)</t>
  </si>
  <si>
    <t>Autoignition Not Likely
(AINL-INST)</t>
  </si>
  <si>
    <t>Autoignition Likely
(AIL-INST)</t>
  </si>
  <si>
    <t>a</t>
  </si>
  <si>
    <t>b</t>
  </si>
  <si>
    <t>Table 4.9M—Personnel Injury Flammable Consequence Equation Constants</t>
  </si>
  <si>
    <t>Table 4.8M—Component Damage Flammable Consequence Equation Constants</t>
  </si>
  <si>
    <t>STEP 8.4-2</t>
  </si>
  <si>
    <t>STEP 8.4 - 1</t>
  </si>
  <si>
    <t>AINL-CONT
a (liquid)</t>
  </si>
  <si>
    <t>AINL-CONT
b (liquid)</t>
  </si>
  <si>
    <t>AINL-CONT
a (gas)</t>
  </si>
  <si>
    <t>AINL-CONT
b (gas)</t>
  </si>
  <si>
    <t>STEP 8.5 - 1</t>
  </si>
  <si>
    <t>STEP 8.6 - 1</t>
  </si>
  <si>
    <t>STEP 8.7 - 1</t>
  </si>
  <si>
    <t>STEP 8.8 - 1</t>
  </si>
  <si>
    <t>AIL-CONT
a (gas)</t>
  </si>
  <si>
    <t>AIL-CONT
b (gas)</t>
  </si>
  <si>
    <t>AIL-CONT
a (liquid)</t>
  </si>
  <si>
    <t>AIL-CONT
b (liquid)</t>
  </si>
  <si>
    <t>AINL-INST
a (gas)</t>
  </si>
  <si>
    <t>AINL-INST
b (gas)</t>
  </si>
  <si>
    <t>AINL-INST
a (liquid)</t>
  </si>
  <si>
    <t>AINL-INST
b (liquid)</t>
  </si>
  <si>
    <t>AIL-INST
a (gas)</t>
  </si>
  <si>
    <t>AIL-INST
b (gas)</t>
  </si>
  <si>
    <t>AIL-INST
a (liquid)</t>
  </si>
  <si>
    <t>AIL-INST
b (liquid)</t>
  </si>
  <si>
    <t>STEP 8.9 - 1</t>
  </si>
  <si>
    <t>STEP 8.10 - 1</t>
  </si>
  <si>
    <t>STEP 8.11 - 1</t>
  </si>
  <si>
    <t>Instantaneous Releases Constants</t>
  </si>
  <si>
    <t>STEP 8.5-2</t>
  </si>
  <si>
    <t>STEP 8.6-2</t>
  </si>
  <si>
    <t>STEP 8.7-2</t>
  </si>
  <si>
    <t>AIL-CONT1</t>
  </si>
  <si>
    <t>AIL-CONT2</t>
  </si>
  <si>
    <t>AIL-CONT3</t>
  </si>
  <si>
    <t>AIL-CONT4</t>
  </si>
  <si>
    <t>AINL-INST1</t>
  </si>
  <si>
    <t>AINL-INST2</t>
  </si>
  <si>
    <t>AINL-INST3</t>
  </si>
  <si>
    <t>AINL-INST4</t>
  </si>
  <si>
    <t>AIL-INST1</t>
  </si>
  <si>
    <t>AIL-INST2</t>
  </si>
  <si>
    <t>AIL-INST3</t>
  </si>
  <si>
    <t>AIL-INST4</t>
  </si>
  <si>
    <t>INJ-AINL-CONT
a (gas)</t>
  </si>
  <si>
    <t>INJ-AINL-CONT
b (gas)</t>
  </si>
  <si>
    <t>INJ-AINL-CONT
a (liquid)</t>
  </si>
  <si>
    <t>INJ-AINL-CONT
b (liquid)</t>
  </si>
  <si>
    <t>INJ-AIL-CONT
a (gas)</t>
  </si>
  <si>
    <t>INJ-AIL-CONT
b (gas)</t>
  </si>
  <si>
    <t>INJ-AIL-CONT
a (liquid)</t>
  </si>
  <si>
    <t>INJ-AIL-CONT
b (liquid)</t>
  </si>
  <si>
    <t>INJ-AINL-INST
a (gas)</t>
  </si>
  <si>
    <t>INJ-AINL-INST
b (gas)</t>
  </si>
  <si>
    <t>INJ-AINL-INST
a (liquid)</t>
  </si>
  <si>
    <t>INJ-AINL-INST
b (liquid)</t>
  </si>
  <si>
    <t>INJ-AIL-INST
a (gas)</t>
  </si>
  <si>
    <t>INJ-AIL-INST
b (gas)</t>
  </si>
  <si>
    <t>INJ-AIL-INST
a (liquid)</t>
  </si>
  <si>
    <t>INJ-AIL-INST
b (liquid)</t>
  </si>
  <si>
    <t>INJ-AINL-CONT1</t>
  </si>
  <si>
    <t>INJ-AINL-CONT2</t>
  </si>
  <si>
    <t>INJ-AINL-CONT3</t>
  </si>
  <si>
    <t>INJ-AINL-CONT4</t>
  </si>
  <si>
    <t>INJ-AIL-CONT1</t>
  </si>
  <si>
    <t>INJ-AIL-CONT2</t>
  </si>
  <si>
    <t>INJ-AIL-CONT3</t>
  </si>
  <si>
    <t>INJ-AIL-CONT4</t>
  </si>
  <si>
    <t>INJ-AINL-INST1</t>
  </si>
  <si>
    <t>INJ-AINL-INST2</t>
  </si>
  <si>
    <t>INJ-AINL-INST3</t>
  </si>
  <si>
    <t>INJ-AINL-INST4</t>
  </si>
  <si>
    <t>INJ-AIL-INST1</t>
  </si>
  <si>
    <t>INJ-AIL-INST2</t>
  </si>
  <si>
    <t>INJ-AIL-INST3</t>
  </si>
  <si>
    <t>INJ-AIL-INST4</t>
  </si>
  <si>
    <t>STEP 8.8-2</t>
  </si>
  <si>
    <t>STEP 8.9-2</t>
  </si>
  <si>
    <t>STEP 8.10-2</t>
  </si>
  <si>
    <t>STEP 8.11-2</t>
  </si>
  <si>
    <t>STEP 8.12</t>
  </si>
  <si>
    <t>fact_IC1</t>
  </si>
  <si>
    <t>fact_IC2</t>
  </si>
  <si>
    <t>fact_IC3</t>
  </si>
  <si>
    <t>fact_IC4</t>
  </si>
  <si>
    <t>fact_AIT1</t>
  </si>
  <si>
    <t>fact_AIT2</t>
  </si>
  <si>
    <t>fact_AIT3</t>
  </si>
  <si>
    <t>fact_AIT4</t>
  </si>
  <si>
    <t>c6</t>
  </si>
  <si>
    <t>STEP 8.13</t>
  </si>
  <si>
    <t>STEP 8.14-1</t>
  </si>
  <si>
    <t>CA_AIL1</t>
  </si>
  <si>
    <t>CA_AIL2</t>
  </si>
  <si>
    <t>CA_AIL3</t>
  </si>
  <si>
    <t>CA_AIL4</t>
  </si>
  <si>
    <t>CA_AIL_INJ1</t>
  </si>
  <si>
    <t>CA_AIL_INJ2</t>
  </si>
  <si>
    <t>CA_AIL_INJ3</t>
  </si>
  <si>
    <t>CA_AIL_INJ4</t>
  </si>
  <si>
    <t>CA_AINL1</t>
  </si>
  <si>
    <t>CA_AINL2</t>
  </si>
  <si>
    <t>CA_AINL3</t>
  </si>
  <si>
    <t>CA_AINL4</t>
  </si>
  <si>
    <t>CA_AINL_INJ1</t>
  </si>
  <si>
    <t>CA_AINL_INJ2</t>
  </si>
  <si>
    <t>CA_AINL_INJ3</t>
  </si>
  <si>
    <t>CA_AINL_INJ4</t>
  </si>
  <si>
    <t>STEP 8.15</t>
  </si>
  <si>
    <t>CA_flam1</t>
  </si>
  <si>
    <t>CA_flam2</t>
  </si>
  <si>
    <t>CA_flam3</t>
  </si>
  <si>
    <t>CA_flam4</t>
  </si>
  <si>
    <t>STEP 8.16</t>
  </si>
  <si>
    <t>CA_flam_inj1</t>
  </si>
  <si>
    <t>CA_flam_inj2</t>
  </si>
  <si>
    <t>CA_flam_inj3</t>
  </si>
  <si>
    <t>CA_flam_inj4</t>
  </si>
  <si>
    <t>CA_flam_final</t>
  </si>
  <si>
    <t>CA_flam_final_INJ</t>
  </si>
  <si>
    <t>STEP 9.1</t>
  </si>
  <si>
    <t>ld_tox1</t>
  </si>
  <si>
    <t>ld_tox2</t>
  </si>
  <si>
    <t>ld_tox3</t>
  </si>
  <si>
    <t>ld_tox4</t>
  </si>
  <si>
    <t>Table 4.13M—Continuous Gas and Liquid Release Toxic Consequence Equation Constants for Miscellaneous Chemicals</t>
  </si>
  <si>
    <t>Chemical</t>
  </si>
  <si>
    <t>Release
Duration
(Minutes)</t>
  </si>
  <si>
    <t>Gas Release Constants</t>
  </si>
  <si>
    <t>Liquid Release Constants</t>
  </si>
  <si>
    <t>e</t>
  </si>
  <si>
    <t>f</t>
  </si>
  <si>
    <t>Aluminum
chloride (AlCl3)</t>
  </si>
  <si>
    <t>All</t>
  </si>
  <si>
    <t>Carbon
monoxide (CO)</t>
  </si>
  <si>
    <t>Hydrogen
chloride (HCl)</t>
  </si>
  <si>
    <t>Nitrogen dioxide
(NO2)</t>
  </si>
  <si>
    <t>Toluene
diisocyanate
(TDI)</t>
  </si>
  <si>
    <t>Ethylene glycol
monoethyl ether
(EE)</t>
  </si>
  <si>
    <t>Ethylene oxide
(EO)</t>
  </si>
  <si>
    <t>Continuous Releases Duration
(minutes)</t>
  </si>
  <si>
    <t>HF Acid</t>
  </si>
  <si>
    <t>H2S</t>
  </si>
  <si>
    <t>c</t>
  </si>
  <si>
    <t>d</t>
  </si>
  <si>
    <t>Instantaneous Releases</t>
  </si>
  <si>
    <t>Table 4.11—Gas Release Toxic Consequence Equation Constants for HF Acid and H2S</t>
  </si>
  <si>
    <t>Table 4.12M—Gas Release Toxic Consequence Equation Constants for Ammonia and Chlorine</t>
  </si>
  <si>
    <t>STEP 9.2</t>
  </si>
  <si>
    <t>HF_rate_tox1</t>
  </si>
  <si>
    <t>HF_rate_tox2</t>
  </si>
  <si>
    <t>HF_rate_tox3</t>
  </si>
  <si>
    <t>HF_rate_tox4</t>
  </si>
  <si>
    <t>STEP 9.3</t>
  </si>
  <si>
    <t>HF_mass_tox1</t>
  </si>
  <si>
    <t>HF_mass_tox2</t>
  </si>
  <si>
    <t>HF_mass_tox3</t>
  </si>
  <si>
    <t>HF_mass_tox4</t>
  </si>
  <si>
    <t>ld_tox (min) 1</t>
  </si>
  <si>
    <t>ld_tox (min) 2</t>
  </si>
  <si>
    <t>ld_tox (min) 3</t>
  </si>
  <si>
    <t>ld_tox (min) 4</t>
  </si>
  <si>
    <t>c1</t>
  </si>
  <si>
    <t>c2</t>
  </si>
  <si>
    <t>c3</t>
  </si>
  <si>
    <t>c4</t>
  </si>
  <si>
    <t>d1</t>
  </si>
  <si>
    <t>d2</t>
  </si>
  <si>
    <t>d3</t>
  </si>
  <si>
    <t>d4</t>
  </si>
  <si>
    <t>t_menor1</t>
  </si>
  <si>
    <t>t_menor2</t>
  </si>
  <si>
    <t>t_menor3</t>
  </si>
  <si>
    <t>t_menor4</t>
  </si>
  <si>
    <t>t_maior1</t>
  </si>
  <si>
    <t>t_maior2</t>
  </si>
  <si>
    <t>t_maior3</t>
  </si>
  <si>
    <t>t_maior4</t>
  </si>
  <si>
    <t>H2S_rate_tox1</t>
  </si>
  <si>
    <t>H2S_rate_tox2</t>
  </si>
  <si>
    <t>H2S_rate_tox3</t>
  </si>
  <si>
    <t>H2S_rate_tox4</t>
  </si>
  <si>
    <t>H2S_mass_tox1</t>
  </si>
  <si>
    <t>H2S_mass_tox2</t>
  </si>
  <si>
    <t>H2S_mass_tox3</t>
  </si>
  <si>
    <t>H2S_mass_tox4</t>
  </si>
  <si>
    <t>Ammonia_rate_tox1</t>
  </si>
  <si>
    <t>Ammonia_rate_tox2</t>
  </si>
  <si>
    <t>Ammonia_rate_tox3</t>
  </si>
  <si>
    <t>Ammonia_rate_tox4</t>
  </si>
  <si>
    <t>Ammonia_mass_tox1</t>
  </si>
  <si>
    <t>Ammonia_mass_tox2</t>
  </si>
  <si>
    <t>Ammonia_mass_tox3</t>
  </si>
  <si>
    <t>Ammonia_mass_tox4</t>
  </si>
  <si>
    <t>e1</t>
  </si>
  <si>
    <t>f1</t>
  </si>
  <si>
    <t>e2</t>
  </si>
  <si>
    <t>e3</t>
  </si>
  <si>
    <t>e4</t>
  </si>
  <si>
    <t>f2</t>
  </si>
  <si>
    <t>f3</t>
  </si>
  <si>
    <t>f4</t>
  </si>
  <si>
    <t>Chlorine_rate_tox1</t>
  </si>
  <si>
    <t>Chlorine_rate_tox2</t>
  </si>
  <si>
    <t>Chlorine_rate_tox3</t>
  </si>
  <si>
    <t>Chlorine_rate_tox4</t>
  </si>
  <si>
    <t>Chlorine_mass_tox1</t>
  </si>
  <si>
    <t>Chlorine_mass_tox2</t>
  </si>
  <si>
    <t>Chlorine_mass_tox3</t>
  </si>
  <si>
    <t>Chlorine_mass_tox4</t>
  </si>
  <si>
    <t>CO_rate_tox1</t>
  </si>
  <si>
    <t>CO_rate_tox2</t>
  </si>
  <si>
    <t>CO_rate_tox3</t>
  </si>
  <si>
    <t>CO_rate_tox4</t>
  </si>
  <si>
    <t>Descobrir como fazer step 8.14 para TYPE 1.</t>
  </si>
  <si>
    <t>No cálculo do release type eu vou utilizar como base para 4536 kg a massa add ou a massa disponível?? E quanto ao cálculo do tempo? Devo levar em consideração o Wmax de 8"? Utilizei o massa disp. Não utilizei o Wmax8.</t>
  </si>
  <si>
    <t>NO STEP 9 PARA OS DA TABELA 4-13 SÓ FIZ PRO CO E PRO HCL. Se for fazer para os demais tem que refazer o cálculo da somatória no STEP 9.6</t>
  </si>
  <si>
    <t>CO_CA_tox1</t>
  </si>
  <si>
    <t>CO_CA_tox2</t>
  </si>
  <si>
    <t>CO_CA_tox3</t>
  </si>
  <si>
    <t>CO_CA_tox4</t>
  </si>
  <si>
    <t>HCl_rate_tox1</t>
  </si>
  <si>
    <t>HCl_rate_tox2</t>
  </si>
  <si>
    <t>HCl_rate_tox3</t>
  </si>
  <si>
    <t>HCl_rate_tox4</t>
  </si>
  <si>
    <t>HCl_CA_tox1</t>
  </si>
  <si>
    <t>HCl_CA_tox2</t>
  </si>
  <si>
    <t>HCl_CA_tox3</t>
  </si>
  <si>
    <t>HCl_CA_tox4</t>
  </si>
  <si>
    <t>Chlorine_CA_tox_INJ1</t>
  </si>
  <si>
    <t>Chlorine_CA_tox_INJ2</t>
  </si>
  <si>
    <t>Chlorine_CA_tox_INJ3</t>
  </si>
  <si>
    <t>Chlorine_CA_tox_INJ4</t>
  </si>
  <si>
    <t>HF_CA_tox_INJ1</t>
  </si>
  <si>
    <t>HF_CA_tox_INJ2</t>
  </si>
  <si>
    <t>HF_CA_tox_INJ3</t>
  </si>
  <si>
    <t>HF_CA_tox_INJ4</t>
  </si>
  <si>
    <t>H2S_CA_tox_INJ1</t>
  </si>
  <si>
    <t>H2S_CA_tox_INJ2</t>
  </si>
  <si>
    <t>H2S_CA_tox_INJ3</t>
  </si>
  <si>
    <t>H2S_CA_tox_INJ4</t>
  </si>
  <si>
    <t>Ammonia_CA_tox_INJ1</t>
  </si>
  <si>
    <t>Ammonia_CA_tox_INJ2</t>
  </si>
  <si>
    <t>Ammonia_CA_tox_INJ3</t>
  </si>
  <si>
    <t>Ammonia_CA_tox_INJ4</t>
  </si>
  <si>
    <t>STEP 9.4 --- STEP 9.5 na sequência ==&gt;</t>
  </si>
  <si>
    <t>STEP 9.6</t>
  </si>
  <si>
    <t>CA_tox_final_INJ</t>
  </si>
  <si>
    <t>CA_tox1</t>
  </si>
  <si>
    <t>CA_tox2</t>
  </si>
  <si>
    <t>CA_tox3</t>
  </si>
  <si>
    <t>CA_tox4</t>
  </si>
  <si>
    <t>STEP 10.1-1</t>
  </si>
  <si>
    <t>STEP 10.1-2</t>
  </si>
  <si>
    <t>Vapor_CA_CONT_INJ1</t>
  </si>
  <si>
    <t>Vapor_CA_CONT_INJ2</t>
  </si>
  <si>
    <t>Vapor_CA_CONT_INJ3</t>
  </si>
  <si>
    <t>Vapor_CA_CONT_INJ4</t>
  </si>
  <si>
    <t>Vapor_CA_INST_INJ1</t>
  </si>
  <si>
    <t>Vapor_CA_INST_INJ2</t>
  </si>
  <si>
    <t>Vapor_CA_INST_INJ3</t>
  </si>
  <si>
    <t>Vapor_CA_INST_INJ4</t>
  </si>
  <si>
    <t>Acid_CA_CONT_INJ1</t>
  </si>
  <si>
    <t>Acid_CA_CONT_INJ2</t>
  </si>
  <si>
    <t>Acid_CA_CONT_INJ3</t>
  </si>
  <si>
    <t>Acid_CA_CONT_INJ4</t>
  </si>
  <si>
    <t>Acid_CA_INST_INJ1</t>
  </si>
  <si>
    <t>g</t>
  </si>
  <si>
    <t>h</t>
  </si>
  <si>
    <t>STEP 10.2-1</t>
  </si>
  <si>
    <t>STEP 10.2-2</t>
  </si>
  <si>
    <t>Vapor_fact_IC_1</t>
  </si>
  <si>
    <t>Vapor_fact_IC_2</t>
  </si>
  <si>
    <t>Vapor_fact_IC_3</t>
  </si>
  <si>
    <t>Vapor_fact_IC_4</t>
  </si>
  <si>
    <t>Acid_fact_IC</t>
  </si>
  <si>
    <t>Acid_CA_leak_INJ1</t>
  </si>
  <si>
    <t>Acid_CA_leak_INJ2</t>
  </si>
  <si>
    <t>Acid_CA_leak_INJ3</t>
  </si>
  <si>
    <t>Acid_CA_leak_INJ4</t>
  </si>
  <si>
    <t>STEP 10.3-2</t>
  </si>
  <si>
    <t>Vapor_CA_leak_INJ1</t>
  </si>
  <si>
    <t>Vapor_CA_leak_INJ2</t>
  </si>
  <si>
    <t>Vapor_CA_leak_INJ3</t>
  </si>
  <si>
    <t>Vapor_CA_leak_INJ4</t>
  </si>
  <si>
    <t>STEP 10.4</t>
  </si>
  <si>
    <t>CA_nfnt_INJ1</t>
  </si>
  <si>
    <t>CA_nfnt_INJ2</t>
  </si>
  <si>
    <t>CA_nfnt_INJ3</t>
  </si>
  <si>
    <t>CA_nfnt_INJ4</t>
  </si>
  <si>
    <t>CA_nfnt_final_INJ</t>
  </si>
  <si>
    <t>STEP 11.1</t>
  </si>
  <si>
    <t>CA_final_INJ</t>
  </si>
  <si>
    <t>CA_final_CMD</t>
  </si>
  <si>
    <t>STEP 11.2</t>
  </si>
  <si>
    <t>STEP 11.3</t>
  </si>
  <si>
    <t>Preenchimento Obrigratório</t>
  </si>
  <si>
    <t>Fórmulas Automáticas</t>
  </si>
  <si>
    <t>CA_Final (m²)</t>
  </si>
  <si>
    <t>TOTAL</t>
  </si>
  <si>
    <t>C1-C2</t>
  </si>
  <si>
    <t>C3-C4</t>
  </si>
  <si>
    <t>C6-C8</t>
  </si>
  <si>
    <t>C9-C12</t>
  </si>
  <si>
    <t>C13-C16</t>
  </si>
  <si>
    <t>C17-C25</t>
  </si>
  <si>
    <t>C25+</t>
  </si>
  <si>
    <t>H2</t>
  </si>
  <si>
    <t>HF</t>
  </si>
  <si>
    <t>HCl(Acid)</t>
  </si>
  <si>
    <t>Aromatics</t>
  </si>
  <si>
    <t>Pyrophoric</t>
  </si>
  <si>
    <t>HCl(Gas)</t>
  </si>
  <si>
    <t>STEP 1.2</t>
  </si>
  <si>
    <t>Diâmetro Interno (mm)</t>
  </si>
  <si>
    <t>PARTE 3</t>
  </si>
  <si>
    <t>PARTE 2</t>
  </si>
  <si>
    <t>kgf/cm²</t>
  </si>
  <si>
    <t>psi</t>
  </si>
  <si>
    <t>A_rt</t>
  </si>
  <si>
    <t>N_A_Thin</t>
  </si>
  <si>
    <t>N_B_Thin</t>
  </si>
  <si>
    <t>N_C_Thin</t>
  </si>
  <si>
    <t>N_D_Thin</t>
  </si>
  <si>
    <t>Pr_p1_Thin</t>
  </si>
  <si>
    <t>Pr_p2_Thin</t>
  </si>
  <si>
    <t>Pr_p3_Thin</t>
  </si>
  <si>
    <t>Co_p1_ThinA</t>
  </si>
  <si>
    <t>Co_p1_ThinB</t>
  </si>
  <si>
    <t>Co_p1_ThinC</t>
  </si>
  <si>
    <t>Co_p1_ThinD</t>
  </si>
  <si>
    <t>Co_p2_ThinA</t>
  </si>
  <si>
    <t>Co_p2_ThinB</t>
  </si>
  <si>
    <t>Co_p2_ThinC</t>
  </si>
  <si>
    <t>Co_p2_ThinD</t>
  </si>
  <si>
    <t>Co_p3_ThinA</t>
  </si>
  <si>
    <t>Co_p3_ThinB</t>
  </si>
  <si>
    <t>Co_p3_ThinC</t>
  </si>
  <si>
    <t>Co_p3_ThinD</t>
  </si>
  <si>
    <t>I_1_Thin</t>
  </si>
  <si>
    <t>I_2_Thin</t>
  </si>
  <si>
    <t>I_3_Thin</t>
  </si>
  <si>
    <t>Po_p1_Thin</t>
  </si>
  <si>
    <t>Po_p2_Thin</t>
  </si>
  <si>
    <t>Po_p3_Thin</t>
  </si>
  <si>
    <r>
      <t>COV_</t>
    </r>
    <r>
      <rPr>
        <sz val="10"/>
        <rFont val="Symbol"/>
        <family val="1"/>
        <charset val="2"/>
      </rPr>
      <t>D</t>
    </r>
    <r>
      <rPr>
        <sz val="9.6999999999999993"/>
        <rFont val="Arial"/>
        <family val="2"/>
      </rPr>
      <t>t</t>
    </r>
  </si>
  <si>
    <t>COV_Sf</t>
  </si>
  <si>
    <t>COV_p</t>
  </si>
  <si>
    <t>D_S1</t>
  </si>
  <si>
    <t>D_S2</t>
  </si>
  <si>
    <t>D_S3</t>
  </si>
  <si>
    <r>
      <rPr>
        <sz val="10"/>
        <rFont val="Symbol"/>
        <family val="1"/>
        <charset val="2"/>
      </rPr>
      <t>b</t>
    </r>
    <r>
      <rPr>
        <sz val="10"/>
        <rFont val="Arial"/>
        <family val="2"/>
      </rPr>
      <t>_1Thin</t>
    </r>
  </si>
  <si>
    <r>
      <rPr>
        <sz val="10"/>
        <rFont val="Symbol"/>
        <family val="1"/>
        <charset val="2"/>
      </rPr>
      <t>b</t>
    </r>
    <r>
      <rPr>
        <sz val="10"/>
        <rFont val="Arial"/>
        <family val="2"/>
      </rPr>
      <t>_2Thin</t>
    </r>
  </si>
  <si>
    <r>
      <rPr>
        <sz val="10"/>
        <rFont val="Symbol"/>
        <family val="1"/>
        <charset val="2"/>
      </rPr>
      <t>b</t>
    </r>
    <r>
      <rPr>
        <sz val="10"/>
        <rFont val="Arial"/>
        <family val="2"/>
      </rPr>
      <t xml:space="preserve">_3Thin </t>
    </r>
  </si>
  <si>
    <t>D_fBThin</t>
  </si>
  <si>
    <r>
      <t>F</t>
    </r>
    <r>
      <rPr>
        <b/>
        <sz val="6"/>
        <rFont val="Arial"/>
        <family val="2"/>
      </rPr>
      <t>OM</t>
    </r>
  </si>
  <si>
    <r>
      <t>F</t>
    </r>
    <r>
      <rPr>
        <b/>
        <sz val="6"/>
        <rFont val="Arial"/>
        <family val="2"/>
      </rPr>
      <t>IP</t>
    </r>
  </si>
  <si>
    <r>
      <t>F</t>
    </r>
    <r>
      <rPr>
        <b/>
        <sz val="6"/>
        <rFont val="Arial"/>
        <family val="2"/>
      </rPr>
      <t>DL</t>
    </r>
  </si>
  <si>
    <r>
      <t>F</t>
    </r>
    <r>
      <rPr>
        <b/>
        <sz val="6"/>
        <rFont val="Arial"/>
        <family val="2"/>
      </rPr>
      <t>WD</t>
    </r>
  </si>
  <si>
    <r>
      <t>F</t>
    </r>
    <r>
      <rPr>
        <b/>
        <sz val="6"/>
        <rFont val="Arial"/>
        <family val="2"/>
      </rPr>
      <t>AM</t>
    </r>
  </si>
  <si>
    <r>
      <t>F</t>
    </r>
    <r>
      <rPr>
        <b/>
        <sz val="6"/>
        <rFont val="Arial"/>
        <family val="2"/>
      </rPr>
      <t>SM</t>
    </r>
  </si>
  <si>
    <t>RBI Date</t>
  </si>
  <si>
    <t>t (mm)</t>
  </si>
  <si>
    <t>age (anos)</t>
  </si>
  <si>
    <t>t_cm (mm)</t>
  </si>
  <si>
    <r>
      <t>C</t>
    </r>
    <r>
      <rPr>
        <b/>
        <sz val="6"/>
        <rFont val="Arial"/>
        <family val="2"/>
      </rPr>
      <t>r,bm (mm/ano)</t>
    </r>
  </si>
  <si>
    <r>
      <t>C</t>
    </r>
    <r>
      <rPr>
        <b/>
        <sz val="6"/>
        <rFont val="Arial"/>
        <family val="2"/>
      </rPr>
      <t>r,cm (mm/ano)</t>
    </r>
  </si>
  <si>
    <t>STEP 2</t>
  </si>
  <si>
    <t>STEP 1-2</t>
  </si>
  <si>
    <t>STEP 1-1</t>
  </si>
  <si>
    <t>Data da última Insp.</t>
  </si>
  <si>
    <t>STEP 3-1</t>
  </si>
  <si>
    <t>STEP 3-2</t>
  </si>
  <si>
    <t>t_rdi (mm)</t>
  </si>
  <si>
    <t>age_tk (anos)</t>
  </si>
  <si>
    <t>Clad/Weld?</t>
  </si>
  <si>
    <t>STEP 4</t>
  </si>
  <si>
    <t>age_rc (anos)</t>
  </si>
  <si>
    <t>STEP 5</t>
  </si>
  <si>
    <t>t_min(mm)</t>
  </si>
  <si>
    <t>STEP 6</t>
  </si>
  <si>
    <t>Joint Efficiency</t>
  </si>
  <si>
    <t>Yield Strength (ksi)</t>
  </si>
  <si>
    <t>Tensile Strength (ksi)</t>
  </si>
  <si>
    <t>FS_thin (ksi)</t>
  </si>
  <si>
    <t>STEP 7-2</t>
  </si>
  <si>
    <t>STEP 7-1</t>
  </si>
  <si>
    <t>SR_P_Thin</t>
  </si>
  <si>
    <t>Pressão (ksi)</t>
  </si>
  <si>
    <t>α</t>
  </si>
  <si>
    <t>STEP 8-2</t>
  </si>
  <si>
    <t>STEP 8-1</t>
  </si>
  <si>
    <t>Fator de Forma</t>
  </si>
  <si>
    <t>tc (mm)</t>
  </si>
  <si>
    <t>Tensão Admissível (ksi)</t>
  </si>
  <si>
    <t>Cylinder</t>
  </si>
  <si>
    <t>Sphere</t>
  </si>
  <si>
    <t>Head</t>
  </si>
  <si>
    <t>STEP 9</t>
  </si>
  <si>
    <t>Damage State</t>
  </si>
  <si>
    <t>PR_thin_1</t>
  </si>
  <si>
    <t>PR_thin_2</t>
  </si>
  <si>
    <t>PR_thin_3</t>
  </si>
  <si>
    <t>Low Confidence Data</t>
  </si>
  <si>
    <t>Table 4.5—Prior Probability for Thinning Corrosion Rate</t>
  </si>
  <si>
    <t>Medium Confidence Data</t>
  </si>
  <si>
    <t>High Confidence Data</t>
  </si>
  <si>
    <t>Conditional Probability
of Inspection</t>
  </si>
  <si>
    <t>CO_thin_1</t>
  </si>
  <si>
    <t>CO_thin_2</t>
  </si>
  <si>
    <t>CO_thin_3</t>
  </si>
  <si>
    <t>E - None or Ineffective</t>
  </si>
  <si>
    <t>D - Poorly Effective</t>
  </si>
  <si>
    <t>C - Fairly Effective</t>
  </si>
  <si>
    <t>B - Usually Effective</t>
  </si>
  <si>
    <t>A - Highly Effective</t>
  </si>
  <si>
    <t>STEP 10-1</t>
  </si>
  <si>
    <t>Confidence Data</t>
  </si>
  <si>
    <t>STEP 10-2</t>
  </si>
  <si>
    <t>STEP 11</t>
  </si>
  <si>
    <t>STEP 12</t>
  </si>
  <si>
    <t>STEP 14</t>
  </si>
  <si>
    <t>STEP 15</t>
  </si>
  <si>
    <t>DF_Thin</t>
  </si>
  <si>
    <t>STEP 15-1</t>
  </si>
  <si>
    <t>Thinning Mechanism</t>
  </si>
  <si>
    <t>Table 4.8—On-line Monitoring Adjustment Factors</t>
  </si>
  <si>
    <t>Adjustment Factors As a Function of On-line Monitoring, FOM</t>
  </si>
  <si>
    <t>Key Process Variable</t>
  </si>
  <si>
    <t>Electrical Resistance Probes</t>
  </si>
  <si>
    <t>Corrosion Coupons</t>
  </si>
  <si>
    <t>FIP e FDL</t>
  </si>
  <si>
    <t>Pressão de Operação (Kgf/cm²)</t>
  </si>
  <si>
    <t>Temperatura de Operação (°C)</t>
  </si>
  <si>
    <t>Ver qual pressão utilizar no STEP 8.2 no Thinning</t>
  </si>
  <si>
    <t>Table 9.2—Environmental Severity—HIC/SOHIC-H2S Cracking</t>
  </si>
  <si>
    <t>pH of Water</t>
  </si>
  <si>
    <t>Environmental Severity As a Function of H2S Content of Water</t>
  </si>
  <si>
    <t>50 to 1000 ppm</t>
  </si>
  <si>
    <t>1000 to 10000 ppm</t>
  </si>
  <si>
    <t>&gt;10000 ppm</t>
  </si>
  <si>
    <t>5,5 to 7,5</t>
  </si>
  <si>
    <t>7,6 to 8,3</t>
  </si>
  <si>
    <t>8,4 to 8,9</t>
  </si>
  <si>
    <t>&gt; 9,0</t>
  </si>
  <si>
    <t>&lt; 5,5</t>
  </si>
  <si>
    <t>Low</t>
  </si>
  <si>
    <t>Moderate</t>
  </si>
  <si>
    <t>High</t>
  </si>
  <si>
    <t>Note 1 - If cyanides are present, increase the susceptibility to HIC/SOHIC-H2S one category for pH &gt;8,3 and H2S concentrations freater than 1.000 ppm.</t>
  </si>
  <si>
    <t>Cracking is confirmed to be present?</t>
  </si>
  <si>
    <t>H2S content of Water</t>
  </si>
  <si>
    <t>&lt;50 ppm</t>
  </si>
  <si>
    <t>Cyanides are present?</t>
  </si>
  <si>
    <t>Environmental Severity</t>
  </si>
  <si>
    <t>Table 9.3—Susceptibility to Cracking—HIC/SOHIC-H2S</t>
  </si>
  <si>
    <t>Environmental
Severity</t>
  </si>
  <si>
    <t>High Sulfur Steel a
&gt;0.01 % S</t>
  </si>
  <si>
    <t>Low Sulfur Steel
≤0.01 % S</t>
  </si>
  <si>
    <t>Product Form—
Seamless/Extruded Pipe</t>
  </si>
  <si>
    <t>As-welded</t>
  </si>
  <si>
    <t>PWHT</t>
  </si>
  <si>
    <t>Susceptibility to Cracking</t>
  </si>
  <si>
    <t>STEP 2-1</t>
  </si>
  <si>
    <t>STEP 2-2</t>
  </si>
  <si>
    <t>PWHT?</t>
  </si>
  <si>
    <t>Sulfur Content / Product Form</t>
  </si>
  <si>
    <t>Cracks Removed?</t>
  </si>
  <si>
    <t>S_VI</t>
  </si>
  <si>
    <t>STEP 3</t>
  </si>
  <si>
    <t>Table 9.4—Determination of Severity Index—HIC/SOHIC-H2S Cracking</t>
  </si>
  <si>
    <t>Susceptibility</t>
  </si>
  <si>
    <t>Severity Index—SVI</t>
  </si>
  <si>
    <t>STEP 4-1</t>
  </si>
  <si>
    <t>Data da última Inspeção A, B ou C</t>
  </si>
  <si>
    <t>STEP 4-2</t>
  </si>
  <si>
    <t>Age (anos)</t>
  </si>
  <si>
    <t>STEP 5-1</t>
  </si>
  <si>
    <t>Table 6.3—SCC DFs—All SCC Mechanisms</t>
  </si>
  <si>
    <t>DF_HIC-SOHIC-H2S</t>
  </si>
  <si>
    <t>Fom</t>
  </si>
  <si>
    <t>On-line Monitoring Method</t>
  </si>
  <si>
    <t>Table 9.5—On-line Monitoring Adjustment Factors for HIC/SOHIC-H2S</t>
  </si>
  <si>
    <t>Adjustment Factors As a Function of
On-line Monitoring—FOM</t>
  </si>
  <si>
    <t>Key process variables</t>
  </si>
  <si>
    <t>Hydrogen probes</t>
  </si>
  <si>
    <t>Key process variables and hydrogen probes</t>
  </si>
  <si>
    <t>Efetividade Total</t>
  </si>
  <si>
    <t>STEP 6-1</t>
  </si>
  <si>
    <t>Qtd de Inspeções (máx 6)</t>
  </si>
  <si>
    <t>STEP 8</t>
  </si>
  <si>
    <t>D_fb_HIC-SOHIC-H2S</t>
  </si>
  <si>
    <t>Inspection Effectiveness</t>
  </si>
  <si>
    <t>1 Inspection</t>
  </si>
  <si>
    <t>2 Inspections</t>
  </si>
  <si>
    <t>3 Inspections</t>
  </si>
  <si>
    <t>4 Inspections</t>
  </si>
  <si>
    <t>5 Inspections</t>
  </si>
  <si>
    <t>6 Inspections</t>
  </si>
  <si>
    <t>STEP 6-2</t>
  </si>
  <si>
    <t>N_A_HIC-SOHIC-H2S</t>
  </si>
  <si>
    <t>N_B_HIC-SOHIC-H2S</t>
  </si>
  <si>
    <t>N_C_HIC-SOHIC-H2S</t>
  </si>
  <si>
    <t>N_D_HIC-SOHIC-H2S</t>
  </si>
  <si>
    <t>Determinar a quantidade de inspeções</t>
  </si>
  <si>
    <t>None</t>
  </si>
  <si>
    <t>Possui isolamento térmico?</t>
  </si>
  <si>
    <t>QUESTIONÁRIO</t>
  </si>
  <si>
    <t>STEP 1</t>
  </si>
  <si>
    <t>C_rb</t>
  </si>
  <si>
    <t>Driver</t>
  </si>
  <si>
    <t>Severe</t>
  </si>
  <si>
    <t>Mild</t>
  </si>
  <si>
    <t>Dry</t>
  </si>
  <si>
    <t>Table 15.2M—Corrosion Rates for Calculation of the DF—External Corrosion</t>
  </si>
  <si>
    <t>Operating
Temperature
(°C)</t>
  </si>
  <si>
    <t>Corrosion Rate As a Function of Driver 1 (mm/y)</t>
  </si>
  <si>
    <t>NOTE 1 Driver is defined as the atmospheric condition causing the corrosion rate. See Part 2, Section 15.6.2 for explanation of drivers.
NOTE 2 Interpolation may be used for intermediate values of temperature.
NOTE 3 A time-weighted average corrosion rate may be used for systems that are in intermittent service or that operate at 2 or more temperatures.</t>
  </si>
  <si>
    <t>Temp menor</t>
  </si>
  <si>
    <t>Temp maior</t>
  </si>
  <si>
    <t>C_rb menor</t>
  </si>
  <si>
    <t>C_rb maior</t>
  </si>
  <si>
    <t>Cr</t>
  </si>
  <si>
    <t>F_eq</t>
  </si>
  <si>
    <t>F_if</t>
  </si>
  <si>
    <t>age_tke (anos)</t>
  </si>
  <si>
    <t>t_rde (mm)</t>
  </si>
  <si>
    <t>Data de Instalação</t>
  </si>
  <si>
    <t>age_coat (anos)</t>
  </si>
  <si>
    <t>Data da última pintura</t>
  </si>
  <si>
    <t>Qualidade da pintura</t>
  </si>
  <si>
    <t>No Coating or Poor Coating Quality</t>
  </si>
  <si>
    <t>Medium Coating Quality</t>
  </si>
  <si>
    <t>High Coating Quality</t>
  </si>
  <si>
    <t>Coat_adj</t>
  </si>
  <si>
    <t>STEP 7</t>
  </si>
  <si>
    <t>age2 (anos)</t>
  </si>
  <si>
    <t>Ver qual age utilizar no cálculo do Art no Ext_Corr. Age_tke step 4 ou age step 7.</t>
  </si>
  <si>
    <t>STEP 10</t>
  </si>
  <si>
    <t>STEP 13</t>
  </si>
  <si>
    <t>Table 4.6—Conditional Probability for Inspection Effectiveness</t>
  </si>
  <si>
    <t>DF_Ext_Corr_Ferritic</t>
  </si>
  <si>
    <t>% Liquid</t>
  </si>
  <si>
    <t>Temperatura (K)</t>
  </si>
  <si>
    <t>Vapor Density
(kg/m³)</t>
  </si>
  <si>
    <t>fact_mit</t>
  </si>
  <si>
    <t>AA</t>
  </si>
  <si>
    <t>AB</t>
  </si>
  <si>
    <t>AC</t>
  </si>
  <si>
    <t>BA</t>
  </si>
  <si>
    <t>BB</t>
  </si>
  <si>
    <t>BC</t>
  </si>
  <si>
    <t>CA</t>
  </si>
  <si>
    <t>CB</t>
  </si>
  <si>
    <t>CC</t>
  </si>
  <si>
    <t>&gt; 102mm leaks</t>
  </si>
  <si>
    <t>e quando o diâmetro for menor que 102 mm para o calculo do ld max?</t>
  </si>
  <si>
    <t>NBP</t>
  </si>
  <si>
    <t>Tipo de Corrosão</t>
  </si>
  <si>
    <t>Localizada</t>
  </si>
  <si>
    <t>Generalizada</t>
  </si>
  <si>
    <t>GFF_total</t>
  </si>
  <si>
    <t>FMS</t>
  </si>
  <si>
    <t>DF_total</t>
  </si>
  <si>
    <t>POF</t>
  </si>
  <si>
    <t>DF_gov_thin</t>
  </si>
  <si>
    <t>DF_gov_extd</t>
  </si>
  <si>
    <t>DF_gov_scc</t>
  </si>
  <si>
    <t>DF_htha</t>
  </si>
  <si>
    <t>DF_gov_brit</t>
  </si>
  <si>
    <t>DF_mfat</t>
  </si>
  <si>
    <t>Thinning</t>
  </si>
  <si>
    <t>criar uma aba com o questionário da FMS</t>
  </si>
  <si>
    <t>GERAL</t>
  </si>
  <si>
    <t>Para a DF Ext Gov devo criar um critério para quando a gov for localizada.</t>
  </si>
  <si>
    <t>Equipamento</t>
  </si>
  <si>
    <t>Componente</t>
  </si>
  <si>
    <t>COF Area (m²)</t>
  </si>
  <si>
    <t>Unidade</t>
  </si>
  <si>
    <t>COF</t>
  </si>
  <si>
    <t>Risco</t>
  </si>
  <si>
    <t>Classificação</t>
  </si>
  <si>
    <t>fazer gráficos aqui e colocar as sugestões para plano de inspeção.</t>
  </si>
  <si>
    <t>procurar gráfico com filtros</t>
  </si>
  <si>
    <t>Plan Date</t>
  </si>
  <si>
    <t>Risk Area (m²/year)</t>
  </si>
  <si>
    <t>POF (Failures/year)</t>
  </si>
  <si>
    <t>Category</t>
  </si>
  <si>
    <t>Probability Category</t>
  </si>
  <si>
    <t>Probability Range</t>
  </si>
  <si>
    <t>DF Range</t>
  </si>
  <si>
    <t>Consequence Category</t>
  </si>
  <si>
    <t>Range (m2)</t>
  </si>
  <si>
    <t>POF &lt;= 3,06E-05</t>
  </si>
  <si>
    <t>3,06E-05 &lt; POF &lt;= 3,06E-04</t>
  </si>
  <si>
    <t>3,06E-04 &lt; POF &lt;= 3,06E-03</t>
  </si>
  <si>
    <t>3,06E-03 &lt; POF &lt;= 3,06E-02</t>
  </si>
  <si>
    <t>POF &gt; 3,06E-02</t>
  </si>
  <si>
    <t>POF values are based on a gff of 3.06E-05 and an FMS of 1.0. If the suggested gff values of Part 2, Table 3.1 are used, the probability range does not apply to AST shell course, AST bottoms, and centrifugal compressors.</t>
  </si>
  <si>
    <t>DF_total &lt;= 1</t>
  </si>
  <si>
    <t>1 &lt; DF_total &lt;= 10</t>
  </si>
  <si>
    <t>10 &lt; DF_total &lt;= 100</t>
  </si>
  <si>
    <t>100 &lt; DF_total &lt;= 1000</t>
  </si>
  <si>
    <t>DF_total &gt;= 1000</t>
  </si>
  <si>
    <t>Risk Category</t>
  </si>
  <si>
    <t>CA &lt;= 9,29</t>
  </si>
  <si>
    <t>9,29 &lt; CA &lt;= 92,9</t>
  </si>
  <si>
    <t>92,9 &lt; CA &lt;= 929</t>
  </si>
  <si>
    <t>929 &lt; CA &lt;= 9290</t>
  </si>
  <si>
    <t>CA &gt; 9290</t>
  </si>
  <si>
    <t>Menor</t>
  </si>
  <si>
    <t>Maior</t>
  </si>
  <si>
    <t>&gt;</t>
  </si>
  <si>
    <t>POF Category</t>
  </si>
  <si>
    <t>COF Category</t>
  </si>
  <si>
    <t>&lt;=</t>
  </si>
  <si>
    <t>RISK</t>
  </si>
  <si>
    <t>Medium-High</t>
  </si>
  <si>
    <t>m²/ano</t>
  </si>
  <si>
    <t>Risk RBI Date</t>
  </si>
  <si>
    <t>Risk Plan Date (without inspection)</t>
  </si>
  <si>
    <t>Data de Inspeção Recomendada</t>
  </si>
  <si>
    <t>Turnaround Date 1</t>
  </si>
  <si>
    <t>Turnaround Date 2</t>
  </si>
  <si>
    <t>DF</t>
  </si>
  <si>
    <t>DF_Total</t>
  </si>
  <si>
    <t>Risk Target Area (m²/ano)</t>
  </si>
  <si>
    <t>DF Target</t>
  </si>
  <si>
    <t>DF_Target</t>
  </si>
  <si>
    <t>DF Category</t>
  </si>
  <si>
    <t>Risk Matrix
(Pof x Cof)</t>
  </si>
  <si>
    <t>Prazo máximo de inspeção (meses)</t>
  </si>
  <si>
    <t>Prazo Máximo Estabelecido</t>
  </si>
  <si>
    <t>Comentários</t>
  </si>
  <si>
    <t>Target Method</t>
  </si>
  <si>
    <t>CONSEQUÊNCIA</t>
  </si>
  <si>
    <r>
      <t xml:space="preserve">Preencher </t>
    </r>
    <r>
      <rPr>
        <b/>
        <sz val="11"/>
        <color theme="1"/>
        <rFont val="Calibri"/>
        <family val="2"/>
        <scheme val="minor"/>
      </rPr>
      <t>APENAS</t>
    </r>
    <r>
      <rPr>
        <sz val="11"/>
        <color theme="1"/>
        <rFont val="Calibri"/>
        <family val="2"/>
        <scheme val="minor"/>
      </rPr>
      <t xml:space="preserve"> um ou outro</t>
    </r>
  </si>
  <si>
    <t>Preenchimento Opcional</t>
  </si>
  <si>
    <t>External Corrosion Ferritic</t>
  </si>
  <si>
    <t>HIC-SOHIC_H2S</t>
  </si>
  <si>
    <t>THINNING</t>
  </si>
  <si>
    <t>EXTERNAL CORROSION FERRITIC</t>
  </si>
  <si>
    <t>Espessura Nominal (mm)</t>
  </si>
  <si>
    <t>Espessura do Clad (mm)</t>
  </si>
  <si>
    <t>Cr,bm (mm/ano)</t>
  </si>
  <si>
    <t>Cr,cm (mm/ano)</t>
  </si>
  <si>
    <t>Data da última Inspeção Interna</t>
  </si>
  <si>
    <t>Espessura mínima (mm)</t>
  </si>
  <si>
    <t>STEP 13-1</t>
  </si>
  <si>
    <t>Casco</t>
  </si>
  <si>
    <t>MATRIZ DE RISCO</t>
  </si>
  <si>
    <t>FATOR DE DANO TOTAL</t>
  </si>
  <si>
    <t>Categoria</t>
  </si>
  <si>
    <t>DF_Total RBI Date</t>
  </si>
  <si>
    <t>DF_Total Plan Date (without inspection)</t>
  </si>
  <si>
    <t>DF Target Date</t>
  </si>
  <si>
    <t>Risk Target Date</t>
  </si>
  <si>
    <t/>
  </si>
  <si>
    <t>ATENÇÃO: Risco acima do definido como aceitável. INSPECIONAR IMEDIATAMENTE.</t>
  </si>
  <si>
    <t>Target Date antes da próxima parada.</t>
  </si>
  <si>
    <t>Target Date entre duas paradas. Recomenda-se a inspeção na próxima parada.</t>
  </si>
  <si>
    <t>Target Date será atingida após a Plan Date.</t>
  </si>
  <si>
    <t>Grupo de Inventário</t>
  </si>
  <si>
    <t>Dados de Inspeção</t>
  </si>
  <si>
    <t>Damage Mechanisms</t>
  </si>
  <si>
    <t>Data de Instalação do Lining</t>
  </si>
  <si>
    <t>Lining Type</t>
  </si>
  <si>
    <t>Data da última inspeção efetividade A ou B</t>
  </si>
  <si>
    <t>age</t>
  </si>
  <si>
    <t>Table 5.4—Lining DFs—Inorganic Linings</t>
  </si>
  <si>
    <t>DF As a Function of Inorganic Lining Type</t>
  </si>
  <si>
    <t>Castable Refractory Severe Conditions</t>
  </si>
  <si>
    <t>Glass Lined</t>
  </si>
  <si>
    <t>Acid Brick</t>
  </si>
  <si>
    <t>Fiberglass</t>
  </si>
  <si>
    <t>Years in Service</t>
  </si>
  <si>
    <t>Castable Refractory</t>
  </si>
  <si>
    <t>Strip Lined Alloy (Resistant)</t>
  </si>
  <si>
    <t>Years Since Last Thorough Visual Inspection</t>
  </si>
  <si>
    <t>Low-quality Immersion Grade Coating (Spray Applied, to 40 mils)</t>
  </si>
  <si>
    <t>Medium-quality Immersion Grade Coating (Filled, Trowel Applied, to 80 mils)</t>
  </si>
  <si>
    <t>High-quality Immersion Grade Coating (Reinforced, Trowel Applied, ≥80 mils)</t>
  </si>
  <si>
    <t>Table 5.5—Lining DFs—Organic Linings</t>
  </si>
  <si>
    <t>Table 5.6—Lining Condition Adjustment</t>
  </si>
  <si>
    <t>Qualitative Condition</t>
  </si>
  <si>
    <t>Description</t>
  </si>
  <si>
    <t>Adjustment Multiplier - FLC</t>
  </si>
  <si>
    <t>Poor</t>
  </si>
  <si>
    <t>Average</t>
  </si>
  <si>
    <t>Good</t>
  </si>
  <si>
    <t>The lining has either had previous failures or exhibits conditions that may lead to failure in the near future. Repairs to previous failures are not successful or are of poor quality.</t>
  </si>
  <si>
    <t>The lining is not showing signs of excessive attack by any damage mechanisms. Local repairs may have been performed, but they are of good quality and have successfully corrected the lining condition.</t>
  </si>
  <si>
    <t>The lining is in “like new” condition with no signs of attack by any damage mechanisms. There has been no need for any repairs to the lining.</t>
  </si>
  <si>
    <t>Lining Condition</t>
  </si>
  <si>
    <t>D_fB_elin</t>
  </si>
  <si>
    <t>DF_elin</t>
  </si>
  <si>
    <t>FLC</t>
  </si>
  <si>
    <t>STEP 5.3</t>
  </si>
  <si>
    <t>Lining</t>
  </si>
  <si>
    <t>Maximum process  temperature (°C)</t>
  </si>
  <si>
    <t>NaOH Concentration (%)</t>
  </si>
  <si>
    <t>Plot in Área "A" of figure 6.1?</t>
  </si>
  <si>
    <t>Susceptibility for Cracking</t>
  </si>
  <si>
    <t>Heat traced?</t>
  </si>
  <si>
    <t>Steamed Out?</t>
  </si>
  <si>
    <t>Contains rich or lean amine?</t>
  </si>
  <si>
    <t>Exposed to MEA or DIPA?</t>
  </si>
  <si>
    <t>Exposed  to DEA?</t>
  </si>
  <si>
    <t>°F</t>
  </si>
  <si>
    <t>°C</t>
  </si>
  <si>
    <t>&lt;</t>
  </si>
  <si>
    <t>Table 7.2—Determination of Severity Index—Amine Cracking</t>
  </si>
  <si>
    <t>Table 6.2—Determination of Severity Index—Caustic Cracking</t>
  </si>
  <si>
    <t>Table 8.2—Environmental Severity—SSC</t>
  </si>
  <si>
    <t>Note 1 - If cyanides are present, increase the susceptibility to SSC one category for pH &gt; 8.3 and H2S concentrations greater than 1,000 ppm.</t>
  </si>
  <si>
    <t>Table 8.3—Susceptibility to SSC—SSC</t>
  </si>
  <si>
    <t>Susceptibility to SSC As a Function of Heat Treatment</t>
  </si>
  <si>
    <t>As-welded Max Brinnell Hardness</t>
  </si>
  <si>
    <t>PWHT Max Brinnell Hardness</t>
  </si>
  <si>
    <t>&lt;200</t>
  </si>
  <si>
    <t>200 to 237</t>
  </si>
  <si>
    <t>&gt;237</t>
  </si>
  <si>
    <t>Actually tested as Brinnell, not converted from finer techniques, e.g. Vickers, Knoop, etc.</t>
  </si>
  <si>
    <t>Table 8.4—Determination of Severity Index—SSC</t>
  </si>
  <si>
    <t>Max Brinnell Hardness</t>
  </si>
  <si>
    <t>DF_SCC_Sulfide (SSC)</t>
  </si>
  <si>
    <t>D_fb_SCC_Sulfide (SSC)</t>
  </si>
  <si>
    <t>Table 10.2—Susceptibility to Cracking—ACSCC</t>
  </si>
  <si>
    <t>Table 10.3—Determination of Severity Index—ACSCC</t>
  </si>
  <si>
    <t>Susceptibility to Cracking As a Function of CO3 Concentration in Water</t>
  </si>
  <si>
    <t>PWHT,
Possible Cold Working</t>
  </si>
  <si>
    <t>No PWHT,
Possible Cold Working</t>
  </si>
  <si>
    <t>CO3 All Concentrations</t>
  </si>
  <si>
    <t>&lt; 7,5</t>
  </si>
  <si>
    <r>
      <rPr>
        <sz val="11"/>
        <color theme="1"/>
        <rFont val="Calibri"/>
        <family val="2"/>
      </rPr>
      <t>≥</t>
    </r>
    <r>
      <rPr>
        <sz val="11"/>
        <color theme="1"/>
        <rFont val="Calibri"/>
        <family val="2"/>
        <scheme val="minor"/>
      </rPr>
      <t xml:space="preserve"> 7,5 to 8,0</t>
    </r>
  </si>
  <si>
    <r>
      <rPr>
        <sz val="11"/>
        <color theme="1"/>
        <rFont val="Calibri"/>
        <family val="2"/>
      </rPr>
      <t>≥</t>
    </r>
    <r>
      <rPr>
        <sz val="11"/>
        <color theme="1"/>
        <rFont val="Calibri"/>
        <family val="2"/>
        <scheme val="minor"/>
      </rPr>
      <t xml:space="preserve"> 8,0 to 9,0</t>
    </r>
  </si>
  <si>
    <r>
      <rPr>
        <sz val="11"/>
        <color theme="1"/>
        <rFont val="Calibri"/>
        <family val="2"/>
      </rPr>
      <t>≥</t>
    </r>
    <r>
      <rPr>
        <sz val="11"/>
        <color theme="1"/>
        <rFont val="Calibri"/>
        <family val="2"/>
        <scheme val="minor"/>
      </rPr>
      <t xml:space="preserve"> 9,0</t>
    </r>
  </si>
  <si>
    <t>Traditional alkalinity titration methods (P,M alkalinity) are not effective for measurement of CO3 in sour water.</t>
  </si>
  <si>
    <t>CO3 &lt; 100 ppm</t>
  </si>
  <si>
    <t>CO3 ≥ 100 ppm</t>
  </si>
  <si>
    <t>CO3 Concentration</t>
  </si>
  <si>
    <t>≥ 7,5 to 8,0</t>
  </si>
  <si>
    <t>D_fb_SCC_Alkaline_Carbonate</t>
  </si>
  <si>
    <t>DF_SCC_Alkaline_Carbonate</t>
  </si>
  <si>
    <t>Material</t>
  </si>
  <si>
    <t>Table 11.3—Determination of Severity Index—PASCC</t>
  </si>
  <si>
    <t>Table 11.2—Susceptibility to Cracking—PASCC</t>
  </si>
  <si>
    <t>Operating Temperatures &lt;427 °C (800 °F)</t>
  </si>
  <si>
    <t>All regular 300 series SS and Alloys 600 and 800</t>
  </si>
  <si>
    <t>H Grade 300 series SS</t>
  </si>
  <si>
    <t>L Grade 300 series SS</t>
  </si>
  <si>
    <t>321 SS</t>
  </si>
  <si>
    <t>347 SS, Alloy 20, Alloy 625, all austenitic weld overlay</t>
  </si>
  <si>
    <t>Solution Annealed (default)</t>
  </si>
  <si>
    <t>Stabilized Before Welding</t>
  </si>
  <si>
    <t>Stabilized After Welding</t>
  </si>
  <si>
    <t>Susceptibility to Cracking As a Function of Heat Treatment</t>
  </si>
  <si>
    <t>Operating Temperatures ≥427 °C (800 °F)</t>
  </si>
  <si>
    <t>NOTE If the process operating temperature is less than 427 °C (800 °F), then sensitization is present in the as-welded condition only. If the process operating temperature is greater than or equal to 427 °C (800 °F), then sensitization can occur during operation.</t>
  </si>
  <si>
    <t>Operating temperature (°C)</t>
  </si>
  <si>
    <t>Exposed to S and O2 and H2O during operation or during shutdown?</t>
  </si>
  <si>
    <t>Use downtime protection according to NACE RP 0170?</t>
  </si>
  <si>
    <t>Heat Treatment History</t>
  </si>
  <si>
    <t>Susceptibility Adjust NACE</t>
  </si>
  <si>
    <t>D_fb_SCC_Polythionic_Acid</t>
  </si>
  <si>
    <t>DF_SCC_Polythionic_Acid</t>
  </si>
  <si>
    <t>Table 12.2M—Susceptibility to Cracking—ClSCC</t>
  </si>
  <si>
    <t>Table 12.3—Determination of Severity Index—ClSCC</t>
  </si>
  <si>
    <t>pH ≤ 10</t>
  </si>
  <si>
    <t>pH &gt; 10</t>
  </si>
  <si>
    <t>Susceptibility to Cracking As a Function of Chloride Ion (ppm)</t>
  </si>
  <si>
    <t>Temperature
(°C)</t>
  </si>
  <si>
    <t>1 to 10</t>
  </si>
  <si>
    <t>11 to 100</t>
  </si>
  <si>
    <t>101 to 1000</t>
  </si>
  <si>
    <t>&gt;1000</t>
  </si>
  <si>
    <t>≤38</t>
  </si>
  <si>
    <t>&gt;38 to 66</t>
  </si>
  <si>
    <t>&gt;66 to 93</t>
  </si>
  <si>
    <t>&gt;93 to 149</t>
  </si>
  <si>
    <t>&gt;149</t>
  </si>
  <si>
    <t>&gt;38 to 93</t>
  </si>
  <si>
    <t>93 to 149</t>
  </si>
  <si>
    <t>pH of process water</t>
  </si>
  <si>
    <t>Cl− concentration (ppm)</t>
  </si>
  <si>
    <t>Temp pH&lt;=10</t>
  </si>
  <si>
    <t>Temp pH&gt;10</t>
  </si>
  <si>
    <t>Temp Op</t>
  </si>
  <si>
    <t>D_fb_SCC_Chloride</t>
  </si>
  <si>
    <t>DF_SCC_Chloride</t>
  </si>
  <si>
    <t>D_fb_Caustic_Cracking</t>
  </si>
  <si>
    <t>DF_Caustic_Cracking</t>
  </si>
  <si>
    <t>Caustic_Cracking</t>
  </si>
  <si>
    <t>Amine_Cracking</t>
  </si>
  <si>
    <t>SCC_Sulfide (SSC)</t>
  </si>
  <si>
    <t>SCC_Alkaline_Carbonate</t>
  </si>
  <si>
    <t>SCC_Polythionic_Acid</t>
  </si>
  <si>
    <t>SCC_Chloride</t>
  </si>
  <si>
    <t>D_fb_Amine_Cracking</t>
  </si>
  <si>
    <t>DF_Amine_Cracking</t>
  </si>
  <si>
    <t>Table 13.3—Determination of Severity Index—HSC-HF</t>
  </si>
  <si>
    <t>Table 13.2—Susceptibility to Cracking—HSC-HF</t>
  </si>
  <si>
    <t>HF present?</t>
  </si>
  <si>
    <t>Carbon Steel?</t>
  </si>
  <si>
    <t>D_fb_HSC_Hydrofluoric_Acid</t>
  </si>
  <si>
    <t>DF_SCC_HSC_Hydrofluoric_Acid</t>
  </si>
  <si>
    <t>HSC_Hydrofluoric_Acid</t>
  </si>
  <si>
    <t>Table 14.2—Susceptibility to Cracking—HIC/SOHIC-HF</t>
  </si>
  <si>
    <t>Table 14.4—On-line Monitoring Adjustment Factors for HIC/SOHIC-HF</t>
  </si>
  <si>
    <t>Adjustment Factors As a Function of On-line Monitoring—FOM</t>
  </si>
  <si>
    <t>Weld Condition</t>
  </si>
  <si>
    <t>Non-PWHT</t>
  </si>
  <si>
    <t>NOTE The adjustment factors shown above are estimates providing a measure of the relative effectiveness of various on-line monitoring methods. Factors based on the user’s experience can be used as a substitute for the values presented in this table.</t>
  </si>
  <si>
    <t>Susceptibility to Cracking As a Function of Steel Sulfur Content</t>
  </si>
  <si>
    <t>High Sulfur Steel &gt;0.01 % S</t>
  </si>
  <si>
    <t>Low Sulfur Steel ≤0.01 % S</t>
  </si>
  <si>
    <t>Product Form— Seamless/Extruded Pipe</t>
  </si>
  <si>
    <t>D_fb_HIC-SOHIC-HF</t>
  </si>
  <si>
    <t>DF_HIC-SOHIC-HF</t>
  </si>
  <si>
    <t>HIC-SOHIC-HF</t>
  </si>
  <si>
    <t>ESTA PLANILHA NÃO SE APLICA A TANQUES, FEIXES E PSVs</t>
  </si>
  <si>
    <t>A ANÁLISE DE CONSEQUENCIA É REALIZADA SOMENTE NO NÍVEL 1 e somente em área</t>
  </si>
  <si>
    <t>Alterar a COF para ficar mais parecido com o software. Fluido representativo individual para cada componente. Percentual tóxico individual para cada componente.</t>
  </si>
  <si>
    <t>Criar uma aba com o questionário da FMS</t>
  </si>
  <si>
    <t>Confirmar pressao atmosférica da COF</t>
  </si>
  <si>
    <t>Criar a coluna grupo de inventário para cada componente e fazer a célula grupo de inventário puxar a soma do banco de dados. Lembrar de deixar uma célula para caso o usuário queira inserir o valor da massa do grupo de inventário.</t>
  </si>
  <si>
    <t>STEP 1 -2</t>
  </si>
  <si>
    <t>Table 16.2M—Corrosion Rates for Calculation of the DF—CUI</t>
  </si>
  <si>
    <t>NOTE 1 Driver is defined as the CUI condition causing the corrosion rate. See Part 2, Section 15.6.2 for explanation of drivers.
NOTE 2 Interpolation may be used for intermediate values of temperature.
NOTE 3 A time-weighted average corrosion rate may be used for systems that are in intermittent service or that operate at 2 or more temperatures.</t>
  </si>
  <si>
    <t>F_ins</t>
  </si>
  <si>
    <t>F_cm</t>
  </si>
  <si>
    <t>F_ic</t>
  </si>
  <si>
    <t>Below Average</t>
  </si>
  <si>
    <t>Above Average</t>
  </si>
  <si>
    <t>Complexity</t>
  </si>
  <si>
    <t>Condition</t>
  </si>
  <si>
    <t>Insulation Type</t>
  </si>
  <si>
    <t>Table 16.3—Corrosion Rate Adjustment Factor for Insulation Type</t>
  </si>
  <si>
    <t>Adjustment Factor, FINS</t>
  </si>
  <si>
    <t>Unknown/unspecified</t>
  </si>
  <si>
    <t>Foamglass</t>
  </si>
  <si>
    <t>Pearlite</t>
  </si>
  <si>
    <t>Asbestos</t>
  </si>
  <si>
    <t>Mineral wool</t>
  </si>
  <si>
    <t>Calcium silicate</t>
  </si>
  <si>
    <t>FS_CUI</t>
  </si>
  <si>
    <t>SR_p_CUI</t>
  </si>
  <si>
    <t>Pr_p1_CUI</t>
  </si>
  <si>
    <t>Pr_p2_CUI</t>
  </si>
  <si>
    <t>Pr_p3_CUI</t>
  </si>
  <si>
    <t>Co_p1_CUID</t>
  </si>
  <si>
    <t>Co_p2_CUID</t>
  </si>
  <si>
    <t>Co_p3_CUID</t>
  </si>
  <si>
    <t>I_1_CUI</t>
  </si>
  <si>
    <t>I_2_CUI</t>
  </si>
  <si>
    <t>I_3_CUI</t>
  </si>
  <si>
    <t>Po_p1_CUI</t>
  </si>
  <si>
    <t>Po_p2_CUI</t>
  </si>
  <si>
    <t>Po_p3_CUI</t>
  </si>
  <si>
    <t>β_1CUI</t>
  </si>
  <si>
    <t>β_2CUI</t>
  </si>
  <si>
    <t xml:space="preserve">β_3CUI </t>
  </si>
  <si>
    <t>DF_CUI_Ferritic</t>
  </si>
  <si>
    <t>Co_p1_CUI_A</t>
  </si>
  <si>
    <t>Co_p2_CUI_A</t>
  </si>
  <si>
    <t>Co_p3_CUI_A</t>
  </si>
  <si>
    <t>Co_p1_CUI_B</t>
  </si>
  <si>
    <t>Co_p2_CUI_B</t>
  </si>
  <si>
    <t>Co_p3_CUI_B</t>
  </si>
  <si>
    <t>Co_p1_CUI_C</t>
  </si>
  <si>
    <t>Co_p2_CUI_C</t>
  </si>
  <si>
    <t>Co_p3_CUI_C</t>
  </si>
  <si>
    <t>FS_Ext_corr</t>
  </si>
  <si>
    <t>SR_p_Ext_corr</t>
  </si>
  <si>
    <t>Pr_p1_Ext_corr</t>
  </si>
  <si>
    <t>Pr_p2_Ext_corr</t>
  </si>
  <si>
    <t>Pr_p3_Ext_corr</t>
  </si>
  <si>
    <t>Co_p1_Ext_corr_A</t>
  </si>
  <si>
    <t>Co_p1_Ext_corr_B</t>
  </si>
  <si>
    <t>Co_p1_Ext_corr_C</t>
  </si>
  <si>
    <t>Co_p1_Ext_corrD</t>
  </si>
  <si>
    <t>Co_p2_Ext_corr_A</t>
  </si>
  <si>
    <t>Co_p2_Ext_corr_B</t>
  </si>
  <si>
    <t>Co_p2_Ext_corr_C</t>
  </si>
  <si>
    <t>Co_p2_Ext_corrD</t>
  </si>
  <si>
    <t>Co_p3_Ext_corr_A</t>
  </si>
  <si>
    <t>Co_p3_Ext_corr_B</t>
  </si>
  <si>
    <t>Co_p3_Ext_corr_C</t>
  </si>
  <si>
    <t>Co_p3_Ext_corrD</t>
  </si>
  <si>
    <t>I_1_Ext_corr</t>
  </si>
  <si>
    <t>I_2_Ext_corr</t>
  </si>
  <si>
    <t>I_3_Ext_corr</t>
  </si>
  <si>
    <t>Po_p1_Ext_corr</t>
  </si>
  <si>
    <t>Po_p2_Ext_corr</t>
  </si>
  <si>
    <t>Po_p3_Ext_corr</t>
  </si>
  <si>
    <t>β_1Ext_corr</t>
  </si>
  <si>
    <t>β_2Ext_corr</t>
  </si>
  <si>
    <t xml:space="preserve">β_3Ext_corr </t>
  </si>
  <si>
    <t>DF_Ext_corr_Ferritic</t>
  </si>
  <si>
    <t>Corr_Ext_Gov</t>
  </si>
  <si>
    <t>DF_CUI_Ferritc</t>
  </si>
  <si>
    <t>CUI_Ferritic</t>
  </si>
  <si>
    <t>Table 17.2—SCC Susceptibility—External ClSCC</t>
  </si>
  <si>
    <t>Operating Temperature (°C)</t>
  </si>
  <si>
    <t>&lt;49</t>
  </si>
  <si>
    <t>49 to 93</t>
  </si>
  <si>
    <t>NOTE 1 Driver is defined as the atmospheric condition causing the SCC.</t>
  </si>
  <si>
    <t>Age_crack (anos)</t>
  </si>
  <si>
    <t>D_fb_Ext_SCC_Chloride</t>
  </si>
  <si>
    <t>DF_Ext_SCC_Chloride</t>
  </si>
  <si>
    <t>External_SCC_Chloride</t>
  </si>
  <si>
    <t>Table 17.3—Severity Index—External ClSCC</t>
  </si>
  <si>
    <t>Table 18.2—SCC Susceptibility—CUI ClSCC</t>
  </si>
  <si>
    <t>Temp OP</t>
  </si>
  <si>
    <t>Insulation contains chlorides?</t>
  </si>
  <si>
    <t>Ajuste Susceptibility</t>
  </si>
  <si>
    <t>Ajuste Fcm</t>
  </si>
  <si>
    <t>Ajuste Fic</t>
  </si>
  <si>
    <t>Ajuste chloride</t>
  </si>
  <si>
    <t>teste_cm</t>
  </si>
  <si>
    <t>teste_ic</t>
  </si>
  <si>
    <t>teste_chloride</t>
  </si>
  <si>
    <t>D_fb_CUI_SCC_Chloride</t>
  </si>
  <si>
    <t>DF_CUI_SCC_Chloride</t>
  </si>
  <si>
    <t>CUI_SCC_Chloride</t>
  </si>
  <si>
    <t>Ext_Corr_Ferritic</t>
  </si>
  <si>
    <t>Ext_SCC_Chloride</t>
  </si>
  <si>
    <t>LocalizadaLocalizada</t>
  </si>
  <si>
    <t>LocalizadaLocalizadaLocalizada</t>
  </si>
  <si>
    <t>LocalizadaLocalizadaLocalizadaLocalizada</t>
  </si>
  <si>
    <t>Teste</t>
  </si>
  <si>
    <t>STEP 1.1</t>
  </si>
  <si>
    <t>STEP 1.4</t>
  </si>
  <si>
    <t>STEP 3.3</t>
  </si>
  <si>
    <t>Reynolds</t>
  </si>
  <si>
    <t>STEP 4.2</t>
  </si>
  <si>
    <t>Massa do Grupo de Inventário (kg)</t>
  </si>
  <si>
    <t>U-2111_Topo</t>
  </si>
  <si>
    <t>STEP 4.3</t>
  </si>
  <si>
    <t>STEP 3.3-2</t>
  </si>
  <si>
    <t>STEP 8.3</t>
  </si>
  <si>
    <t>Composição Tóxica do Fluido</t>
  </si>
  <si>
    <t>Percentual Fluido Tóxico</t>
  </si>
  <si>
    <t>STEP 12.1</t>
  </si>
  <si>
    <t>IDLH</t>
  </si>
  <si>
    <t>Table 4.14—Toxic Impact Criteria for Toxic Chemicals</t>
  </si>
  <si>
    <t>Table 4.15—Example Component Damage Costs</t>
  </si>
  <si>
    <t>Damage Cost (2001 U.S. Dollars), holecost</t>
  </si>
  <si>
    <t>HEXTUBE</t>
  </si>
  <si>
    <t>FINFAN_TUBE</t>
  </si>
  <si>
    <t>Table 4.16—Material Cost Factors</t>
  </si>
  <si>
    <t>Cost Factor, matcost</t>
  </si>
  <si>
    <t>1.25Cr-0.5Mo</t>
  </si>
  <si>
    <t>2.25Cr-1Mo</t>
  </si>
  <si>
    <t>5Cr-0.5Mo</t>
  </si>
  <si>
    <t>Nickel</t>
  </si>
  <si>
    <t>7Cr-0.5Mo</t>
  </si>
  <si>
    <t>904L</t>
  </si>
  <si>
    <t>9Cr-1Mo</t>
  </si>
  <si>
    <t>Refractory</t>
  </si>
  <si>
    <t>Titanium</t>
  </si>
  <si>
    <t>Zirconium</t>
  </si>
  <si>
    <t>Tantalum</t>
  </si>
  <si>
    <t>Carbon Steel</t>
  </si>
  <si>
    <t>Organic Coatings (&lt; 80 mil)</t>
  </si>
  <si>
    <t>Clad 304 SS</t>
  </si>
  <si>
    <t>Polypropylene Lined (pp)</t>
  </si>
  <si>
    <t>405 SS</t>
  </si>
  <si>
    <t>410 SS</t>
  </si>
  <si>
    <t>304 SS</t>
  </si>
  <si>
    <t>Clad 316 SS</t>
  </si>
  <si>
    <t>Strip Lined Alloy</t>
  </si>
  <si>
    <t>Organic Coating (&gt; 80 mil)</t>
  </si>
  <si>
    <t>CS “Saran” Lined</t>
  </si>
  <si>
    <t>CS Rubber Lined</t>
  </si>
  <si>
    <t>316 SS</t>
  </si>
  <si>
    <t>CS Glass Lined</t>
  </si>
  <si>
    <t>Clad Alloy 400</t>
  </si>
  <si>
    <t>90/10 Cu/Ni</t>
  </si>
  <si>
    <t>Clad Alloy 600</t>
  </si>
  <si>
    <t>CS “Teflon” Lined</t>
  </si>
  <si>
    <t>Clad Nickel</t>
  </si>
  <si>
    <t>Alloy 800</t>
  </si>
  <si>
    <t>70/30 Cu/Ni</t>
  </si>
  <si>
    <t>Alloy 20</t>
  </si>
  <si>
    <t>Alloy 400</t>
  </si>
  <si>
    <t>Alloy 600</t>
  </si>
  <si>
    <t>Alloy 625</t>
  </si>
  <si>
    <t>Alloy “C”</t>
  </si>
  <si>
    <t>Alloy “B”</t>
  </si>
  <si>
    <t>Table 4.17—Estimated Equipment Outage</t>
  </si>
  <si>
    <t>Estimated Outage in Days, Outage_n</t>
  </si>
  <si>
    <t>NA</t>
  </si>
  <si>
    <t>NOTE 1 The outage day values listed above are estimates. The end user should review these to reflect their specific requirements.
NOTE 2 NA—Not applicable means that these hole sizes are not used for these component types. Refer to Part 3, Annex 3.A, Section 3.A.3.2.</t>
  </si>
  <si>
    <t>Table 4.18M—Fluid Leak Properties</t>
  </si>
  <si>
    <t>Fraction Evaporated in 24 Hours (a) - fract_evap</t>
  </si>
  <si>
    <t>(a) Estimated values.</t>
  </si>
  <si>
    <t>Outros</t>
  </si>
  <si>
    <t>Step 12.1 - 1</t>
  </si>
  <si>
    <t>holecost1</t>
  </si>
  <si>
    <t>holecost2</t>
  </si>
  <si>
    <t>holecost3</t>
  </si>
  <si>
    <t>holecost4</t>
  </si>
  <si>
    <t>matcost</t>
  </si>
  <si>
    <t>costfactor</t>
  </si>
  <si>
    <t>FC_f_cmd</t>
  </si>
  <si>
    <t>12.2</t>
  </si>
  <si>
    <t>FC_f_affa</t>
  </si>
  <si>
    <t>Equip Cost ($/m²)</t>
  </si>
  <si>
    <t>Custo de Material ($)</t>
  </si>
  <si>
    <t>12.3</t>
  </si>
  <si>
    <t>Outage_mult</t>
  </si>
  <si>
    <t>Outage1</t>
  </si>
  <si>
    <t>Outage2</t>
  </si>
  <si>
    <t>Outage3</t>
  </si>
  <si>
    <t>Outage4</t>
  </si>
  <si>
    <t>Outage_cmd</t>
  </si>
  <si>
    <t>Outage_affa</t>
  </si>
  <si>
    <t>FC_f_prod</t>
  </si>
  <si>
    <t>CostFactor</t>
  </si>
  <si>
    <t>ProdCost ($/d)</t>
  </si>
  <si>
    <t>12.4</t>
  </si>
  <si>
    <t>PopDens (personnel/m²)</t>
  </si>
  <si>
    <t>InjCost ($)</t>
  </si>
  <si>
    <t>FC_f_inj</t>
  </si>
  <si>
    <t>12.5</t>
  </si>
  <si>
    <t>Density</t>
  </si>
  <si>
    <t>frac_evap</t>
  </si>
  <si>
    <t>12.6</t>
  </si>
  <si>
    <t>vol_env1</t>
  </si>
  <si>
    <t>vol_env2</t>
  </si>
  <si>
    <t>vol_env3</t>
  </si>
  <si>
    <t>vol_env4</t>
  </si>
  <si>
    <t>FC_f_environ</t>
  </si>
  <si>
    <t>EnvCost ($;bbl)</t>
  </si>
  <si>
    <t>FC_f ($)</t>
  </si>
  <si>
    <t>pg 551</t>
  </si>
  <si>
    <t>Table 4.2 --&gt; Emendei com a Parte 2 - Table 5.6—Lining Condition Adjustment</t>
  </si>
  <si>
    <t>FLC to AST</t>
  </si>
  <si>
    <t>DF_elin_AST</t>
  </si>
  <si>
    <t>age_f_rc</t>
  </si>
  <si>
    <t>D_fB_elin_AST</t>
  </si>
  <si>
    <t>AST</t>
  </si>
  <si>
    <t>AST (min)</t>
  </si>
  <si>
    <t>AST (max)</t>
  </si>
  <si>
    <t>age_rc</t>
  </si>
  <si>
    <t>AST - Não tenho certeza se a fórmula tá certa</t>
  </si>
  <si>
    <t>STEP 1.6</t>
  </si>
  <si>
    <t>AST - STEP 1.6-2</t>
  </si>
  <si>
    <t>Corrosion Alowance (mm)</t>
  </si>
  <si>
    <t>Para AST Bottom</t>
  </si>
  <si>
    <t>A_rt_AST_Bottom</t>
  </si>
  <si>
    <t>AST - STEP 1.3</t>
  </si>
  <si>
    <t>Effectiveness last inspection</t>
  </si>
  <si>
    <t>STEP 1.7</t>
  </si>
  <si>
    <t>Colocar lista de seleção</t>
  </si>
  <si>
    <t>R</t>
  </si>
  <si>
    <t>Ts</t>
  </si>
  <si>
    <t>Patm</t>
  </si>
  <si>
    <t xml:space="preserve">Ps </t>
  </si>
  <si>
    <t>Fwd</t>
  </si>
  <si>
    <t>Fam</t>
  </si>
  <si>
    <t>Fsm</t>
  </si>
  <si>
    <t>STEP 1.8</t>
  </si>
  <si>
    <t>DF_Thin_AST-Bottom</t>
  </si>
  <si>
    <t>STEP 15-2</t>
  </si>
  <si>
    <t>Table 4.4M - Release Hole Sizes and AreasStorage Tank Courses</t>
  </si>
  <si>
    <t>Table 4.3 - Thinning Damage Factors for Storage Tank Bottom Components</t>
  </si>
  <si>
    <t>0 to 3,175</t>
  </si>
  <si>
    <t>&gt;3,175 to 6,35</t>
  </si>
  <si>
    <t>&gt;6,35 to 50,8</t>
  </si>
  <si>
    <t>&gt;50,8</t>
  </si>
  <si>
    <t>d1 = 3,175</t>
  </si>
  <si>
    <t>d2 = 6,35</t>
  </si>
  <si>
    <t>d3 = 50,8</t>
  </si>
  <si>
    <t>fórmula</t>
  </si>
  <si>
    <t>d4 = 1000(D_tank / 4)</t>
  </si>
  <si>
    <t>For AST</t>
  </si>
  <si>
    <t>h_liq (m)</t>
  </si>
  <si>
    <t>CHT - Altura do anel (m)</t>
  </si>
  <si>
    <t>STEP 3.1</t>
  </si>
  <si>
    <t>STEP 3.3-1</t>
  </si>
  <si>
    <t>STEP 3.3 - 2</t>
  </si>
  <si>
    <t>LHT_above_i</t>
  </si>
  <si>
    <t>Nº do Anel</t>
  </si>
  <si>
    <t>W1</t>
  </si>
  <si>
    <t>W2</t>
  </si>
  <si>
    <t>W3</t>
  </si>
  <si>
    <t>W4</t>
  </si>
  <si>
    <t>L_vol_avail1</t>
  </si>
  <si>
    <t>L_vol_avail2</t>
  </si>
  <si>
    <t>L_vol_avail3</t>
  </si>
  <si>
    <t>L_vol_avail4</t>
  </si>
  <si>
    <t>STEP 4.4</t>
  </si>
  <si>
    <t>Bbl_avail_1</t>
  </si>
  <si>
    <t>Bbl_avail_2</t>
  </si>
  <si>
    <t>Bbl_avail_3</t>
  </si>
  <si>
    <t>Bbl_avail_4</t>
  </si>
  <si>
    <t>mass_avail1</t>
  </si>
  <si>
    <t>mass_avail2</t>
  </si>
  <si>
    <t>mass_avail3</t>
  </si>
  <si>
    <t>mass_avail4</t>
  </si>
  <si>
    <t>STEP 4.5</t>
  </si>
  <si>
    <t>Rate1</t>
  </si>
  <si>
    <t>Rate2</t>
  </si>
  <si>
    <t>Rate3</t>
  </si>
  <si>
    <t>Rate4</t>
  </si>
  <si>
    <t>t_ld1</t>
  </si>
  <si>
    <t>t_ld2</t>
  </si>
  <si>
    <t>t_ld3</t>
  </si>
  <si>
    <t>t_ld4</t>
  </si>
  <si>
    <t>STEP 5.4</t>
  </si>
  <si>
    <t>Bbl_leak_1</t>
  </si>
  <si>
    <t>Bbl_leak_2</t>
  </si>
  <si>
    <t>Bbl_leak_3</t>
  </si>
  <si>
    <t>Bbl_leak_4</t>
  </si>
  <si>
    <t>mass_leak1</t>
  </si>
  <si>
    <t>mass_leak2</t>
  </si>
  <si>
    <t>mass_leak3</t>
  </si>
  <si>
    <t>mass_leak4</t>
  </si>
  <si>
    <t>STEP 5.5</t>
  </si>
  <si>
    <t>STEP 5.6</t>
  </si>
  <si>
    <t>Bbl_rupture1</t>
  </si>
  <si>
    <t>Bbl_rupture2</t>
  </si>
  <si>
    <t>Bbl_rupture3</t>
  </si>
  <si>
    <t>Bbl_rupture4</t>
  </si>
  <si>
    <t>STEP 5.7</t>
  </si>
  <si>
    <t>mass_rupture1</t>
  </si>
  <si>
    <t>mass_rupture2</t>
  </si>
  <si>
    <t>mass_rupture3</t>
  </si>
  <si>
    <t>mass_rupture4</t>
  </si>
  <si>
    <t>4.12</t>
  </si>
  <si>
    <t>4.13</t>
  </si>
  <si>
    <t>4.15</t>
  </si>
  <si>
    <t>4.16 - FC</t>
  </si>
  <si>
    <t>V-07</t>
  </si>
  <si>
    <t>OK</t>
  </si>
  <si>
    <t>Note that the adjustment defined by Equation (3.18) is not applied to continuous releases.</t>
  </si>
  <si>
    <t>Opcional</t>
  </si>
  <si>
    <t>% Fluido Tóxico</t>
  </si>
  <si>
    <t>Preencher APENAS um ou outro</t>
  </si>
  <si>
    <t>Composição Tóxica</t>
  </si>
  <si>
    <t>Mecanismos de Dano Ativos</t>
  </si>
  <si>
    <t>T</t>
  </si>
  <si>
    <t>EC</t>
  </si>
  <si>
    <t>HSH2S</t>
  </si>
  <si>
    <t>SSCAC</t>
  </si>
  <si>
    <t>SSCCHL</t>
  </si>
  <si>
    <t>HSHF</t>
  </si>
  <si>
    <t>L</t>
  </si>
  <si>
    <t>CUI</t>
  </si>
  <si>
    <t>SSCS</t>
  </si>
  <si>
    <t>SSCPA</t>
  </si>
  <si>
    <t>CUISSC</t>
  </si>
  <si>
    <t>HSCHA</t>
  </si>
  <si>
    <t>EXTSSCCHL</t>
  </si>
  <si>
    <t>Possui Clad/Weld?</t>
  </si>
  <si>
    <t>Data da última Insp. Thinning</t>
  </si>
  <si>
    <t>Fator de Forma do Componente</t>
  </si>
  <si>
    <t>Material: Yield Strength (ksi)</t>
  </si>
  <si>
    <t>Material: Tensile Strength (ksi)</t>
  </si>
  <si>
    <t xml:space="preserve">
</t>
  </si>
  <si>
    <t>Management Systems Factor (FMS)</t>
  </si>
  <si>
    <t>IDLH?</t>
  </si>
  <si>
    <t>Consequência Financeira - Passar para Export</t>
  </si>
  <si>
    <t>não fiz</t>
  </si>
  <si>
    <t>CA_flam_final_CMD</t>
  </si>
  <si>
    <t>NomeComponente</t>
  </si>
  <si>
    <t>Tampo_Sul</t>
  </si>
  <si>
    <t>Equipamento / Componente</t>
  </si>
  <si>
    <t>Risk Matrix</t>
  </si>
  <si>
    <t>EXPORTAR/EXIBIR</t>
  </si>
  <si>
    <t>IMPORTAR/EDITAR</t>
  </si>
  <si>
    <t>V-10</t>
  </si>
  <si>
    <t>V-10Casco</t>
  </si>
  <si>
    <t>V-11</t>
  </si>
  <si>
    <t>V-11Casco</t>
  </si>
  <si>
    <t>V-13</t>
  </si>
  <si>
    <t>V-13Casco</t>
  </si>
  <si>
    <t>V-1</t>
  </si>
  <si>
    <t>V-1Casco</t>
  </si>
  <si>
    <t>V-2</t>
  </si>
  <si>
    <t>V-3</t>
  </si>
  <si>
    <t>V-4</t>
  </si>
  <si>
    <t>V-5</t>
  </si>
  <si>
    <t>V-6</t>
  </si>
  <si>
    <t>V-7</t>
  </si>
  <si>
    <t>V-8</t>
  </si>
  <si>
    <t>V-9</t>
  </si>
  <si>
    <t>V-2Casco</t>
  </si>
  <si>
    <t>V-3Casco</t>
  </si>
  <si>
    <t>V-4Casco</t>
  </si>
  <si>
    <t>V-5Casco</t>
  </si>
  <si>
    <t>V-6Casco</t>
  </si>
  <si>
    <t>V-7Casco</t>
  </si>
  <si>
    <t>V-8Casco</t>
  </si>
  <si>
    <t>V-9Casco</t>
  </si>
  <si>
    <t>V-14</t>
  </si>
  <si>
    <t>V-14Casco</t>
  </si>
  <si>
    <t>V-50</t>
  </si>
  <si>
    <t>V-50Casco</t>
  </si>
  <si>
    <t>V-80</t>
  </si>
  <si>
    <t>V-80Casco</t>
  </si>
  <si>
    <t>V-90</t>
  </si>
  <si>
    <t>V-90Casco</t>
  </si>
  <si>
    <t>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</si>
</sst>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0.0000"/>
    <numFmt numFmtId="166" formatCode="0.0"/>
    <numFmt numFmtId="167" formatCode="0.000"/>
    <numFmt numFmtId="168" formatCode="0.0000"/>
    <numFmt numFmtId="169" formatCode="0.00000"/>
    <numFmt numFmtId="170" formatCode="0.000000"/>
    <numFmt numFmtId="171" formatCode="0.000000000"/>
  </numFmts>
  <fonts count="22" x14ac:knownFonts="1">
    <font>
      <sz val="11"/>
      <color theme="1"/>
      <name val="Calibri"/>
      <family val="2"/>
      <scheme val="minor"/>
    </font>
    <font>
      <sz val="11"/>
      <color rgb="FFFF0000"/>
      <name val="Calibri"/>
      <family val="2"/>
      <scheme val="minor"/>
    </font>
    <font>
      <b/>
      <sz val="11"/>
      <color theme="1"/>
      <name val="Calibri"/>
      <family val="2"/>
      <scheme val="minor"/>
    </font>
    <font>
      <b/>
      <sz val="9"/>
      <color indexed="81"/>
      <name val="Segoe UI"/>
      <family val="2"/>
    </font>
    <font>
      <sz val="11"/>
      <color theme="1"/>
      <name val="Calibri"/>
      <family val="2"/>
      <scheme val="minor"/>
    </font>
    <font>
      <b/>
      <sz val="11"/>
      <color rgb="FFFF0000"/>
      <name val="Calibri"/>
      <family val="2"/>
      <scheme val="minor"/>
    </font>
    <font>
      <sz val="10"/>
      <name val="Arial"/>
      <family val="2"/>
    </font>
    <font>
      <b/>
      <sz val="12"/>
      <name val="Arial"/>
      <family val="2"/>
    </font>
    <font>
      <b/>
      <sz val="6"/>
      <name val="Arial"/>
      <family val="2"/>
    </font>
    <font>
      <sz val="10"/>
      <name val="Symbol"/>
      <family val="1"/>
      <charset val="2"/>
    </font>
    <font>
      <sz val="9.6999999999999993"/>
      <name val="Arial"/>
      <family val="2"/>
    </font>
    <font>
      <sz val="11"/>
      <color theme="1"/>
      <name val="Calibri"/>
      <family val="2"/>
    </font>
    <font>
      <sz val="9"/>
      <color indexed="81"/>
      <name val="Segoe UI"/>
      <family val="2"/>
    </font>
    <font>
      <b/>
      <sz val="12"/>
      <color theme="1"/>
      <name val="Times New Roman"/>
      <family val="1"/>
    </font>
    <font>
      <b/>
      <sz val="11"/>
      <color indexed="81"/>
      <name val="Segoe UI"/>
      <family val="2"/>
    </font>
    <font>
      <b/>
      <sz val="12"/>
      <color indexed="81"/>
      <name val="Segoe UI"/>
      <family val="2"/>
    </font>
    <font>
      <b/>
      <sz val="14"/>
      <color indexed="81"/>
      <name val="Segoe UI"/>
      <family val="2"/>
    </font>
    <font>
      <sz val="20"/>
      <color theme="1"/>
      <name val="Calibri"/>
      <family val="2"/>
      <scheme val="minor"/>
    </font>
    <font>
      <b/>
      <sz val="16"/>
      <color indexed="81"/>
      <name val="Segoe UI"/>
      <family val="2"/>
    </font>
    <font>
      <sz val="14"/>
      <color theme="1"/>
      <name val="Calibri"/>
      <family val="2"/>
      <scheme val="minor"/>
    </font>
    <font>
      <sz val="8"/>
      <color rgb="FF000000"/>
      <name val="Segoe UI"/>
      <family val="2"/>
    </font>
    <font>
      <u/>
      <sz val="11"/>
      <color theme="1"/>
      <name val="Calibri"/>
      <family val="2"/>
      <scheme val="minor"/>
    </font>
  </fonts>
  <fills count="18">
    <fill>
      <patternFill patternType="none"/>
    </fill>
    <fill>
      <patternFill patternType="gray125"/>
    </fill>
    <fill>
      <patternFill patternType="solid">
        <fgColor theme="5" tint="0.399975585192419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2" tint="-0.499984740745262"/>
        <bgColor indexed="64"/>
      </patternFill>
    </fill>
    <fill>
      <patternFill patternType="solid">
        <fgColor rgb="FFFF0000"/>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FF00"/>
        <bgColor indexed="64"/>
      </patternFill>
    </fill>
    <fill>
      <patternFill patternType="solid">
        <fgColor rgb="FFFF9900"/>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00B0F0"/>
        <bgColor indexed="64"/>
      </patternFill>
    </fill>
    <fill>
      <patternFill patternType="solid">
        <fgColor rgb="FF7030A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style="thick">
        <color rgb="FF0066FF"/>
      </bottom>
      <diagonal/>
    </border>
    <border>
      <left style="thick">
        <color indexed="64"/>
      </left>
      <right style="thick">
        <color rgb="FF0066FF"/>
      </right>
      <top style="thick">
        <color rgb="FF0066FF"/>
      </top>
      <bottom style="thick">
        <color indexed="64"/>
      </bottom>
      <diagonal/>
    </border>
    <border>
      <left style="thick">
        <color rgb="FF0066FF"/>
      </left>
      <right style="thick">
        <color indexed="64"/>
      </right>
      <top style="thick">
        <color indexed="64"/>
      </top>
      <bottom style="thick">
        <color rgb="FF0066FF"/>
      </bottom>
      <diagonal/>
    </border>
    <border>
      <left/>
      <right/>
      <top/>
      <bottom style="thick">
        <color rgb="FF0066FF"/>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bottom style="medium">
        <color indexed="64"/>
      </bottom>
      <diagonal/>
    </border>
  </borders>
  <cellStyleXfs count="2">
    <xf numFmtId="0" fontId="0" fillId="0" borderId="0"/>
    <xf numFmtId="9" fontId="4" fillId="0" borderId="0" applyFont="0" applyFill="0" applyBorder="0" applyAlignment="0" applyProtection="0"/>
  </cellStyleXfs>
  <cellXfs count="869">
    <xf numFmtId="0" fontId="0" fillId="0" borderId="0" xfId="0"/>
    <xf numFmtId="0" fontId="0" fillId="0" borderId="0" xfId="0" applyBorder="1"/>
    <xf numFmtId="0" fontId="0" fillId="0" borderId="0" xfId="0" applyAlignment="1">
      <alignment horizontal="center"/>
    </xf>
    <xf numFmtId="0" fontId="0" fillId="0" borderId="0" xfId="0" applyAlignment="1"/>
    <xf numFmtId="0" fontId="0" fillId="0" borderId="7"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2" fillId="2" borderId="4" xfId="0" applyFont="1" applyFill="1" applyBorder="1" applyAlignment="1">
      <alignment horizontal="center" wrapText="1"/>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0" fontId="0" fillId="0" borderId="1" xfId="0" applyBorder="1" applyAlignment="1">
      <alignment horizontal="center"/>
    </xf>
    <xf numFmtId="164" fontId="0" fillId="0" borderId="1" xfId="0" applyNumberForma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6" xfId="0" applyBorder="1" applyAlignment="1">
      <alignment horizontal="center"/>
    </xf>
    <xf numFmtId="0" fontId="0" fillId="0" borderId="2" xfId="0" applyBorder="1" applyAlignment="1">
      <alignment horizontal="center"/>
    </xf>
    <xf numFmtId="0" fontId="0" fillId="0" borderId="2" xfId="0" applyBorder="1" applyAlignment="1">
      <alignment horizontal="center" wrapText="1"/>
    </xf>
    <xf numFmtId="0" fontId="0" fillId="0" borderId="7" xfId="0" applyBorder="1" applyAlignment="1">
      <alignment horizont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wrapText="1"/>
    </xf>
    <xf numFmtId="0" fontId="0" fillId="0" borderId="22" xfId="0" applyBorder="1"/>
    <xf numFmtId="0" fontId="0" fillId="0" borderId="23" xfId="0" applyBorder="1"/>
    <xf numFmtId="0" fontId="1" fillId="0" borderId="1" xfId="0" applyFont="1" applyBorder="1" applyAlignment="1">
      <alignment horizontal="center"/>
    </xf>
    <xf numFmtId="0" fontId="2" fillId="2" borderId="27"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9" xfId="0"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164" fontId="0" fillId="0" borderId="2" xfId="0" applyNumberFormat="1" applyBorder="1" applyAlignment="1">
      <alignment horizontal="center"/>
    </xf>
    <xf numFmtId="0" fontId="0" fillId="0" borderId="0" xfId="0" applyFill="1" applyBorder="1" applyAlignment="1">
      <alignment horizontal="center" vertical="center"/>
    </xf>
    <xf numFmtId="11" fontId="0" fillId="0" borderId="0" xfId="0" applyNumberFormat="1"/>
    <xf numFmtId="3" fontId="0" fillId="0" borderId="0" xfId="0" applyNumberFormat="1"/>
    <xf numFmtId="0" fontId="2" fillId="2" borderId="37" xfId="0" applyFont="1" applyFill="1" applyBorder="1" applyAlignment="1">
      <alignment horizontal="center" vertical="center" wrapText="1"/>
    </xf>
    <xf numFmtId="11" fontId="0" fillId="0" borderId="2" xfId="0" applyNumberFormat="1" applyBorder="1" applyAlignment="1">
      <alignment horizontal="center"/>
    </xf>
    <xf numFmtId="11" fontId="0" fillId="0" borderId="7" xfId="0" applyNumberFormat="1" applyBorder="1" applyAlignment="1">
      <alignment horizontal="center" wrapText="1"/>
    </xf>
    <xf numFmtId="11" fontId="0" fillId="0" borderId="1" xfId="0" applyNumberFormat="1" applyBorder="1" applyAlignment="1">
      <alignment horizontal="center"/>
    </xf>
    <xf numFmtId="0" fontId="0" fillId="0" borderId="1" xfId="0" applyBorder="1" applyAlignment="1">
      <alignment horizontal="center" wrapText="1"/>
    </xf>
    <xf numFmtId="0" fontId="0" fillId="0" borderId="0" xfId="0" applyBorder="1" applyAlignment="1">
      <alignment horizontal="center"/>
    </xf>
    <xf numFmtId="0" fontId="0" fillId="0" borderId="43"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wrapText="1"/>
    </xf>
    <xf numFmtId="0" fontId="0" fillId="0" borderId="36" xfId="0" applyBorder="1" applyAlignment="1">
      <alignment horizontal="center" vertical="center" wrapText="1"/>
    </xf>
    <xf numFmtId="0" fontId="0" fillId="0" borderId="1" xfId="0" applyBorder="1" applyAlignment="1">
      <alignment horizontal="center" vertical="center" wrapText="1"/>
    </xf>
    <xf numFmtId="0" fontId="0" fillId="0" borderId="11" xfId="0" applyBorder="1" applyAlignment="1">
      <alignment horizontal="center" vertical="center" wrapText="1"/>
    </xf>
    <xf numFmtId="0" fontId="0" fillId="0" borderId="6" xfId="0" applyBorder="1" applyAlignment="1">
      <alignment horizontal="center" vertical="center"/>
    </xf>
    <xf numFmtId="0" fontId="0" fillId="0" borderId="2" xfId="0" applyBorder="1" applyAlignment="1">
      <alignment horizontal="center" vertical="center"/>
    </xf>
    <xf numFmtId="11" fontId="0" fillId="0" borderId="2" xfId="0" applyNumberFormat="1" applyBorder="1" applyAlignment="1">
      <alignment horizontal="center" vertical="center"/>
    </xf>
    <xf numFmtId="0" fontId="1" fillId="0" borderId="37" xfId="0" applyFont="1" applyBorder="1" applyAlignment="1">
      <alignment horizontal="center"/>
    </xf>
    <xf numFmtId="0" fontId="2" fillId="0" borderId="0" xfId="0" applyFont="1" applyBorder="1" applyAlignment="1">
      <alignment horizontal="center"/>
    </xf>
    <xf numFmtId="0" fontId="5" fillId="2" borderId="4"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0" fillId="0" borderId="8" xfId="0" applyBorder="1" applyAlignment="1">
      <alignment wrapText="1"/>
    </xf>
    <xf numFmtId="0" fontId="0" fillId="0" borderId="10" xfId="0" applyBorder="1" applyAlignment="1">
      <alignment vertical="center"/>
    </xf>
    <xf numFmtId="0" fontId="0" fillId="0" borderId="10" xfId="0" applyBorder="1" applyAlignment="1">
      <alignment wrapText="1"/>
    </xf>
    <xf numFmtId="0" fontId="2" fillId="2" borderId="26"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4" xfId="0" applyFont="1" applyFill="1" applyBorder="1" applyAlignment="1">
      <alignment vertical="center" wrapText="1"/>
    </xf>
    <xf numFmtId="0" fontId="0" fillId="0" borderId="57" xfId="0" applyBorder="1" applyAlignment="1">
      <alignment horizontal="center" vertical="center"/>
    </xf>
    <xf numFmtId="0" fontId="0" fillId="0" borderId="7" xfId="0" applyBorder="1" applyAlignment="1">
      <alignment horizontal="center" vertical="center"/>
    </xf>
    <xf numFmtId="0" fontId="2" fillId="2" borderId="3" xfId="0" applyFont="1" applyFill="1" applyBorder="1" applyAlignment="1">
      <alignment horizontal="center" vertical="center" wrapText="1"/>
    </xf>
    <xf numFmtId="0" fontId="2" fillId="2" borderId="25" xfId="0" applyFont="1" applyFill="1" applyBorder="1" applyAlignment="1">
      <alignment vertical="center" wrapText="1"/>
    </xf>
    <xf numFmtId="0" fontId="2" fillId="2" borderId="26" xfId="0" applyFont="1" applyFill="1" applyBorder="1" applyAlignment="1">
      <alignment vertical="center" wrapText="1"/>
    </xf>
    <xf numFmtId="0" fontId="2" fillId="2" borderId="1" xfId="0" applyFont="1" applyFill="1" applyBorder="1" applyAlignment="1">
      <alignment vertical="center" wrapText="1"/>
    </xf>
    <xf numFmtId="0" fontId="2" fillId="2" borderId="9" xfId="0" applyFont="1" applyFill="1" applyBorder="1" applyAlignment="1">
      <alignment vertical="center" wrapText="1"/>
    </xf>
    <xf numFmtId="0" fontId="2" fillId="2" borderId="15" xfId="0" applyFont="1" applyFill="1" applyBorder="1" applyAlignment="1">
      <alignment horizontal="center" vertical="center" wrapText="1"/>
    </xf>
    <xf numFmtId="0" fontId="0" fillId="0" borderId="1" xfId="0" applyBorder="1"/>
    <xf numFmtId="0" fontId="2" fillId="2" borderId="28"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2" fillId="2" borderId="48" xfId="0" applyFont="1" applyFill="1" applyBorder="1" applyAlignment="1">
      <alignment horizontal="center" vertical="center" wrapText="1"/>
    </xf>
    <xf numFmtId="0" fontId="2" fillId="2" borderId="60" xfId="0" applyFont="1" applyFill="1" applyBorder="1" applyAlignment="1">
      <alignment horizontal="center" vertical="center" wrapText="1"/>
    </xf>
    <xf numFmtId="0" fontId="0" fillId="0" borderId="24" xfId="0" applyBorder="1" applyAlignment="1">
      <alignment horizontal="center"/>
    </xf>
    <xf numFmtId="0" fontId="0" fillId="0" borderId="25" xfId="0" applyBorder="1"/>
    <xf numFmtId="0" fontId="0" fillId="0" borderId="11" xfId="0" applyBorder="1"/>
    <xf numFmtId="0" fontId="0" fillId="8" borderId="25" xfId="0" applyFill="1" applyBorder="1"/>
    <xf numFmtId="0" fontId="0" fillId="8" borderId="1" xfId="0" applyFill="1" applyBorder="1"/>
    <xf numFmtId="0" fontId="0" fillId="8" borderId="26" xfId="0" applyFill="1" applyBorder="1"/>
    <xf numFmtId="0" fontId="0" fillId="8" borderId="9" xfId="0" applyFill="1" applyBorder="1"/>
    <xf numFmtId="0" fontId="0" fillId="8" borderId="11" xfId="0" applyFill="1" applyBorder="1"/>
    <xf numFmtId="0" fontId="0" fillId="8" borderId="12" xfId="0" applyFill="1" applyBorder="1"/>
    <xf numFmtId="0" fontId="0" fillId="0" borderId="1" xfId="0" applyFill="1" applyBorder="1"/>
    <xf numFmtId="0" fontId="0" fillId="0" borderId="9" xfId="0" applyFill="1" applyBorder="1"/>
    <xf numFmtId="0" fontId="0" fillId="0" borderId="11" xfId="0" applyFill="1" applyBorder="1"/>
    <xf numFmtId="0" fontId="0" fillId="9" borderId="0" xfId="0" applyFill="1"/>
    <xf numFmtId="0" fontId="2" fillId="2" borderId="28" xfId="0" applyFont="1" applyFill="1" applyBorder="1" applyAlignment="1">
      <alignment horizontal="center" vertical="center" wrapText="1"/>
    </xf>
    <xf numFmtId="0" fontId="2" fillId="2" borderId="58" xfId="0" applyFont="1" applyFill="1" applyBorder="1" applyAlignment="1">
      <alignment horizontal="center" vertical="center" wrapText="1"/>
    </xf>
    <xf numFmtId="0" fontId="0" fillId="0" borderId="24" xfId="0" applyBorder="1" applyAlignment="1">
      <alignment wrapText="1"/>
    </xf>
    <xf numFmtId="165" fontId="0" fillId="0" borderId="25" xfId="0" applyNumberFormat="1" applyBorder="1" applyAlignment="1">
      <alignment horizontal="center" vertical="center"/>
    </xf>
    <xf numFmtId="0" fontId="0" fillId="0" borderId="25" xfId="0" applyBorder="1" applyAlignment="1">
      <alignment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164" fontId="0" fillId="0" borderId="9" xfId="0" applyNumberFormat="1" applyBorder="1" applyAlignment="1">
      <alignment horizontal="center" vertical="center"/>
    </xf>
    <xf numFmtId="165" fontId="0" fillId="0" borderId="11" xfId="0" applyNumberFormat="1" applyBorder="1" applyAlignment="1">
      <alignment horizontal="center" vertical="center"/>
    </xf>
    <xf numFmtId="166" fontId="0" fillId="0" borderId="1" xfId="0" applyNumberFormat="1" applyBorder="1" applyAlignment="1">
      <alignment horizontal="center" vertical="center"/>
    </xf>
    <xf numFmtId="167" fontId="0" fillId="0" borderId="11" xfId="0" applyNumberFormat="1" applyBorder="1" applyAlignment="1">
      <alignment horizontal="center" vertical="center"/>
    </xf>
    <xf numFmtId="167" fontId="0" fillId="0" borderId="12" xfId="0" applyNumberFormat="1" applyBorder="1" applyAlignment="1">
      <alignment horizontal="center" vertical="center"/>
    </xf>
    <xf numFmtId="168" fontId="0" fillId="0" borderId="1" xfId="0" applyNumberFormat="1" applyBorder="1" applyAlignment="1">
      <alignment horizontal="center" vertical="center"/>
    </xf>
    <xf numFmtId="168" fontId="0" fillId="0" borderId="9" xfId="0" applyNumberFormat="1" applyBorder="1" applyAlignment="1">
      <alignment horizontal="center" vertical="center"/>
    </xf>
    <xf numFmtId="168" fontId="0" fillId="0" borderId="11" xfId="0" applyNumberFormat="1" applyBorder="1" applyAlignment="1">
      <alignment horizontal="center" vertical="center"/>
    </xf>
    <xf numFmtId="168" fontId="0" fillId="0" borderId="12" xfId="0" applyNumberFormat="1" applyBorder="1" applyAlignment="1">
      <alignment horizontal="center" vertical="center"/>
    </xf>
    <xf numFmtId="165" fontId="0" fillId="0" borderId="26" xfId="0" applyNumberFormat="1" applyBorder="1" applyAlignment="1">
      <alignment horizontal="center" vertical="center"/>
    </xf>
    <xf numFmtId="165" fontId="0" fillId="0" borderId="9" xfId="0" applyNumberFormat="1" applyBorder="1" applyAlignment="1">
      <alignment horizontal="center" vertical="center"/>
    </xf>
    <xf numFmtId="0" fontId="2" fillId="0" borderId="10" xfId="0" applyFont="1" applyBorder="1" applyAlignment="1">
      <alignment horizontal="center"/>
    </xf>
    <xf numFmtId="166" fontId="0" fillId="0" borderId="25" xfId="0" applyNumberFormat="1" applyBorder="1" applyAlignment="1">
      <alignment horizontal="center" vertical="center"/>
    </xf>
    <xf numFmtId="166" fontId="0" fillId="0" borderId="2" xfId="0" applyNumberFormat="1" applyBorder="1" applyAlignment="1">
      <alignment horizontal="center" vertical="center"/>
    </xf>
    <xf numFmtId="1" fontId="0" fillId="0" borderId="25" xfId="0" applyNumberFormat="1" applyBorder="1" applyAlignment="1">
      <alignment horizontal="center" vertical="center"/>
    </xf>
    <xf numFmtId="1" fontId="0" fillId="0" borderId="2" xfId="0" applyNumberFormat="1" applyBorder="1" applyAlignment="1">
      <alignment horizontal="center" vertical="center"/>
    </xf>
    <xf numFmtId="167" fontId="0" fillId="0" borderId="25" xfId="0" applyNumberFormat="1" applyBorder="1" applyAlignment="1">
      <alignment horizontal="center" vertical="center"/>
    </xf>
    <xf numFmtId="167" fontId="0" fillId="0" borderId="2" xfId="0" applyNumberFormat="1" applyBorder="1" applyAlignment="1">
      <alignment horizontal="center" vertical="center"/>
    </xf>
    <xf numFmtId="167" fontId="0" fillId="0" borderId="26" xfId="0" applyNumberFormat="1" applyBorder="1" applyAlignment="1">
      <alignment horizontal="center" vertical="center"/>
    </xf>
    <xf numFmtId="167" fontId="0" fillId="0" borderId="7" xfId="0" applyNumberFormat="1" applyBorder="1" applyAlignment="1">
      <alignment horizontal="center" vertical="center"/>
    </xf>
    <xf numFmtId="168" fontId="0" fillId="0" borderId="0" xfId="0" applyNumberFormat="1"/>
    <xf numFmtId="0" fontId="0" fillId="10" borderId="0" xfId="0" applyFill="1"/>
    <xf numFmtId="0" fontId="0" fillId="5" borderId="1" xfId="0" applyFill="1" applyBorder="1" applyAlignment="1" applyProtection="1">
      <alignment horizontal="center" vertical="center"/>
    </xf>
    <xf numFmtId="0" fontId="0" fillId="5" borderId="49" xfId="0" applyFill="1" applyBorder="1" applyAlignment="1" applyProtection="1">
      <alignment wrapText="1"/>
    </xf>
    <xf numFmtId="0" fontId="0" fillId="5" borderId="2" xfId="0" applyFill="1" applyBorder="1" applyAlignment="1" applyProtection="1"/>
    <xf numFmtId="0" fontId="0" fillId="5" borderId="2" xfId="0" applyFill="1" applyBorder="1" applyAlignment="1" applyProtection="1">
      <alignment horizontal="center" vertical="center" wrapText="1"/>
    </xf>
    <xf numFmtId="0" fontId="0" fillId="5" borderId="2" xfId="0" applyFill="1" applyBorder="1" applyAlignment="1" applyProtection="1">
      <alignment horizontal="center" vertical="center"/>
    </xf>
    <xf numFmtId="0" fontId="0" fillId="5" borderId="1" xfId="0" applyFill="1" applyBorder="1" applyAlignment="1" applyProtection="1">
      <alignment horizontal="center" vertical="center" wrapText="1"/>
    </xf>
    <xf numFmtId="0" fontId="0" fillId="5" borderId="47" xfId="0" applyFill="1" applyBorder="1" applyAlignment="1" applyProtection="1">
      <alignment horizontal="center" vertical="center" wrapText="1"/>
    </xf>
    <xf numFmtId="0" fontId="0" fillId="11" borderId="1" xfId="0"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0" fillId="0" borderId="47" xfId="0" applyBorder="1" applyProtection="1"/>
    <xf numFmtId="0" fontId="0" fillId="0" borderId="50" xfId="0" applyBorder="1" applyProtection="1"/>
    <xf numFmtId="0" fontId="0" fillId="0" borderId="50" xfId="0" applyBorder="1" applyAlignment="1" applyProtection="1">
      <alignment wrapText="1"/>
    </xf>
    <xf numFmtId="0" fontId="0" fillId="0" borderId="0" xfId="0" applyFill="1" applyBorder="1" applyAlignment="1" applyProtection="1">
      <alignment wrapText="1"/>
    </xf>
    <xf numFmtId="0" fontId="0" fillId="0" borderId="50" xfId="0" applyFill="1" applyBorder="1" applyAlignment="1" applyProtection="1">
      <alignment wrapText="1"/>
    </xf>
    <xf numFmtId="0" fontId="0" fillId="0" borderId="51" xfId="0" applyFill="1" applyBorder="1" applyAlignment="1" applyProtection="1">
      <alignment wrapText="1"/>
    </xf>
    <xf numFmtId="0" fontId="0" fillId="0" borderId="0" xfId="0" applyFill="1" applyBorder="1" applyAlignment="1" applyProtection="1">
      <alignment horizontal="center" wrapText="1"/>
    </xf>
    <xf numFmtId="0" fontId="0" fillId="4" borderId="55" xfId="0" applyFill="1" applyBorder="1" applyAlignment="1" applyProtection="1">
      <alignment horizontal="center"/>
    </xf>
    <xf numFmtId="0" fontId="0" fillId="4" borderId="1" xfId="0" applyFill="1" applyBorder="1" applyAlignment="1" applyProtection="1">
      <alignment horizontal="center"/>
    </xf>
    <xf numFmtId="0" fontId="0" fillId="0" borderId="1" xfId="0" applyFill="1" applyBorder="1" applyAlignment="1" applyProtection="1">
      <alignment horizontal="center"/>
    </xf>
    <xf numFmtId="0" fontId="0" fillId="4" borderId="1" xfId="0" quotePrefix="1" applyFill="1" applyBorder="1" applyAlignment="1" applyProtection="1">
      <alignment horizontal="center"/>
    </xf>
    <xf numFmtId="0" fontId="0" fillId="6" borderId="52" xfId="0" applyFill="1" applyBorder="1" applyAlignment="1" applyProtection="1">
      <alignment horizontal="center"/>
    </xf>
    <xf numFmtId="0" fontId="0" fillId="0" borderId="52" xfId="0" applyBorder="1" applyProtection="1"/>
    <xf numFmtId="0" fontId="0" fillId="0" borderId="0" xfId="0" applyBorder="1" applyProtection="1"/>
    <xf numFmtId="0" fontId="0" fillId="0" borderId="1" xfId="0" applyBorder="1" applyAlignment="1" applyProtection="1">
      <alignment horizontal="center"/>
    </xf>
    <xf numFmtId="0" fontId="0" fillId="0" borderId="0" xfId="0" applyProtection="1"/>
    <xf numFmtId="0" fontId="0" fillId="0" borderId="54" xfId="0" applyBorder="1" applyProtection="1"/>
    <xf numFmtId="0" fontId="0" fillId="0" borderId="49" xfId="0" applyBorder="1" applyProtection="1"/>
    <xf numFmtId="0" fontId="0" fillId="0" borderId="1" xfId="0" applyBorder="1" applyAlignment="1" applyProtection="1">
      <alignment horizontal="center"/>
      <protection locked="0"/>
    </xf>
    <xf numFmtId="0" fontId="0" fillId="0" borderId="0" xfId="0" applyProtection="1">
      <protection locked="0"/>
    </xf>
    <xf numFmtId="0" fontId="0" fillId="0" borderId="0" xfId="0" applyBorder="1" applyProtection="1">
      <protection locked="0"/>
    </xf>
    <xf numFmtId="10" fontId="0" fillId="0" borderId="1" xfId="1" applyNumberFormat="1" applyFont="1" applyBorder="1" applyAlignment="1" applyProtection="1">
      <alignment horizontal="center" vertical="center"/>
      <protection locked="0"/>
    </xf>
    <xf numFmtId="0" fontId="0" fillId="0" borderId="0" xfId="0" quotePrefix="1" applyFill="1" applyProtection="1">
      <protection locked="0"/>
    </xf>
    <xf numFmtId="0" fontId="0" fillId="0" borderId="0" xfId="0" applyFill="1" applyProtection="1">
      <protection locked="0"/>
    </xf>
    <xf numFmtId="168" fontId="0" fillId="0" borderId="0" xfId="0" applyNumberFormat="1" applyProtection="1">
      <protection locked="0"/>
    </xf>
    <xf numFmtId="0" fontId="0" fillId="0" borderId="0" xfId="0" quotePrefix="1" applyProtection="1">
      <protection locked="0"/>
    </xf>
    <xf numFmtId="0" fontId="0" fillId="0" borderId="0" xfId="0" quotePrefix="1" applyBorder="1" applyProtection="1">
      <protection locked="0"/>
    </xf>
    <xf numFmtId="0" fontId="0" fillId="7" borderId="1" xfId="0" applyFill="1" applyBorder="1" applyAlignment="1" applyProtection="1">
      <alignment horizontal="center"/>
      <protection locked="0"/>
    </xf>
    <xf numFmtId="0" fontId="0" fillId="0" borderId="11" xfId="0" applyBorder="1" applyAlignment="1" applyProtection="1">
      <alignment horizontal="center"/>
      <protection locked="0"/>
    </xf>
    <xf numFmtId="0" fontId="0" fillId="5" borderId="24" xfId="0" applyFill="1" applyBorder="1" applyAlignment="1" applyProtection="1">
      <alignment horizontal="center" vertical="center"/>
    </xf>
    <xf numFmtId="0" fontId="0" fillId="5" borderId="25" xfId="0" applyFill="1" applyBorder="1" applyAlignment="1" applyProtection="1">
      <alignment horizontal="center" vertical="center"/>
    </xf>
    <xf numFmtId="0" fontId="0" fillId="5" borderId="25" xfId="0" applyFill="1" applyBorder="1" applyAlignment="1" applyProtection="1">
      <alignment horizontal="center" vertical="center" wrapText="1"/>
    </xf>
    <xf numFmtId="0" fontId="0" fillId="2" borderId="1" xfId="0" applyFill="1" applyBorder="1" applyAlignment="1" applyProtection="1">
      <alignment horizontal="center"/>
    </xf>
    <xf numFmtId="0" fontId="0" fillId="2" borderId="1" xfId="0" applyFill="1" applyBorder="1" applyAlignment="1" applyProtection="1"/>
    <xf numFmtId="0" fontId="0" fillId="0" borderId="33" xfId="0" applyBorder="1" applyProtection="1"/>
    <xf numFmtId="0" fontId="0" fillId="0" borderId="19" xfId="0" applyBorder="1" applyProtection="1"/>
    <xf numFmtId="0" fontId="0" fillId="0" borderId="20" xfId="0" applyBorder="1" applyProtection="1"/>
    <xf numFmtId="0" fontId="0" fillId="0" borderId="20" xfId="0" quotePrefix="1" applyBorder="1" applyProtection="1"/>
    <xf numFmtId="0" fontId="0" fillId="0" borderId="21" xfId="0" applyBorder="1" applyProtection="1"/>
    <xf numFmtId="0" fontId="0" fillId="0" borderId="15" xfId="0" applyBorder="1" applyProtection="1"/>
    <xf numFmtId="0" fontId="0" fillId="0" borderId="14" xfId="0" applyBorder="1" applyProtection="1"/>
    <xf numFmtId="0" fontId="0" fillId="0" borderId="48" xfId="0" applyBorder="1" applyProtection="1"/>
    <xf numFmtId="0" fontId="0" fillId="0" borderId="47" xfId="0" applyBorder="1" applyAlignment="1" applyProtection="1">
      <alignment wrapText="1"/>
    </xf>
    <xf numFmtId="0" fontId="0" fillId="0" borderId="51" xfId="0" applyBorder="1" applyProtection="1"/>
    <xf numFmtId="0" fontId="0" fillId="0" borderId="51" xfId="0" applyBorder="1" applyAlignment="1" applyProtection="1">
      <alignment horizontal="center" vertical="center"/>
    </xf>
    <xf numFmtId="0" fontId="0" fillId="0" borderId="31" xfId="0" applyBorder="1" applyProtection="1"/>
    <xf numFmtId="0" fontId="0" fillId="0" borderId="55" xfId="0" applyBorder="1" applyProtection="1"/>
    <xf numFmtId="0" fontId="0" fillId="0" borderId="34" xfId="0" applyBorder="1" applyProtection="1"/>
    <xf numFmtId="0" fontId="0" fillId="0" borderId="22" xfId="0" applyBorder="1" applyProtection="1"/>
    <xf numFmtId="0" fontId="0" fillId="0" borderId="23" xfId="0" applyBorder="1" applyProtection="1"/>
    <xf numFmtId="0" fontId="0" fillId="0" borderId="58" xfId="0" applyBorder="1" applyAlignment="1" applyProtection="1">
      <alignment horizontal="center"/>
    </xf>
    <xf numFmtId="0" fontId="0" fillId="0" borderId="57" xfId="0" applyBorder="1" applyProtection="1"/>
    <xf numFmtId="0" fontId="0" fillId="0" borderId="53" xfId="0" applyBorder="1" applyProtection="1"/>
    <xf numFmtId="0" fontId="0" fillId="0" borderId="53" xfId="0" applyBorder="1" applyAlignment="1" applyProtection="1">
      <alignment horizontal="center" vertical="center"/>
    </xf>
    <xf numFmtId="0" fontId="0" fillId="0" borderId="16" xfId="0" applyBorder="1" applyProtection="1"/>
    <xf numFmtId="0" fontId="0" fillId="0" borderId="52" xfId="0" applyBorder="1" applyAlignment="1" applyProtection="1">
      <alignment wrapText="1"/>
    </xf>
    <xf numFmtId="0" fontId="0" fillId="0" borderId="49" xfId="0" applyBorder="1" applyAlignment="1" applyProtection="1">
      <alignment horizontal="center" vertical="center"/>
    </xf>
    <xf numFmtId="0" fontId="0" fillId="0" borderId="57" xfId="0" applyBorder="1" applyAlignment="1" applyProtection="1">
      <alignment horizontal="center"/>
    </xf>
    <xf numFmtId="0" fontId="0" fillId="0" borderId="0" xfId="0" applyFill="1" applyBorder="1" applyProtection="1"/>
    <xf numFmtId="0" fontId="0" fillId="0" borderId="2" xfId="0" applyBorder="1" applyProtection="1"/>
    <xf numFmtId="0" fontId="0" fillId="0" borderId="17" xfId="0" applyBorder="1" applyProtection="1"/>
    <xf numFmtId="0" fontId="0" fillId="0" borderId="18" xfId="0" applyBorder="1" applyProtection="1"/>
    <xf numFmtId="0" fontId="0" fillId="0" borderId="35" xfId="0" applyBorder="1" applyProtection="1"/>
    <xf numFmtId="0" fontId="0" fillId="6" borderId="0" xfId="0" applyFill="1" applyProtection="1"/>
    <xf numFmtId="0" fontId="0" fillId="2" borderId="1" xfId="0" applyFill="1" applyBorder="1" applyAlignment="1" applyProtection="1">
      <alignment horizontal="center"/>
      <protection locked="0"/>
    </xf>
    <xf numFmtId="0" fontId="6" fillId="0" borderId="0" xfId="0" applyFont="1"/>
    <xf numFmtId="166" fontId="0" fillId="0" borderId="1" xfId="0" applyNumberFormat="1" applyFill="1" applyBorder="1" applyAlignment="1">
      <alignment horizontal="center"/>
    </xf>
    <xf numFmtId="14" fontId="0" fillId="0" borderId="1" xfId="0" applyNumberFormat="1" applyFill="1" applyBorder="1" applyAlignment="1">
      <alignment horizontal="center"/>
    </xf>
    <xf numFmtId="166" fontId="0" fillId="4" borderId="1" xfId="0" applyNumberFormat="1" applyFill="1" applyBorder="1"/>
    <xf numFmtId="0" fontId="0" fillId="2" borderId="1" xfId="0" applyFill="1" applyBorder="1" applyAlignment="1" applyProtection="1">
      <alignment horizontal="center"/>
      <protection locked="0"/>
    </xf>
    <xf numFmtId="0" fontId="0" fillId="2" borderId="1" xfId="0" applyFill="1" applyBorder="1" applyAlignment="1" applyProtection="1">
      <protection locked="0"/>
    </xf>
    <xf numFmtId="0" fontId="0" fillId="2" borderId="55" xfId="0" applyFill="1" applyBorder="1" applyAlignment="1" applyProtection="1">
      <alignment horizontal="center"/>
      <protection locked="0"/>
    </xf>
    <xf numFmtId="0" fontId="0" fillId="4" borderId="1" xfId="0" applyFill="1" applyBorder="1"/>
    <xf numFmtId="0" fontId="2" fillId="2" borderId="58" xfId="0" applyFont="1" applyFill="1" applyBorder="1" applyAlignment="1">
      <alignment horizontal="center" vertical="center" wrapText="1"/>
    </xf>
    <xf numFmtId="0" fontId="11" fillId="5" borderId="1" xfId="0" applyFont="1" applyFill="1" applyBorder="1" applyAlignment="1" applyProtection="1">
      <alignment horizontal="center" vertical="center"/>
    </xf>
    <xf numFmtId="166" fontId="0" fillId="6" borderId="1" xfId="0" applyNumberFormat="1" applyFill="1" applyBorder="1" applyAlignment="1">
      <alignment horizontal="center"/>
    </xf>
    <xf numFmtId="1" fontId="0" fillId="0" borderId="1" xfId="0" applyNumberFormat="1" applyFill="1" applyBorder="1" applyAlignment="1">
      <alignment horizontal="center"/>
    </xf>
    <xf numFmtId="0" fontId="2" fillId="2" borderId="3" xfId="0" applyFont="1" applyFill="1" applyBorder="1" applyAlignment="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0" fillId="0" borderId="25" xfId="0" applyBorder="1" applyAlignment="1">
      <alignment horizontal="center"/>
    </xf>
    <xf numFmtId="0" fontId="0" fillId="0" borderId="26" xfId="0" applyBorder="1" applyAlignment="1">
      <alignment horizontal="center"/>
    </xf>
    <xf numFmtId="1" fontId="0" fillId="0" borderId="1" xfId="0" applyNumberFormat="1" applyFill="1" applyBorder="1" applyAlignment="1">
      <alignment horizontal="center" shrinkToFit="1"/>
    </xf>
    <xf numFmtId="0" fontId="2" fillId="2" borderId="62" xfId="0" applyFont="1" applyFill="1" applyBorder="1" applyAlignment="1">
      <alignment horizontal="center" vertical="center" wrapText="1"/>
    </xf>
    <xf numFmtId="1" fontId="0" fillId="4" borderId="1" xfId="0" applyNumberFormat="1" applyFill="1" applyBorder="1"/>
    <xf numFmtId="0" fontId="0" fillId="2" borderId="1" xfId="0" applyFill="1" applyBorder="1" applyAlignment="1" applyProtection="1">
      <alignment horizontal="center"/>
      <protection locked="0"/>
    </xf>
    <xf numFmtId="0" fontId="0" fillId="2" borderId="55" xfId="0" applyFill="1" applyBorder="1" applyAlignment="1" applyProtection="1">
      <alignment horizontal="center"/>
      <protection locked="0"/>
    </xf>
    <xf numFmtId="0" fontId="2" fillId="2" borderId="58" xfId="0" applyFont="1" applyFill="1" applyBorder="1" applyAlignment="1">
      <alignment horizontal="center" vertical="center" wrapText="1"/>
    </xf>
    <xf numFmtId="0" fontId="2" fillId="2" borderId="63" xfId="0" applyFont="1" applyFill="1" applyBorder="1" applyAlignment="1">
      <alignment horizontal="center" vertical="center" wrapText="1"/>
    </xf>
    <xf numFmtId="11" fontId="0" fillId="0" borderId="25" xfId="0" applyNumberFormat="1" applyBorder="1" applyAlignment="1">
      <alignment horizontal="center"/>
    </xf>
    <xf numFmtId="11" fontId="0" fillId="0" borderId="26" xfId="0" applyNumberFormat="1" applyBorder="1" applyAlignment="1">
      <alignment horizontal="center"/>
    </xf>
    <xf numFmtId="11" fontId="0" fillId="0" borderId="9" xfId="0" applyNumberFormat="1" applyBorder="1" applyAlignment="1">
      <alignment horizontal="center"/>
    </xf>
    <xf numFmtId="11" fontId="0" fillId="0" borderId="11" xfId="0" applyNumberFormat="1" applyBorder="1" applyAlignment="1">
      <alignment horizontal="center"/>
    </xf>
    <xf numFmtId="11" fontId="0" fillId="0" borderId="12" xfId="0" applyNumberFormat="1" applyBorder="1" applyAlignment="1">
      <alignment horizontal="center"/>
    </xf>
    <xf numFmtId="11" fontId="0" fillId="0" borderId="0" xfId="0" applyNumberFormat="1" applyBorder="1" applyAlignment="1">
      <alignment horizontal="center"/>
    </xf>
    <xf numFmtId="0" fontId="0" fillId="4" borderId="1" xfId="0" applyFill="1" applyBorder="1" applyAlignment="1">
      <alignment horizontal="center"/>
    </xf>
    <xf numFmtId="11" fontId="0" fillId="0" borderId="24" xfId="0" applyNumberFormat="1" applyBorder="1" applyAlignment="1">
      <alignment horizontal="center"/>
    </xf>
    <xf numFmtId="11" fontId="0" fillId="0" borderId="8" xfId="0" applyNumberFormat="1" applyBorder="1" applyAlignment="1">
      <alignment horizontal="center"/>
    </xf>
    <xf numFmtId="11" fontId="0" fillId="0" borderId="10" xfId="0" applyNumberFormat="1" applyBorder="1" applyAlignment="1">
      <alignment horizontal="center"/>
    </xf>
    <xf numFmtId="0" fontId="0" fillId="0" borderId="1" xfId="0" applyFill="1" applyBorder="1" applyAlignment="1">
      <alignment horizontal="center"/>
    </xf>
    <xf numFmtId="0" fontId="0" fillId="2" borderId="0" xfId="0" applyFill="1" applyBorder="1" applyAlignment="1" applyProtection="1">
      <alignment horizontal="center"/>
      <protection locked="0"/>
    </xf>
    <xf numFmtId="0" fontId="0" fillId="11" borderId="1" xfId="0" applyFill="1" applyBorder="1" applyAlignment="1" applyProtection="1">
      <alignment horizontal="center" vertical="center"/>
    </xf>
    <xf numFmtId="1" fontId="0" fillId="6" borderId="1" xfId="0" applyNumberFormat="1" applyFill="1" applyBorder="1" applyAlignment="1">
      <alignment horizontal="center"/>
    </xf>
    <xf numFmtId="1" fontId="0" fillId="4" borderId="1" xfId="0" applyNumberFormat="1" applyFill="1" applyBorder="1" applyAlignment="1">
      <alignment horizontal="center"/>
    </xf>
    <xf numFmtId="166" fontId="0" fillId="4" borderId="1" xfId="0" applyNumberFormat="1" applyFill="1" applyBorder="1" applyAlignment="1">
      <alignment horizontal="center"/>
    </xf>
    <xf numFmtId="2" fontId="0" fillId="4" borderId="1" xfId="0" applyNumberFormat="1" applyFill="1" applyBorder="1" applyAlignment="1">
      <alignment horizontal="center"/>
    </xf>
    <xf numFmtId="0" fontId="0" fillId="2" borderId="1" xfId="0" applyFill="1" applyBorder="1" applyAlignment="1" applyProtection="1">
      <alignment horizontal="center"/>
      <protection locked="0"/>
    </xf>
    <xf numFmtId="0" fontId="0" fillId="2" borderId="55" xfId="0" applyFill="1" applyBorder="1" applyAlignment="1" applyProtection="1">
      <alignment horizontal="center"/>
      <protection locked="0"/>
    </xf>
    <xf numFmtId="0" fontId="2" fillId="2" borderId="27" xfId="0" applyFont="1" applyFill="1" applyBorder="1" applyAlignment="1">
      <alignment horizontal="center" vertical="center"/>
    </xf>
    <xf numFmtId="167" fontId="0" fillId="5" borderId="1" xfId="0" applyNumberFormat="1" applyFill="1" applyBorder="1" applyAlignment="1" applyProtection="1">
      <alignment horizontal="center" vertical="center"/>
    </xf>
    <xf numFmtId="167" fontId="0" fillId="6" borderId="1" xfId="0" applyNumberFormat="1" applyFill="1" applyBorder="1" applyAlignment="1">
      <alignment horizontal="center"/>
    </xf>
    <xf numFmtId="166" fontId="0" fillId="5" borderId="1" xfId="0" applyNumberFormat="1" applyFill="1" applyBorder="1" applyAlignment="1" applyProtection="1">
      <alignment horizontal="center" vertical="center"/>
    </xf>
    <xf numFmtId="1" fontId="0" fillId="5" borderId="1" xfId="0" applyNumberFormat="1" applyFill="1" applyBorder="1" applyAlignment="1" applyProtection="1">
      <alignment horizontal="center" vertical="center"/>
    </xf>
    <xf numFmtId="167" fontId="0" fillId="4" borderId="1" xfId="0" applyNumberFormat="1" applyFill="1" applyBorder="1" applyAlignment="1">
      <alignment horizontal="center"/>
    </xf>
    <xf numFmtId="0" fontId="0" fillId="2" borderId="1" xfId="0" applyFill="1" applyBorder="1" applyAlignment="1" applyProtection="1">
      <alignment horizontal="center"/>
      <protection locked="0"/>
    </xf>
    <xf numFmtId="0" fontId="0" fillId="2" borderId="55" xfId="0" applyFill="1" applyBorder="1" applyAlignment="1" applyProtection="1">
      <alignment horizontal="center"/>
      <protection locked="0"/>
    </xf>
    <xf numFmtId="0" fontId="2" fillId="2" borderId="48" xfId="0" applyFont="1" applyFill="1" applyBorder="1" applyAlignment="1">
      <alignment horizontal="center" vertical="center"/>
    </xf>
    <xf numFmtId="1" fontId="0" fillId="0" borderId="24" xfId="0" applyNumberFormat="1" applyBorder="1" applyAlignment="1">
      <alignment horizontal="center"/>
    </xf>
    <xf numFmtId="1" fontId="0" fillId="0" borderId="25" xfId="0" applyNumberFormat="1" applyBorder="1" applyAlignment="1">
      <alignment horizontal="center"/>
    </xf>
    <xf numFmtId="1" fontId="0" fillId="0" borderId="26" xfId="0" applyNumberFormat="1" applyBorder="1" applyAlignment="1">
      <alignment horizontal="center"/>
    </xf>
    <xf numFmtId="1" fontId="0" fillId="0" borderId="6" xfId="0" applyNumberFormat="1" applyBorder="1" applyAlignment="1">
      <alignment horizontal="center"/>
    </xf>
    <xf numFmtId="1" fontId="0" fillId="0" borderId="2" xfId="0" applyNumberFormat="1" applyBorder="1" applyAlignment="1">
      <alignment horizontal="center"/>
    </xf>
    <xf numFmtId="1" fontId="0" fillId="0" borderId="7" xfId="0" applyNumberFormat="1" applyBorder="1" applyAlignment="1">
      <alignment horizontal="center"/>
    </xf>
    <xf numFmtId="167" fontId="0" fillId="0" borderId="2" xfId="0" applyNumberFormat="1" applyBorder="1" applyAlignment="1">
      <alignment horizontal="center"/>
    </xf>
    <xf numFmtId="167" fontId="0" fillId="0" borderId="7" xfId="0" applyNumberFormat="1" applyBorder="1" applyAlignment="1">
      <alignment horizontal="center"/>
    </xf>
    <xf numFmtId="1" fontId="0" fillId="0" borderId="39" xfId="0" applyNumberFormat="1" applyBorder="1" applyAlignment="1">
      <alignment horizontal="center"/>
    </xf>
    <xf numFmtId="1" fontId="0" fillId="0" borderId="37" xfId="0" applyNumberFormat="1" applyBorder="1" applyAlignment="1">
      <alignment horizontal="center"/>
    </xf>
    <xf numFmtId="1" fontId="0" fillId="0" borderId="62" xfId="0" applyNumberFormat="1" applyBorder="1" applyAlignment="1">
      <alignment horizontal="center"/>
    </xf>
    <xf numFmtId="167" fontId="0" fillId="4" borderId="1" xfId="0" applyNumberFormat="1" applyFill="1" applyBorder="1"/>
    <xf numFmtId="0" fontId="0" fillId="5" borderId="31" xfId="0" applyFill="1" applyBorder="1" applyAlignment="1" applyProtection="1">
      <alignment horizontal="center" vertical="center"/>
    </xf>
    <xf numFmtId="166" fontId="0" fillId="4" borderId="31" xfId="0" applyNumberFormat="1" applyFill="1" applyBorder="1"/>
    <xf numFmtId="0" fontId="0" fillId="0" borderId="8" xfId="0" applyBorder="1" applyAlignment="1">
      <alignment horizontal="center" vertical="center"/>
    </xf>
    <xf numFmtId="168" fontId="0" fillId="4" borderId="1" xfId="0" applyNumberFormat="1" applyFill="1" applyBorder="1"/>
    <xf numFmtId="0" fontId="0" fillId="0" borderId="1" xfId="0" applyBorder="1" applyAlignment="1">
      <alignment horizontal="center" vertical="center"/>
    </xf>
    <xf numFmtId="9" fontId="0" fillId="0" borderId="1" xfId="1" applyFont="1" applyBorder="1" applyAlignment="1" applyProtection="1">
      <alignment horizontal="center"/>
      <protection locked="0"/>
    </xf>
    <xf numFmtId="0" fontId="0" fillId="5" borderId="49" xfId="0" applyFill="1" applyBorder="1" applyAlignment="1" applyProtection="1">
      <alignment horizontal="center" vertical="center" wrapText="1"/>
    </xf>
    <xf numFmtId="0" fontId="0" fillId="6" borderId="55" xfId="0" applyFill="1" applyBorder="1" applyAlignment="1" applyProtection="1">
      <alignment horizontal="center"/>
    </xf>
    <xf numFmtId="0" fontId="0" fillId="9" borderId="0" xfId="0" applyFill="1" applyProtection="1">
      <protection locked="0"/>
    </xf>
    <xf numFmtId="0" fontId="0" fillId="9" borderId="1" xfId="0" applyFill="1" applyBorder="1"/>
    <xf numFmtId="0" fontId="0" fillId="6" borderId="1" xfId="0" applyFill="1" applyBorder="1" applyAlignment="1" applyProtection="1">
      <alignment horizontal="center"/>
    </xf>
    <xf numFmtId="11" fontId="0" fillId="4" borderId="1" xfId="0" applyNumberFormat="1" applyFill="1" applyBorder="1" applyAlignment="1">
      <alignment horizontal="center"/>
    </xf>
    <xf numFmtId="169" fontId="0" fillId="4" borderId="1" xfId="0" applyNumberFormat="1" applyFill="1" applyBorder="1" applyAlignment="1" applyProtection="1">
      <alignment horizontal="center"/>
      <protection locked="0"/>
    </xf>
    <xf numFmtId="0" fontId="0" fillId="4" borderId="1" xfId="0" applyFill="1" applyBorder="1" applyAlignment="1" applyProtection="1">
      <alignment horizontal="center"/>
      <protection locked="0"/>
    </xf>
    <xf numFmtId="0" fontId="0" fillId="4" borderId="11" xfId="0" applyFill="1" applyBorder="1" applyAlignment="1" applyProtection="1">
      <alignment horizontal="center"/>
    </xf>
    <xf numFmtId="0" fontId="0" fillId="5" borderId="31" xfId="0" applyFill="1" applyBorder="1" applyAlignment="1" applyProtection="1">
      <alignment horizontal="center" vertical="center" wrapText="1"/>
    </xf>
    <xf numFmtId="0" fontId="0" fillId="4" borderId="31" xfId="0" applyFill="1" applyBorder="1" applyAlignment="1" applyProtection="1">
      <alignment horizontal="center"/>
    </xf>
    <xf numFmtId="0" fontId="0" fillId="2" borderId="51" xfId="0" applyFill="1" applyBorder="1" applyAlignment="1" applyProtection="1">
      <alignment horizontal="center"/>
    </xf>
    <xf numFmtId="0" fontId="0" fillId="2" borderId="48" xfId="0" applyFill="1" applyBorder="1" applyAlignment="1" applyProtection="1">
      <alignment horizontal="center"/>
    </xf>
    <xf numFmtId="0" fontId="0" fillId="2" borderId="51" xfId="0" applyFill="1" applyBorder="1" applyAlignment="1" applyProtection="1"/>
    <xf numFmtId="0" fontId="0" fillId="2" borderId="48" xfId="0" applyFill="1" applyBorder="1" applyAlignment="1" applyProtection="1"/>
    <xf numFmtId="0" fontId="0" fillId="11" borderId="24" xfId="0" applyFill="1" applyBorder="1" applyAlignment="1" applyProtection="1">
      <alignment horizontal="center" vertical="center" wrapText="1"/>
    </xf>
    <xf numFmtId="0" fontId="0" fillId="11" borderId="25" xfId="0" applyFill="1" applyBorder="1" applyAlignment="1" applyProtection="1">
      <alignment horizontal="center" vertical="center" wrapText="1"/>
    </xf>
    <xf numFmtId="0" fontId="0" fillId="0" borderId="25" xfId="0" applyFill="1" applyBorder="1" applyAlignment="1" applyProtection="1">
      <alignment horizontal="center" vertical="center" wrapText="1"/>
    </xf>
    <xf numFmtId="0" fontId="0" fillId="6" borderId="25" xfId="0" applyFill="1" applyBorder="1" applyAlignment="1" applyProtection="1">
      <alignment horizontal="center" vertical="center" wrapText="1"/>
    </xf>
    <xf numFmtId="0" fontId="0" fillId="6" borderId="40" xfId="0" applyFill="1" applyBorder="1" applyAlignment="1" applyProtection="1">
      <alignment horizontal="center" vertical="center" wrapText="1"/>
    </xf>
    <xf numFmtId="0" fontId="0" fillId="11" borderId="26" xfId="0" applyFill="1" applyBorder="1" applyAlignment="1" applyProtection="1">
      <alignment horizontal="center" vertical="center" wrapText="1"/>
    </xf>
    <xf numFmtId="0" fontId="0" fillId="4" borderId="8" xfId="0" applyFill="1" applyBorder="1" applyAlignment="1" applyProtection="1">
      <alignment horizontal="center"/>
    </xf>
    <xf numFmtId="0" fontId="0" fillId="0" borderId="11" xfId="0" applyFill="1" applyBorder="1" applyAlignment="1" applyProtection="1">
      <alignment horizontal="center"/>
    </xf>
    <xf numFmtId="0" fontId="0" fillId="4" borderId="11" xfId="0" quotePrefix="1" applyFill="1" applyBorder="1" applyAlignment="1" applyProtection="1">
      <alignment horizontal="center"/>
    </xf>
    <xf numFmtId="0" fontId="0" fillId="6" borderId="11" xfId="0" applyFill="1" applyBorder="1" applyAlignment="1" applyProtection="1">
      <alignment horizontal="center"/>
    </xf>
    <xf numFmtId="0" fontId="0" fillId="6" borderId="41" xfId="0" applyFill="1" applyBorder="1" applyAlignment="1" applyProtection="1">
      <alignment horizontal="center"/>
    </xf>
    <xf numFmtId="0" fontId="0" fillId="2" borderId="48" xfId="0" applyFill="1" applyBorder="1" applyAlignment="1" applyProtection="1">
      <alignment horizontal="center"/>
      <protection locked="0"/>
    </xf>
    <xf numFmtId="0" fontId="0" fillId="2" borderId="48" xfId="0" applyFill="1" applyBorder="1" applyProtection="1">
      <protection locked="0"/>
    </xf>
    <xf numFmtId="0" fontId="0" fillId="5" borderId="43" xfId="0" applyFill="1" applyBorder="1" applyAlignment="1" applyProtection="1">
      <alignment horizontal="center" vertical="center" wrapText="1"/>
    </xf>
    <xf numFmtId="0" fontId="0" fillId="5" borderId="26" xfId="0" applyFill="1" applyBorder="1" applyAlignment="1" applyProtection="1">
      <alignment horizontal="center" vertical="center"/>
    </xf>
    <xf numFmtId="0" fontId="0" fillId="0" borderId="8" xfId="0" applyBorder="1" applyAlignment="1" applyProtection="1">
      <alignment horizontal="center" vertical="center"/>
      <protection locked="0"/>
    </xf>
    <xf numFmtId="0" fontId="0" fillId="4" borderId="9" xfId="0" applyFill="1" applyBorder="1" applyAlignment="1" applyProtection="1">
      <alignment horizontal="center" vertical="center" shrinkToFit="1"/>
    </xf>
    <xf numFmtId="0" fontId="0" fillId="4" borderId="12" xfId="0" applyFill="1" applyBorder="1" applyAlignment="1" applyProtection="1">
      <alignment horizontal="center" vertical="center" shrinkToFit="1"/>
    </xf>
    <xf numFmtId="0" fontId="0" fillId="3" borderId="24" xfId="0" applyFill="1" applyBorder="1" applyProtection="1"/>
    <xf numFmtId="0" fontId="0" fillId="4" borderId="26" xfId="0" applyFill="1" applyBorder="1" applyAlignment="1" applyProtection="1">
      <alignment horizontal="center"/>
    </xf>
    <xf numFmtId="0" fontId="2" fillId="4" borderId="3" xfId="0" applyFont="1" applyFill="1" applyBorder="1" applyProtection="1">
      <protection locked="0"/>
    </xf>
    <xf numFmtId="10" fontId="2" fillId="4" borderId="5" xfId="0" applyNumberFormat="1" applyFont="1" applyFill="1" applyBorder="1" applyProtection="1">
      <protection locked="0"/>
    </xf>
    <xf numFmtId="0" fontId="0" fillId="0" borderId="1" xfId="0" applyBorder="1" applyAlignment="1">
      <alignment horizontal="center"/>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xf numFmtId="0" fontId="2" fillId="2" borderId="48" xfId="0" applyFont="1" applyFill="1" applyBorder="1" applyAlignment="1">
      <alignment horizontal="center" vertical="center" wrapText="1"/>
    </xf>
    <xf numFmtId="0" fontId="0" fillId="0" borderId="0" xfId="0" applyFill="1" applyBorder="1" applyAlignment="1" applyProtection="1">
      <alignment horizont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shrinkToFit="1"/>
    </xf>
    <xf numFmtId="0" fontId="0" fillId="0" borderId="1" xfId="0" applyBorder="1" applyAlignment="1">
      <alignment horizontal="center"/>
    </xf>
    <xf numFmtId="0" fontId="0" fillId="0" borderId="1" xfId="0" applyBorder="1" applyAlignment="1">
      <alignment horizontal="center" vertical="center"/>
    </xf>
    <xf numFmtId="0" fontId="0" fillId="0" borderId="61" xfId="0" applyBorder="1" applyAlignment="1">
      <alignment horizontal="center" vertical="center"/>
    </xf>
    <xf numFmtId="165" fontId="0" fillId="0" borderId="48" xfId="0" applyNumberFormat="1" applyBorder="1" applyAlignment="1">
      <alignment horizontal="center" vertical="center"/>
    </xf>
    <xf numFmtId="168" fontId="0" fillId="0" borderId="48" xfId="0" applyNumberFormat="1" applyBorder="1" applyAlignment="1">
      <alignment horizontal="center" vertical="center"/>
    </xf>
    <xf numFmtId="168" fontId="0" fillId="0" borderId="60" xfId="0" applyNumberFormat="1" applyBorder="1" applyAlignment="1">
      <alignment horizontal="center" vertical="center"/>
    </xf>
    <xf numFmtId="165" fontId="0" fillId="0" borderId="28" xfId="0" applyNumberFormat="1" applyBorder="1" applyAlignment="1">
      <alignment horizontal="center" vertical="center"/>
    </xf>
    <xf numFmtId="11" fontId="0" fillId="0" borderId="1" xfId="0" applyNumberFormat="1" applyBorder="1" applyAlignment="1">
      <alignment horizontal="center" vertical="center"/>
    </xf>
    <xf numFmtId="14" fontId="0" fillId="0" borderId="1" xfId="0" applyNumberFormat="1" applyBorder="1" applyAlignment="1" applyProtection="1">
      <alignment horizontal="center"/>
      <protection locked="0"/>
    </xf>
    <xf numFmtId="169" fontId="0" fillId="0" borderId="0" xfId="0" applyNumberFormat="1"/>
    <xf numFmtId="0" fontId="0" fillId="6" borderId="1" xfId="0" applyFill="1" applyBorder="1" applyAlignment="1" applyProtection="1">
      <alignment horizontal="center" wrapText="1"/>
      <protection locked="0"/>
    </xf>
    <xf numFmtId="0" fontId="0" fillId="4" borderId="1" xfId="0" applyFill="1" applyBorder="1" applyAlignment="1" applyProtection="1">
      <alignment horizontal="center" wrapText="1"/>
      <protection locked="0"/>
    </xf>
    <xf numFmtId="14" fontId="0" fillId="0" borderId="0" xfId="0" applyNumberFormat="1"/>
    <xf numFmtId="0" fontId="0" fillId="0" borderId="0" xfId="0" applyAlignment="1">
      <alignment horizontal="left"/>
    </xf>
    <xf numFmtId="14" fontId="0" fillId="4" borderId="1" xfId="0" applyNumberFormat="1" applyFill="1" applyBorder="1" applyAlignment="1">
      <alignment horizontal="center"/>
    </xf>
    <xf numFmtId="14" fontId="0" fillId="4" borderId="1" xfId="0" applyNumberFormat="1" applyFill="1" applyBorder="1" applyAlignment="1" applyProtection="1">
      <alignment horizontal="center"/>
      <protection locked="0"/>
    </xf>
    <xf numFmtId="0" fontId="0" fillId="0" borderId="9"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22" xfId="0" applyBorder="1" applyAlignment="1">
      <alignment horizontal="center"/>
    </xf>
    <xf numFmtId="0" fontId="0" fillId="2" borderId="31" xfId="0" applyFill="1" applyBorder="1" applyAlignment="1" applyProtection="1"/>
    <xf numFmtId="0" fontId="0" fillId="5" borderId="25" xfId="0" applyFill="1" applyBorder="1" applyAlignment="1" applyProtection="1">
      <alignment horizontal="center" vertical="center"/>
    </xf>
    <xf numFmtId="0" fontId="0" fillId="5" borderId="25" xfId="0" applyFill="1" applyBorder="1" applyAlignment="1" applyProtection="1">
      <alignment horizontal="center" vertical="center" wrapText="1"/>
    </xf>
    <xf numFmtId="0" fontId="0" fillId="5" borderId="26" xfId="0" applyFill="1" applyBorder="1" applyAlignment="1" applyProtection="1">
      <alignment horizontal="center" vertical="center" wrapText="1"/>
    </xf>
    <xf numFmtId="0" fontId="0" fillId="5" borderId="1" xfId="0" applyFill="1" applyBorder="1" applyAlignment="1" applyProtection="1">
      <alignment horizontal="center" vertical="center"/>
    </xf>
    <xf numFmtId="0" fontId="0" fillId="0" borderId="0" xfId="0" applyFill="1" applyBorder="1" applyAlignment="1" applyProtection="1">
      <alignment horizontal="center" vertical="center" shrinkToFit="1"/>
      <protection locked="0"/>
    </xf>
    <xf numFmtId="0" fontId="0" fillId="5" borderId="2" xfId="0" applyFill="1" applyBorder="1" applyAlignment="1" applyProtection="1">
      <alignment horizontal="center" vertical="center" wrapText="1"/>
      <protection locked="0"/>
    </xf>
    <xf numFmtId="0" fontId="0" fillId="5" borderId="2" xfId="0" applyFill="1" applyBorder="1" applyAlignment="1" applyProtection="1">
      <alignment horizontal="center" vertical="center"/>
      <protection locked="0"/>
    </xf>
    <xf numFmtId="0" fontId="0" fillId="4" borderId="1" xfId="0" applyFill="1" applyBorder="1" applyAlignment="1" applyProtection="1">
      <alignment horizontal="center" vertical="center"/>
    </xf>
    <xf numFmtId="0" fontId="0" fillId="4" borderId="8" xfId="0" applyFill="1" applyBorder="1" applyAlignment="1" applyProtection="1">
      <alignment horizontal="center"/>
      <protection locked="0"/>
    </xf>
    <xf numFmtId="0" fontId="0" fillId="4" borderId="10" xfId="0" applyFill="1" applyBorder="1" applyAlignment="1" applyProtection="1">
      <alignment horizontal="center"/>
      <protection locked="0"/>
    </xf>
    <xf numFmtId="14" fontId="0" fillId="0" borderId="11" xfId="0" applyNumberFormat="1" applyBorder="1" applyAlignment="1" applyProtection="1">
      <alignment horizontal="center"/>
      <protection locked="0"/>
    </xf>
    <xf numFmtId="14" fontId="0" fillId="0" borderId="11" xfId="0" applyNumberFormat="1" applyFill="1" applyBorder="1" applyAlignment="1">
      <alignment horizontal="center"/>
    </xf>
    <xf numFmtId="0" fontId="0" fillId="6" borderId="11" xfId="0" applyFill="1" applyBorder="1" applyAlignment="1" applyProtection="1">
      <alignment horizontal="center" wrapText="1"/>
      <protection locked="0"/>
    </xf>
    <xf numFmtId="0" fontId="0" fillId="0" borderId="0" xfId="0" applyBorder="1" applyAlignment="1" applyProtection="1">
      <alignment horizontal="center"/>
      <protection locked="0"/>
    </xf>
    <xf numFmtId="14" fontId="0" fillId="6" borderId="1" xfId="0" applyNumberFormat="1" applyFill="1" applyBorder="1" applyAlignment="1">
      <alignment horizontal="center"/>
    </xf>
    <xf numFmtId="14" fontId="0" fillId="0" borderId="1" xfId="0" applyNumberFormat="1" applyFill="1" applyBorder="1" applyAlignment="1">
      <alignment horizontal="center" shrinkToFit="1"/>
    </xf>
    <xf numFmtId="0" fontId="0" fillId="0" borderId="1" xfId="0" applyBorder="1" applyAlignment="1" applyProtection="1">
      <alignment horizontal="center" shrinkToFit="1"/>
      <protection locked="0"/>
    </xf>
    <xf numFmtId="1" fontId="0" fillId="6" borderId="1" xfId="0" applyNumberFormat="1" applyFill="1" applyBorder="1" applyAlignment="1">
      <alignment horizontal="center" shrinkToFit="1"/>
    </xf>
    <xf numFmtId="0" fontId="0" fillId="5" borderId="1" xfId="0" applyFill="1" applyBorder="1" applyAlignment="1" applyProtection="1">
      <alignment horizontal="center" vertical="center" shrinkToFit="1"/>
    </xf>
    <xf numFmtId="166" fontId="0" fillId="0" borderId="1" xfId="0" applyNumberFormat="1" applyFill="1" applyBorder="1" applyAlignment="1">
      <alignment horizontal="center" shrinkToFit="1"/>
    </xf>
    <xf numFmtId="0" fontId="0" fillId="0" borderId="1" xfId="0" applyBorder="1" applyAlignment="1" applyProtection="1">
      <protection locked="0"/>
    </xf>
    <xf numFmtId="0" fontId="0" fillId="6" borderId="12" xfId="0" applyFill="1" applyBorder="1" applyAlignment="1" applyProtection="1">
      <alignment horizontal="center" wrapText="1"/>
      <protection locked="0"/>
    </xf>
    <xf numFmtId="2" fontId="0" fillId="0" borderId="1" xfId="0" applyNumberFormat="1" applyFill="1" applyBorder="1" applyAlignment="1">
      <alignment horizontal="center"/>
    </xf>
    <xf numFmtId="167" fontId="0" fillId="0" borderId="1" xfId="0" applyNumberFormat="1" applyFill="1" applyBorder="1" applyAlignment="1">
      <alignment horizontal="center"/>
    </xf>
    <xf numFmtId="14" fontId="0" fillId="0" borderId="0" xfId="0" applyNumberFormat="1" applyBorder="1" applyAlignment="1" applyProtection="1">
      <alignment horizontal="center"/>
      <protection locked="0"/>
    </xf>
    <xf numFmtId="0" fontId="13" fillId="0" borderId="0" xfId="0" applyFont="1" applyAlignment="1">
      <alignment horizontal="center" vertical="center"/>
    </xf>
    <xf numFmtId="0" fontId="0" fillId="0" borderId="70" xfId="0" applyBorder="1"/>
    <xf numFmtId="0" fontId="13" fillId="13" borderId="65" xfId="0" applyFont="1" applyFill="1" applyBorder="1" applyAlignment="1">
      <alignment horizontal="center" vertical="center"/>
    </xf>
    <xf numFmtId="0" fontId="13" fillId="9" borderId="65" xfId="0" applyFont="1" applyFill="1" applyBorder="1" applyAlignment="1">
      <alignment horizontal="center" vertical="center"/>
    </xf>
    <xf numFmtId="0" fontId="13" fillId="6" borderId="67" xfId="0" applyFont="1" applyFill="1" applyBorder="1" applyAlignment="1">
      <alignment horizontal="center" vertical="center"/>
    </xf>
    <xf numFmtId="0" fontId="13" fillId="13" borderId="67" xfId="0" applyFont="1" applyFill="1" applyBorder="1" applyAlignment="1">
      <alignment horizontal="center" vertical="center"/>
    </xf>
    <xf numFmtId="0" fontId="13" fillId="12" borderId="66" xfId="0" applyFont="1" applyFill="1" applyBorder="1" applyAlignment="1">
      <alignment horizontal="center" vertical="center"/>
    </xf>
    <xf numFmtId="0" fontId="13" fillId="13" borderId="69" xfId="0" applyFont="1" applyFill="1" applyBorder="1" applyAlignment="1">
      <alignment horizontal="center" vertical="center"/>
    </xf>
    <xf numFmtId="0" fontId="13" fillId="9" borderId="67" xfId="0" applyFont="1" applyFill="1" applyBorder="1" applyAlignment="1">
      <alignment horizontal="center" vertical="center"/>
    </xf>
    <xf numFmtId="0" fontId="13" fillId="12" borderId="65" xfId="0" applyFont="1" applyFill="1" applyBorder="1" applyAlignment="1">
      <alignment horizontal="center" vertical="center"/>
    </xf>
    <xf numFmtId="0" fontId="13" fillId="6" borderId="65" xfId="0" applyFont="1" applyFill="1" applyBorder="1" applyAlignment="1">
      <alignment horizontal="center" vertical="center"/>
    </xf>
    <xf numFmtId="0" fontId="13" fillId="6" borderId="66" xfId="0" applyFont="1" applyFill="1" applyBorder="1" applyAlignment="1">
      <alignment horizontal="center" vertical="center"/>
    </xf>
    <xf numFmtId="0" fontId="13" fillId="13" borderId="66" xfId="0" applyFont="1" applyFill="1" applyBorder="1" applyAlignment="1">
      <alignment horizontal="center" vertical="center"/>
    </xf>
    <xf numFmtId="167" fontId="0" fillId="0" borderId="0" xfId="0" applyNumberFormat="1"/>
    <xf numFmtId="0" fontId="13" fillId="6" borderId="68" xfId="0" applyFont="1" applyFill="1" applyBorder="1" applyAlignment="1">
      <alignment horizontal="center" vertical="center" wrapText="1"/>
    </xf>
    <xf numFmtId="0" fontId="0" fillId="5" borderId="71" xfId="0" applyFill="1" applyBorder="1" applyAlignment="1" applyProtection="1">
      <alignment horizontal="center" vertical="center" wrapText="1"/>
    </xf>
    <xf numFmtId="0" fontId="0" fillId="5" borderId="28" xfId="0" applyFill="1" applyBorder="1" applyAlignment="1" applyProtection="1">
      <alignment horizontal="center" vertical="center" wrapText="1"/>
    </xf>
    <xf numFmtId="0" fontId="0" fillId="5" borderId="29" xfId="0" applyFill="1" applyBorder="1" applyAlignment="1" applyProtection="1">
      <alignment horizontal="center" vertical="center" wrapText="1"/>
    </xf>
    <xf numFmtId="0" fontId="0" fillId="6" borderId="25" xfId="0" applyFill="1" applyBorder="1" applyAlignment="1" applyProtection="1">
      <alignment horizontal="center" wrapText="1"/>
      <protection locked="0"/>
    </xf>
    <xf numFmtId="0" fontId="0" fillId="6" borderId="26" xfId="0" applyFill="1" applyBorder="1" applyAlignment="1" applyProtection="1">
      <alignment horizontal="center" wrapText="1"/>
      <protection locked="0"/>
    </xf>
    <xf numFmtId="0" fontId="0" fillId="6" borderId="9" xfId="0" applyFill="1" applyBorder="1" applyAlignment="1" applyProtection="1">
      <alignment horizontal="center" wrapText="1"/>
      <protection locked="0"/>
    </xf>
    <xf numFmtId="0" fontId="0" fillId="4" borderId="24" xfId="0" applyFill="1" applyBorder="1" applyAlignment="1" applyProtection="1">
      <alignment horizontal="center"/>
      <protection locked="0"/>
    </xf>
    <xf numFmtId="0" fontId="0" fillId="5" borderId="64" xfId="0" applyFill="1" applyBorder="1" applyAlignment="1" applyProtection="1">
      <alignment horizontal="center" vertical="center" wrapText="1"/>
    </xf>
    <xf numFmtId="14" fontId="0" fillId="0" borderId="0" xfId="0" applyNumberFormat="1" applyProtection="1">
      <protection locked="0"/>
    </xf>
    <xf numFmtId="0" fontId="13" fillId="0" borderId="0" xfId="0" applyFont="1" applyAlignment="1">
      <alignment horizontal="center" vertical="center"/>
    </xf>
    <xf numFmtId="14" fontId="0" fillId="0" borderId="0" xfId="0" applyNumberFormat="1" applyFill="1" applyBorder="1" applyAlignment="1" applyProtection="1">
      <alignment horizontal="center"/>
      <protection locked="0"/>
    </xf>
    <xf numFmtId="0" fontId="0" fillId="0" borderId="16" xfId="0" applyBorder="1" applyAlignment="1" applyProtection="1">
      <alignment horizontal="center" shrinkToFit="1"/>
      <protection locked="0"/>
    </xf>
    <xf numFmtId="0" fontId="0" fillId="5" borderId="1" xfId="0" applyFill="1" applyBorder="1" applyAlignment="1" applyProtection="1">
      <alignment horizontal="center" vertical="center" wrapText="1"/>
      <protection locked="0"/>
    </xf>
    <xf numFmtId="0" fontId="2" fillId="2" borderId="19" xfId="0" applyFont="1" applyFill="1" applyBorder="1" applyAlignment="1" applyProtection="1">
      <protection locked="0"/>
    </xf>
    <xf numFmtId="0" fontId="2" fillId="2" borderId="20" xfId="0" applyFont="1" applyFill="1" applyBorder="1" applyAlignment="1" applyProtection="1">
      <protection locked="0"/>
    </xf>
    <xf numFmtId="0" fontId="2" fillId="2" borderId="21" xfId="0" applyFont="1" applyFill="1" applyBorder="1" applyAlignment="1" applyProtection="1">
      <protection locked="0"/>
    </xf>
    <xf numFmtId="0" fontId="0" fillId="0" borderId="1" xfId="0" applyFill="1" applyBorder="1" applyAlignment="1" applyProtection="1">
      <alignment horizontal="center"/>
      <protection locked="0"/>
    </xf>
    <xf numFmtId="0" fontId="0" fillId="0" borderId="1" xfId="0" applyBorder="1" applyAlignment="1">
      <alignment horizontal="center"/>
    </xf>
    <xf numFmtId="0" fontId="0" fillId="0" borderId="8" xfId="0" applyBorder="1" applyAlignment="1">
      <alignment horizontal="center" vertical="center"/>
    </xf>
    <xf numFmtId="0" fontId="0" fillId="0" borderId="10" xfId="0" applyBorder="1" applyAlignment="1">
      <alignment horizontal="center" vertical="center"/>
    </xf>
    <xf numFmtId="0" fontId="0" fillId="6" borderId="0" xfId="0" applyFill="1"/>
    <xf numFmtId="14" fontId="0" fillId="6" borderId="1" xfId="0" applyNumberFormat="1" applyFill="1" applyBorder="1" applyAlignment="1" applyProtection="1">
      <alignment horizontal="center"/>
      <protection locked="0"/>
    </xf>
    <xf numFmtId="2" fontId="0" fillId="0" borderId="1" xfId="0" applyNumberFormat="1" applyBorder="1" applyAlignment="1">
      <alignment horizontal="center" vertical="center"/>
    </xf>
    <xf numFmtId="166" fontId="0" fillId="0" borderId="1" xfId="0" applyNumberFormat="1" applyBorder="1" applyAlignment="1">
      <alignment horizontal="center"/>
    </xf>
    <xf numFmtId="1" fontId="0" fillId="0" borderId="1" xfId="0" applyNumberFormat="1" applyBorder="1" applyAlignment="1">
      <alignment horizontal="center"/>
    </xf>
    <xf numFmtId="1" fontId="0" fillId="0" borderId="1" xfId="0" applyNumberFormat="1" applyBorder="1" applyAlignment="1">
      <alignment horizontal="center" vertical="center"/>
    </xf>
    <xf numFmtId="1" fontId="0" fillId="0" borderId="9" xfId="0" applyNumberFormat="1" applyBorder="1" applyAlignment="1">
      <alignment horizontal="center"/>
    </xf>
    <xf numFmtId="1" fontId="0" fillId="0" borderId="11" xfId="0" applyNumberFormat="1" applyBorder="1" applyAlignment="1">
      <alignment horizontal="center"/>
    </xf>
    <xf numFmtId="1" fontId="0" fillId="0" borderId="11" xfId="0" applyNumberFormat="1" applyBorder="1" applyAlignment="1">
      <alignment horizontal="center" vertical="center"/>
    </xf>
    <xf numFmtId="1" fontId="0" fillId="0" borderId="12" xfId="0" applyNumberFormat="1" applyBorder="1" applyAlignment="1">
      <alignment horizontal="center"/>
    </xf>
    <xf numFmtId="166" fontId="0" fillId="0" borderId="2" xfId="0" applyNumberFormat="1" applyBorder="1" applyAlignment="1">
      <alignment horizontal="center"/>
    </xf>
    <xf numFmtId="2" fontId="0" fillId="0" borderId="2" xfId="0" applyNumberFormat="1" applyBorder="1" applyAlignment="1">
      <alignment horizontal="center" vertical="center"/>
    </xf>
    <xf numFmtId="0" fontId="2" fillId="2" borderId="11" xfId="0" applyFont="1" applyFill="1" applyBorder="1" applyAlignment="1">
      <alignment horizontal="center" vertical="center" wrapText="1"/>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wrapText="1"/>
    </xf>
    <xf numFmtId="1" fontId="0" fillId="0" borderId="0" xfId="0" applyNumberFormat="1"/>
    <xf numFmtId="166" fontId="0" fillId="0" borderId="6" xfId="0" applyNumberFormat="1" applyBorder="1" applyAlignment="1">
      <alignment horizontal="center"/>
    </xf>
    <xf numFmtId="166" fontId="0" fillId="0" borderId="7" xfId="0" applyNumberFormat="1" applyBorder="1" applyAlignment="1">
      <alignment horizontal="center"/>
    </xf>
    <xf numFmtId="166" fontId="0" fillId="0" borderId="8" xfId="0" applyNumberFormat="1" applyBorder="1" applyAlignment="1">
      <alignment horizontal="center"/>
    </xf>
    <xf numFmtId="2" fontId="0" fillId="0" borderId="9" xfId="0" applyNumberFormat="1" applyBorder="1" applyAlignment="1">
      <alignment horizontal="center"/>
    </xf>
    <xf numFmtId="1" fontId="0" fillId="0" borderId="8" xfId="0" applyNumberFormat="1" applyBorder="1" applyAlignment="1">
      <alignment horizontal="center"/>
    </xf>
    <xf numFmtId="166" fontId="0" fillId="0" borderId="9" xfId="0" applyNumberFormat="1" applyBorder="1" applyAlignment="1">
      <alignment horizontal="center"/>
    </xf>
    <xf numFmtId="166" fontId="0" fillId="0" borderId="6" xfId="0" applyNumberFormat="1" applyBorder="1" applyAlignment="1">
      <alignment horizontal="center" vertical="center"/>
    </xf>
    <xf numFmtId="166" fontId="0" fillId="0" borderId="8" xfId="0" applyNumberFormat="1" applyBorder="1" applyAlignment="1">
      <alignment horizontal="center" vertical="center"/>
    </xf>
    <xf numFmtId="1" fontId="0" fillId="0" borderId="2" xfId="0" applyNumberFormat="1" applyBorder="1" applyAlignment="1">
      <alignment horizontal="center" vertical="center" wrapText="1"/>
    </xf>
    <xf numFmtId="1" fontId="0" fillId="0" borderId="1" xfId="0" applyNumberFormat="1" applyBorder="1" applyAlignment="1">
      <alignment horizontal="center" vertical="center" wrapText="1"/>
    </xf>
    <xf numFmtId="1" fontId="0" fillId="0" borderId="7" xfId="0" applyNumberFormat="1" applyBorder="1" applyAlignment="1">
      <alignment horizontal="center" vertical="center"/>
    </xf>
    <xf numFmtId="1" fontId="0" fillId="0" borderId="9" xfId="0" applyNumberFormat="1" applyBorder="1" applyAlignment="1">
      <alignment horizontal="center" vertical="center"/>
    </xf>
    <xf numFmtId="166" fontId="0" fillId="0" borderId="10" xfId="0" applyNumberFormat="1" applyBorder="1" applyAlignment="1">
      <alignment horizontal="center" vertical="center"/>
    </xf>
    <xf numFmtId="1" fontId="0" fillId="0" borderId="11" xfId="0" applyNumberFormat="1" applyBorder="1" applyAlignment="1">
      <alignment horizontal="center" vertical="center" wrapText="1"/>
    </xf>
    <xf numFmtId="1" fontId="0" fillId="0" borderId="12" xfId="0" applyNumberFormat="1" applyBorder="1" applyAlignment="1">
      <alignment horizontal="center" vertical="center"/>
    </xf>
    <xf numFmtId="0" fontId="0" fillId="0" borderId="0" xfId="0" applyAlignment="1">
      <alignment horizontal="center" vertical="center"/>
    </xf>
    <xf numFmtId="0" fontId="0" fillId="2" borderId="1" xfId="0" applyFill="1" applyBorder="1" applyAlignment="1" applyProtection="1">
      <alignment horizontal="center" vertical="center"/>
      <protection locked="0"/>
    </xf>
    <xf numFmtId="1" fontId="0" fillId="4" borderId="1" xfId="0" applyNumberFormat="1" applyFill="1" applyBorder="1" applyAlignment="1">
      <alignment horizontal="center" vertical="center"/>
    </xf>
    <xf numFmtId="0" fontId="0" fillId="4" borderId="1" xfId="0" applyFill="1" applyBorder="1" applyAlignment="1">
      <alignment horizontal="center" vertical="center"/>
    </xf>
    <xf numFmtId="11" fontId="0" fillId="0" borderId="0" xfId="0" applyNumberFormat="1" applyFill="1" applyBorder="1" applyAlignment="1">
      <alignment horizontal="center"/>
    </xf>
    <xf numFmtId="9" fontId="0" fillId="0" borderId="1" xfId="1" applyFont="1" applyFill="1" applyBorder="1" applyAlignment="1">
      <alignment horizontal="center"/>
    </xf>
    <xf numFmtId="11" fontId="0" fillId="0" borderId="61" xfId="0" applyNumberFormat="1" applyBorder="1" applyAlignment="1">
      <alignment horizontal="center"/>
    </xf>
    <xf numFmtId="0" fontId="0" fillId="0" borderId="60" xfId="0" applyBorder="1" applyAlignment="1">
      <alignment horizontal="center"/>
    </xf>
    <xf numFmtId="2" fontId="0" fillId="0" borderId="0" xfId="0" applyNumberFormat="1"/>
    <xf numFmtId="169" fontId="0" fillId="9" borderId="1" xfId="0" applyNumberFormat="1" applyFill="1" applyBorder="1" applyAlignment="1" applyProtection="1">
      <alignment horizontal="center"/>
      <protection locked="0"/>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2" fillId="2" borderId="27" xfId="0" applyFont="1" applyFill="1" applyBorder="1" applyAlignment="1">
      <alignment horizontal="center" vertical="center"/>
    </xf>
    <xf numFmtId="0" fontId="2" fillId="2" borderId="58" xfId="0" applyFont="1" applyFill="1" applyBorder="1" applyAlignment="1">
      <alignment horizontal="center" vertical="center" wrapText="1"/>
    </xf>
    <xf numFmtId="0" fontId="0" fillId="0" borderId="31" xfId="0" applyFill="1" applyBorder="1" applyAlignment="1" applyProtection="1">
      <protection locked="0"/>
    </xf>
    <xf numFmtId="0" fontId="0" fillId="0" borderId="56" xfId="0" applyFill="1" applyBorder="1" applyAlignment="1" applyProtection="1">
      <protection locked="0"/>
    </xf>
    <xf numFmtId="0" fontId="0" fillId="0" borderId="55" xfId="0" applyFill="1" applyBorder="1" applyAlignment="1" applyProtection="1">
      <protection locked="0"/>
    </xf>
    <xf numFmtId="0" fontId="2" fillId="2" borderId="27" xfId="0" applyFont="1" applyFill="1" applyBorder="1" applyAlignment="1">
      <alignment horizontal="center" vertical="center"/>
    </xf>
    <xf numFmtId="0" fontId="2" fillId="2" borderId="1" xfId="0" applyFont="1" applyFill="1" applyBorder="1" applyAlignment="1">
      <alignment horizontal="center" vertical="center" wrapText="1"/>
    </xf>
    <xf numFmtId="11" fontId="0" fillId="0" borderId="7" xfId="0" applyNumberFormat="1" applyBorder="1" applyAlignment="1">
      <alignment horizontal="center"/>
    </xf>
    <xf numFmtId="11" fontId="0" fillId="0" borderId="6" xfId="0" applyNumberFormat="1" applyBorder="1" applyAlignment="1">
      <alignment horizontal="center"/>
    </xf>
    <xf numFmtId="0" fontId="2" fillId="2" borderId="27" xfId="0" applyFont="1" applyFill="1" applyBorder="1" applyAlignment="1">
      <alignment horizontal="center" vertical="center"/>
    </xf>
    <xf numFmtId="11" fontId="0" fillId="0" borderId="60" xfId="0" applyNumberFormat="1" applyBorder="1" applyAlignment="1">
      <alignment horizontal="center"/>
    </xf>
    <xf numFmtId="167" fontId="0" fillId="0" borderId="1" xfId="0" applyNumberFormat="1" applyBorder="1" applyAlignment="1">
      <alignment horizontal="center"/>
    </xf>
    <xf numFmtId="167" fontId="0" fillId="0" borderId="8" xfId="0" applyNumberFormat="1" applyBorder="1" applyAlignment="1">
      <alignment horizontal="center"/>
    </xf>
    <xf numFmtId="167" fontId="0" fillId="0" borderId="9" xfId="0" applyNumberFormat="1" applyBorder="1" applyAlignment="1">
      <alignment horizontal="center"/>
    </xf>
    <xf numFmtId="167" fontId="0" fillId="0" borderId="10" xfId="0" applyNumberFormat="1" applyBorder="1" applyAlignment="1">
      <alignment horizontal="center"/>
    </xf>
    <xf numFmtId="167" fontId="0" fillId="0" borderId="11" xfId="0" applyNumberFormat="1" applyBorder="1" applyAlignment="1">
      <alignment horizontal="center"/>
    </xf>
    <xf numFmtId="167" fontId="0" fillId="0" borderId="12" xfId="0" applyNumberFormat="1" applyBorder="1" applyAlignment="1">
      <alignment horizontal="center"/>
    </xf>
    <xf numFmtId="0" fontId="2" fillId="2" borderId="27"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27" xfId="0" applyFont="1" applyFill="1" applyBorder="1" applyAlignment="1">
      <alignment horizontal="center" vertical="center"/>
    </xf>
    <xf numFmtId="0" fontId="0" fillId="4" borderId="1" xfId="0" quotePrefix="1" applyFill="1" applyBorder="1" applyAlignment="1">
      <alignment horizontal="center"/>
    </xf>
    <xf numFmtId="0" fontId="2" fillId="2" borderId="24" xfId="0" applyFont="1" applyFill="1" applyBorder="1" applyAlignment="1">
      <alignment horizontal="center" vertical="center" wrapText="1"/>
    </xf>
    <xf numFmtId="0" fontId="2" fillId="2" borderId="27" xfId="0" applyFont="1" applyFill="1" applyBorder="1" applyAlignment="1">
      <alignment horizontal="center" vertical="center"/>
    </xf>
    <xf numFmtId="0" fontId="2" fillId="2" borderId="61" xfId="0" applyFont="1" applyFill="1"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62" xfId="0" applyBorder="1" applyAlignment="1">
      <alignment horizontal="center" vertical="center"/>
    </xf>
    <xf numFmtId="0" fontId="2" fillId="2" borderId="12" xfId="0" applyFont="1" applyFill="1" applyBorder="1" applyAlignment="1">
      <alignment horizontal="center" vertical="center"/>
    </xf>
    <xf numFmtId="11" fontId="0" fillId="0" borderId="24" xfId="0" applyNumberFormat="1" applyBorder="1" applyAlignment="1">
      <alignment horizontal="center" vertical="center"/>
    </xf>
    <xf numFmtId="11" fontId="0" fillId="0" borderId="8" xfId="0" applyNumberFormat="1" applyBorder="1" applyAlignment="1">
      <alignment horizontal="center" vertical="center"/>
    </xf>
    <xf numFmtId="11" fontId="0" fillId="0" borderId="10" xfId="0" applyNumberFormat="1" applyBorder="1" applyAlignment="1">
      <alignment horizontal="center" vertical="center"/>
    </xf>
    <xf numFmtId="11" fontId="0" fillId="0" borderId="8" xfId="0" applyNumberFormat="1" applyBorder="1" applyAlignment="1">
      <alignment horizontal="center" vertical="center" wrapText="1"/>
    </xf>
    <xf numFmtId="1" fontId="0" fillId="0" borderId="24" xfId="0" applyNumberFormat="1" applyBorder="1" applyAlignment="1">
      <alignment horizontal="center" vertical="center"/>
    </xf>
    <xf numFmtId="1" fontId="0" fillId="0" borderId="26" xfId="0" applyNumberFormat="1" applyBorder="1" applyAlignment="1">
      <alignment horizontal="center" vertical="center"/>
    </xf>
    <xf numFmtId="167" fontId="0" fillId="0" borderId="10" xfId="0" applyNumberFormat="1" applyBorder="1" applyAlignment="1">
      <alignment horizontal="center" vertical="center"/>
    </xf>
    <xf numFmtId="0" fontId="2" fillId="2" borderId="1" xfId="0" applyFont="1" applyFill="1" applyBorder="1" applyAlignment="1">
      <alignment vertical="center"/>
    </xf>
    <xf numFmtId="0" fontId="2" fillId="2" borderId="9" xfId="0" applyFont="1" applyFill="1" applyBorder="1" applyAlignment="1">
      <alignment vertical="center"/>
    </xf>
    <xf numFmtId="168" fontId="0" fillId="4" borderId="1" xfId="0" applyNumberFormat="1" applyFill="1" applyBorder="1" applyAlignment="1" applyProtection="1">
      <alignment horizontal="center"/>
      <protection locked="0"/>
    </xf>
    <xf numFmtId="0" fontId="2" fillId="2" borderId="19"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0" fillId="2" borderId="55" xfId="0" applyFill="1" applyBorder="1" applyAlignment="1" applyProtection="1">
      <alignment horizontal="center"/>
      <protection locked="0"/>
    </xf>
    <xf numFmtId="0" fontId="2" fillId="2" borderId="24" xfId="0" applyFont="1" applyFill="1" applyBorder="1" applyAlignment="1">
      <alignment horizontal="center" vertical="center" wrapText="1"/>
    </xf>
    <xf numFmtId="0" fontId="0" fillId="0" borderId="56" xfId="0" applyBorder="1" applyAlignment="1">
      <alignment horizontal="center"/>
    </xf>
    <xf numFmtId="0" fontId="0" fillId="0" borderId="8" xfId="0" applyBorder="1" applyAlignment="1">
      <alignment horizontal="center" vertical="center"/>
    </xf>
    <xf numFmtId="0" fontId="0" fillId="0" borderId="10" xfId="0" applyBorder="1" applyAlignment="1">
      <alignment horizontal="center" vertical="center"/>
    </xf>
    <xf numFmtId="0" fontId="2" fillId="2" borderId="27" xfId="0" applyFont="1" applyFill="1" applyBorder="1" applyAlignment="1">
      <alignment horizontal="center" vertical="center"/>
    </xf>
    <xf numFmtId="0" fontId="2" fillId="2" borderId="27" xfId="0" applyFont="1" applyFill="1" applyBorder="1" applyAlignment="1">
      <alignment horizontal="center" vertical="center"/>
    </xf>
    <xf numFmtId="0" fontId="0" fillId="2" borderId="31" xfId="0" applyFill="1" applyBorder="1" applyAlignment="1" applyProtection="1">
      <protection locked="0"/>
    </xf>
    <xf numFmtId="0" fontId="0" fillId="2" borderId="55" xfId="0" applyFill="1" applyBorder="1" applyAlignment="1" applyProtection="1">
      <protection locked="0"/>
    </xf>
    <xf numFmtId="166" fontId="0" fillId="4" borderId="31" xfId="0" applyNumberFormat="1" applyFill="1" applyBorder="1" applyAlignment="1">
      <alignment horizontal="center"/>
    </xf>
    <xf numFmtId="0" fontId="0" fillId="2" borderId="56" xfId="0" applyFill="1" applyBorder="1" applyAlignment="1" applyProtection="1">
      <protection locked="0"/>
    </xf>
    <xf numFmtId="0" fontId="0" fillId="0" borderId="31" xfId="0" applyBorder="1" applyAlignment="1">
      <alignment horizontal="center"/>
    </xf>
    <xf numFmtId="0" fontId="0" fillId="0" borderId="31" xfId="0" applyBorder="1" applyAlignment="1">
      <alignment horizontal="center"/>
    </xf>
    <xf numFmtId="0" fontId="0" fillId="2" borderId="1" xfId="0" applyFill="1" applyBorder="1" applyAlignment="1" applyProtection="1">
      <alignment horizontal="center"/>
    </xf>
    <xf numFmtId="0" fontId="0" fillId="2" borderId="31" xfId="0" applyFill="1" applyBorder="1" applyAlignment="1" applyProtection="1">
      <alignment horizontal="center"/>
    </xf>
    <xf numFmtId="0" fontId="0" fillId="6" borderId="1" xfId="0" applyFill="1" applyBorder="1" applyAlignment="1" applyProtection="1">
      <alignment horizontal="center"/>
    </xf>
    <xf numFmtId="169" fontId="0" fillId="0" borderId="1" xfId="0" applyNumberFormat="1" applyFill="1" applyBorder="1" applyAlignment="1" applyProtection="1">
      <alignment horizontal="center"/>
      <protection locked="0"/>
    </xf>
    <xf numFmtId="0" fontId="0" fillId="0" borderId="0" xfId="0" applyFill="1"/>
    <xf numFmtId="166" fontId="0" fillId="9" borderId="1" xfId="0" applyNumberFormat="1" applyFill="1" applyBorder="1" applyAlignment="1">
      <alignment horizontal="center"/>
    </xf>
    <xf numFmtId="0" fontId="0" fillId="12" borderId="0" xfId="0" applyFill="1" applyProtection="1">
      <protection locked="0"/>
    </xf>
    <xf numFmtId="0" fontId="0" fillId="6" borderId="55" xfId="0" applyFill="1" applyBorder="1" applyAlignment="1" applyProtection="1">
      <alignment horizontal="center" vertical="center"/>
    </xf>
    <xf numFmtId="0" fontId="0" fillId="6" borderId="1" xfId="0" applyFill="1" applyBorder="1" applyAlignment="1" applyProtection="1">
      <alignment horizontal="center" vertical="center"/>
    </xf>
    <xf numFmtId="0" fontId="0" fillId="0" borderId="1" xfId="0" applyFill="1" applyBorder="1" applyAlignment="1" applyProtection="1">
      <alignment horizontal="center" vertical="center"/>
    </xf>
    <xf numFmtId="0" fontId="0" fillId="5" borderId="42" xfId="0" applyFill="1" applyBorder="1" applyAlignment="1" applyProtection="1">
      <alignment horizontal="center" vertical="center" wrapText="1"/>
    </xf>
    <xf numFmtId="0" fontId="0" fillId="4" borderId="9" xfId="0" applyFill="1" applyBorder="1" applyAlignment="1" applyProtection="1">
      <alignment horizontal="center"/>
    </xf>
    <xf numFmtId="0" fontId="0" fillId="2" borderId="51" xfId="0" applyFill="1" applyBorder="1" applyAlignment="1" applyProtection="1">
      <alignment horizontal="center"/>
    </xf>
    <xf numFmtId="0" fontId="0" fillId="2" borderId="0" xfId="0" applyFill="1" applyAlignment="1" applyProtection="1">
      <alignment horizontal="center"/>
      <protection locked="0"/>
    </xf>
    <xf numFmtId="0" fontId="0" fillId="0" borderId="1" xfId="0" applyBorder="1" applyAlignment="1">
      <alignment horizontal="center"/>
    </xf>
    <xf numFmtId="0" fontId="0" fillId="0" borderId="55" xfId="0" applyBorder="1" applyAlignment="1">
      <alignment horizontal="center"/>
    </xf>
    <xf numFmtId="0" fontId="2" fillId="2" borderId="48" xfId="0" applyFont="1" applyFill="1" applyBorder="1" applyAlignment="1">
      <alignment horizontal="center" vertical="center" wrapText="1"/>
    </xf>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2" borderId="1" xfId="0" applyFill="1" applyBorder="1" applyAlignment="1" applyProtection="1">
      <alignment horizontal="center"/>
    </xf>
    <xf numFmtId="0" fontId="0" fillId="2" borderId="1" xfId="0" applyFill="1" applyBorder="1" applyAlignment="1" applyProtection="1">
      <alignment horizontal="center"/>
      <protection locked="0"/>
    </xf>
    <xf numFmtId="0" fontId="0" fillId="2" borderId="31" xfId="0" applyFill="1" applyBorder="1" applyAlignment="1" applyProtection="1">
      <alignment horizontal="center"/>
      <protection locked="0"/>
    </xf>
    <xf numFmtId="0" fontId="0" fillId="2" borderId="56" xfId="0" applyFill="1" applyBorder="1" applyAlignment="1" applyProtection="1">
      <alignment horizontal="center"/>
      <protection locked="0"/>
    </xf>
    <xf numFmtId="0" fontId="0" fillId="0" borderId="1" xfId="0" applyBorder="1" applyAlignment="1">
      <alignment horizontal="center"/>
    </xf>
    <xf numFmtId="0" fontId="0" fillId="11" borderId="43" xfId="0" applyFill="1" applyBorder="1" applyAlignment="1" applyProtection="1">
      <alignment horizontal="center" vertical="center" wrapText="1"/>
    </xf>
    <xf numFmtId="168" fontId="0" fillId="4" borderId="31" xfId="0" applyNumberFormat="1" applyFill="1" applyBorder="1" applyAlignment="1" applyProtection="1">
      <alignment horizontal="center"/>
    </xf>
    <xf numFmtId="0" fontId="0" fillId="0" borderId="26" xfId="0" applyBorder="1"/>
    <xf numFmtId="0" fontId="0" fillId="0" borderId="8" xfId="0" applyBorder="1"/>
    <xf numFmtId="0" fontId="0" fillId="0" borderId="10" xfId="0" applyBorder="1"/>
    <xf numFmtId="0" fontId="0" fillId="0" borderId="6" xfId="0" applyBorder="1"/>
    <xf numFmtId="0" fontId="0" fillId="0" borderId="42" xfId="0" applyBorder="1"/>
    <xf numFmtId="0" fontId="0" fillId="0" borderId="55" xfId="0" applyBorder="1"/>
    <xf numFmtId="0" fontId="0" fillId="0" borderId="72" xfId="0" applyBorder="1"/>
    <xf numFmtId="0" fontId="2" fillId="2" borderId="44" xfId="0" applyFont="1" applyFill="1" applyBorder="1" applyAlignment="1">
      <alignment horizontal="center" vertical="center"/>
    </xf>
    <xf numFmtId="0" fontId="0" fillId="0" borderId="49" xfId="0" applyBorder="1" applyAlignment="1">
      <alignment horizontal="center"/>
    </xf>
    <xf numFmtId="0" fontId="0" fillId="0" borderId="72" xfId="0" applyBorder="1" applyAlignment="1">
      <alignment horizontal="center"/>
    </xf>
    <xf numFmtId="0" fontId="0" fillId="6" borderId="1" xfId="0" applyFill="1" applyBorder="1" applyAlignment="1" applyProtection="1">
      <alignment horizontal="center"/>
      <protection locked="0"/>
    </xf>
    <xf numFmtId="0" fontId="0" fillId="0" borderId="53" xfId="0" applyFill="1" applyBorder="1"/>
    <xf numFmtId="0" fontId="0" fillId="2" borderId="51" xfId="0" applyFill="1" applyBorder="1" applyAlignment="1" applyProtection="1">
      <alignment horizontal="center"/>
      <protection locked="0"/>
    </xf>
    <xf numFmtId="0" fontId="0" fillId="2" borderId="32" xfId="0" applyFill="1" applyBorder="1" applyAlignment="1" applyProtection="1">
      <alignment horizontal="center"/>
    </xf>
    <xf numFmtId="0" fontId="0" fillId="2" borderId="56" xfId="0" applyFill="1" applyBorder="1" applyAlignment="1" applyProtection="1">
      <alignment horizontal="center"/>
      <protection locked="0"/>
    </xf>
    <xf numFmtId="168" fontId="0" fillId="4" borderId="1" xfId="0" applyNumberFormat="1" applyFill="1" applyBorder="1" applyAlignment="1" applyProtection="1">
      <alignment horizontal="center"/>
    </xf>
    <xf numFmtId="0" fontId="7" fillId="6" borderId="0" xfId="0" applyFont="1" applyFill="1"/>
    <xf numFmtId="0" fontId="2" fillId="2" borderId="0" xfId="0" applyFont="1" applyFill="1" applyBorder="1" applyAlignment="1">
      <alignment horizontal="center" vertical="center" wrapText="1"/>
    </xf>
    <xf numFmtId="1" fontId="0" fillId="0" borderId="0" xfId="0" applyNumberFormat="1" applyBorder="1" applyAlignment="1">
      <alignment horizontal="center" vertical="center"/>
    </xf>
    <xf numFmtId="0" fontId="0" fillId="6" borderId="0" xfId="0" applyFill="1" applyAlignment="1">
      <alignment horizontal="center" vertical="center"/>
    </xf>
    <xf numFmtId="0" fontId="0" fillId="2" borderId="1" xfId="0" applyFill="1" applyBorder="1" applyAlignment="1" applyProtection="1">
      <alignment horizontal="left" vertical="center"/>
      <protection locked="0"/>
    </xf>
    <xf numFmtId="0" fontId="0" fillId="6" borderId="0" xfId="0" applyFill="1" applyAlignment="1">
      <alignment horizontal="left" vertical="center"/>
    </xf>
    <xf numFmtId="0" fontId="0" fillId="9" borderId="1" xfId="0" applyFill="1" applyBorder="1" applyAlignment="1">
      <alignment horizontal="center" vertical="center"/>
    </xf>
    <xf numFmtId="0" fontId="0" fillId="6" borderId="0" xfId="0" applyFill="1" applyAlignment="1">
      <alignment horizontal="center"/>
    </xf>
    <xf numFmtId="1" fontId="0" fillId="9" borderId="1" xfId="0" applyNumberFormat="1" applyFill="1" applyBorder="1" applyAlignment="1">
      <alignment horizontal="center" vertical="center"/>
    </xf>
    <xf numFmtId="0" fontId="0" fillId="0" borderId="1" xfId="0" applyBorder="1" applyAlignment="1">
      <alignment horizontal="center" vertical="center"/>
    </xf>
    <xf numFmtId="0" fontId="0" fillId="0" borderId="31" xfId="0" applyBorder="1" applyAlignment="1">
      <alignment horizontal="center" vertical="center"/>
    </xf>
    <xf numFmtId="0" fontId="0" fillId="2" borderId="1" xfId="0" applyFill="1" applyBorder="1" applyAlignment="1" applyProtection="1">
      <alignment horizontal="center"/>
      <protection locked="0"/>
    </xf>
    <xf numFmtId="0" fontId="0" fillId="2" borderId="1" xfId="0" applyFill="1" applyBorder="1" applyAlignment="1" applyProtection="1">
      <alignment horizontal="center"/>
    </xf>
    <xf numFmtId="0" fontId="2" fillId="2" borderId="27" xfId="0" applyFont="1" applyFill="1" applyBorder="1" applyAlignment="1">
      <alignment horizontal="center" vertical="center" wrapText="1"/>
    </xf>
    <xf numFmtId="0" fontId="0" fillId="0" borderId="43" xfId="0" applyBorder="1" applyAlignment="1">
      <alignment horizontal="center" vertical="center"/>
    </xf>
    <xf numFmtId="0" fontId="0" fillId="0" borderId="45"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 fillId="2" borderId="28"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0" fillId="2" borderId="1" xfId="0" applyFill="1" applyBorder="1" applyAlignment="1" applyProtection="1">
      <alignment horizontal="center"/>
    </xf>
    <xf numFmtId="0" fontId="0" fillId="2" borderId="55" xfId="0" applyFill="1" applyBorder="1" applyAlignment="1" applyProtection="1">
      <alignment horizontal="center"/>
    </xf>
    <xf numFmtId="0" fontId="0" fillId="12" borderId="0" xfId="0" applyFill="1"/>
    <xf numFmtId="1" fontId="0" fillId="0" borderId="1" xfId="0" applyNumberFormat="1" applyFill="1" applyBorder="1"/>
    <xf numFmtId="0" fontId="0" fillId="0" borderId="0" xfId="0" applyBorder="1" applyAlignment="1">
      <alignment horizontal="center" vertical="center"/>
    </xf>
    <xf numFmtId="0" fontId="0" fillId="0" borderId="0" xfId="0" applyBorder="1" applyAlignment="1">
      <alignment horizontal="center" vertical="center" wrapText="1"/>
    </xf>
    <xf numFmtId="170" fontId="0" fillId="4" borderId="1" xfId="0" applyNumberFormat="1" applyFill="1" applyBorder="1" applyAlignment="1" applyProtection="1">
      <alignment horizontal="center"/>
    </xf>
    <xf numFmtId="0" fontId="0" fillId="14" borderId="0" xfId="0" applyFill="1" applyProtection="1">
      <protection locked="0"/>
    </xf>
    <xf numFmtId="0" fontId="0" fillId="5" borderId="57" xfId="0" applyFill="1" applyBorder="1" applyAlignment="1" applyProtection="1">
      <alignment horizontal="center" vertical="center" wrapText="1"/>
    </xf>
    <xf numFmtId="0" fontId="0" fillId="9" borderId="1" xfId="0" applyFill="1" applyBorder="1" applyAlignment="1" applyProtection="1">
      <alignment horizontal="center"/>
    </xf>
    <xf numFmtId="171" fontId="0" fillId="0" borderId="0" xfId="0" applyNumberFormat="1" applyProtection="1">
      <protection locked="0"/>
    </xf>
    <xf numFmtId="10" fontId="0" fillId="0" borderId="0" xfId="0" applyNumberFormat="1" applyProtection="1">
      <protection locked="0"/>
    </xf>
    <xf numFmtId="0" fontId="0" fillId="15" borderId="0" xfId="0" applyFill="1"/>
    <xf numFmtId="0" fontId="0" fillId="15" borderId="0" xfId="0" applyFill="1" applyBorder="1" applyAlignment="1">
      <alignment horizontal="center" vertical="center"/>
    </xf>
    <xf numFmtId="0" fontId="0" fillId="15" borderId="0" xfId="0" applyFill="1" applyBorder="1"/>
    <xf numFmtId="0" fontId="17" fillId="15" borderId="0" xfId="0" applyFont="1" applyFill="1" applyBorder="1" applyAlignment="1" applyProtection="1">
      <alignment horizontal="center" vertical="center"/>
    </xf>
    <xf numFmtId="0" fontId="19" fillId="15" borderId="0" xfId="0" applyFont="1" applyFill="1"/>
    <xf numFmtId="0" fontId="19" fillId="6" borderId="1" xfId="0" applyFont="1" applyFill="1" applyBorder="1" applyAlignment="1">
      <alignment horizontal="center" vertical="center" wrapText="1"/>
    </xf>
    <xf numFmtId="0" fontId="19" fillId="5" borderId="1" xfId="0" applyFont="1" applyFill="1" applyBorder="1" applyAlignment="1" applyProtection="1">
      <alignment horizontal="center" vertical="center"/>
      <protection locked="0"/>
    </xf>
    <xf numFmtId="0" fontId="19" fillId="15" borderId="0" xfId="0" applyFont="1" applyFill="1" applyAlignment="1">
      <alignment horizontal="center" vertical="center"/>
    </xf>
    <xf numFmtId="0" fontId="19" fillId="5" borderId="1" xfId="0" applyFont="1" applyFill="1" applyBorder="1" applyAlignment="1" applyProtection="1">
      <alignment horizontal="center" vertical="center"/>
    </xf>
    <xf numFmtId="0" fontId="19" fillId="0" borderId="1" xfId="0" applyFont="1" applyFill="1" applyBorder="1" applyAlignment="1">
      <alignment horizontal="center" vertical="center"/>
    </xf>
    <xf numFmtId="0" fontId="19" fillId="5" borderId="1" xfId="0" applyFont="1" applyFill="1" applyBorder="1" applyAlignment="1" applyProtection="1">
      <alignment horizontal="center" vertical="center" wrapText="1"/>
      <protection locked="0"/>
    </xf>
    <xf numFmtId="0" fontId="19" fillId="0" borderId="0" xfId="0" applyFont="1" applyFill="1"/>
    <xf numFmtId="0" fontId="19" fillId="0" borderId="0" xfId="0" applyFont="1"/>
    <xf numFmtId="0" fontId="19" fillId="0" borderId="0" xfId="0" applyFont="1" applyProtection="1">
      <protection locked="0"/>
    </xf>
    <xf numFmtId="0" fontId="19" fillId="0" borderId="1" xfId="0" applyFont="1" applyFill="1" applyBorder="1" applyAlignment="1">
      <alignment horizontal="center" vertical="center"/>
    </xf>
    <xf numFmtId="0" fontId="19" fillId="0" borderId="1" xfId="0" applyFont="1" applyBorder="1" applyAlignment="1" applyProtection="1">
      <alignment horizontal="center"/>
      <protection locked="0"/>
    </xf>
    <xf numFmtId="0" fontId="19" fillId="0" borderId="55" xfId="0" applyFont="1" applyFill="1" applyBorder="1" applyAlignment="1" applyProtection="1">
      <alignment horizontal="center" vertical="center"/>
    </xf>
    <xf numFmtId="0" fontId="19" fillId="0" borderId="1" xfId="0" applyFont="1" applyBorder="1" applyAlignment="1" applyProtection="1">
      <alignment horizontal="center" vertical="center"/>
      <protection locked="0"/>
    </xf>
    <xf numFmtId="0" fontId="19" fillId="0" borderId="1" xfId="0" applyFont="1" applyFill="1" applyBorder="1" applyAlignment="1">
      <alignment horizontal="center" vertical="center"/>
    </xf>
    <xf numFmtId="0" fontId="19" fillId="6" borderId="1" xfId="0" applyFont="1" applyFill="1" applyBorder="1" applyAlignment="1">
      <alignment horizontal="center" vertical="center" wrapText="1"/>
    </xf>
    <xf numFmtId="0" fontId="19" fillId="5" borderId="1" xfId="0" applyFont="1" applyFill="1" applyBorder="1" applyAlignment="1" applyProtection="1">
      <alignment horizontal="center" vertical="center" wrapText="1"/>
      <protection locked="0"/>
    </xf>
    <xf numFmtId="0" fontId="0" fillId="5" borderId="2" xfId="0" applyFill="1" applyBorder="1" applyAlignment="1" applyProtection="1">
      <alignment horizontal="center" vertical="center"/>
      <protection locked="0"/>
    </xf>
    <xf numFmtId="0" fontId="0" fillId="5" borderId="1" xfId="0" applyFill="1" applyBorder="1" applyAlignment="1" applyProtection="1">
      <alignment horizontal="center" vertical="center" wrapText="1"/>
      <protection locked="0"/>
    </xf>
    <xf numFmtId="0" fontId="2" fillId="2" borderId="19" xfId="0" applyFont="1" applyFill="1" applyBorder="1" applyAlignment="1" applyProtection="1">
      <alignment horizontal="center"/>
      <protection locked="0"/>
    </xf>
    <xf numFmtId="0" fontId="0" fillId="16" borderId="0" xfId="0" applyFill="1"/>
    <xf numFmtId="166" fontId="0" fillId="0" borderId="1" xfId="0" applyNumberFormat="1" applyFill="1" applyBorder="1" applyAlignment="1">
      <alignment horizontal="center" vertical="center"/>
    </xf>
    <xf numFmtId="0" fontId="19" fillId="6" borderId="1" xfId="0" applyFont="1" applyFill="1" applyBorder="1" applyAlignment="1">
      <alignment horizontal="center" vertical="center"/>
    </xf>
    <xf numFmtId="0" fontId="19" fillId="4" borderId="1" xfId="0" applyFont="1" applyFill="1" applyBorder="1" applyAlignment="1">
      <alignment horizontal="center" vertical="center"/>
    </xf>
    <xf numFmtId="0" fontId="0" fillId="5" borderId="48" xfId="0" applyFill="1" applyBorder="1" applyAlignment="1" applyProtection="1">
      <alignment horizontal="center" vertical="center"/>
    </xf>
    <xf numFmtId="0" fontId="19" fillId="0" borderId="48" xfId="0" applyFont="1" applyFill="1" applyBorder="1" applyAlignment="1">
      <alignment horizontal="center" vertical="center"/>
    </xf>
    <xf numFmtId="0" fontId="19" fillId="15" borderId="0" xfId="0" applyFont="1" applyFill="1" applyAlignment="1">
      <alignment wrapText="1"/>
    </xf>
    <xf numFmtId="0" fontId="2" fillId="2" borderId="0" xfId="0" applyFont="1" applyFill="1" applyBorder="1" applyAlignment="1" applyProtection="1">
      <protection locked="0"/>
    </xf>
    <xf numFmtId="0" fontId="19" fillId="11" borderId="1" xfId="0" applyFont="1" applyFill="1" applyBorder="1" applyAlignment="1" applyProtection="1">
      <alignment horizontal="center" vertical="center" wrapText="1"/>
    </xf>
    <xf numFmtId="0" fontId="0" fillId="0" borderId="16" xfId="0" applyBorder="1" applyAlignment="1" applyProtection="1">
      <alignment horizontal="center" vertical="center" shrinkToFit="1"/>
      <protection locked="0"/>
    </xf>
    <xf numFmtId="0" fontId="0" fillId="4" borderId="24" xfId="0" applyFill="1" applyBorder="1" applyAlignment="1" applyProtection="1">
      <alignment horizontal="center" vertical="center"/>
      <protection locked="0"/>
    </xf>
    <xf numFmtId="0" fontId="0" fillId="6" borderId="25" xfId="0" applyFill="1" applyBorder="1" applyAlignment="1" applyProtection="1">
      <alignment horizontal="center" vertical="center" wrapText="1"/>
      <protection locked="0"/>
    </xf>
    <xf numFmtId="0" fontId="0" fillId="6" borderId="26" xfId="0" applyFill="1" applyBorder="1" applyAlignment="1" applyProtection="1">
      <alignment horizontal="center" vertical="center" wrapText="1"/>
      <protection locked="0"/>
    </xf>
    <xf numFmtId="0" fontId="0" fillId="4" borderId="8" xfId="0"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0" fillId="6" borderId="9" xfId="0" applyFill="1" applyBorder="1" applyAlignment="1" applyProtection="1">
      <alignment horizontal="center" vertical="center" wrapText="1"/>
      <protection locked="0"/>
    </xf>
    <xf numFmtId="0" fontId="0" fillId="4" borderId="10" xfId="0" applyFill="1" applyBorder="1" applyAlignment="1" applyProtection="1">
      <alignment horizontal="center" vertical="center"/>
      <protection locked="0"/>
    </xf>
    <xf numFmtId="0" fontId="0" fillId="6" borderId="11" xfId="0" applyFill="1" applyBorder="1" applyAlignment="1" applyProtection="1">
      <alignment horizontal="center" vertical="center" wrapText="1"/>
      <protection locked="0"/>
    </xf>
    <xf numFmtId="0" fontId="0" fillId="6" borderId="12" xfId="0" applyFill="1" applyBorder="1" applyAlignment="1" applyProtection="1">
      <alignment horizontal="center" vertical="center" wrapText="1"/>
      <protection locked="0"/>
    </xf>
    <xf numFmtId="0" fontId="0" fillId="0" borderId="64" xfId="0" applyBorder="1" applyAlignment="1" applyProtection="1">
      <alignment horizontal="center" vertical="center" shrinkToFit="1"/>
      <protection locked="0"/>
    </xf>
    <xf numFmtId="0" fontId="19" fillId="17" borderId="1" xfId="0" applyFont="1" applyFill="1" applyBorder="1" applyAlignment="1" applyProtection="1">
      <alignment horizontal="center" vertical="center" wrapText="1"/>
    </xf>
    <xf numFmtId="0" fontId="0" fillId="9" borderId="1" xfId="0" applyFill="1" applyBorder="1" applyAlignment="1" applyProtection="1">
      <alignment horizontal="center"/>
      <protection locked="0"/>
    </xf>
    <xf numFmtId="0" fontId="0" fillId="9" borderId="55" xfId="0" applyFill="1" applyBorder="1" applyAlignment="1" applyProtection="1">
      <alignment horizontal="center" vertical="center"/>
    </xf>
    <xf numFmtId="10" fontId="0" fillId="9" borderId="55" xfId="1" applyNumberFormat="1" applyFont="1" applyFill="1" applyBorder="1" applyAlignment="1" applyProtection="1">
      <alignment horizontal="center" vertical="center"/>
    </xf>
    <xf numFmtId="9" fontId="0" fillId="9" borderId="1" xfId="1" applyFont="1" applyFill="1" applyBorder="1" applyAlignment="1" applyProtection="1">
      <alignment horizontal="center"/>
      <protection locked="0"/>
    </xf>
    <xf numFmtId="0" fontId="0" fillId="9" borderId="1" xfId="0" applyFill="1" applyBorder="1" applyAlignment="1" applyProtection="1">
      <protection locked="0"/>
    </xf>
    <xf numFmtId="14" fontId="0" fillId="9" borderId="1" xfId="0" applyNumberFormat="1" applyFill="1" applyBorder="1" applyAlignment="1" applyProtection="1">
      <alignment horizontal="center"/>
      <protection locked="0"/>
    </xf>
    <xf numFmtId="14" fontId="0" fillId="9" borderId="1" xfId="0" applyNumberFormat="1" applyFill="1" applyBorder="1" applyAlignment="1">
      <alignment horizontal="center"/>
    </xf>
    <xf numFmtId="0" fontId="0" fillId="9" borderId="9" xfId="0" applyFill="1" applyBorder="1" applyAlignment="1" applyProtection="1">
      <alignment horizontal="center"/>
      <protection locked="0"/>
    </xf>
    <xf numFmtId="0" fontId="0" fillId="9" borderId="1" xfId="0" applyFill="1" applyBorder="1" applyAlignment="1" applyProtection="1">
      <alignment horizontal="center" vertical="center"/>
    </xf>
    <xf numFmtId="167" fontId="0" fillId="9" borderId="1" xfId="0" applyNumberFormat="1" applyFill="1" applyBorder="1" applyAlignment="1">
      <alignment horizontal="center"/>
    </xf>
    <xf numFmtId="2" fontId="0" fillId="9" borderId="1" xfId="0" applyNumberFormat="1" applyFill="1" applyBorder="1" applyAlignment="1">
      <alignment horizontal="center"/>
    </xf>
    <xf numFmtId="1" fontId="0" fillId="9" borderId="1" xfId="0" applyNumberFormat="1" applyFill="1" applyBorder="1" applyAlignment="1">
      <alignment horizontal="center"/>
    </xf>
    <xf numFmtId="1" fontId="0" fillId="9" borderId="1" xfId="0" applyNumberFormat="1" applyFill="1" applyBorder="1" applyAlignment="1">
      <alignment horizontal="center" shrinkToFit="1"/>
    </xf>
    <xf numFmtId="0" fontId="0" fillId="9" borderId="1" xfId="0" applyFill="1" applyBorder="1" applyAlignment="1" applyProtection="1">
      <alignment horizontal="center" shrinkToFit="1"/>
      <protection locked="0"/>
    </xf>
    <xf numFmtId="14" fontId="0" fillId="9" borderId="1" xfId="0" applyNumberFormat="1" applyFill="1" applyBorder="1" applyAlignment="1">
      <alignment horizontal="center" shrinkToFit="1"/>
    </xf>
    <xf numFmtId="166" fontId="0" fillId="9" borderId="1" xfId="0" applyNumberFormat="1" applyFill="1" applyBorder="1" applyAlignment="1">
      <alignment horizontal="center" shrinkToFit="1"/>
    </xf>
    <xf numFmtId="0" fontId="0" fillId="9" borderId="1" xfId="0" applyFill="1" applyBorder="1" applyAlignment="1">
      <alignment horizontal="center"/>
    </xf>
    <xf numFmtId="14" fontId="0" fillId="0" borderId="1" xfId="0" applyNumberFormat="1" applyFill="1" applyBorder="1" applyAlignment="1" applyProtection="1">
      <alignment horizontal="center"/>
      <protection locked="0"/>
    </xf>
    <xf numFmtId="0" fontId="0" fillId="6" borderId="0" xfId="0" applyFill="1" applyProtection="1">
      <protection locked="0"/>
    </xf>
    <xf numFmtId="10" fontId="0" fillId="6" borderId="55" xfId="1" applyNumberFormat="1" applyFont="1" applyFill="1" applyBorder="1" applyAlignment="1" applyProtection="1">
      <alignment horizontal="center" vertical="center"/>
    </xf>
    <xf numFmtId="9" fontId="0" fillId="6" borderId="1" xfId="1" applyFont="1" applyFill="1" applyBorder="1" applyAlignment="1" applyProtection="1">
      <alignment horizontal="center"/>
      <protection locked="0"/>
    </xf>
    <xf numFmtId="0" fontId="0" fillId="6" borderId="1" xfId="0" applyFill="1" applyBorder="1" applyAlignment="1" applyProtection="1">
      <protection locked="0"/>
    </xf>
    <xf numFmtId="0" fontId="0" fillId="6" borderId="9" xfId="0" applyFill="1" applyBorder="1" applyAlignment="1" applyProtection="1">
      <alignment horizontal="center"/>
      <protection locked="0"/>
    </xf>
    <xf numFmtId="2" fontId="0" fillId="6" borderId="1" xfId="0" applyNumberFormat="1" applyFill="1" applyBorder="1" applyAlignment="1">
      <alignment horizontal="center"/>
    </xf>
    <xf numFmtId="0" fontId="0" fillId="6" borderId="1" xfId="0" applyFill="1" applyBorder="1" applyAlignment="1" applyProtection="1">
      <alignment horizontal="center" shrinkToFit="1"/>
      <protection locked="0"/>
    </xf>
    <xf numFmtId="14" fontId="0" fillId="6" borderId="1" xfId="0" applyNumberFormat="1" applyFill="1" applyBorder="1" applyAlignment="1">
      <alignment horizontal="center" shrinkToFit="1"/>
    </xf>
    <xf numFmtId="166" fontId="0" fillId="6" borderId="1" xfId="0" applyNumberFormat="1" applyFill="1" applyBorder="1" applyAlignment="1">
      <alignment horizontal="center" shrinkToFit="1"/>
    </xf>
    <xf numFmtId="0" fontId="0" fillId="6" borderId="1" xfId="0" applyFill="1" applyBorder="1" applyAlignment="1">
      <alignment horizontal="center"/>
    </xf>
    <xf numFmtId="0" fontId="0" fillId="5" borderId="1" xfId="0" applyFill="1" applyBorder="1" applyAlignment="1" applyProtection="1">
      <alignment vertical="center"/>
      <protection locked="0"/>
    </xf>
    <xf numFmtId="0" fontId="0" fillId="5" borderId="1" xfId="0" applyFill="1" applyBorder="1" applyAlignment="1" applyProtection="1">
      <alignment vertical="center" wrapText="1"/>
      <protection locked="0"/>
    </xf>
    <xf numFmtId="0" fontId="0" fillId="5" borderId="1" xfId="0" applyFill="1" applyBorder="1" applyAlignment="1" applyProtection="1">
      <alignment vertical="center"/>
    </xf>
    <xf numFmtId="0" fontId="0" fillId="5" borderId="55" xfId="0" applyFill="1" applyBorder="1" applyAlignment="1" applyProtection="1">
      <alignment vertical="center" wrapText="1"/>
      <protection locked="0"/>
    </xf>
    <xf numFmtId="10" fontId="19" fillId="0" borderId="1" xfId="1" applyNumberFormat="1" applyFont="1" applyFill="1" applyBorder="1" applyAlignment="1">
      <alignment horizontal="center" vertical="center"/>
    </xf>
    <xf numFmtId="9" fontId="19" fillId="0" borderId="1" xfId="1" applyNumberFormat="1" applyFont="1" applyFill="1" applyBorder="1" applyAlignment="1">
      <alignment horizontal="center" vertical="center"/>
    </xf>
    <xf numFmtId="14" fontId="19" fillId="0" borderId="1" xfId="0" applyNumberFormat="1" applyFont="1" applyFill="1" applyBorder="1" applyAlignment="1">
      <alignment horizontal="center" vertical="center"/>
    </xf>
    <xf numFmtId="166" fontId="19" fillId="0" borderId="1" xfId="0" applyNumberFormat="1" applyFont="1" applyFill="1" applyBorder="1" applyAlignment="1">
      <alignment horizontal="center" vertical="center"/>
    </xf>
    <xf numFmtId="1" fontId="19" fillId="0" borderId="1" xfId="0" applyNumberFormat="1" applyFont="1" applyFill="1" applyBorder="1" applyAlignment="1">
      <alignment horizontal="center" shrinkToFit="1"/>
    </xf>
    <xf numFmtId="0" fontId="19" fillId="11" borderId="1" xfId="0" applyFont="1" applyFill="1" applyBorder="1" applyAlignment="1" applyProtection="1">
      <alignment horizontal="center" vertical="center" wrapText="1"/>
      <protection locked="0"/>
    </xf>
    <xf numFmtId="0" fontId="19" fillId="17" borderId="1" xfId="0" applyFont="1" applyFill="1" applyBorder="1" applyAlignment="1" applyProtection="1">
      <alignment horizontal="center" vertical="center" wrapText="1"/>
      <protection locked="0"/>
    </xf>
    <xf numFmtId="14" fontId="19" fillId="4" borderId="1" xfId="0" applyNumberFormat="1" applyFont="1" applyFill="1" applyBorder="1" applyAlignment="1">
      <alignment horizontal="center" vertical="center"/>
    </xf>
    <xf numFmtId="14" fontId="19" fillId="4" borderId="1" xfId="0" applyNumberFormat="1" applyFont="1" applyFill="1" applyBorder="1" applyAlignment="1">
      <alignment horizontal="left" vertical="center"/>
    </xf>
    <xf numFmtId="9" fontId="0" fillId="0" borderId="55" xfId="1" applyFont="1" applyBorder="1" applyAlignment="1" applyProtection="1">
      <alignment horizontal="center"/>
      <protection locked="0"/>
    </xf>
    <xf numFmtId="10" fontId="0" fillId="0" borderId="1" xfId="1" applyNumberFormat="1" applyFont="1" applyFill="1" applyBorder="1" applyAlignment="1" applyProtection="1">
      <alignment horizontal="center" vertical="center"/>
    </xf>
    <xf numFmtId="2" fontId="0" fillId="4" borderId="1" xfId="0" applyNumberFormat="1" applyFill="1" applyBorder="1" applyAlignment="1" applyProtection="1">
      <alignment horizontal="center"/>
    </xf>
    <xf numFmtId="0" fontId="21" fillId="0" borderId="1" xfId="0" applyFont="1" applyBorder="1" applyAlignment="1" applyProtection="1">
      <alignment horizontal="center"/>
      <protection locked="0"/>
    </xf>
    <xf numFmtId="0" fontId="0" fillId="0" borderId="1" xfId="0" applyFont="1" applyBorder="1" applyAlignment="1" applyProtection="1">
      <alignment horizontal="center"/>
      <protection locked="0"/>
    </xf>
    <xf numFmtId="0" fontId="19" fillId="9" borderId="0" xfId="0" applyFont="1" applyFill="1" applyAlignment="1">
      <alignment horizontal="center" vertical="center" wrapText="1"/>
    </xf>
    <xf numFmtId="0" fontId="19" fillId="9" borderId="53" xfId="0" applyFont="1" applyFill="1" applyBorder="1" applyAlignment="1">
      <alignment horizontal="center" vertical="center" wrapText="1"/>
    </xf>
    <xf numFmtId="0" fontId="19" fillId="0" borderId="1" xfId="0" applyFont="1" applyFill="1" applyBorder="1" applyAlignment="1">
      <alignment horizontal="center" vertical="center"/>
    </xf>
    <xf numFmtId="0" fontId="19" fillId="5" borderId="31" xfId="0" applyFont="1" applyFill="1" applyBorder="1" applyAlignment="1" applyProtection="1">
      <alignment horizontal="center" vertical="center" wrapText="1"/>
    </xf>
    <xf numFmtId="0" fontId="19" fillId="5" borderId="55" xfId="0" applyFont="1" applyFill="1" applyBorder="1" applyAlignment="1" applyProtection="1">
      <alignment horizontal="center" vertical="center" wrapText="1"/>
    </xf>
    <xf numFmtId="0" fontId="19" fillId="5" borderId="1" xfId="0" applyFont="1" applyFill="1" applyBorder="1" applyAlignment="1" applyProtection="1">
      <alignment horizontal="center" vertical="center" wrapText="1"/>
      <protection locked="0"/>
    </xf>
    <xf numFmtId="0" fontId="19" fillId="0" borderId="1" xfId="0" applyFont="1" applyFill="1" applyBorder="1" applyAlignment="1">
      <alignment horizontal="center"/>
    </xf>
    <xf numFmtId="0" fontId="19" fillId="4" borderId="31" xfId="0" applyFont="1" applyFill="1" applyBorder="1" applyAlignment="1">
      <alignment horizontal="center" shrinkToFit="1"/>
    </xf>
    <xf numFmtId="0" fontId="19" fillId="4" borderId="55" xfId="0" applyFont="1" applyFill="1" applyBorder="1" applyAlignment="1">
      <alignment horizontal="center" shrinkToFit="1"/>
    </xf>
    <xf numFmtId="0" fontId="0" fillId="9" borderId="3" xfId="0" applyFill="1" applyBorder="1" applyAlignment="1" applyProtection="1">
      <alignment horizontal="center"/>
      <protection locked="0"/>
    </xf>
    <xf numFmtId="0" fontId="0" fillId="9" borderId="5" xfId="0" applyFill="1" applyBorder="1" applyAlignment="1" applyProtection="1">
      <alignment horizontal="center"/>
      <protection locked="0"/>
    </xf>
    <xf numFmtId="0" fontId="2" fillId="2" borderId="19" xfId="0" applyFont="1" applyFill="1" applyBorder="1" applyAlignment="1" applyProtection="1">
      <alignment horizontal="center"/>
      <protection locked="0"/>
    </xf>
    <xf numFmtId="0" fontId="2" fillId="2" borderId="20" xfId="0" applyFont="1" applyFill="1" applyBorder="1" applyAlignment="1" applyProtection="1">
      <alignment horizontal="center"/>
      <protection locked="0"/>
    </xf>
    <xf numFmtId="0" fontId="2" fillId="2" borderId="21" xfId="0" applyFont="1" applyFill="1" applyBorder="1" applyAlignment="1" applyProtection="1">
      <alignment horizontal="center"/>
      <protection locked="0"/>
    </xf>
    <xf numFmtId="0" fontId="0" fillId="0" borderId="19" xfId="0" applyFill="1" applyBorder="1" applyAlignment="1" applyProtection="1">
      <alignment horizontal="center" vertical="center" shrinkToFit="1"/>
      <protection locked="0"/>
    </xf>
    <xf numFmtId="0" fontId="0" fillId="0" borderId="20" xfId="0" applyFill="1" applyBorder="1" applyAlignment="1" applyProtection="1">
      <alignment horizontal="center" vertical="center" shrinkToFit="1"/>
      <protection locked="0"/>
    </xf>
    <xf numFmtId="0" fontId="0" fillId="0" borderId="21" xfId="0" applyFill="1" applyBorder="1" applyAlignment="1" applyProtection="1">
      <alignment horizontal="center" vertical="center" shrinkToFit="1"/>
      <protection locked="0"/>
    </xf>
    <xf numFmtId="0" fontId="0" fillId="4" borderId="19" xfId="0" applyFill="1" applyBorder="1" applyAlignment="1" applyProtection="1">
      <alignment horizontal="center" vertical="center" shrinkToFit="1"/>
      <protection locked="0"/>
    </xf>
    <xf numFmtId="0" fontId="0" fillId="4" borderId="20" xfId="0" applyFill="1" applyBorder="1" applyAlignment="1" applyProtection="1">
      <alignment horizontal="center" vertical="center" shrinkToFit="1"/>
      <protection locked="0"/>
    </xf>
    <xf numFmtId="0" fontId="0" fillId="4" borderId="21" xfId="0" applyFill="1" applyBorder="1" applyAlignment="1" applyProtection="1">
      <alignment horizontal="center" vertical="center" shrinkToFit="1"/>
      <protection locked="0"/>
    </xf>
    <xf numFmtId="0" fontId="0" fillId="6" borderId="19" xfId="0" applyFill="1" applyBorder="1" applyAlignment="1" applyProtection="1">
      <alignment horizontal="center"/>
      <protection locked="0"/>
    </xf>
    <xf numFmtId="0" fontId="0" fillId="6" borderId="20" xfId="0" applyFill="1" applyBorder="1" applyAlignment="1" applyProtection="1">
      <alignment horizontal="center"/>
      <protection locked="0"/>
    </xf>
    <xf numFmtId="0" fontId="0" fillId="6" borderId="21" xfId="0" applyFill="1" applyBorder="1" applyAlignment="1" applyProtection="1">
      <alignment horizontal="center"/>
      <protection locked="0"/>
    </xf>
    <xf numFmtId="0" fontId="13" fillId="0" borderId="0" xfId="0" applyFont="1" applyAlignment="1">
      <alignment horizontal="center" vertical="center" textRotation="90"/>
    </xf>
    <xf numFmtId="0" fontId="13" fillId="0" borderId="0" xfId="0" applyFont="1" applyAlignment="1">
      <alignment horizontal="center" vertical="center"/>
    </xf>
    <xf numFmtId="0" fontId="0" fillId="0" borderId="1" xfId="0" applyBorder="1" applyAlignment="1">
      <alignment horizontal="center" vertical="center"/>
    </xf>
    <xf numFmtId="0" fontId="0" fillId="0" borderId="31" xfId="0" applyBorder="1" applyAlignment="1">
      <alignment horizontal="center" vertical="center"/>
    </xf>
    <xf numFmtId="0" fontId="0" fillId="0" borderId="55" xfId="0" applyBorder="1" applyAlignment="1">
      <alignment horizontal="center" vertical="center"/>
    </xf>
    <xf numFmtId="0" fontId="0" fillId="2" borderId="1" xfId="0" applyFill="1" applyBorder="1" applyAlignment="1" applyProtection="1">
      <alignment horizontal="center"/>
      <protection locked="0"/>
    </xf>
    <xf numFmtId="0" fontId="0" fillId="2" borderId="31" xfId="0" applyFill="1" applyBorder="1" applyAlignment="1" applyProtection="1">
      <alignment horizontal="center"/>
      <protection locked="0"/>
    </xf>
    <xf numFmtId="0" fontId="0" fillId="2" borderId="56" xfId="0" applyFill="1" applyBorder="1" applyAlignment="1" applyProtection="1">
      <alignment horizontal="center"/>
      <protection locked="0"/>
    </xf>
    <xf numFmtId="0" fontId="0" fillId="2" borderId="55" xfId="0" applyFill="1" applyBorder="1" applyAlignment="1" applyProtection="1">
      <alignment horizontal="center"/>
      <protection locked="0"/>
    </xf>
    <xf numFmtId="0" fontId="0" fillId="2" borderId="31" xfId="0" applyFill="1" applyBorder="1" applyAlignment="1" applyProtection="1">
      <alignment horizontal="center" vertical="center"/>
      <protection locked="0"/>
    </xf>
    <xf numFmtId="0" fontId="0" fillId="2" borderId="55" xfId="0" applyFill="1" applyBorder="1" applyAlignment="1" applyProtection="1">
      <alignment horizontal="center" vertical="center"/>
      <protection locked="0"/>
    </xf>
    <xf numFmtId="0" fontId="0" fillId="0" borderId="1" xfId="0" applyBorder="1" applyAlignment="1">
      <alignment horizontal="center"/>
    </xf>
    <xf numFmtId="0" fontId="0" fillId="0" borderId="31" xfId="0" applyBorder="1" applyAlignment="1">
      <alignment horizontal="center"/>
    </xf>
    <xf numFmtId="0" fontId="0" fillId="0" borderId="56" xfId="0" applyBorder="1" applyAlignment="1">
      <alignment horizontal="center"/>
    </xf>
    <xf numFmtId="0" fontId="0" fillId="2" borderId="31" xfId="0" applyFill="1" applyBorder="1" applyAlignment="1" applyProtection="1">
      <alignment horizontal="center"/>
    </xf>
    <xf numFmtId="0" fontId="0" fillId="2" borderId="56" xfId="0" applyFill="1" applyBorder="1" applyAlignment="1" applyProtection="1">
      <alignment horizontal="center"/>
    </xf>
    <xf numFmtId="0" fontId="0" fillId="2" borderId="55" xfId="0" applyFill="1" applyBorder="1" applyAlignment="1" applyProtection="1">
      <alignment horizontal="center"/>
    </xf>
    <xf numFmtId="0" fontId="0" fillId="6" borderId="13" xfId="0" applyFill="1" applyBorder="1" applyAlignment="1" applyProtection="1">
      <alignment horizontal="center"/>
      <protection locked="0"/>
    </xf>
    <xf numFmtId="0" fontId="0" fillId="6" borderId="15" xfId="0" applyFill="1" applyBorder="1" applyAlignment="1" applyProtection="1">
      <alignment horizontal="center"/>
      <protection locked="0"/>
    </xf>
    <xf numFmtId="0" fontId="0" fillId="2" borderId="1" xfId="0" applyFill="1" applyBorder="1" applyAlignment="1" applyProtection="1">
      <alignment horizontal="center"/>
    </xf>
    <xf numFmtId="0" fontId="0" fillId="2" borderId="32" xfId="0" applyFill="1" applyBorder="1" applyAlignment="1" applyProtection="1">
      <alignment horizontal="center"/>
      <protection locked="0"/>
    </xf>
    <xf numFmtId="0" fontId="0" fillId="2" borderId="74" xfId="0" applyFill="1" applyBorder="1" applyAlignment="1" applyProtection="1">
      <alignment horizontal="center"/>
      <protection locked="0"/>
    </xf>
    <xf numFmtId="0" fontId="0" fillId="2" borderId="72" xfId="0" applyFill="1" applyBorder="1" applyAlignment="1" applyProtection="1">
      <alignment horizontal="center"/>
      <protection locked="0"/>
    </xf>
    <xf numFmtId="0" fontId="0" fillId="2" borderId="47" xfId="0" applyFill="1" applyBorder="1" applyAlignment="1" applyProtection="1">
      <alignment horizontal="center"/>
    </xf>
    <xf numFmtId="0" fontId="0" fillId="2" borderId="50" xfId="0" applyFill="1" applyBorder="1" applyAlignment="1" applyProtection="1">
      <alignment horizontal="center"/>
    </xf>
    <xf numFmtId="0" fontId="0" fillId="2" borderId="51" xfId="0" applyFill="1" applyBorder="1" applyAlignment="1" applyProtection="1">
      <alignment horizontal="center"/>
    </xf>
    <xf numFmtId="0" fontId="0" fillId="2" borderId="41" xfId="0" applyFill="1" applyBorder="1" applyAlignment="1" applyProtection="1">
      <alignment horizontal="center"/>
      <protection locked="0"/>
    </xf>
    <xf numFmtId="0" fontId="0" fillId="2" borderId="17" xfId="0" applyFill="1" applyBorder="1" applyAlignment="1" applyProtection="1">
      <alignment horizontal="center"/>
      <protection locked="0"/>
    </xf>
    <xf numFmtId="0" fontId="0" fillId="2" borderId="48" xfId="0" applyFill="1" applyBorder="1" applyAlignment="1" applyProtection="1">
      <alignment horizontal="center"/>
    </xf>
    <xf numFmtId="0" fontId="0" fillId="2" borderId="17" xfId="0" applyFill="1" applyBorder="1" applyAlignment="1" applyProtection="1">
      <alignment horizontal="center"/>
    </xf>
    <xf numFmtId="0" fontId="0" fillId="2" borderId="75" xfId="0" applyFill="1" applyBorder="1" applyAlignment="1" applyProtection="1">
      <alignment horizontal="center"/>
    </xf>
    <xf numFmtId="0" fontId="0" fillId="3" borderId="3" xfId="0" applyFill="1" applyBorder="1" applyAlignment="1" applyProtection="1">
      <alignment horizontal="center"/>
    </xf>
    <xf numFmtId="0" fontId="0" fillId="3" borderId="4" xfId="0" applyFill="1" applyBorder="1" applyAlignment="1" applyProtection="1">
      <alignment horizontal="center"/>
    </xf>
    <xf numFmtId="0" fontId="0" fillId="3" borderId="5" xfId="0" applyFill="1" applyBorder="1" applyAlignment="1" applyProtection="1">
      <alignment horizontal="center"/>
    </xf>
    <xf numFmtId="0" fontId="0" fillId="2" borderId="0" xfId="0" applyFill="1" applyAlignment="1" applyProtection="1">
      <alignment horizontal="center"/>
      <protection locked="0"/>
    </xf>
    <xf numFmtId="0" fontId="2" fillId="2" borderId="24" xfId="0" applyFont="1" applyFill="1" applyBorder="1" applyAlignment="1">
      <alignment horizontal="center" vertical="center" wrapText="1"/>
    </xf>
    <xf numFmtId="0" fontId="2" fillId="2" borderId="61" xfId="0" applyFont="1" applyFill="1" applyBorder="1" applyAlignment="1">
      <alignment horizontal="center" vertical="center" wrapText="1"/>
    </xf>
    <xf numFmtId="0" fontId="2" fillId="2" borderId="43" xfId="0" applyFont="1" applyFill="1" applyBorder="1" applyAlignment="1">
      <alignment horizontal="center" vertical="center" wrapText="1"/>
    </xf>
    <xf numFmtId="0" fontId="2" fillId="2" borderId="42"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6" xfId="0" applyFont="1" applyFill="1" applyBorder="1" applyAlignment="1">
      <alignment horizontal="center" vertical="center" wrapText="1"/>
    </xf>
    <xf numFmtId="168" fontId="0" fillId="0" borderId="13" xfId="0" applyNumberFormat="1" applyBorder="1" applyAlignment="1">
      <alignment horizontal="left" vertical="center" wrapText="1"/>
    </xf>
    <xf numFmtId="168" fontId="0" fillId="0" borderId="14" xfId="0" applyNumberFormat="1" applyBorder="1" applyAlignment="1">
      <alignment horizontal="left" vertical="center" wrapText="1"/>
    </xf>
    <xf numFmtId="168" fontId="0" fillId="0" borderId="15" xfId="0" applyNumberFormat="1" applyBorder="1" applyAlignment="1">
      <alignment horizontal="left" vertical="center" wrapText="1"/>
    </xf>
    <xf numFmtId="168" fontId="0" fillId="0" borderId="22" xfId="0" applyNumberFormat="1" applyBorder="1" applyAlignment="1">
      <alignment horizontal="left" vertical="center" wrapText="1"/>
    </xf>
    <xf numFmtId="168" fontId="0" fillId="0" borderId="0" xfId="0" applyNumberFormat="1" applyBorder="1" applyAlignment="1">
      <alignment horizontal="left" vertical="center" wrapText="1"/>
    </xf>
    <xf numFmtId="168" fontId="0" fillId="0" borderId="23" xfId="0" applyNumberFormat="1" applyBorder="1" applyAlignment="1">
      <alignment horizontal="left" vertical="center" wrapText="1"/>
    </xf>
    <xf numFmtId="168" fontId="0" fillId="0" borderId="16" xfId="0" applyNumberFormat="1" applyBorder="1" applyAlignment="1">
      <alignment horizontal="left" vertical="center" wrapText="1"/>
    </xf>
    <xf numFmtId="168" fontId="0" fillId="0" borderId="17" xfId="0" applyNumberFormat="1" applyBorder="1" applyAlignment="1">
      <alignment horizontal="left" vertical="center" wrapText="1"/>
    </xf>
    <xf numFmtId="168" fontId="0" fillId="0" borderId="18" xfId="0" applyNumberFormat="1" applyBorder="1" applyAlignment="1">
      <alignment horizontal="left" vertical="center" wrapText="1"/>
    </xf>
    <xf numFmtId="0" fontId="0" fillId="0" borderId="55" xfId="0" applyBorder="1" applyAlignment="1">
      <alignment horizontal="center"/>
    </xf>
    <xf numFmtId="0" fontId="2" fillId="0" borderId="13" xfId="0" applyFont="1" applyBorder="1" applyAlignment="1">
      <alignment horizontal="left"/>
    </xf>
    <xf numFmtId="0" fontId="2" fillId="0" borderId="14" xfId="0" applyFont="1" applyBorder="1" applyAlignment="1">
      <alignment horizontal="left"/>
    </xf>
    <xf numFmtId="0" fontId="2" fillId="0" borderId="15" xfId="0" applyFont="1" applyBorder="1" applyAlignment="1">
      <alignment horizontal="left"/>
    </xf>
    <xf numFmtId="0" fontId="2" fillId="2" borderId="43" xfId="0" applyFont="1" applyFill="1" applyBorder="1" applyAlignment="1">
      <alignment horizontal="center" vertical="center"/>
    </xf>
    <xf numFmtId="0" fontId="2" fillId="2" borderId="38" xfId="0" applyFont="1" applyFill="1" applyBorder="1" applyAlignment="1">
      <alignment horizontal="center" vertical="center"/>
    </xf>
    <xf numFmtId="0" fontId="2" fillId="2" borderId="45" xfId="0" applyFont="1" applyFill="1" applyBorder="1" applyAlignment="1">
      <alignment horizontal="center" vertical="center"/>
    </xf>
    <xf numFmtId="1" fontId="0" fillId="0" borderId="13" xfId="0" applyNumberFormat="1" applyBorder="1" applyAlignment="1">
      <alignment horizontal="left" vertical="center" wrapText="1"/>
    </xf>
    <xf numFmtId="1" fontId="0" fillId="0" borderId="14" xfId="0" applyNumberFormat="1" applyBorder="1" applyAlignment="1">
      <alignment horizontal="left" vertical="center"/>
    </xf>
    <xf numFmtId="1" fontId="0" fillId="0" borderId="15" xfId="0" applyNumberFormat="1" applyBorder="1" applyAlignment="1">
      <alignment horizontal="left" vertical="center"/>
    </xf>
    <xf numFmtId="1" fontId="0" fillId="0" borderId="22" xfId="0" applyNumberFormat="1" applyBorder="1" applyAlignment="1">
      <alignment horizontal="left" vertical="center"/>
    </xf>
    <xf numFmtId="1" fontId="0" fillId="0" borderId="0" xfId="0" applyNumberFormat="1" applyBorder="1" applyAlignment="1">
      <alignment horizontal="left" vertical="center"/>
    </xf>
    <xf numFmtId="1" fontId="0" fillId="0" borderId="23" xfId="0" applyNumberFormat="1" applyBorder="1" applyAlignment="1">
      <alignment horizontal="left" vertical="center"/>
    </xf>
    <xf numFmtId="1" fontId="0" fillId="0" borderId="16" xfId="0" applyNumberFormat="1" applyBorder="1" applyAlignment="1">
      <alignment horizontal="left" vertical="center"/>
    </xf>
    <xf numFmtId="1" fontId="0" fillId="0" borderId="17" xfId="0" applyNumberFormat="1" applyBorder="1" applyAlignment="1">
      <alignment horizontal="left" vertical="center"/>
    </xf>
    <xf numFmtId="1" fontId="0" fillId="0" borderId="18" xfId="0" applyNumberFormat="1" applyBorder="1" applyAlignment="1">
      <alignment horizontal="left" vertical="center"/>
    </xf>
    <xf numFmtId="0" fontId="2" fillId="0" borderId="19" xfId="0" applyFont="1" applyBorder="1" applyAlignment="1">
      <alignment horizontal="center" vertical="center"/>
    </xf>
    <xf numFmtId="0" fontId="2" fillId="0" borderId="21" xfId="0" applyFont="1" applyBorder="1" applyAlignment="1">
      <alignment horizontal="center" vertical="center"/>
    </xf>
    <xf numFmtId="11" fontId="0" fillId="0" borderId="13" xfId="0" applyNumberFormat="1" applyFill="1" applyBorder="1" applyAlignment="1">
      <alignment horizontal="center" vertical="center" wrapText="1"/>
    </xf>
    <xf numFmtId="11" fontId="0" fillId="0" borderId="15" xfId="0" applyNumberFormat="1" applyFill="1" applyBorder="1" applyAlignment="1">
      <alignment horizontal="center" vertical="center" wrapText="1"/>
    </xf>
    <xf numFmtId="11" fontId="0" fillId="0" borderId="22" xfId="0" applyNumberFormat="1" applyFill="1" applyBorder="1" applyAlignment="1">
      <alignment horizontal="center" vertical="center" wrapText="1"/>
    </xf>
    <xf numFmtId="11" fontId="0" fillId="0" borderId="23" xfId="0" applyNumberFormat="1" applyFill="1" applyBorder="1" applyAlignment="1">
      <alignment horizontal="center" vertical="center" wrapText="1"/>
    </xf>
    <xf numFmtId="11" fontId="0" fillId="0" borderId="16" xfId="0" applyNumberFormat="1" applyFill="1" applyBorder="1" applyAlignment="1">
      <alignment horizontal="center" vertical="center" wrapText="1"/>
    </xf>
    <xf numFmtId="11" fontId="0" fillId="0" borderId="18" xfId="0" applyNumberFormat="1" applyFill="1" applyBorder="1" applyAlignment="1">
      <alignment horizontal="center" vertical="center" wrapText="1"/>
    </xf>
    <xf numFmtId="0" fontId="2" fillId="2" borderId="8" xfId="0" applyFont="1" applyFill="1" applyBorder="1" applyAlignment="1">
      <alignment horizontal="center" vertical="center"/>
    </xf>
    <xf numFmtId="0" fontId="2" fillId="2" borderId="10" xfId="0" applyFont="1" applyFill="1" applyBorder="1" applyAlignment="1">
      <alignment horizontal="center" vertical="center"/>
    </xf>
    <xf numFmtId="0" fontId="2" fillId="0" borderId="20"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2" borderId="24" xfId="0" applyFont="1" applyFill="1" applyBorder="1" applyAlignment="1">
      <alignment horizontal="center" vertical="center"/>
    </xf>
    <xf numFmtId="0" fontId="2" fillId="2" borderId="25"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8"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27" xfId="0" applyFont="1" applyFill="1" applyBorder="1" applyAlignment="1">
      <alignment horizontal="center" vertical="center" wrapText="1"/>
    </xf>
    <xf numFmtId="0" fontId="2" fillId="2" borderId="39" xfId="0" applyFont="1" applyFill="1" applyBorder="1" applyAlignment="1">
      <alignment horizontal="center" vertical="center"/>
    </xf>
    <xf numFmtId="0" fontId="2" fillId="0" borderId="19" xfId="0" applyFont="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2" xfId="0" applyBorder="1" applyAlignment="1">
      <alignment horizontal="center" wrapText="1"/>
    </xf>
    <xf numFmtId="0" fontId="0" fillId="0" borderId="0" xfId="0" applyBorder="1" applyAlignment="1">
      <alignment horizontal="center" wrapText="1"/>
    </xf>
    <xf numFmtId="0" fontId="0" fillId="0" borderId="23"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horizontal="center" wrapText="1"/>
    </xf>
    <xf numFmtId="0" fontId="0" fillId="0" borderId="43" xfId="0" applyBorder="1" applyAlignment="1">
      <alignment horizontal="center" vertical="center"/>
    </xf>
    <xf numFmtId="0" fontId="0" fillId="0" borderId="38"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xf>
    <xf numFmtId="0" fontId="0" fillId="0" borderId="13" xfId="0" applyBorder="1" applyAlignment="1">
      <alignment horizontal="lef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xf numFmtId="0" fontId="0" fillId="0" borderId="18" xfId="0" applyBorder="1" applyAlignment="1">
      <alignment horizontal="left" wrapText="1"/>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19" xfId="0" applyFont="1" applyBorder="1" applyAlignment="1">
      <alignment horizontal="left"/>
    </xf>
    <xf numFmtId="0" fontId="2" fillId="0" borderId="21" xfId="0" applyFont="1" applyBorder="1" applyAlignment="1">
      <alignment horizontal="left"/>
    </xf>
    <xf numFmtId="0" fontId="2" fillId="2" borderId="1"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2" fillId="2" borderId="13"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38" xfId="0" applyFont="1" applyFill="1" applyBorder="1" applyAlignment="1">
      <alignment horizontal="center" vertical="center" wrapText="1"/>
    </xf>
    <xf numFmtId="0" fontId="2" fillId="2" borderId="45" xfId="0" applyFont="1" applyFill="1" applyBorder="1" applyAlignment="1">
      <alignment horizontal="center" vertical="center" wrapText="1"/>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2" fillId="2" borderId="27" xfId="0" applyFont="1" applyFill="1" applyBorder="1" applyAlignment="1">
      <alignment horizontal="center"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15" xfId="0" applyFont="1" applyFill="1" applyBorder="1" applyAlignment="1">
      <alignment horizontal="center" wrapText="1"/>
    </xf>
    <xf numFmtId="0" fontId="2" fillId="2" borderId="18" xfId="0" applyFont="1" applyFill="1" applyBorder="1" applyAlignment="1">
      <alignment horizontal="center" wrapText="1"/>
    </xf>
    <xf numFmtId="0" fontId="2" fillId="2" borderId="59" xfId="0" applyFont="1" applyFill="1" applyBorder="1" applyAlignment="1">
      <alignment horizontal="center" vertical="center" wrapText="1"/>
    </xf>
    <xf numFmtId="0" fontId="2" fillId="2" borderId="39" xfId="0" applyFont="1" applyFill="1" applyBorder="1" applyAlignment="1">
      <alignment horizontal="center" vertical="center" wrapText="1"/>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 fillId="2" borderId="22" xfId="0" applyFont="1" applyFill="1" applyBorder="1" applyAlignment="1">
      <alignment horizontal="center" vertical="center"/>
    </xf>
    <xf numFmtId="1" fontId="0" fillId="0" borderId="19" xfId="0" applyNumberFormat="1" applyBorder="1" applyAlignment="1">
      <alignment horizontal="left" vertical="center" wrapText="1"/>
    </xf>
    <xf numFmtId="1" fontId="0" fillId="0" borderId="20" xfId="0" applyNumberFormat="1" applyBorder="1" applyAlignment="1">
      <alignment horizontal="left" vertical="center" wrapText="1"/>
    </xf>
    <xf numFmtId="1" fontId="0" fillId="0" borderId="21" xfId="0" applyNumberFormat="1" applyBorder="1" applyAlignment="1">
      <alignment horizontal="left" vertical="center" wrapText="1"/>
    </xf>
    <xf numFmtId="0" fontId="2" fillId="2" borderId="28" xfId="0" applyFont="1" applyFill="1" applyBorder="1" applyAlignment="1">
      <alignment horizontal="center" vertical="center" wrapText="1"/>
    </xf>
    <xf numFmtId="0" fontId="2" fillId="2" borderId="58"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56" xfId="0" applyFont="1" applyFill="1" applyBorder="1" applyAlignment="1">
      <alignment horizontal="center" vertical="center" wrapText="1"/>
    </xf>
    <xf numFmtId="0" fontId="2" fillId="2" borderId="55" xfId="0" applyFont="1" applyFill="1" applyBorder="1" applyAlignment="1">
      <alignment horizontal="center" vertical="center" wrapText="1"/>
    </xf>
    <xf numFmtId="0" fontId="2" fillId="2" borderId="46" xfId="0" applyFont="1" applyFill="1" applyBorder="1" applyAlignment="1">
      <alignment horizontal="center" vertical="center" wrapText="1"/>
    </xf>
    <xf numFmtId="0" fontId="0" fillId="0" borderId="13"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2" fillId="2" borderId="30" xfId="0" applyFont="1" applyFill="1" applyBorder="1" applyAlignment="1">
      <alignment horizontal="center" vertical="center" wrapText="1"/>
    </xf>
    <xf numFmtId="0" fontId="2" fillId="2" borderId="44"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48" xfId="0" applyFont="1" applyFill="1" applyBorder="1" applyAlignment="1">
      <alignment horizontal="center" vertical="center" wrapText="1"/>
    </xf>
    <xf numFmtId="0" fontId="2" fillId="0" borderId="19" xfId="0" applyFont="1" applyBorder="1" applyAlignment="1"/>
    <xf numFmtId="0" fontId="2" fillId="0" borderId="20" xfId="0" applyFont="1" applyBorder="1" applyAlignment="1"/>
    <xf numFmtId="0" fontId="2" fillId="0" borderId="21" xfId="0" applyFont="1" applyBorder="1" applyAlignment="1"/>
    <xf numFmtId="0" fontId="2" fillId="0" borderId="20" xfId="0" applyFont="1" applyBorder="1" applyAlignment="1">
      <alignment horizontal="left"/>
    </xf>
    <xf numFmtId="0" fontId="0" fillId="0" borderId="61" xfId="0" applyBorder="1" applyAlignment="1">
      <alignment horizontal="center" vertical="center" wrapText="1"/>
    </xf>
    <xf numFmtId="0" fontId="0" fillId="0" borderId="59" xfId="0" applyBorder="1" applyAlignment="1">
      <alignment horizontal="center" vertical="center" wrapText="1"/>
    </xf>
    <xf numFmtId="0" fontId="0" fillId="0" borderId="6" xfId="0" applyBorder="1" applyAlignment="1">
      <alignment horizontal="center" vertical="center" wrapText="1"/>
    </xf>
    <xf numFmtId="0" fontId="0" fillId="0" borderId="39" xfId="0" applyBorder="1" applyAlignment="1">
      <alignment horizontal="center" vertical="center" wrapText="1"/>
    </xf>
    <xf numFmtId="0" fontId="0" fillId="0" borderId="8" xfId="0" applyBorder="1" applyAlignment="1">
      <alignment horizontal="center" vertical="center" wrapText="1"/>
    </xf>
    <xf numFmtId="0" fontId="2" fillId="0" borderId="13" xfId="0" applyFont="1" applyBorder="1" applyAlignment="1"/>
    <xf numFmtId="0" fontId="2" fillId="0" borderId="14" xfId="0" applyFont="1" applyBorder="1" applyAlignment="1"/>
    <xf numFmtId="0" fontId="2" fillId="0" borderId="15" xfId="0" applyFont="1" applyBorder="1" applyAlignment="1"/>
    <xf numFmtId="0" fontId="2" fillId="2" borderId="6"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2" fillId="2" borderId="54" xfId="0" applyFont="1" applyFill="1" applyBorder="1" applyAlignment="1">
      <alignment horizontal="center" vertical="center" wrapText="1"/>
    </xf>
    <xf numFmtId="0" fontId="2" fillId="2" borderId="73" xfId="0" applyFont="1" applyFill="1" applyBorder="1" applyAlignment="1">
      <alignment horizontal="center" vertical="center" wrapText="1"/>
    </xf>
    <xf numFmtId="0" fontId="0" fillId="0" borderId="17" xfId="0" applyBorder="1" applyAlignment="1">
      <alignment horizontal="center"/>
    </xf>
    <xf numFmtId="0" fontId="0" fillId="6" borderId="19" xfId="0" applyFill="1" applyBorder="1" applyAlignment="1">
      <alignment horizontal="center"/>
    </xf>
    <xf numFmtId="0" fontId="0" fillId="6" borderId="21" xfId="0" applyFill="1" applyBorder="1" applyAlignment="1">
      <alignment horizontal="center"/>
    </xf>
  </cellXfs>
  <cellStyles count="2">
    <cellStyle name="Normal" xfId="0" builtinId="0"/>
    <cellStyle name="Porcentagem" xfId="1" builtinId="5"/>
  </cellStyles>
  <dxfs count="2">
    <dxf>
      <font>
        <color rgb="FF9C0006"/>
      </font>
      <fill>
        <patternFill>
          <bgColor rgb="FFFFC7CE"/>
        </patternFill>
      </fill>
    </dxf>
    <dxf>
      <fill>
        <patternFill>
          <bgColor rgb="FFFF0000"/>
        </patternFill>
      </fill>
    </dxf>
  </dxfs>
  <tableStyles count="0" defaultTableStyle="TableStyleMedium2" defaultPivotStyle="PivotStyleLight16"/>
  <colors>
    <mruColors>
      <color rgb="FFFFFF00"/>
      <color rgb="FF00FF00"/>
      <color rgb="FF0066F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checked="Checked" fmlaLink="$O$14" lockText="1" noThreeD="1"/>
</file>

<file path=xl/ctrlProps/ctrlProp2.xml><?xml version="1.0" encoding="utf-8"?>
<formControlPr xmlns="http://schemas.microsoft.com/office/spreadsheetml/2009/9/main" objectType="CheckBox" fmlaLink="$O$16" lockText="1" noThreeD="1"/>
</file>

<file path=xl/ctrlProps/ctrlProp3.xml><?xml version="1.0" encoding="utf-8"?>
<formControlPr xmlns="http://schemas.microsoft.com/office/spreadsheetml/2009/9/main" objectType="CheckBox" fmlaLink="$P$14" lockText="1" noThreeD="1"/>
</file>

<file path=xl/ctrlProps/ctrlProp4.xml><?xml version="1.0" encoding="utf-8"?>
<formControlPr xmlns="http://schemas.microsoft.com/office/spreadsheetml/2009/9/main" objectType="CheckBox" fmlaLink="$P$16" lockText="1" noThreeD="1"/>
</file>

<file path=xl/ctrlProps/ctrlProp5.xml><?xml version="1.0" encoding="utf-8"?>
<formControlPr xmlns="http://schemas.microsoft.com/office/spreadsheetml/2009/9/main" objectType="CheckBox" fmlaLink="$Q$14" lockText="1" noThreeD="1"/>
</file>

<file path=xl/ctrlProps/ctrlProp6.xml><?xml version="1.0" encoding="utf-8"?>
<formControlPr xmlns="http://schemas.microsoft.com/office/spreadsheetml/2009/9/main" objectType="CheckBox" fmlaLink="$Q$16" lockText="1" noThreeD="1"/>
</file>

<file path=xl/ctrlProps/ctrlProp7.xml><?xml version="1.0" encoding="utf-8"?>
<formControlPr xmlns="http://schemas.microsoft.com/office/spreadsheetml/2009/9/main" objectType="CheckBox" fmlaLink="$R$14" lockText="1" noThreeD="1"/>
</file>

<file path=xl/ctrlProps/ctrlProp8.xml><?xml version="1.0" encoding="utf-8"?>
<formControlPr xmlns="http://schemas.microsoft.com/office/spreadsheetml/2009/9/main" objectType="CheckBox" fmlaLink="$R$16" lockText="1" noThreeD="1"/>
</file>

<file path=xl/ctrlProps/ctrlProp9.xml><?xml version="1.0" encoding="utf-8"?>
<formControlPr xmlns="http://schemas.microsoft.com/office/spreadsheetml/2009/9/main" objectType="CheckBox" fmlaLink="$S$14" lockText="1" noThreeD="1"/>
</file>

<file path=xl/ctrlProps/ctrlProp10.xml><?xml version="1.0" encoding="utf-8"?>
<formControlPr xmlns="http://schemas.microsoft.com/office/spreadsheetml/2009/9/main" objectType="CheckBox" fmlaLink="$S$16" lockText="1" noThreeD="1"/>
</file>

<file path=xl/ctrlProps/ctrlProp11.xml><?xml version="1.0" encoding="utf-8"?>
<formControlPr xmlns="http://schemas.microsoft.com/office/spreadsheetml/2009/9/main" objectType="CheckBox" fmlaLink="$T$14" lockText="1" noThreeD="1"/>
</file>

<file path=xl/ctrlProps/ctrlProp12.xml><?xml version="1.0" encoding="utf-8"?>
<formControlPr xmlns="http://schemas.microsoft.com/office/spreadsheetml/2009/9/main" objectType="CheckBox" fmlaLink="$T$16" lockText="1" noThreeD="1"/>
</file>

<file path=xl/ctrlProps/ctrlProp13.xml><?xml version="1.0" encoding="utf-8"?>
<formControlPr xmlns="http://schemas.microsoft.com/office/spreadsheetml/2009/9/main" objectType="CheckBox" fmlaLink="$U$14" lockText="1" noThreeD="1"/>
</file>

<file path=xl/ctrlProps/ctrlProp14.xml><?xml version="1.0" encoding="utf-8"?>
<formControlPr xmlns="http://schemas.microsoft.com/office/spreadsheetml/2009/9/main" objectType="CheckBox" fmlaLink="$U$16" lockText="1" noThreeD="1"/>
</file>

<file path=xl/ctrlProps/ctrlProp15.xml><?xml version="1.0" encoding="utf-8"?>
<formControlPr xmlns="http://schemas.microsoft.com/office/spreadsheetml/2009/9/main" objectType="CheckBox" fmlaLink="$V$14"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9.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2</xdr:col>
      <xdr:colOff>1103821</xdr:colOff>
      <xdr:row>0</xdr:row>
      <xdr:rowOff>129939</xdr:rowOff>
    </xdr:from>
    <xdr:to>
      <xdr:col>3</xdr:col>
      <xdr:colOff>885821</xdr:colOff>
      <xdr:row>2</xdr:row>
      <xdr:rowOff>120564</xdr:rowOff>
    </xdr:to>
    <xdr:sp macro="[0]!abaInspecoes" textlink="">
      <xdr:nvSpPr>
        <xdr:cNvPr id="2" name="Arredondar Retângulo no Mesmo Canto Lateral 1">
          <a:extLst>
            <a:ext uri="{FF2B5EF4-FFF2-40B4-BE49-F238E27FC236}">
              <a16:creationId xmlns:a16="http://schemas.microsoft.com/office/drawing/2014/main" id="{00000000-0008-0000-0000-000002000000}"/>
            </a:ext>
          </a:extLst>
        </xdr:cNvPr>
        <xdr:cNvSpPr>
          <a:spLocks/>
        </xdr:cNvSpPr>
      </xdr:nvSpPr>
      <xdr:spPr>
        <a:xfrm>
          <a:off x="2157524" y="129939"/>
          <a:ext cx="944050" cy="324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Inspeções</a:t>
          </a:r>
        </a:p>
      </xdr:txBody>
    </xdr:sp>
    <xdr:clientData/>
  </xdr:twoCellAnchor>
  <xdr:twoCellAnchor editAs="oneCell">
    <xdr:from>
      <xdr:col>3</xdr:col>
      <xdr:colOff>885820</xdr:colOff>
      <xdr:row>0</xdr:row>
      <xdr:rowOff>130969</xdr:rowOff>
    </xdr:from>
    <xdr:to>
      <xdr:col>3</xdr:col>
      <xdr:colOff>1824201</xdr:colOff>
      <xdr:row>2</xdr:row>
      <xdr:rowOff>121594</xdr:rowOff>
    </xdr:to>
    <xdr:sp macro="[0]!abaPOF" textlink="">
      <xdr:nvSpPr>
        <xdr:cNvPr id="5" name="Arredondar Retângulo no Mesmo Canto Lateral 4">
          <a:extLst>
            <a:ext uri="{FF2B5EF4-FFF2-40B4-BE49-F238E27FC236}">
              <a16:creationId xmlns:a16="http://schemas.microsoft.com/office/drawing/2014/main" id="{00000000-0008-0000-0000-000005000000}"/>
            </a:ext>
          </a:extLst>
        </xdr:cNvPr>
        <xdr:cNvSpPr/>
      </xdr:nvSpPr>
      <xdr:spPr>
        <a:xfrm>
          <a:off x="2847970" y="130969"/>
          <a:ext cx="938381" cy="324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oneCell">
    <xdr:from>
      <xdr:col>2</xdr:col>
      <xdr:colOff>173313</xdr:colOff>
      <xdr:row>0</xdr:row>
      <xdr:rowOff>129688</xdr:rowOff>
    </xdr:from>
    <xdr:to>
      <xdr:col>2</xdr:col>
      <xdr:colOff>1108468</xdr:colOff>
      <xdr:row>2</xdr:row>
      <xdr:rowOff>120313</xdr:rowOff>
    </xdr:to>
    <xdr:sp macro="[0]!abaCadastro" textlink="">
      <xdr:nvSpPr>
        <xdr:cNvPr id="4" name="Arredondar Retângulo no Mesmo Canto Lateral 3">
          <a:extLst>
            <a:ext uri="{FF2B5EF4-FFF2-40B4-BE49-F238E27FC236}">
              <a16:creationId xmlns:a16="http://schemas.microsoft.com/office/drawing/2014/main" id="{00000000-0008-0000-0000-000004000000}"/>
            </a:ext>
          </a:extLst>
        </xdr:cNvPr>
        <xdr:cNvSpPr/>
      </xdr:nvSpPr>
      <xdr:spPr>
        <a:xfrm>
          <a:off x="1227016" y="129688"/>
          <a:ext cx="935155" cy="324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xdr:twoCellAnchor editAs="oneCell">
    <xdr:from>
      <xdr:col>3</xdr:col>
      <xdr:colOff>1824889</xdr:colOff>
      <xdr:row>0</xdr:row>
      <xdr:rowOff>137254</xdr:rowOff>
    </xdr:from>
    <xdr:to>
      <xdr:col>4</xdr:col>
      <xdr:colOff>579664</xdr:colOff>
      <xdr:row>2</xdr:row>
      <xdr:rowOff>127879</xdr:rowOff>
    </xdr:to>
    <xdr:sp macro="[0]!abaCOF" textlink="">
      <xdr:nvSpPr>
        <xdr:cNvPr id="6" name="Arredondar Retângulo no Mesmo Canto Lateral 5">
          <a:extLst>
            <a:ext uri="{FF2B5EF4-FFF2-40B4-BE49-F238E27FC236}">
              <a16:creationId xmlns:a16="http://schemas.microsoft.com/office/drawing/2014/main" id="{00000000-0008-0000-0000-000006000000}"/>
            </a:ext>
          </a:extLst>
        </xdr:cNvPr>
        <xdr:cNvSpPr/>
      </xdr:nvSpPr>
      <xdr:spPr>
        <a:xfrm>
          <a:off x="3787039" y="137254"/>
          <a:ext cx="936000" cy="324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oneCell">
    <xdr:from>
      <xdr:col>4</xdr:col>
      <xdr:colOff>583319</xdr:colOff>
      <xdr:row>0</xdr:row>
      <xdr:rowOff>135895</xdr:rowOff>
    </xdr:from>
    <xdr:to>
      <xdr:col>5</xdr:col>
      <xdr:colOff>312025</xdr:colOff>
      <xdr:row>2</xdr:row>
      <xdr:rowOff>126520</xdr:rowOff>
    </xdr:to>
    <xdr:sp macro="[0]!abaRisco" textlink="">
      <xdr:nvSpPr>
        <xdr:cNvPr id="7" name="Arredondar Retângulo no Mesmo Canto Lateral 6">
          <a:extLst>
            <a:ext uri="{FF2B5EF4-FFF2-40B4-BE49-F238E27FC236}">
              <a16:creationId xmlns:a16="http://schemas.microsoft.com/office/drawing/2014/main" id="{00000000-0008-0000-0000-000007000000}"/>
            </a:ext>
          </a:extLst>
        </xdr:cNvPr>
        <xdr:cNvSpPr/>
      </xdr:nvSpPr>
      <xdr:spPr>
        <a:xfrm>
          <a:off x="4726694" y="135895"/>
          <a:ext cx="938381" cy="324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editAs="oneCell">
    <xdr:from>
      <xdr:col>1</xdr:col>
      <xdr:colOff>1364</xdr:colOff>
      <xdr:row>2</xdr:row>
      <xdr:rowOff>137435</xdr:rowOff>
    </xdr:from>
    <xdr:to>
      <xdr:col>8</xdr:col>
      <xdr:colOff>714375</xdr:colOff>
      <xdr:row>17</xdr:row>
      <xdr:rowOff>57150</xdr:rowOff>
    </xdr:to>
    <xdr:sp macro="" textlink="">
      <xdr:nvSpPr>
        <xdr:cNvPr id="8" name="Retângulo 7">
          <a:extLst>
            <a:ext uri="{FF2B5EF4-FFF2-40B4-BE49-F238E27FC236}">
              <a16:creationId xmlns:a16="http://schemas.microsoft.com/office/drawing/2014/main" id="{00000000-0008-0000-0000-000008000000}"/>
            </a:ext>
          </a:extLst>
        </xdr:cNvPr>
        <xdr:cNvSpPr/>
      </xdr:nvSpPr>
      <xdr:spPr>
        <a:xfrm>
          <a:off x="96614" y="470810"/>
          <a:ext cx="11685811" cy="530134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521142</xdr:colOff>
      <xdr:row>6</xdr:row>
      <xdr:rowOff>295274</xdr:rowOff>
    </xdr:from>
    <xdr:to>
      <xdr:col>7</xdr:col>
      <xdr:colOff>2724149</xdr:colOff>
      <xdr:row>8</xdr:row>
      <xdr:rowOff>95249</xdr:rowOff>
    </xdr:to>
    <xdr:sp macro="[0]!abaCadastro" textlink="">
      <xdr:nvSpPr>
        <xdr:cNvPr id="10" name="Retângulo Arredondado 9">
          <a:extLst>
            <a:ext uri="{FF2B5EF4-FFF2-40B4-BE49-F238E27FC236}">
              <a16:creationId xmlns:a16="http://schemas.microsoft.com/office/drawing/2014/main" id="{00000000-0008-0000-0000-00000A000000}"/>
            </a:ext>
          </a:extLst>
        </xdr:cNvPr>
        <xdr:cNvSpPr/>
      </xdr:nvSpPr>
      <xdr:spPr>
        <a:xfrm>
          <a:off x="8322117" y="1971674"/>
          <a:ext cx="2203007" cy="4667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Cadastrar</a:t>
          </a:r>
          <a:r>
            <a:rPr lang="pt-BR" sz="1400" baseline="0"/>
            <a:t> Novo</a:t>
          </a:r>
          <a:endParaRPr lang="pt-BR" sz="1400"/>
        </a:p>
      </xdr:txBody>
    </xdr:sp>
    <xdr:clientData/>
  </xdr:twoCellAnchor>
  <xdr:twoCellAnchor editAs="oneCell">
    <xdr:from>
      <xdr:col>0</xdr:col>
      <xdr:colOff>302078</xdr:colOff>
      <xdr:row>0</xdr:row>
      <xdr:rowOff>28575</xdr:rowOff>
    </xdr:from>
    <xdr:to>
      <xdr:col>2</xdr:col>
      <xdr:colOff>232000</xdr:colOff>
      <xdr:row>2</xdr:row>
      <xdr:rowOff>127200</xdr:rowOff>
    </xdr:to>
    <xdr:sp macro="" textlink="">
      <xdr:nvSpPr>
        <xdr:cNvPr id="3" name="Arredondar Retângulo no Mesmo Canto Lateral 2">
          <a:extLst>
            <a:ext uri="{FF2B5EF4-FFF2-40B4-BE49-F238E27FC236}">
              <a16:creationId xmlns:a16="http://schemas.microsoft.com/office/drawing/2014/main" id="{00000000-0008-0000-0000-000003000000}"/>
            </a:ext>
          </a:extLst>
        </xdr:cNvPr>
        <xdr:cNvSpPr/>
      </xdr:nvSpPr>
      <xdr:spPr>
        <a:xfrm>
          <a:off x="302078" y="28575"/>
          <a:ext cx="939572"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baseline="0">
              <a:solidFill>
                <a:schemeClr val="dk1"/>
              </a:solidFill>
              <a:latin typeface="+mn-lt"/>
              <a:ea typeface="+mn-ea"/>
              <a:cs typeface="+mn-cs"/>
            </a:rPr>
            <a:t>Início</a:t>
          </a:r>
        </a:p>
      </xdr:txBody>
    </xdr:sp>
    <xdr:clientData/>
  </xdr:twoCellAnchor>
  <xdr:twoCellAnchor>
    <xdr:from>
      <xdr:col>1</xdr:col>
      <xdr:colOff>123825</xdr:colOff>
      <xdr:row>11</xdr:row>
      <xdr:rowOff>314324</xdr:rowOff>
    </xdr:from>
    <xdr:to>
      <xdr:col>5</xdr:col>
      <xdr:colOff>1104900</xdr:colOff>
      <xdr:row>17</xdr:row>
      <xdr:rowOff>142874</xdr:rowOff>
    </xdr:to>
    <xdr:sp macro="" textlink="">
      <xdr:nvSpPr>
        <xdr:cNvPr id="12" name="CaixaDeTexto 11">
          <a:extLst>
            <a:ext uri="{FF2B5EF4-FFF2-40B4-BE49-F238E27FC236}">
              <a16:creationId xmlns:a16="http://schemas.microsoft.com/office/drawing/2014/main" id="{00000000-0008-0000-0000-00000C000000}"/>
            </a:ext>
          </a:extLst>
        </xdr:cNvPr>
        <xdr:cNvSpPr txBox="1"/>
      </xdr:nvSpPr>
      <xdr:spPr>
        <a:xfrm>
          <a:off x="219075" y="3381374"/>
          <a:ext cx="6238875" cy="2333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3200">
              <a:solidFill>
                <a:schemeClr val="dk1"/>
              </a:solidFill>
              <a:effectLst/>
              <a:latin typeface="+mn-lt"/>
              <a:ea typeface="+mn-ea"/>
              <a:cs typeface="+mn-cs"/>
            </a:rPr>
            <a:t>Pendências:</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a:effectLst/>
            </a:rPr>
            <a:t>se o equipamento já estiver cadastrado, apresentar erro</a:t>
          </a:r>
          <a:r>
            <a:rPr lang="pt-BR" sz="1400" baseline="0">
              <a:effectLst/>
            </a:rPr>
            <a:t> e pedir para ir na aba do banco de dados</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baseline="0">
              <a:effectLst/>
            </a:rPr>
            <a:t>buscar uma forma de cadastrar vários equipamentos (EDSON) e salvá-los no BD</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a:effectLst/>
            </a:rPr>
            <a:t>Durante o cadastro, a navegação</a:t>
          </a:r>
          <a:r>
            <a:rPr lang="pt-BR" sz="1400" baseline="0">
              <a:effectLst/>
            </a:rPr>
            <a:t> entre os mecanismos de dano ativos deve ser inteligente (ignorar os inativos)</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baseline="0">
              <a:effectLst/>
            </a:rPr>
            <a:t>permitir cadastrar o histórico de inspeção</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baseline="0">
              <a:effectLst/>
            </a:rPr>
            <a:t>adequar UI para AST</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baseline="0">
              <a:effectLst/>
            </a:rPr>
            <a:t>colocar cadastro inteligente do grupo de inventário</a:t>
          </a:r>
        </a:p>
        <a:p>
          <a:pPr marL="0" marR="0" lvl="0" indent="0" algn="ctr" defTabSz="914400" eaLnBrk="1" fontAlgn="auto" latinLnBrk="0" hangingPunct="1">
            <a:lnSpc>
              <a:spcPct val="100000"/>
            </a:lnSpc>
            <a:spcBef>
              <a:spcPts val="0"/>
            </a:spcBef>
            <a:spcAft>
              <a:spcPts val="0"/>
            </a:spcAft>
            <a:buClrTx/>
            <a:buSzTx/>
            <a:buFontTx/>
            <a:buNone/>
            <a:tabLst/>
            <a:defRPr/>
          </a:pPr>
          <a:r>
            <a:rPr lang="pt-BR" sz="1400" baseline="0">
              <a:effectLst/>
            </a:rPr>
            <a:t>etc.</a:t>
          </a:r>
          <a:endParaRPr lang="pt-BR" sz="1400">
            <a:effectLst/>
          </a:endParaRPr>
        </a:p>
      </xdr:txBody>
    </xdr:sp>
    <xdr:clientData/>
  </xdr:twoCellAnchor>
  <xdr:twoCellAnchor>
    <xdr:from>
      <xdr:col>5</xdr:col>
      <xdr:colOff>1152527</xdr:colOff>
      <xdr:row>11</xdr:row>
      <xdr:rowOff>361950</xdr:rowOff>
    </xdr:from>
    <xdr:to>
      <xdr:col>8</xdr:col>
      <xdr:colOff>1552576</xdr:colOff>
      <xdr:row>15</xdr:row>
      <xdr:rowOff>114300</xdr:rowOff>
    </xdr:to>
    <xdr:sp macro="" textlink="">
      <xdr:nvSpPr>
        <xdr:cNvPr id="11" name="CaixaDeTexto 10">
          <a:extLst>
            <a:ext uri="{FF2B5EF4-FFF2-40B4-BE49-F238E27FC236}">
              <a16:creationId xmlns:a16="http://schemas.microsoft.com/office/drawing/2014/main" id="{00000000-0008-0000-0000-00000B000000}"/>
            </a:ext>
          </a:extLst>
        </xdr:cNvPr>
        <xdr:cNvSpPr txBox="1"/>
      </xdr:nvSpPr>
      <xdr:spPr>
        <a:xfrm>
          <a:off x="6505577" y="3429000"/>
          <a:ext cx="5876924" cy="1590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400">
              <a:solidFill>
                <a:schemeClr val="dk1"/>
              </a:solidFill>
              <a:effectLst/>
              <a:latin typeface="+mn-lt"/>
              <a:ea typeface="+mn-ea"/>
              <a:cs typeface="+mn-cs"/>
            </a:rPr>
            <a:t>Essa</a:t>
          </a:r>
          <a:r>
            <a:rPr lang="pt-BR" sz="2400" baseline="0">
              <a:solidFill>
                <a:schemeClr val="dk1"/>
              </a:solidFill>
              <a:effectLst/>
              <a:latin typeface="+mn-lt"/>
              <a:ea typeface="+mn-ea"/>
              <a:cs typeface="+mn-cs"/>
            </a:rPr>
            <a:t> parte de software é só para teste. A UI não está desenvolvida. Para cadastrar vários componentes e vários mecanismos de dano, acessar as abas individuais.</a:t>
          </a:r>
          <a:endParaRPr lang="pt-BR" sz="2400">
            <a:effectLst/>
          </a:endParaRPr>
        </a:p>
      </xdr:txBody>
    </xdr:sp>
    <xdr:clientData/>
  </xdr:twoCellAnchor>
  <xdr:twoCellAnchor editAs="absolute">
    <xdr:from>
      <xdr:col>7</xdr:col>
      <xdr:colOff>521142</xdr:colOff>
      <xdr:row>5</xdr:row>
      <xdr:rowOff>66674</xdr:rowOff>
    </xdr:from>
    <xdr:to>
      <xdr:col>7</xdr:col>
      <xdr:colOff>2724149</xdr:colOff>
      <xdr:row>6</xdr:row>
      <xdr:rowOff>200024</xdr:rowOff>
    </xdr:to>
    <xdr:sp macro="" textlink="">
      <xdr:nvSpPr>
        <xdr:cNvPr id="13" name="Retângulo Arredondado 12">
          <a:extLst>
            <a:ext uri="{FF2B5EF4-FFF2-40B4-BE49-F238E27FC236}">
              <a16:creationId xmlns:a16="http://schemas.microsoft.com/office/drawing/2014/main" id="{00000000-0008-0000-0000-00000D000000}"/>
            </a:ext>
          </a:extLst>
        </xdr:cNvPr>
        <xdr:cNvSpPr/>
      </xdr:nvSpPr>
      <xdr:spPr>
        <a:xfrm>
          <a:off x="8322117" y="1409699"/>
          <a:ext cx="2203007" cy="466725"/>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aseline="0"/>
            <a:t>Editar Cadastro</a:t>
          </a:r>
          <a:endParaRPr lang="pt-BR" sz="14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1570546</xdr:colOff>
      <xdr:row>0</xdr:row>
      <xdr:rowOff>129939</xdr:rowOff>
    </xdr:from>
    <xdr:to>
      <xdr:col>3</xdr:col>
      <xdr:colOff>777871</xdr:colOff>
      <xdr:row>1</xdr:row>
      <xdr:rowOff>317867</xdr:rowOff>
    </xdr:to>
    <xdr:sp macro="[0]!abaInspecoes" textlink="">
      <xdr:nvSpPr>
        <xdr:cNvPr id="2" name="Arredondar Retângulo no Mesmo Canto Lateral 1">
          <a:extLst>
            <a:ext uri="{FF2B5EF4-FFF2-40B4-BE49-F238E27FC236}">
              <a16:creationId xmlns:a16="http://schemas.microsoft.com/office/drawing/2014/main" id="{00000000-0008-0000-0100-000002000000}"/>
            </a:ext>
          </a:extLst>
        </xdr:cNvPr>
        <xdr:cNvSpPr>
          <a:spLocks/>
        </xdr:cNvSpPr>
      </xdr:nvSpPr>
      <xdr:spPr>
        <a:xfrm>
          <a:off x="1913446" y="129939"/>
          <a:ext cx="950400"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Inspeções</a:t>
          </a:r>
        </a:p>
      </xdr:txBody>
    </xdr:sp>
    <xdr:clientData/>
  </xdr:twoCellAnchor>
  <xdr:twoCellAnchor editAs="absolute">
    <xdr:from>
      <xdr:col>3</xdr:col>
      <xdr:colOff>764716</xdr:colOff>
      <xdr:row>0</xdr:row>
      <xdr:rowOff>130969</xdr:rowOff>
    </xdr:from>
    <xdr:to>
      <xdr:col>4</xdr:col>
      <xdr:colOff>162769</xdr:colOff>
      <xdr:row>1</xdr:row>
      <xdr:rowOff>318897</xdr:rowOff>
    </xdr:to>
    <xdr:sp macro="[0]!abaPOF" textlink="">
      <xdr:nvSpPr>
        <xdr:cNvPr id="3" name="Arredondar Retângulo no Mesmo Canto Lateral 2">
          <a:extLst>
            <a:ext uri="{FF2B5EF4-FFF2-40B4-BE49-F238E27FC236}">
              <a16:creationId xmlns:a16="http://schemas.microsoft.com/office/drawing/2014/main" id="{00000000-0008-0000-0100-000003000000}"/>
            </a:ext>
          </a:extLst>
        </xdr:cNvPr>
        <xdr:cNvSpPr/>
      </xdr:nvSpPr>
      <xdr:spPr>
        <a:xfrm>
          <a:off x="2850691" y="130969"/>
          <a:ext cx="941103"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absolute">
    <xdr:from>
      <xdr:col>4</xdr:col>
      <xdr:colOff>163457</xdr:colOff>
      <xdr:row>0</xdr:row>
      <xdr:rowOff>137254</xdr:rowOff>
    </xdr:from>
    <xdr:to>
      <xdr:col>5</xdr:col>
      <xdr:colOff>250371</xdr:colOff>
      <xdr:row>1</xdr:row>
      <xdr:rowOff>325182</xdr:rowOff>
    </xdr:to>
    <xdr:sp macro="[0]!abaCOF" textlink="">
      <xdr:nvSpPr>
        <xdr:cNvPr id="5" name="Arredondar Retângulo no Mesmo Canto Lateral 4">
          <a:extLst>
            <a:ext uri="{FF2B5EF4-FFF2-40B4-BE49-F238E27FC236}">
              <a16:creationId xmlns:a16="http://schemas.microsoft.com/office/drawing/2014/main" id="{00000000-0008-0000-0100-000005000000}"/>
            </a:ext>
          </a:extLst>
        </xdr:cNvPr>
        <xdr:cNvSpPr/>
      </xdr:nvSpPr>
      <xdr:spPr>
        <a:xfrm>
          <a:off x="3792482" y="137254"/>
          <a:ext cx="934639"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absolute">
    <xdr:from>
      <xdr:col>5</xdr:col>
      <xdr:colOff>254026</xdr:colOff>
      <xdr:row>0</xdr:row>
      <xdr:rowOff>135895</xdr:rowOff>
    </xdr:from>
    <xdr:to>
      <xdr:col>5</xdr:col>
      <xdr:colOff>1186965</xdr:colOff>
      <xdr:row>1</xdr:row>
      <xdr:rowOff>323823</xdr:rowOff>
    </xdr:to>
    <xdr:sp macro="[0]!abaRisco" textlink="">
      <xdr:nvSpPr>
        <xdr:cNvPr id="6" name="Arredondar Retângulo no Mesmo Canto Lateral 5">
          <a:extLst>
            <a:ext uri="{FF2B5EF4-FFF2-40B4-BE49-F238E27FC236}">
              <a16:creationId xmlns:a16="http://schemas.microsoft.com/office/drawing/2014/main" id="{00000000-0008-0000-0100-000006000000}"/>
            </a:ext>
          </a:extLst>
        </xdr:cNvPr>
        <xdr:cNvSpPr/>
      </xdr:nvSpPr>
      <xdr:spPr>
        <a:xfrm>
          <a:off x="4730776" y="135895"/>
          <a:ext cx="932939"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xdr:from>
      <xdr:col>1</xdr:col>
      <xdr:colOff>1362</xdr:colOff>
      <xdr:row>1</xdr:row>
      <xdr:rowOff>325215</xdr:rowOff>
    </xdr:from>
    <xdr:to>
      <xdr:col>9</xdr:col>
      <xdr:colOff>247650</xdr:colOff>
      <xdr:row>20</xdr:row>
      <xdr:rowOff>57151</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96612" y="468090"/>
          <a:ext cx="11771538" cy="4380136"/>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10" name="Arredondar Retângulo no Mesmo Canto Lateral 9">
          <a:extLst>
            <a:ext uri="{FF2B5EF4-FFF2-40B4-BE49-F238E27FC236}">
              <a16:creationId xmlns:a16="http://schemas.microsoft.com/office/drawing/2014/main" id="{00000000-0008-0000-0100-00000A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24913</xdr:rowOff>
    </xdr:from>
    <xdr:to>
      <xdr:col>2</xdr:col>
      <xdr:colOff>1565668</xdr:colOff>
      <xdr:row>1</xdr:row>
      <xdr:rowOff>320841</xdr:rowOff>
    </xdr:to>
    <xdr:sp macro="" textlink="">
      <xdr:nvSpPr>
        <xdr:cNvPr id="4" name="Arredondar Retângulo no Mesmo Canto Lateral 3">
          <a:extLst>
            <a:ext uri="{FF2B5EF4-FFF2-40B4-BE49-F238E27FC236}">
              <a16:creationId xmlns:a16="http://schemas.microsoft.com/office/drawing/2014/main" id="{00000000-0008-0000-0100-000004000000}"/>
            </a:ext>
          </a:extLst>
        </xdr:cNvPr>
        <xdr:cNvSpPr/>
      </xdr:nvSpPr>
      <xdr:spPr>
        <a:xfrm>
          <a:off x="1230588" y="24913"/>
          <a:ext cx="935155"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baseline="0">
              <a:solidFill>
                <a:schemeClr val="dk1"/>
              </a:solidFill>
              <a:latin typeface="+mn-lt"/>
              <a:ea typeface="+mn-ea"/>
              <a:cs typeface="+mn-cs"/>
            </a:rPr>
            <a:t>Cadastro</a:t>
          </a:r>
        </a:p>
      </xdr:txBody>
    </xdr:sp>
    <xdr:clientData/>
  </xdr:twoCellAnchor>
  <xdr:twoCellAnchor>
    <xdr:from>
      <xdr:col>7</xdr:col>
      <xdr:colOff>1276350</xdr:colOff>
      <xdr:row>18</xdr:row>
      <xdr:rowOff>66674</xdr:rowOff>
    </xdr:from>
    <xdr:to>
      <xdr:col>8</xdr:col>
      <xdr:colOff>819150</xdr:colOff>
      <xdr:row>19</xdr:row>
      <xdr:rowOff>176310</xdr:rowOff>
    </xdr:to>
    <xdr:sp macro="[0]!abaInspecoes" textlink="">
      <xdr:nvSpPr>
        <xdr:cNvPr id="12" name="Retângulo Arredondado 11">
          <a:extLst>
            <a:ext uri="{FF2B5EF4-FFF2-40B4-BE49-F238E27FC236}">
              <a16:creationId xmlns:a16="http://schemas.microsoft.com/office/drawing/2014/main" id="{00000000-0008-0000-0100-00000C000000}"/>
            </a:ext>
          </a:extLst>
        </xdr:cNvPr>
        <xdr:cNvSpPr/>
      </xdr:nvSpPr>
      <xdr:spPr>
        <a:xfrm>
          <a:off x="10096500" y="4381499"/>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Próximo</a:t>
          </a:r>
        </a:p>
      </xdr:txBody>
    </xdr:sp>
    <xdr:clientData/>
  </xdr:twoCellAnchor>
  <xdr:twoCellAnchor>
    <xdr:from>
      <xdr:col>7</xdr:col>
      <xdr:colOff>38100</xdr:colOff>
      <xdr:row>18</xdr:row>
      <xdr:rowOff>76200</xdr:rowOff>
    </xdr:from>
    <xdr:to>
      <xdr:col>7</xdr:col>
      <xdr:colOff>1200150</xdr:colOff>
      <xdr:row>19</xdr:row>
      <xdr:rowOff>185836</xdr:rowOff>
    </xdr:to>
    <xdr:sp macro="[0]!abaInicio" textlink="">
      <xdr:nvSpPr>
        <xdr:cNvPr id="13" name="Retângulo Arredondado 12">
          <a:extLst>
            <a:ext uri="{FF2B5EF4-FFF2-40B4-BE49-F238E27FC236}">
              <a16:creationId xmlns:a16="http://schemas.microsoft.com/office/drawing/2014/main" id="{00000000-0008-0000-0100-00000D000000}"/>
            </a:ext>
          </a:extLst>
        </xdr:cNvPr>
        <xdr:cNvSpPr/>
      </xdr:nvSpPr>
      <xdr:spPr>
        <a:xfrm>
          <a:off x="8858250" y="4391025"/>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xdr:from>
      <xdr:col>3</xdr:col>
      <xdr:colOff>57149</xdr:colOff>
      <xdr:row>18</xdr:row>
      <xdr:rowOff>57151</xdr:rowOff>
    </xdr:from>
    <xdr:to>
      <xdr:col>3</xdr:col>
      <xdr:colOff>1457324</xdr:colOff>
      <xdr:row>19</xdr:row>
      <xdr:rowOff>66676</xdr:rowOff>
    </xdr:to>
    <xdr:sp macro="[0]!Part3_Table4_5" textlink="">
      <xdr:nvSpPr>
        <xdr:cNvPr id="14" name="Retângulo Arredondado 13">
          <a:extLst>
            <a:ext uri="{FF2B5EF4-FFF2-40B4-BE49-F238E27FC236}">
              <a16:creationId xmlns:a16="http://schemas.microsoft.com/office/drawing/2014/main" id="{00000000-0008-0000-0100-00000E000000}"/>
            </a:ext>
          </a:extLst>
        </xdr:cNvPr>
        <xdr:cNvSpPr/>
      </xdr:nvSpPr>
      <xdr:spPr>
        <a:xfrm>
          <a:off x="2143124" y="4371976"/>
          <a:ext cx="1400175"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Consultar Tabela</a:t>
          </a:r>
        </a:p>
      </xdr:txBody>
    </xdr:sp>
    <xdr:clientData/>
  </xdr:twoCellAnchor>
  <xdr:twoCellAnchor>
    <xdr:from>
      <xdr:col>8</xdr:col>
      <xdr:colOff>85724</xdr:colOff>
      <xdr:row>13</xdr:row>
      <xdr:rowOff>47626</xdr:rowOff>
    </xdr:from>
    <xdr:to>
      <xdr:col>8</xdr:col>
      <xdr:colOff>1114425</xdr:colOff>
      <xdr:row>14</xdr:row>
      <xdr:rowOff>57151</xdr:rowOff>
    </xdr:to>
    <xdr:sp macro="[0]!Part3_Table4_14" textlink="">
      <xdr:nvSpPr>
        <xdr:cNvPr id="15" name="Retângulo Arredondado 14">
          <a:extLst>
            <a:ext uri="{FF2B5EF4-FFF2-40B4-BE49-F238E27FC236}">
              <a16:creationId xmlns:a16="http://schemas.microsoft.com/office/drawing/2014/main" id="{00000000-0008-0000-0100-00000F000000}"/>
            </a:ext>
          </a:extLst>
        </xdr:cNvPr>
        <xdr:cNvSpPr/>
      </xdr:nvSpPr>
      <xdr:spPr>
        <a:xfrm>
          <a:off x="10525124" y="3171826"/>
          <a:ext cx="1028701"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Tabela IDLH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323849</xdr:colOff>
      <xdr:row>13</xdr:row>
      <xdr:rowOff>657224</xdr:rowOff>
    </xdr:from>
    <xdr:to>
      <xdr:col>7</xdr:col>
      <xdr:colOff>1343025</xdr:colOff>
      <xdr:row>18</xdr:row>
      <xdr:rowOff>47625</xdr:rowOff>
    </xdr:to>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4000499" y="3829049"/>
          <a:ext cx="3905251" cy="75247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pt-BR" sz="1400"/>
            <a:t>Para</a:t>
          </a:r>
          <a:r>
            <a:rPr lang="pt-BR" sz="1400" baseline="0"/>
            <a:t> p</a:t>
          </a:r>
          <a:r>
            <a:rPr lang="pt-BR" sz="1400"/>
            <a:t>reencher os dados dos Mecanismos de Dano</a:t>
          </a:r>
        </a:p>
      </xdr:txBody>
    </xdr:sp>
    <xdr:clientData/>
  </xdr:twoCellAnchor>
  <xdr:twoCellAnchor editAs="absolute">
    <xdr:from>
      <xdr:col>3</xdr:col>
      <xdr:colOff>782405</xdr:colOff>
      <xdr:row>0</xdr:row>
      <xdr:rowOff>130969</xdr:rowOff>
    </xdr:from>
    <xdr:to>
      <xdr:col>4</xdr:col>
      <xdr:colOff>126029</xdr:colOff>
      <xdr:row>1</xdr:row>
      <xdr:rowOff>318897</xdr:rowOff>
    </xdr:to>
    <xdr:sp macro="[0]!abaPOF" textlink="">
      <xdr:nvSpPr>
        <xdr:cNvPr id="3" name="Arredondar Retângulo no Mesmo Canto Lateral 2">
          <a:extLst>
            <a:ext uri="{FF2B5EF4-FFF2-40B4-BE49-F238E27FC236}">
              <a16:creationId xmlns:a16="http://schemas.microsoft.com/office/drawing/2014/main" id="{00000000-0008-0000-0200-000003000000}"/>
            </a:ext>
          </a:extLst>
        </xdr:cNvPr>
        <xdr:cNvSpPr/>
      </xdr:nvSpPr>
      <xdr:spPr>
        <a:xfrm>
          <a:off x="2864298" y="130969"/>
          <a:ext cx="935660" cy="337607"/>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absolute">
    <xdr:from>
      <xdr:col>4</xdr:col>
      <xdr:colOff>126717</xdr:colOff>
      <xdr:row>0</xdr:row>
      <xdr:rowOff>137254</xdr:rowOff>
    </xdr:from>
    <xdr:to>
      <xdr:col>4</xdr:col>
      <xdr:colOff>1059995</xdr:colOff>
      <xdr:row>1</xdr:row>
      <xdr:rowOff>325182</xdr:rowOff>
    </xdr:to>
    <xdr:sp macro="[0]!abaCOF" textlink="">
      <xdr:nvSpPr>
        <xdr:cNvPr id="4" name="Arredondar Retângulo no Mesmo Canto Lateral 3">
          <a:extLst>
            <a:ext uri="{FF2B5EF4-FFF2-40B4-BE49-F238E27FC236}">
              <a16:creationId xmlns:a16="http://schemas.microsoft.com/office/drawing/2014/main" id="{00000000-0008-0000-0200-000004000000}"/>
            </a:ext>
          </a:extLst>
        </xdr:cNvPr>
        <xdr:cNvSpPr/>
      </xdr:nvSpPr>
      <xdr:spPr>
        <a:xfrm>
          <a:off x="3800646" y="137254"/>
          <a:ext cx="933278" cy="337607"/>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absolute">
    <xdr:from>
      <xdr:col>4</xdr:col>
      <xdr:colOff>1063650</xdr:colOff>
      <xdr:row>0</xdr:row>
      <xdr:rowOff>135895</xdr:rowOff>
    </xdr:from>
    <xdr:to>
      <xdr:col>6</xdr:col>
      <xdr:colOff>186839</xdr:colOff>
      <xdr:row>1</xdr:row>
      <xdr:rowOff>323823</xdr:rowOff>
    </xdr:to>
    <xdr:sp macro="[0]!abaRisco" textlink="">
      <xdr:nvSpPr>
        <xdr:cNvPr id="5" name="Arredondar Retângulo no Mesmo Canto Lateral 4">
          <a:extLst>
            <a:ext uri="{FF2B5EF4-FFF2-40B4-BE49-F238E27FC236}">
              <a16:creationId xmlns:a16="http://schemas.microsoft.com/office/drawing/2014/main" id="{00000000-0008-0000-0200-000005000000}"/>
            </a:ext>
          </a:extLst>
        </xdr:cNvPr>
        <xdr:cNvSpPr/>
      </xdr:nvSpPr>
      <xdr:spPr>
        <a:xfrm>
          <a:off x="4737579" y="135895"/>
          <a:ext cx="932939" cy="337607"/>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xdr:from>
      <xdr:col>1</xdr:col>
      <xdr:colOff>1362</xdr:colOff>
      <xdr:row>1</xdr:row>
      <xdr:rowOff>325215</xdr:rowOff>
    </xdr:from>
    <xdr:to>
      <xdr:col>9</xdr:col>
      <xdr:colOff>600075</xdr:colOff>
      <xdr:row>19</xdr:row>
      <xdr:rowOff>95250</xdr:rowOff>
    </xdr:to>
    <xdr:sp macro="" textlink="">
      <xdr:nvSpPr>
        <xdr:cNvPr id="6" name="Retângulo 5">
          <a:extLst>
            <a:ext uri="{FF2B5EF4-FFF2-40B4-BE49-F238E27FC236}">
              <a16:creationId xmlns:a16="http://schemas.microsoft.com/office/drawing/2014/main" id="{00000000-0008-0000-0200-000006000000}"/>
            </a:ext>
          </a:extLst>
        </xdr:cNvPr>
        <xdr:cNvSpPr/>
      </xdr:nvSpPr>
      <xdr:spPr>
        <a:xfrm>
          <a:off x="96612" y="468090"/>
          <a:ext cx="11704863" cy="4399185"/>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7" name="Arredondar Retângulo no Mesmo Canto Lateral 6">
          <a:extLst>
            <a:ext uri="{FF2B5EF4-FFF2-40B4-BE49-F238E27FC236}">
              <a16:creationId xmlns:a16="http://schemas.microsoft.com/office/drawing/2014/main" id="{00000000-0008-0000-0200-000007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120163</xdr:rowOff>
    </xdr:from>
    <xdr:to>
      <xdr:col>2</xdr:col>
      <xdr:colOff>1565668</xdr:colOff>
      <xdr:row>1</xdr:row>
      <xdr:rowOff>315688</xdr:rowOff>
    </xdr:to>
    <xdr:sp macro="[0]!abaCadastro" textlink="">
      <xdr:nvSpPr>
        <xdr:cNvPr id="8" name="Arredondar Retângulo no Mesmo Canto Lateral 7">
          <a:extLst>
            <a:ext uri="{FF2B5EF4-FFF2-40B4-BE49-F238E27FC236}">
              <a16:creationId xmlns:a16="http://schemas.microsoft.com/office/drawing/2014/main" id="{00000000-0008-0000-0200-000008000000}"/>
            </a:ext>
          </a:extLst>
        </xdr:cNvPr>
        <xdr:cNvSpPr/>
      </xdr:nvSpPr>
      <xdr:spPr>
        <a:xfrm>
          <a:off x="973413" y="120163"/>
          <a:ext cx="935155" cy="338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mc:AlternateContent xmlns:mc="http://schemas.openxmlformats.org/markup-compatibility/2006">
    <mc:Choice xmlns:a14="http://schemas.microsoft.com/office/drawing/2010/main" Requires="a14">
      <xdr:twoCellAnchor editAs="oneCell">
        <xdr:from>
          <xdr:col>2</xdr:col>
          <xdr:colOff>488950</xdr:colOff>
          <xdr:row>13</xdr:row>
          <xdr:rowOff>57150</xdr:rowOff>
        </xdr:from>
        <xdr:to>
          <xdr:col>2</xdr:col>
          <xdr:colOff>1257300</xdr:colOff>
          <xdr:row>13</xdr:row>
          <xdr:rowOff>336550</xdr:rowOff>
        </xdr:to>
        <xdr:sp macro="" textlink="">
          <xdr:nvSpPr>
            <xdr:cNvPr id="219143" name="Check Box 7" hidden="1">
              <a:extLst>
                <a:ext uri="{63B3BB69-23CF-44E3-9099-C40C66FF867C}">
                  <a14:compatExt spid="_x0000_s219143"/>
                </a:ext>
                <a:ext uri="{FF2B5EF4-FFF2-40B4-BE49-F238E27FC236}">
                  <a16:creationId xmlns:a16="http://schemas.microsoft.com/office/drawing/2014/main" id="{00000000-0008-0000-0200-000007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Thinning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13</xdr:row>
          <xdr:rowOff>323850</xdr:rowOff>
        </xdr:from>
        <xdr:to>
          <xdr:col>2</xdr:col>
          <xdr:colOff>793750</xdr:colOff>
          <xdr:row>13</xdr:row>
          <xdr:rowOff>546100</xdr:rowOff>
        </xdr:to>
        <xdr:sp macro="" textlink="">
          <xdr:nvSpPr>
            <xdr:cNvPr id="219144" name="Check Box 8" hidden="1">
              <a:extLst>
                <a:ext uri="{63B3BB69-23CF-44E3-9099-C40C66FF867C}">
                  <a14:compatExt spid="_x0000_s219144"/>
                </a:ext>
                <a:ext uri="{FF2B5EF4-FFF2-40B4-BE49-F238E27FC236}">
                  <a16:creationId xmlns:a16="http://schemas.microsoft.com/office/drawing/2014/main" id="{00000000-0008-0000-0200-000008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Lining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1422400</xdr:colOff>
          <xdr:row>13</xdr:row>
          <xdr:rowOff>76200</xdr:rowOff>
        </xdr:from>
        <xdr:to>
          <xdr:col>3</xdr:col>
          <xdr:colOff>527050</xdr:colOff>
          <xdr:row>13</xdr:row>
          <xdr:rowOff>317500</xdr:rowOff>
        </xdr:to>
        <xdr:sp macro="" textlink="">
          <xdr:nvSpPr>
            <xdr:cNvPr id="219145" name="Check Box 9" hidden="1">
              <a:extLst>
                <a:ext uri="{63B3BB69-23CF-44E3-9099-C40C66FF867C}">
                  <a14:compatExt spid="_x0000_s219145"/>
                </a:ext>
                <a:ext uri="{FF2B5EF4-FFF2-40B4-BE49-F238E27FC236}">
                  <a16:creationId xmlns:a16="http://schemas.microsoft.com/office/drawing/2014/main" id="{00000000-0008-0000-0200-000009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External Corrosion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1422400</xdr:colOff>
          <xdr:row>13</xdr:row>
          <xdr:rowOff>317500</xdr:rowOff>
        </xdr:from>
        <xdr:to>
          <xdr:col>3</xdr:col>
          <xdr:colOff>990600</xdr:colOff>
          <xdr:row>13</xdr:row>
          <xdr:rowOff>552450</xdr:rowOff>
        </xdr:to>
        <xdr:sp macro="" textlink="">
          <xdr:nvSpPr>
            <xdr:cNvPr id="219146" name="Check Box 10" hidden="1">
              <a:extLst>
                <a:ext uri="{63B3BB69-23CF-44E3-9099-C40C66FF867C}">
                  <a14:compatExt spid="_x0000_s219146"/>
                </a:ext>
                <a:ext uri="{FF2B5EF4-FFF2-40B4-BE49-F238E27FC236}">
                  <a16:creationId xmlns:a16="http://schemas.microsoft.com/office/drawing/2014/main" id="{00000000-0008-0000-0200-00000A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Corrosion Under Insulation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1308100</xdr:colOff>
          <xdr:row>13</xdr:row>
          <xdr:rowOff>57150</xdr:rowOff>
        </xdr:from>
        <xdr:to>
          <xdr:col>4</xdr:col>
          <xdr:colOff>774700</xdr:colOff>
          <xdr:row>13</xdr:row>
          <xdr:rowOff>336550</xdr:rowOff>
        </xdr:to>
        <xdr:sp macro="" textlink="">
          <xdr:nvSpPr>
            <xdr:cNvPr id="219147" name="Check Box 11" hidden="1">
              <a:extLst>
                <a:ext uri="{63B3BB69-23CF-44E3-9099-C40C66FF867C}">
                  <a14:compatExt spid="_x0000_s219147"/>
                </a:ext>
                <a:ext uri="{FF2B5EF4-FFF2-40B4-BE49-F238E27FC236}">
                  <a16:creationId xmlns:a16="http://schemas.microsoft.com/office/drawing/2014/main" id="{00000000-0008-0000-0200-00000B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Caustic Cracking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1308100</xdr:colOff>
          <xdr:row>13</xdr:row>
          <xdr:rowOff>323850</xdr:rowOff>
        </xdr:from>
        <xdr:to>
          <xdr:col>4</xdr:col>
          <xdr:colOff>679450</xdr:colOff>
          <xdr:row>13</xdr:row>
          <xdr:rowOff>571500</xdr:rowOff>
        </xdr:to>
        <xdr:sp macro="" textlink="">
          <xdr:nvSpPr>
            <xdr:cNvPr id="219148" name="Check Box 12" hidden="1">
              <a:extLst>
                <a:ext uri="{63B3BB69-23CF-44E3-9099-C40C66FF867C}">
                  <a14:compatExt spid="_x0000_s219148"/>
                </a:ext>
                <a:ext uri="{FF2B5EF4-FFF2-40B4-BE49-F238E27FC236}">
                  <a16:creationId xmlns:a16="http://schemas.microsoft.com/office/drawing/2014/main" id="{00000000-0008-0000-0200-00000C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Amine Cracking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927100</xdr:colOff>
          <xdr:row>13</xdr:row>
          <xdr:rowOff>76200</xdr:rowOff>
        </xdr:from>
        <xdr:to>
          <xdr:col>5</xdr:col>
          <xdr:colOff>685800</xdr:colOff>
          <xdr:row>13</xdr:row>
          <xdr:rowOff>317500</xdr:rowOff>
        </xdr:to>
        <xdr:sp macro="" textlink="">
          <xdr:nvSpPr>
            <xdr:cNvPr id="219149" name="Check Box 13" hidden="1">
              <a:extLst>
                <a:ext uri="{63B3BB69-23CF-44E3-9099-C40C66FF867C}">
                  <a14:compatExt spid="_x0000_s219149"/>
                </a:ext>
                <a:ext uri="{FF2B5EF4-FFF2-40B4-BE49-F238E27FC236}">
                  <a16:creationId xmlns:a16="http://schemas.microsoft.com/office/drawing/2014/main" id="{00000000-0008-0000-0200-00000D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HIC-SOHIC-H2S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927100</xdr:colOff>
          <xdr:row>13</xdr:row>
          <xdr:rowOff>317500</xdr:rowOff>
        </xdr:from>
        <xdr:to>
          <xdr:col>5</xdr:col>
          <xdr:colOff>685800</xdr:colOff>
          <xdr:row>13</xdr:row>
          <xdr:rowOff>552450</xdr:rowOff>
        </xdr:to>
        <xdr:sp macro="" textlink="">
          <xdr:nvSpPr>
            <xdr:cNvPr id="219150" name="Check Box 14" hidden="1">
              <a:extLst>
                <a:ext uri="{63B3BB69-23CF-44E3-9099-C40C66FF867C}">
                  <a14:compatExt spid="_x0000_s219150"/>
                </a:ext>
                <a:ext uri="{FF2B5EF4-FFF2-40B4-BE49-F238E27FC236}">
                  <a16:creationId xmlns:a16="http://schemas.microsoft.com/office/drawing/2014/main" id="{00000000-0008-0000-0200-00000E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SSC Sulfide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13</xdr:row>
          <xdr:rowOff>76200</xdr:rowOff>
        </xdr:from>
        <xdr:to>
          <xdr:col>7</xdr:col>
          <xdr:colOff>565150</xdr:colOff>
          <xdr:row>13</xdr:row>
          <xdr:rowOff>317500</xdr:rowOff>
        </xdr:to>
        <xdr:sp macro="" textlink="">
          <xdr:nvSpPr>
            <xdr:cNvPr id="219151" name="Check Box 15" hidden="1">
              <a:extLst>
                <a:ext uri="{63B3BB69-23CF-44E3-9099-C40C66FF867C}">
                  <a14:compatExt spid="_x0000_s219151"/>
                </a:ext>
                <a:ext uri="{FF2B5EF4-FFF2-40B4-BE49-F238E27FC236}">
                  <a16:creationId xmlns:a16="http://schemas.microsoft.com/office/drawing/2014/main" id="{00000000-0008-0000-0200-00000F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SSC Alkaline Carbonate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13</xdr:row>
          <xdr:rowOff>317500</xdr:rowOff>
        </xdr:from>
        <xdr:to>
          <xdr:col>7</xdr:col>
          <xdr:colOff>412750</xdr:colOff>
          <xdr:row>13</xdr:row>
          <xdr:rowOff>552450</xdr:rowOff>
        </xdr:to>
        <xdr:sp macro="" textlink="">
          <xdr:nvSpPr>
            <xdr:cNvPr id="219152" name="Check Box 16" hidden="1">
              <a:extLst>
                <a:ext uri="{63B3BB69-23CF-44E3-9099-C40C66FF867C}">
                  <a14:compatExt spid="_x0000_s219152"/>
                </a:ext>
                <a:ext uri="{FF2B5EF4-FFF2-40B4-BE49-F238E27FC236}">
                  <a16:creationId xmlns:a16="http://schemas.microsoft.com/office/drawing/2014/main" id="{00000000-0008-0000-0200-000010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SCC Polythionic Acid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647700</xdr:colOff>
          <xdr:row>13</xdr:row>
          <xdr:rowOff>76200</xdr:rowOff>
        </xdr:from>
        <xdr:to>
          <xdr:col>7</xdr:col>
          <xdr:colOff>2012950</xdr:colOff>
          <xdr:row>13</xdr:row>
          <xdr:rowOff>317500</xdr:rowOff>
        </xdr:to>
        <xdr:sp macro="" textlink="">
          <xdr:nvSpPr>
            <xdr:cNvPr id="219153" name="Check Box 17" hidden="1">
              <a:extLst>
                <a:ext uri="{63B3BB69-23CF-44E3-9099-C40C66FF867C}">
                  <a14:compatExt spid="_x0000_s219153"/>
                </a:ext>
                <a:ext uri="{FF2B5EF4-FFF2-40B4-BE49-F238E27FC236}">
                  <a16:creationId xmlns:a16="http://schemas.microsoft.com/office/drawing/2014/main" id="{00000000-0008-0000-0200-000011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External SCC Chloride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647700</xdr:colOff>
          <xdr:row>13</xdr:row>
          <xdr:rowOff>317500</xdr:rowOff>
        </xdr:from>
        <xdr:to>
          <xdr:col>7</xdr:col>
          <xdr:colOff>1860550</xdr:colOff>
          <xdr:row>13</xdr:row>
          <xdr:rowOff>552450</xdr:rowOff>
        </xdr:to>
        <xdr:sp macro="" textlink="">
          <xdr:nvSpPr>
            <xdr:cNvPr id="219154" name="Check Box 18" hidden="1">
              <a:extLst>
                <a:ext uri="{63B3BB69-23CF-44E3-9099-C40C66FF867C}">
                  <a14:compatExt spid="_x0000_s219154"/>
                </a:ext>
                <a:ext uri="{FF2B5EF4-FFF2-40B4-BE49-F238E27FC236}">
                  <a16:creationId xmlns:a16="http://schemas.microsoft.com/office/drawing/2014/main" id="{00000000-0008-0000-0200-000012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CUI SCC Chloride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2133600</xdr:colOff>
          <xdr:row>13</xdr:row>
          <xdr:rowOff>76200</xdr:rowOff>
        </xdr:from>
        <xdr:to>
          <xdr:col>8</xdr:col>
          <xdr:colOff>717550</xdr:colOff>
          <xdr:row>13</xdr:row>
          <xdr:rowOff>317500</xdr:rowOff>
        </xdr:to>
        <xdr:sp macro="" textlink="">
          <xdr:nvSpPr>
            <xdr:cNvPr id="219155" name="Check Box 19" hidden="1">
              <a:extLst>
                <a:ext uri="{63B3BB69-23CF-44E3-9099-C40C66FF867C}">
                  <a14:compatExt spid="_x0000_s219155"/>
                </a:ext>
                <a:ext uri="{FF2B5EF4-FFF2-40B4-BE49-F238E27FC236}">
                  <a16:creationId xmlns:a16="http://schemas.microsoft.com/office/drawing/2014/main" id="{00000000-0008-0000-0200-000013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SSC Chloride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2133600</xdr:colOff>
          <xdr:row>13</xdr:row>
          <xdr:rowOff>317500</xdr:rowOff>
        </xdr:from>
        <xdr:to>
          <xdr:col>8</xdr:col>
          <xdr:colOff>565150</xdr:colOff>
          <xdr:row>13</xdr:row>
          <xdr:rowOff>552450</xdr:rowOff>
        </xdr:to>
        <xdr:sp macro="" textlink="">
          <xdr:nvSpPr>
            <xdr:cNvPr id="219156" name="Check Box 20" hidden="1">
              <a:extLst>
                <a:ext uri="{63B3BB69-23CF-44E3-9099-C40C66FF867C}">
                  <a14:compatExt spid="_x0000_s219156"/>
                </a:ext>
                <a:ext uri="{FF2B5EF4-FFF2-40B4-BE49-F238E27FC236}">
                  <a16:creationId xmlns:a16="http://schemas.microsoft.com/office/drawing/2014/main" id="{00000000-0008-0000-0200-000014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HSC Hydrofluoric Acid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755650</xdr:colOff>
          <xdr:row>13</xdr:row>
          <xdr:rowOff>76200</xdr:rowOff>
        </xdr:from>
        <xdr:to>
          <xdr:col>8</xdr:col>
          <xdr:colOff>1733550</xdr:colOff>
          <xdr:row>13</xdr:row>
          <xdr:rowOff>317500</xdr:rowOff>
        </xdr:to>
        <xdr:sp macro="" textlink="">
          <xdr:nvSpPr>
            <xdr:cNvPr id="219157" name="Check Box 21" hidden="1">
              <a:extLst>
                <a:ext uri="{63B3BB69-23CF-44E3-9099-C40C66FF867C}">
                  <a14:compatExt spid="_x0000_s219157"/>
                </a:ext>
                <a:ext uri="{FF2B5EF4-FFF2-40B4-BE49-F238E27FC236}">
                  <a16:creationId xmlns:a16="http://schemas.microsoft.com/office/drawing/2014/main" id="{00000000-0008-0000-0200-0000155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pt-BR" sz="800" b="0" i="0" u="none" strike="noStrike" baseline="0">
                  <a:solidFill>
                    <a:srgbClr val="000000"/>
                  </a:solidFill>
                  <a:latin typeface="Segoe UI"/>
                  <a:cs typeface="Segoe UI"/>
                </a:rPr>
                <a:t>HIC-SOHIC-HF</a:t>
              </a:r>
            </a:p>
          </xdr:txBody>
        </xdr:sp>
        <xdr:clientData/>
      </xdr:twoCellAnchor>
    </mc:Choice>
    <mc:Fallback/>
  </mc:AlternateContent>
  <xdr:twoCellAnchor editAs="absolute">
    <xdr:from>
      <xdr:col>2</xdr:col>
      <xdr:colOff>1561020</xdr:colOff>
      <xdr:row>0</xdr:row>
      <xdr:rowOff>25163</xdr:rowOff>
    </xdr:from>
    <xdr:to>
      <xdr:col>3</xdr:col>
      <xdr:colOff>819150</xdr:colOff>
      <xdr:row>1</xdr:row>
      <xdr:rowOff>314288</xdr:rowOff>
    </xdr:to>
    <xdr:sp macro="" textlink="">
      <xdr:nvSpPr>
        <xdr:cNvPr id="2" name="Arredondar Retângulo no Mesmo Canto Lateral 1">
          <a:extLst>
            <a:ext uri="{FF2B5EF4-FFF2-40B4-BE49-F238E27FC236}">
              <a16:creationId xmlns:a16="http://schemas.microsoft.com/office/drawing/2014/main" id="{00000000-0008-0000-0200-000002000000}"/>
            </a:ext>
          </a:extLst>
        </xdr:cNvPr>
        <xdr:cNvSpPr>
          <a:spLocks/>
        </xdr:cNvSpPr>
      </xdr:nvSpPr>
      <xdr:spPr>
        <a:xfrm>
          <a:off x="1903920" y="25163"/>
          <a:ext cx="1001205"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Inspeções</a:t>
          </a:r>
        </a:p>
      </xdr:txBody>
    </xdr:sp>
    <xdr:clientData/>
  </xdr:twoCellAnchor>
  <xdr:twoCellAnchor>
    <xdr:from>
      <xdr:col>8</xdr:col>
      <xdr:colOff>685800</xdr:colOff>
      <xdr:row>14</xdr:row>
      <xdr:rowOff>133350</xdr:rowOff>
    </xdr:from>
    <xdr:to>
      <xdr:col>8</xdr:col>
      <xdr:colOff>1847850</xdr:colOff>
      <xdr:row>16</xdr:row>
      <xdr:rowOff>90586</xdr:rowOff>
    </xdr:to>
    <xdr:sp macro="[0]!btnCalcular" textlink="">
      <xdr:nvSpPr>
        <xdr:cNvPr id="25" name="Retângulo Arredondado 24">
          <a:extLst>
            <a:ext uri="{FF2B5EF4-FFF2-40B4-BE49-F238E27FC236}">
              <a16:creationId xmlns:a16="http://schemas.microsoft.com/office/drawing/2014/main" id="{00000000-0008-0000-0200-000019000000}"/>
            </a:ext>
          </a:extLst>
        </xdr:cNvPr>
        <xdr:cNvSpPr/>
      </xdr:nvSpPr>
      <xdr:spPr>
        <a:xfrm>
          <a:off x="10029825" y="3962400"/>
          <a:ext cx="1162050" cy="347761"/>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Calcular</a:t>
          </a:r>
        </a:p>
      </xdr:txBody>
    </xdr:sp>
    <xdr:clientData/>
  </xdr:twoCellAnchor>
  <xdr:twoCellAnchor>
    <xdr:from>
      <xdr:col>7</xdr:col>
      <xdr:colOff>2257425</xdr:colOff>
      <xdr:row>16</xdr:row>
      <xdr:rowOff>171451</xdr:rowOff>
    </xdr:from>
    <xdr:to>
      <xdr:col>8</xdr:col>
      <xdr:colOff>638175</xdr:colOff>
      <xdr:row>18</xdr:row>
      <xdr:rowOff>204887</xdr:rowOff>
    </xdr:to>
    <xdr:sp macro="[0]!abaCadastro" textlink="">
      <xdr:nvSpPr>
        <xdr:cNvPr id="26" name="Retângulo Arredondado 25">
          <a:extLst>
            <a:ext uri="{FF2B5EF4-FFF2-40B4-BE49-F238E27FC236}">
              <a16:creationId xmlns:a16="http://schemas.microsoft.com/office/drawing/2014/main" id="{00000000-0008-0000-0200-00001A000000}"/>
            </a:ext>
          </a:extLst>
        </xdr:cNvPr>
        <xdr:cNvSpPr/>
      </xdr:nvSpPr>
      <xdr:spPr>
        <a:xfrm>
          <a:off x="8820150" y="4391026"/>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xdr:from>
      <xdr:col>1</xdr:col>
      <xdr:colOff>152400</xdr:colOff>
      <xdr:row>15</xdr:row>
      <xdr:rowOff>57150</xdr:rowOff>
    </xdr:from>
    <xdr:to>
      <xdr:col>3</xdr:col>
      <xdr:colOff>190501</xdr:colOff>
      <xdr:row>23</xdr:row>
      <xdr:rowOff>38100</xdr:rowOff>
    </xdr:to>
    <xdr:sp macro="" textlink="">
      <xdr:nvSpPr>
        <xdr:cNvPr id="9" name="CaixaDeTexto 8">
          <a:extLst>
            <a:ext uri="{FF2B5EF4-FFF2-40B4-BE49-F238E27FC236}">
              <a16:creationId xmlns:a16="http://schemas.microsoft.com/office/drawing/2014/main" id="{00000000-0008-0000-0200-000009000000}"/>
            </a:ext>
          </a:extLst>
        </xdr:cNvPr>
        <xdr:cNvSpPr txBox="1"/>
      </xdr:nvSpPr>
      <xdr:spPr>
        <a:xfrm>
          <a:off x="247650" y="4124325"/>
          <a:ext cx="2028826" cy="1638300"/>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t>NESSA PARTE TALVEZ FIQUE </a:t>
          </a:r>
          <a:r>
            <a:rPr lang="pt-BR" sz="1400" baseline="0"/>
            <a:t>A OPÇÃO PARA CADASTRAR HISTÓRICO DE INSPEÇÃO</a:t>
          </a:r>
          <a:endParaRPr lang="pt-BR" sz="1400"/>
        </a:p>
      </xdr:txBody>
    </xdr:sp>
    <xdr:clientData/>
  </xdr:twoCellAnchor>
  <xdr:twoCellAnchor>
    <xdr:from>
      <xdr:col>5</xdr:col>
      <xdr:colOff>542925</xdr:colOff>
      <xdr:row>14</xdr:row>
      <xdr:rowOff>66675</xdr:rowOff>
    </xdr:from>
    <xdr:to>
      <xdr:col>6</xdr:col>
      <xdr:colOff>990600</xdr:colOff>
      <xdr:row>16</xdr:row>
      <xdr:rowOff>23911</xdr:rowOff>
    </xdr:to>
    <xdr:sp macro="[0]!abaThinningUI" textlink="">
      <xdr:nvSpPr>
        <xdr:cNvPr id="29" name="Retângulo Arredondado 28">
          <a:extLst>
            <a:ext uri="{FF2B5EF4-FFF2-40B4-BE49-F238E27FC236}">
              <a16:creationId xmlns:a16="http://schemas.microsoft.com/office/drawing/2014/main" id="{00000000-0008-0000-0200-00001D000000}"/>
            </a:ext>
          </a:extLst>
        </xdr:cNvPr>
        <xdr:cNvSpPr/>
      </xdr:nvSpPr>
      <xdr:spPr>
        <a:xfrm>
          <a:off x="5305425" y="3895725"/>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Clique aqui</a:t>
          </a:r>
        </a:p>
      </xdr:txBody>
    </xdr:sp>
    <xdr:clientData/>
  </xdr:twoCellAnchor>
  <xdr:twoCellAnchor editAs="oneCell">
    <xdr:from>
      <xdr:col>2</xdr:col>
      <xdr:colOff>504825</xdr:colOff>
      <xdr:row>13</xdr:row>
      <xdr:rowOff>123825</xdr:rowOff>
    </xdr:from>
    <xdr:to>
      <xdr:col>2</xdr:col>
      <xdr:colOff>1124036</xdr:colOff>
      <xdr:row>13</xdr:row>
      <xdr:rowOff>304825</xdr:rowOff>
    </xdr:to>
    <xdr:pic>
      <xdr:nvPicPr>
        <xdr:cNvPr id="10" name="Imagem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47725" y="3057525"/>
          <a:ext cx="619211" cy="181000"/>
        </a:xfrm>
        <a:prstGeom prst="rect">
          <a:avLst/>
        </a:prstGeom>
      </xdr:spPr>
    </xdr:pic>
    <xdr:clientData/>
  </xdr:twoCellAnchor>
  <xdr:twoCellAnchor>
    <xdr:from>
      <xdr:col>8</xdr:col>
      <xdr:colOff>704850</xdr:colOff>
      <xdr:row>16</xdr:row>
      <xdr:rowOff>161926</xdr:rowOff>
    </xdr:from>
    <xdr:to>
      <xdr:col>9</xdr:col>
      <xdr:colOff>9525</xdr:colOff>
      <xdr:row>18</xdr:row>
      <xdr:rowOff>195362</xdr:rowOff>
    </xdr:to>
    <xdr:sp macro="[0]!abaPOF" textlink="">
      <xdr:nvSpPr>
        <xdr:cNvPr id="32" name="Retângulo Arredondado 31">
          <a:extLst>
            <a:ext uri="{FF2B5EF4-FFF2-40B4-BE49-F238E27FC236}">
              <a16:creationId xmlns:a16="http://schemas.microsoft.com/office/drawing/2014/main" id="{00000000-0008-0000-0200-000020000000}"/>
            </a:ext>
          </a:extLst>
        </xdr:cNvPr>
        <xdr:cNvSpPr/>
      </xdr:nvSpPr>
      <xdr:spPr>
        <a:xfrm>
          <a:off x="10048875" y="4381501"/>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Próximo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126717</xdr:colOff>
      <xdr:row>0</xdr:row>
      <xdr:rowOff>137254</xdr:rowOff>
    </xdr:from>
    <xdr:to>
      <xdr:col>4</xdr:col>
      <xdr:colOff>1059995</xdr:colOff>
      <xdr:row>1</xdr:row>
      <xdr:rowOff>325182</xdr:rowOff>
    </xdr:to>
    <xdr:sp macro="[0]!abaCOF" textlink="">
      <xdr:nvSpPr>
        <xdr:cNvPr id="3" name="Arredondar Retângulo no Mesmo Canto Lateral 2">
          <a:extLst>
            <a:ext uri="{FF2B5EF4-FFF2-40B4-BE49-F238E27FC236}">
              <a16:creationId xmlns:a16="http://schemas.microsoft.com/office/drawing/2014/main" id="{00000000-0008-0000-0300-000003000000}"/>
            </a:ext>
          </a:extLst>
        </xdr:cNvPr>
        <xdr:cNvSpPr/>
      </xdr:nvSpPr>
      <xdr:spPr>
        <a:xfrm>
          <a:off x="3803367" y="137254"/>
          <a:ext cx="933278"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absolute">
    <xdr:from>
      <xdr:col>4</xdr:col>
      <xdr:colOff>1063650</xdr:colOff>
      <xdr:row>0</xdr:row>
      <xdr:rowOff>135895</xdr:rowOff>
    </xdr:from>
    <xdr:to>
      <xdr:col>6</xdr:col>
      <xdr:colOff>186839</xdr:colOff>
      <xdr:row>1</xdr:row>
      <xdr:rowOff>323823</xdr:rowOff>
    </xdr:to>
    <xdr:sp macro="[0]!abaRisco" textlink="">
      <xdr:nvSpPr>
        <xdr:cNvPr id="4" name="Arredondar Retângulo no Mesmo Canto Lateral 3">
          <a:extLst>
            <a:ext uri="{FF2B5EF4-FFF2-40B4-BE49-F238E27FC236}">
              <a16:creationId xmlns:a16="http://schemas.microsoft.com/office/drawing/2014/main" id="{00000000-0008-0000-0300-000004000000}"/>
            </a:ext>
          </a:extLst>
        </xdr:cNvPr>
        <xdr:cNvSpPr/>
      </xdr:nvSpPr>
      <xdr:spPr>
        <a:xfrm>
          <a:off x="4740300" y="135895"/>
          <a:ext cx="923414"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xdr:from>
      <xdr:col>1</xdr:col>
      <xdr:colOff>1362</xdr:colOff>
      <xdr:row>1</xdr:row>
      <xdr:rowOff>325215</xdr:rowOff>
    </xdr:from>
    <xdr:to>
      <xdr:col>10</xdr:col>
      <xdr:colOff>180975</xdr:colOff>
      <xdr:row>19</xdr:row>
      <xdr:rowOff>28575</xdr:rowOff>
    </xdr:to>
    <xdr:sp macro="" textlink="">
      <xdr:nvSpPr>
        <xdr:cNvPr id="5" name="Retângulo 4">
          <a:extLst>
            <a:ext uri="{FF2B5EF4-FFF2-40B4-BE49-F238E27FC236}">
              <a16:creationId xmlns:a16="http://schemas.microsoft.com/office/drawing/2014/main" id="{00000000-0008-0000-0300-000005000000}"/>
            </a:ext>
          </a:extLst>
        </xdr:cNvPr>
        <xdr:cNvSpPr/>
      </xdr:nvSpPr>
      <xdr:spPr>
        <a:xfrm>
          <a:off x="96612" y="468090"/>
          <a:ext cx="11314338" cy="433251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6" name="Arredondar Retângulo no Mesmo Canto Lateral 5">
          <a:extLst>
            <a:ext uri="{FF2B5EF4-FFF2-40B4-BE49-F238E27FC236}">
              <a16:creationId xmlns:a16="http://schemas.microsoft.com/office/drawing/2014/main" id="{00000000-0008-0000-0300-000006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120163</xdr:rowOff>
    </xdr:from>
    <xdr:to>
      <xdr:col>2</xdr:col>
      <xdr:colOff>1565668</xdr:colOff>
      <xdr:row>1</xdr:row>
      <xdr:rowOff>315688</xdr:rowOff>
    </xdr:to>
    <xdr:sp macro="[0]!abaCadastro" textlink="">
      <xdr:nvSpPr>
        <xdr:cNvPr id="7" name="Arredondar Retângulo no Mesmo Canto Lateral 6">
          <a:extLst>
            <a:ext uri="{FF2B5EF4-FFF2-40B4-BE49-F238E27FC236}">
              <a16:creationId xmlns:a16="http://schemas.microsoft.com/office/drawing/2014/main" id="{00000000-0008-0000-0300-000007000000}"/>
            </a:ext>
          </a:extLst>
        </xdr:cNvPr>
        <xdr:cNvSpPr/>
      </xdr:nvSpPr>
      <xdr:spPr>
        <a:xfrm>
          <a:off x="973413" y="120163"/>
          <a:ext cx="935155" cy="338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xdr:twoCellAnchor editAs="absolute">
    <xdr:from>
      <xdr:col>2</xdr:col>
      <xdr:colOff>1561020</xdr:colOff>
      <xdr:row>0</xdr:row>
      <xdr:rowOff>129938</xdr:rowOff>
    </xdr:from>
    <xdr:to>
      <xdr:col>3</xdr:col>
      <xdr:colOff>819150</xdr:colOff>
      <xdr:row>1</xdr:row>
      <xdr:rowOff>318263</xdr:rowOff>
    </xdr:to>
    <xdr:sp macro="[0]!abaInspecoes" textlink="">
      <xdr:nvSpPr>
        <xdr:cNvPr id="23" name="Arredondar Retângulo no Mesmo Canto Lateral 22">
          <a:extLst>
            <a:ext uri="{FF2B5EF4-FFF2-40B4-BE49-F238E27FC236}">
              <a16:creationId xmlns:a16="http://schemas.microsoft.com/office/drawing/2014/main" id="{00000000-0008-0000-0300-000017000000}"/>
            </a:ext>
          </a:extLst>
        </xdr:cNvPr>
        <xdr:cNvSpPr>
          <a:spLocks/>
        </xdr:cNvSpPr>
      </xdr:nvSpPr>
      <xdr:spPr>
        <a:xfrm>
          <a:off x="1903920" y="129938"/>
          <a:ext cx="1001205" cy="3312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Inspeções</a:t>
          </a:r>
        </a:p>
      </xdr:txBody>
    </xdr:sp>
    <xdr:clientData/>
  </xdr:twoCellAnchor>
  <xdr:twoCellAnchor editAs="oneCell">
    <xdr:from>
      <xdr:col>9</xdr:col>
      <xdr:colOff>19050</xdr:colOff>
      <xdr:row>17</xdr:row>
      <xdr:rowOff>57150</xdr:rowOff>
    </xdr:from>
    <xdr:to>
      <xdr:col>10</xdr:col>
      <xdr:colOff>0</xdr:colOff>
      <xdr:row>18</xdr:row>
      <xdr:rowOff>166786</xdr:rowOff>
    </xdr:to>
    <xdr:sp macro="[0]!abaCOF" textlink="">
      <xdr:nvSpPr>
        <xdr:cNvPr id="24" name="Retângulo Arredondado 23">
          <a:extLst>
            <a:ext uri="{FF2B5EF4-FFF2-40B4-BE49-F238E27FC236}">
              <a16:creationId xmlns:a16="http://schemas.microsoft.com/office/drawing/2014/main" id="{00000000-0008-0000-0300-000018000000}"/>
            </a:ext>
          </a:extLst>
        </xdr:cNvPr>
        <xdr:cNvSpPr/>
      </xdr:nvSpPr>
      <xdr:spPr>
        <a:xfrm>
          <a:off x="10067925" y="4352925"/>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Próximo</a:t>
          </a:r>
        </a:p>
      </xdr:txBody>
    </xdr:sp>
    <xdr:clientData/>
  </xdr:twoCellAnchor>
  <xdr:twoCellAnchor editAs="oneCell">
    <xdr:from>
      <xdr:col>8</xdr:col>
      <xdr:colOff>619125</xdr:colOff>
      <xdr:row>17</xdr:row>
      <xdr:rowOff>57151</xdr:rowOff>
    </xdr:from>
    <xdr:to>
      <xdr:col>8</xdr:col>
      <xdr:colOff>1781175</xdr:colOff>
      <xdr:row>18</xdr:row>
      <xdr:rowOff>166787</xdr:rowOff>
    </xdr:to>
    <xdr:sp macro="[0]!abaInspecoes" textlink="">
      <xdr:nvSpPr>
        <xdr:cNvPr id="25" name="Retângulo Arredondado 24">
          <a:extLst>
            <a:ext uri="{FF2B5EF4-FFF2-40B4-BE49-F238E27FC236}">
              <a16:creationId xmlns:a16="http://schemas.microsoft.com/office/drawing/2014/main" id="{00000000-0008-0000-0300-000019000000}"/>
            </a:ext>
          </a:extLst>
        </xdr:cNvPr>
        <xdr:cNvSpPr/>
      </xdr:nvSpPr>
      <xdr:spPr>
        <a:xfrm>
          <a:off x="8810625" y="4352926"/>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editAs="absolute">
    <xdr:from>
      <xdr:col>3</xdr:col>
      <xdr:colOff>782404</xdr:colOff>
      <xdr:row>0</xdr:row>
      <xdr:rowOff>26193</xdr:rowOff>
    </xdr:from>
    <xdr:to>
      <xdr:col>4</xdr:col>
      <xdr:colOff>127729</xdr:colOff>
      <xdr:row>1</xdr:row>
      <xdr:rowOff>315318</xdr:rowOff>
    </xdr:to>
    <xdr:sp macro="" textlink="">
      <xdr:nvSpPr>
        <xdr:cNvPr id="2" name="Arredondar Retângulo no Mesmo Canto Lateral 1">
          <a:extLst>
            <a:ext uri="{FF2B5EF4-FFF2-40B4-BE49-F238E27FC236}">
              <a16:creationId xmlns:a16="http://schemas.microsoft.com/office/drawing/2014/main" id="{00000000-0008-0000-0300-000002000000}"/>
            </a:ext>
          </a:extLst>
        </xdr:cNvPr>
        <xdr:cNvSpPr/>
      </xdr:nvSpPr>
      <xdr:spPr>
        <a:xfrm>
          <a:off x="2868379" y="26193"/>
          <a:ext cx="936000"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POF</a:t>
          </a:r>
        </a:p>
      </xdr:txBody>
    </xdr:sp>
    <xdr:clientData/>
  </xdr:twoCellAnchor>
  <xdr:twoCellAnchor>
    <xdr:from>
      <xdr:col>6</xdr:col>
      <xdr:colOff>428625</xdr:colOff>
      <xdr:row>12</xdr:row>
      <xdr:rowOff>161927</xdr:rowOff>
    </xdr:from>
    <xdr:to>
      <xdr:col>7</xdr:col>
      <xdr:colOff>981075</xdr:colOff>
      <xdr:row>12</xdr:row>
      <xdr:rowOff>552451</xdr:rowOff>
    </xdr:to>
    <xdr:sp macro="[0]!calculoPof" textlink="">
      <xdr:nvSpPr>
        <xdr:cNvPr id="27" name="Retângulo Arredondado 26">
          <a:extLst>
            <a:ext uri="{FF2B5EF4-FFF2-40B4-BE49-F238E27FC236}">
              <a16:creationId xmlns:a16="http://schemas.microsoft.com/office/drawing/2014/main" id="{00000000-0008-0000-0300-00001B000000}"/>
            </a:ext>
          </a:extLst>
        </xdr:cNvPr>
        <xdr:cNvSpPr/>
      </xdr:nvSpPr>
      <xdr:spPr>
        <a:xfrm>
          <a:off x="5905500" y="3095627"/>
          <a:ext cx="1600200" cy="390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Ver cálculo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1063650</xdr:colOff>
      <xdr:row>0</xdr:row>
      <xdr:rowOff>135895</xdr:rowOff>
    </xdr:from>
    <xdr:to>
      <xdr:col>6</xdr:col>
      <xdr:colOff>186839</xdr:colOff>
      <xdr:row>1</xdr:row>
      <xdr:rowOff>323823</xdr:rowOff>
    </xdr:to>
    <xdr:sp macro="[0]!abaRisco" textlink="">
      <xdr:nvSpPr>
        <xdr:cNvPr id="4" name="Arredondar Retângulo no Mesmo Canto Lateral 3">
          <a:extLst>
            <a:ext uri="{FF2B5EF4-FFF2-40B4-BE49-F238E27FC236}">
              <a16:creationId xmlns:a16="http://schemas.microsoft.com/office/drawing/2014/main" id="{00000000-0008-0000-0400-000004000000}"/>
            </a:ext>
          </a:extLst>
        </xdr:cNvPr>
        <xdr:cNvSpPr/>
      </xdr:nvSpPr>
      <xdr:spPr>
        <a:xfrm>
          <a:off x="4740300" y="135895"/>
          <a:ext cx="923414"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xdr:from>
      <xdr:col>1</xdr:col>
      <xdr:colOff>1363</xdr:colOff>
      <xdr:row>1</xdr:row>
      <xdr:rowOff>325215</xdr:rowOff>
    </xdr:from>
    <xdr:to>
      <xdr:col>9</xdr:col>
      <xdr:colOff>209551</xdr:colOff>
      <xdr:row>18</xdr:row>
      <xdr:rowOff>200025</xdr:rowOff>
    </xdr:to>
    <xdr:sp macro="" textlink="">
      <xdr:nvSpPr>
        <xdr:cNvPr id="5" name="Retângulo 4">
          <a:extLst>
            <a:ext uri="{FF2B5EF4-FFF2-40B4-BE49-F238E27FC236}">
              <a16:creationId xmlns:a16="http://schemas.microsoft.com/office/drawing/2014/main" id="{00000000-0008-0000-0400-000005000000}"/>
            </a:ext>
          </a:extLst>
        </xdr:cNvPr>
        <xdr:cNvSpPr/>
      </xdr:nvSpPr>
      <xdr:spPr>
        <a:xfrm>
          <a:off x="96613" y="468090"/>
          <a:ext cx="11142888" cy="4265835"/>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6" name="Arredondar Retângulo no Mesmo Canto Lateral 5">
          <a:extLst>
            <a:ext uri="{FF2B5EF4-FFF2-40B4-BE49-F238E27FC236}">
              <a16:creationId xmlns:a16="http://schemas.microsoft.com/office/drawing/2014/main" id="{00000000-0008-0000-0400-000006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120163</xdr:rowOff>
    </xdr:from>
    <xdr:to>
      <xdr:col>2</xdr:col>
      <xdr:colOff>1565668</xdr:colOff>
      <xdr:row>1</xdr:row>
      <xdr:rowOff>315688</xdr:rowOff>
    </xdr:to>
    <xdr:sp macro="[0]!abaCadastro" textlink="">
      <xdr:nvSpPr>
        <xdr:cNvPr id="7" name="Arredondar Retângulo no Mesmo Canto Lateral 6">
          <a:extLst>
            <a:ext uri="{FF2B5EF4-FFF2-40B4-BE49-F238E27FC236}">
              <a16:creationId xmlns:a16="http://schemas.microsoft.com/office/drawing/2014/main" id="{00000000-0008-0000-0400-000007000000}"/>
            </a:ext>
          </a:extLst>
        </xdr:cNvPr>
        <xdr:cNvSpPr/>
      </xdr:nvSpPr>
      <xdr:spPr>
        <a:xfrm>
          <a:off x="973413" y="120163"/>
          <a:ext cx="935155" cy="338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xdr:twoCellAnchor editAs="absolute">
    <xdr:from>
      <xdr:col>2</xdr:col>
      <xdr:colOff>1561020</xdr:colOff>
      <xdr:row>0</xdr:row>
      <xdr:rowOff>129938</xdr:rowOff>
    </xdr:from>
    <xdr:to>
      <xdr:col>3</xdr:col>
      <xdr:colOff>819150</xdr:colOff>
      <xdr:row>1</xdr:row>
      <xdr:rowOff>318263</xdr:rowOff>
    </xdr:to>
    <xdr:sp macro="[0]!abaInspecoes" textlink="">
      <xdr:nvSpPr>
        <xdr:cNvPr id="23" name="Arredondar Retângulo no Mesmo Canto Lateral 22">
          <a:extLst>
            <a:ext uri="{FF2B5EF4-FFF2-40B4-BE49-F238E27FC236}">
              <a16:creationId xmlns:a16="http://schemas.microsoft.com/office/drawing/2014/main" id="{00000000-0008-0000-0400-000017000000}"/>
            </a:ext>
          </a:extLst>
        </xdr:cNvPr>
        <xdr:cNvSpPr>
          <a:spLocks/>
        </xdr:cNvSpPr>
      </xdr:nvSpPr>
      <xdr:spPr>
        <a:xfrm>
          <a:off x="1903920" y="129938"/>
          <a:ext cx="1001205" cy="3312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Inspeções</a:t>
          </a:r>
        </a:p>
      </xdr:txBody>
    </xdr:sp>
    <xdr:clientData/>
  </xdr:twoCellAnchor>
  <xdr:twoCellAnchor editAs="absolute">
    <xdr:from>
      <xdr:col>8</xdr:col>
      <xdr:colOff>771525</xdr:colOff>
      <xdr:row>17</xdr:row>
      <xdr:rowOff>0</xdr:rowOff>
    </xdr:from>
    <xdr:to>
      <xdr:col>9</xdr:col>
      <xdr:colOff>76200</xdr:colOff>
      <xdr:row>18</xdr:row>
      <xdr:rowOff>109636</xdr:rowOff>
    </xdr:to>
    <xdr:sp macro="[0]!abaRisco" textlink="">
      <xdr:nvSpPr>
        <xdr:cNvPr id="24" name="Retângulo Arredondado 23">
          <a:extLst>
            <a:ext uri="{FF2B5EF4-FFF2-40B4-BE49-F238E27FC236}">
              <a16:creationId xmlns:a16="http://schemas.microsoft.com/office/drawing/2014/main" id="{00000000-0008-0000-0400-000018000000}"/>
            </a:ext>
          </a:extLst>
        </xdr:cNvPr>
        <xdr:cNvSpPr/>
      </xdr:nvSpPr>
      <xdr:spPr>
        <a:xfrm>
          <a:off x="9944100" y="4295775"/>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Próximo</a:t>
          </a:r>
        </a:p>
      </xdr:txBody>
    </xdr:sp>
    <xdr:clientData/>
  </xdr:twoCellAnchor>
  <xdr:twoCellAnchor editAs="absolute">
    <xdr:from>
      <xdr:col>7</xdr:col>
      <xdr:colOff>1428751</xdr:colOff>
      <xdr:row>17</xdr:row>
      <xdr:rowOff>9526</xdr:rowOff>
    </xdr:from>
    <xdr:to>
      <xdr:col>8</xdr:col>
      <xdr:colOff>695326</xdr:colOff>
      <xdr:row>18</xdr:row>
      <xdr:rowOff>119162</xdr:rowOff>
    </xdr:to>
    <xdr:sp macro="[0]!abaPOF" textlink="">
      <xdr:nvSpPr>
        <xdr:cNvPr id="25" name="Retângulo Arredondado 24">
          <a:extLst>
            <a:ext uri="{FF2B5EF4-FFF2-40B4-BE49-F238E27FC236}">
              <a16:creationId xmlns:a16="http://schemas.microsoft.com/office/drawing/2014/main" id="{00000000-0008-0000-0400-000019000000}"/>
            </a:ext>
          </a:extLst>
        </xdr:cNvPr>
        <xdr:cNvSpPr/>
      </xdr:nvSpPr>
      <xdr:spPr>
        <a:xfrm>
          <a:off x="8705851" y="4305301"/>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editAs="absolute">
    <xdr:from>
      <xdr:col>3</xdr:col>
      <xdr:colOff>782405</xdr:colOff>
      <xdr:row>0</xdr:row>
      <xdr:rowOff>130969</xdr:rowOff>
    </xdr:from>
    <xdr:to>
      <xdr:col>4</xdr:col>
      <xdr:colOff>126029</xdr:colOff>
      <xdr:row>1</xdr:row>
      <xdr:rowOff>318897</xdr:rowOff>
    </xdr:to>
    <xdr:sp macro="[0]!abaPOF" textlink="">
      <xdr:nvSpPr>
        <xdr:cNvPr id="2" name="Arredondar Retângulo no Mesmo Canto Lateral 1">
          <a:extLst>
            <a:ext uri="{FF2B5EF4-FFF2-40B4-BE49-F238E27FC236}">
              <a16:creationId xmlns:a16="http://schemas.microsoft.com/office/drawing/2014/main" id="{00000000-0008-0000-0400-000002000000}"/>
            </a:ext>
          </a:extLst>
        </xdr:cNvPr>
        <xdr:cNvSpPr/>
      </xdr:nvSpPr>
      <xdr:spPr>
        <a:xfrm>
          <a:off x="2868380" y="130969"/>
          <a:ext cx="934299"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absolute">
    <xdr:from>
      <xdr:col>4</xdr:col>
      <xdr:colOff>126717</xdr:colOff>
      <xdr:row>0</xdr:row>
      <xdr:rowOff>22953</xdr:rowOff>
    </xdr:from>
    <xdr:to>
      <xdr:col>4</xdr:col>
      <xdr:colOff>1059995</xdr:colOff>
      <xdr:row>1</xdr:row>
      <xdr:rowOff>312078</xdr:rowOff>
    </xdr:to>
    <xdr:sp macro="" textlink="">
      <xdr:nvSpPr>
        <xdr:cNvPr id="3" name="Arredondar Retângulo no Mesmo Canto Lateral 2">
          <a:extLst>
            <a:ext uri="{FF2B5EF4-FFF2-40B4-BE49-F238E27FC236}">
              <a16:creationId xmlns:a16="http://schemas.microsoft.com/office/drawing/2014/main" id="{00000000-0008-0000-0400-000003000000}"/>
            </a:ext>
          </a:extLst>
        </xdr:cNvPr>
        <xdr:cNvSpPr/>
      </xdr:nvSpPr>
      <xdr:spPr>
        <a:xfrm>
          <a:off x="3803367" y="22953"/>
          <a:ext cx="933278"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COF</a:t>
          </a:r>
        </a:p>
      </xdr:txBody>
    </xdr:sp>
    <xdr:clientData/>
  </xdr:twoCellAnchor>
  <xdr:twoCellAnchor>
    <xdr:from>
      <xdr:col>6</xdr:col>
      <xdr:colOff>1019175</xdr:colOff>
      <xdr:row>11</xdr:row>
      <xdr:rowOff>161927</xdr:rowOff>
    </xdr:from>
    <xdr:to>
      <xdr:col>7</xdr:col>
      <xdr:colOff>533400</xdr:colOff>
      <xdr:row>12</xdr:row>
      <xdr:rowOff>266700</xdr:rowOff>
    </xdr:to>
    <xdr:sp macro="[0]!calculoCof" textlink="">
      <xdr:nvSpPr>
        <xdr:cNvPr id="29" name="Retângulo Arredondado 28">
          <a:extLst>
            <a:ext uri="{FF2B5EF4-FFF2-40B4-BE49-F238E27FC236}">
              <a16:creationId xmlns:a16="http://schemas.microsoft.com/office/drawing/2014/main" id="{00000000-0008-0000-0400-00001D000000}"/>
            </a:ext>
          </a:extLst>
        </xdr:cNvPr>
        <xdr:cNvSpPr/>
      </xdr:nvSpPr>
      <xdr:spPr>
        <a:xfrm>
          <a:off x="6496050" y="2857502"/>
          <a:ext cx="1314450" cy="3428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Ver cálculo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1561020</xdr:colOff>
      <xdr:row>0</xdr:row>
      <xdr:rowOff>129938</xdr:rowOff>
    </xdr:from>
    <xdr:to>
      <xdr:col>3</xdr:col>
      <xdr:colOff>552450</xdr:colOff>
      <xdr:row>1</xdr:row>
      <xdr:rowOff>318263</xdr:rowOff>
    </xdr:to>
    <xdr:sp macro="[0]!abaInspecoes" textlink="">
      <xdr:nvSpPr>
        <xdr:cNvPr id="23" name="Arredondar Retângulo no Mesmo Canto Lateral 22">
          <a:extLst>
            <a:ext uri="{FF2B5EF4-FFF2-40B4-BE49-F238E27FC236}">
              <a16:creationId xmlns:a16="http://schemas.microsoft.com/office/drawing/2014/main" id="{00000000-0008-0000-0500-000017000000}"/>
            </a:ext>
          </a:extLst>
        </xdr:cNvPr>
        <xdr:cNvSpPr>
          <a:spLocks/>
        </xdr:cNvSpPr>
      </xdr:nvSpPr>
      <xdr:spPr>
        <a:xfrm>
          <a:off x="1903920" y="129938"/>
          <a:ext cx="1001205" cy="3312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Inspeções</a:t>
          </a:r>
        </a:p>
      </xdr:txBody>
    </xdr:sp>
    <xdr:clientData/>
  </xdr:twoCellAnchor>
  <xdr:twoCellAnchor editAs="absolute">
    <xdr:from>
      <xdr:col>3</xdr:col>
      <xdr:colOff>515705</xdr:colOff>
      <xdr:row>0</xdr:row>
      <xdr:rowOff>130969</xdr:rowOff>
    </xdr:from>
    <xdr:to>
      <xdr:col>4</xdr:col>
      <xdr:colOff>97454</xdr:colOff>
      <xdr:row>1</xdr:row>
      <xdr:rowOff>318897</xdr:rowOff>
    </xdr:to>
    <xdr:sp macro="[0]!abaPOF" textlink="">
      <xdr:nvSpPr>
        <xdr:cNvPr id="2" name="Arredondar Retângulo no Mesmo Canto Lateral 1">
          <a:extLst>
            <a:ext uri="{FF2B5EF4-FFF2-40B4-BE49-F238E27FC236}">
              <a16:creationId xmlns:a16="http://schemas.microsoft.com/office/drawing/2014/main" id="{00000000-0008-0000-0500-000002000000}"/>
            </a:ext>
          </a:extLst>
        </xdr:cNvPr>
        <xdr:cNvSpPr/>
      </xdr:nvSpPr>
      <xdr:spPr>
        <a:xfrm>
          <a:off x="2868380" y="130969"/>
          <a:ext cx="934299"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absolute">
    <xdr:from>
      <xdr:col>4</xdr:col>
      <xdr:colOff>98142</xdr:colOff>
      <xdr:row>0</xdr:row>
      <xdr:rowOff>137254</xdr:rowOff>
    </xdr:from>
    <xdr:to>
      <xdr:col>5</xdr:col>
      <xdr:colOff>164645</xdr:colOff>
      <xdr:row>1</xdr:row>
      <xdr:rowOff>325182</xdr:rowOff>
    </xdr:to>
    <xdr:sp macro="[0]!abaCOF" textlink="">
      <xdr:nvSpPr>
        <xdr:cNvPr id="3" name="Arredondar Retângulo no Mesmo Canto Lateral 2">
          <a:extLst>
            <a:ext uri="{FF2B5EF4-FFF2-40B4-BE49-F238E27FC236}">
              <a16:creationId xmlns:a16="http://schemas.microsoft.com/office/drawing/2014/main" id="{00000000-0008-0000-0500-000003000000}"/>
            </a:ext>
          </a:extLst>
        </xdr:cNvPr>
        <xdr:cNvSpPr/>
      </xdr:nvSpPr>
      <xdr:spPr>
        <a:xfrm>
          <a:off x="3803367" y="137254"/>
          <a:ext cx="933278"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oneCell">
    <xdr:from>
      <xdr:col>1</xdr:col>
      <xdr:colOff>1362</xdr:colOff>
      <xdr:row>1</xdr:row>
      <xdr:rowOff>325215</xdr:rowOff>
    </xdr:from>
    <xdr:to>
      <xdr:col>8</xdr:col>
      <xdr:colOff>333375</xdr:colOff>
      <xdr:row>19</xdr:row>
      <xdr:rowOff>171450</xdr:rowOff>
    </xdr:to>
    <xdr:sp macro="" textlink="">
      <xdr:nvSpPr>
        <xdr:cNvPr id="5" name="Retângulo 4">
          <a:extLst>
            <a:ext uri="{FF2B5EF4-FFF2-40B4-BE49-F238E27FC236}">
              <a16:creationId xmlns:a16="http://schemas.microsoft.com/office/drawing/2014/main" id="{00000000-0008-0000-0500-000005000000}"/>
            </a:ext>
          </a:extLst>
        </xdr:cNvPr>
        <xdr:cNvSpPr/>
      </xdr:nvSpPr>
      <xdr:spPr>
        <a:xfrm>
          <a:off x="96612" y="468090"/>
          <a:ext cx="11190513" cy="431346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6" name="Arredondar Retângulo no Mesmo Canto Lateral 5">
          <a:extLst>
            <a:ext uri="{FF2B5EF4-FFF2-40B4-BE49-F238E27FC236}">
              <a16:creationId xmlns:a16="http://schemas.microsoft.com/office/drawing/2014/main" id="{00000000-0008-0000-0500-000006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120163</xdr:rowOff>
    </xdr:from>
    <xdr:to>
      <xdr:col>2</xdr:col>
      <xdr:colOff>1565668</xdr:colOff>
      <xdr:row>1</xdr:row>
      <xdr:rowOff>315688</xdr:rowOff>
    </xdr:to>
    <xdr:sp macro="[0]!abaCadastro" textlink="">
      <xdr:nvSpPr>
        <xdr:cNvPr id="7" name="Arredondar Retângulo no Mesmo Canto Lateral 6">
          <a:extLst>
            <a:ext uri="{FF2B5EF4-FFF2-40B4-BE49-F238E27FC236}">
              <a16:creationId xmlns:a16="http://schemas.microsoft.com/office/drawing/2014/main" id="{00000000-0008-0000-0500-000007000000}"/>
            </a:ext>
          </a:extLst>
        </xdr:cNvPr>
        <xdr:cNvSpPr/>
      </xdr:nvSpPr>
      <xdr:spPr>
        <a:xfrm>
          <a:off x="973413" y="120163"/>
          <a:ext cx="935155" cy="338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xdr:twoCellAnchor editAs="absolute">
    <xdr:from>
      <xdr:col>7</xdr:col>
      <xdr:colOff>1847850</xdr:colOff>
      <xdr:row>17</xdr:row>
      <xdr:rowOff>200025</xdr:rowOff>
    </xdr:from>
    <xdr:to>
      <xdr:col>8</xdr:col>
      <xdr:colOff>114300</xdr:colOff>
      <xdr:row>19</xdr:row>
      <xdr:rowOff>71536</xdr:rowOff>
    </xdr:to>
    <xdr:sp macro="[0]!confirmaSalvar" textlink="">
      <xdr:nvSpPr>
        <xdr:cNvPr id="24" name="Retângulo Arredondado 23">
          <a:extLst>
            <a:ext uri="{FF2B5EF4-FFF2-40B4-BE49-F238E27FC236}">
              <a16:creationId xmlns:a16="http://schemas.microsoft.com/office/drawing/2014/main" id="{00000000-0008-0000-0500-000018000000}"/>
            </a:ext>
          </a:extLst>
        </xdr:cNvPr>
        <xdr:cNvSpPr/>
      </xdr:nvSpPr>
      <xdr:spPr>
        <a:xfrm>
          <a:off x="9906000" y="4333875"/>
          <a:ext cx="1162050" cy="347761"/>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Salvar</a:t>
          </a:r>
        </a:p>
      </xdr:txBody>
    </xdr:sp>
    <xdr:clientData/>
  </xdr:twoCellAnchor>
  <xdr:twoCellAnchor editAs="absolute">
    <xdr:from>
      <xdr:col>7</xdr:col>
      <xdr:colOff>609600</xdr:colOff>
      <xdr:row>17</xdr:row>
      <xdr:rowOff>209551</xdr:rowOff>
    </xdr:from>
    <xdr:to>
      <xdr:col>7</xdr:col>
      <xdr:colOff>1771650</xdr:colOff>
      <xdr:row>19</xdr:row>
      <xdr:rowOff>81062</xdr:rowOff>
    </xdr:to>
    <xdr:sp macro="[0]!abaCOF" textlink="">
      <xdr:nvSpPr>
        <xdr:cNvPr id="25" name="Retângulo Arredondado 24">
          <a:extLst>
            <a:ext uri="{FF2B5EF4-FFF2-40B4-BE49-F238E27FC236}">
              <a16:creationId xmlns:a16="http://schemas.microsoft.com/office/drawing/2014/main" id="{00000000-0008-0000-0500-000019000000}"/>
            </a:ext>
          </a:extLst>
        </xdr:cNvPr>
        <xdr:cNvSpPr/>
      </xdr:nvSpPr>
      <xdr:spPr>
        <a:xfrm>
          <a:off x="8667750" y="4343401"/>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editAs="absolute">
    <xdr:from>
      <xdr:col>5</xdr:col>
      <xdr:colOff>168300</xdr:colOff>
      <xdr:row>0</xdr:row>
      <xdr:rowOff>21594</xdr:rowOff>
    </xdr:from>
    <xdr:to>
      <xdr:col>6</xdr:col>
      <xdr:colOff>663089</xdr:colOff>
      <xdr:row>1</xdr:row>
      <xdr:rowOff>310719</xdr:rowOff>
    </xdr:to>
    <xdr:sp macro="" textlink="">
      <xdr:nvSpPr>
        <xdr:cNvPr id="4" name="Arredondar Retângulo no Mesmo Canto Lateral 3">
          <a:extLst>
            <a:ext uri="{FF2B5EF4-FFF2-40B4-BE49-F238E27FC236}">
              <a16:creationId xmlns:a16="http://schemas.microsoft.com/office/drawing/2014/main" id="{00000000-0008-0000-0500-000004000000}"/>
            </a:ext>
          </a:extLst>
        </xdr:cNvPr>
        <xdr:cNvSpPr/>
      </xdr:nvSpPr>
      <xdr:spPr>
        <a:xfrm>
          <a:off x="4740300" y="21594"/>
          <a:ext cx="923414"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Risco</a:t>
          </a:r>
        </a:p>
      </xdr:txBody>
    </xdr:sp>
    <xdr:clientData/>
  </xdr:twoCellAnchor>
  <xdr:twoCellAnchor>
    <xdr:from>
      <xdr:col>6</xdr:col>
      <xdr:colOff>2009775</xdr:colOff>
      <xdr:row>13</xdr:row>
      <xdr:rowOff>161927</xdr:rowOff>
    </xdr:from>
    <xdr:to>
      <xdr:col>7</xdr:col>
      <xdr:colOff>552450</xdr:colOff>
      <xdr:row>15</xdr:row>
      <xdr:rowOff>76201</xdr:rowOff>
    </xdr:to>
    <xdr:sp macro="[0]!calculoRisk" textlink="">
      <xdr:nvSpPr>
        <xdr:cNvPr id="29" name="Retângulo Arredondado 28">
          <a:extLst>
            <a:ext uri="{FF2B5EF4-FFF2-40B4-BE49-F238E27FC236}">
              <a16:creationId xmlns:a16="http://schemas.microsoft.com/office/drawing/2014/main" id="{00000000-0008-0000-0500-00001D000000}"/>
            </a:ext>
          </a:extLst>
        </xdr:cNvPr>
        <xdr:cNvSpPr/>
      </xdr:nvSpPr>
      <xdr:spPr>
        <a:xfrm>
          <a:off x="7010400" y="3343277"/>
          <a:ext cx="1600200" cy="3905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Ver cálculo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990599</xdr:colOff>
      <xdr:row>2</xdr:row>
      <xdr:rowOff>19050</xdr:rowOff>
    </xdr:from>
    <xdr:to>
      <xdr:col>3</xdr:col>
      <xdr:colOff>123825</xdr:colOff>
      <xdr:row>2</xdr:row>
      <xdr:rowOff>325050</xdr:rowOff>
    </xdr:to>
    <xdr:sp macro="" textlink="">
      <xdr:nvSpPr>
        <xdr:cNvPr id="30" name="Arredondar Retângulo no Mesmo Canto Lateral 29">
          <a:extLst>
            <a:ext uri="{FF2B5EF4-FFF2-40B4-BE49-F238E27FC236}">
              <a16:creationId xmlns:a16="http://schemas.microsoft.com/office/drawing/2014/main" id="{00000000-0008-0000-0600-00001E000000}"/>
            </a:ext>
          </a:extLst>
        </xdr:cNvPr>
        <xdr:cNvSpPr/>
      </xdr:nvSpPr>
      <xdr:spPr>
        <a:xfrm>
          <a:off x="133349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000" b="1">
              <a:solidFill>
                <a:schemeClr val="lt1"/>
              </a:solidFill>
              <a:latin typeface="+mn-lt"/>
              <a:ea typeface="+mn-ea"/>
              <a:cs typeface="+mn-cs"/>
            </a:rPr>
            <a:t>Lining</a:t>
          </a:r>
        </a:p>
      </xdr:txBody>
    </xdr:sp>
    <xdr:clientData/>
  </xdr:twoCellAnchor>
  <xdr:twoCellAnchor editAs="absolute">
    <xdr:from>
      <xdr:col>3</xdr:col>
      <xdr:colOff>123824</xdr:colOff>
      <xdr:row>2</xdr:row>
      <xdr:rowOff>19050</xdr:rowOff>
    </xdr:from>
    <xdr:to>
      <xdr:col>3</xdr:col>
      <xdr:colOff>1323975</xdr:colOff>
      <xdr:row>2</xdr:row>
      <xdr:rowOff>325050</xdr:rowOff>
    </xdr:to>
    <xdr:sp macro="" textlink="">
      <xdr:nvSpPr>
        <xdr:cNvPr id="29" name="Arredondar Retângulo no Mesmo Canto Lateral 28">
          <a:extLst>
            <a:ext uri="{FF2B5EF4-FFF2-40B4-BE49-F238E27FC236}">
              <a16:creationId xmlns:a16="http://schemas.microsoft.com/office/drawing/2014/main" id="{00000000-0008-0000-0600-00001D000000}"/>
            </a:ext>
          </a:extLst>
        </xdr:cNvPr>
        <xdr:cNvSpPr/>
      </xdr:nvSpPr>
      <xdr:spPr>
        <a:xfrm>
          <a:off x="2209799" y="533400"/>
          <a:ext cx="120015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000" b="1">
              <a:solidFill>
                <a:schemeClr val="lt1"/>
              </a:solidFill>
              <a:latin typeface="+mn-lt"/>
              <a:ea typeface="+mn-ea"/>
              <a:cs typeface="+mn-cs"/>
            </a:rPr>
            <a:t>External Corrosion</a:t>
          </a:r>
        </a:p>
      </xdr:txBody>
    </xdr:sp>
    <xdr:clientData/>
  </xdr:twoCellAnchor>
  <xdr:twoCellAnchor editAs="absolute">
    <xdr:from>
      <xdr:col>3</xdr:col>
      <xdr:colOff>782405</xdr:colOff>
      <xdr:row>0</xdr:row>
      <xdr:rowOff>130969</xdr:rowOff>
    </xdr:from>
    <xdr:to>
      <xdr:col>4</xdr:col>
      <xdr:colOff>126029</xdr:colOff>
      <xdr:row>1</xdr:row>
      <xdr:rowOff>318897</xdr:rowOff>
    </xdr:to>
    <xdr:sp macro="[0]!abaPOF" textlink="">
      <xdr:nvSpPr>
        <xdr:cNvPr id="2" name="Arredondar Retângulo no Mesmo Canto Lateral 1">
          <a:extLst>
            <a:ext uri="{FF2B5EF4-FFF2-40B4-BE49-F238E27FC236}">
              <a16:creationId xmlns:a16="http://schemas.microsoft.com/office/drawing/2014/main" id="{00000000-0008-0000-0600-000002000000}"/>
            </a:ext>
          </a:extLst>
        </xdr:cNvPr>
        <xdr:cNvSpPr/>
      </xdr:nvSpPr>
      <xdr:spPr>
        <a:xfrm>
          <a:off x="2868380" y="130969"/>
          <a:ext cx="934299"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POF</a:t>
          </a:r>
        </a:p>
      </xdr:txBody>
    </xdr:sp>
    <xdr:clientData/>
  </xdr:twoCellAnchor>
  <xdr:twoCellAnchor editAs="absolute">
    <xdr:from>
      <xdr:col>4</xdr:col>
      <xdr:colOff>126717</xdr:colOff>
      <xdr:row>0</xdr:row>
      <xdr:rowOff>137254</xdr:rowOff>
    </xdr:from>
    <xdr:to>
      <xdr:col>5</xdr:col>
      <xdr:colOff>583745</xdr:colOff>
      <xdr:row>1</xdr:row>
      <xdr:rowOff>325182</xdr:rowOff>
    </xdr:to>
    <xdr:sp macro="[0]!abaCOF" textlink="">
      <xdr:nvSpPr>
        <xdr:cNvPr id="3" name="Arredondar Retângulo no Mesmo Canto Lateral 2">
          <a:extLst>
            <a:ext uri="{FF2B5EF4-FFF2-40B4-BE49-F238E27FC236}">
              <a16:creationId xmlns:a16="http://schemas.microsoft.com/office/drawing/2014/main" id="{00000000-0008-0000-0600-000003000000}"/>
            </a:ext>
          </a:extLst>
        </xdr:cNvPr>
        <xdr:cNvSpPr/>
      </xdr:nvSpPr>
      <xdr:spPr>
        <a:xfrm>
          <a:off x="3803367" y="137254"/>
          <a:ext cx="933278"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COF</a:t>
          </a:r>
        </a:p>
      </xdr:txBody>
    </xdr:sp>
    <xdr:clientData/>
  </xdr:twoCellAnchor>
  <xdr:twoCellAnchor editAs="absolute">
    <xdr:from>
      <xdr:col>5</xdr:col>
      <xdr:colOff>587400</xdr:colOff>
      <xdr:row>0</xdr:row>
      <xdr:rowOff>135895</xdr:rowOff>
    </xdr:from>
    <xdr:to>
      <xdr:col>6</xdr:col>
      <xdr:colOff>777389</xdr:colOff>
      <xdr:row>1</xdr:row>
      <xdr:rowOff>323823</xdr:rowOff>
    </xdr:to>
    <xdr:sp macro="[0]!abaRisco" textlink="">
      <xdr:nvSpPr>
        <xdr:cNvPr id="4" name="Arredondar Retângulo no Mesmo Canto Lateral 3">
          <a:extLst>
            <a:ext uri="{FF2B5EF4-FFF2-40B4-BE49-F238E27FC236}">
              <a16:creationId xmlns:a16="http://schemas.microsoft.com/office/drawing/2014/main" id="{00000000-0008-0000-0600-000004000000}"/>
            </a:ext>
          </a:extLst>
        </xdr:cNvPr>
        <xdr:cNvSpPr/>
      </xdr:nvSpPr>
      <xdr:spPr>
        <a:xfrm>
          <a:off x="4740300" y="135895"/>
          <a:ext cx="923414"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Risco</a:t>
          </a:r>
        </a:p>
      </xdr:txBody>
    </xdr:sp>
    <xdr:clientData/>
  </xdr:twoCellAnchor>
  <xdr:twoCellAnchor editAs="oneCell">
    <xdr:from>
      <xdr:col>1</xdr:col>
      <xdr:colOff>1363</xdr:colOff>
      <xdr:row>1</xdr:row>
      <xdr:rowOff>325213</xdr:rowOff>
    </xdr:from>
    <xdr:to>
      <xdr:col>11</xdr:col>
      <xdr:colOff>1419226</xdr:colOff>
      <xdr:row>19</xdr:row>
      <xdr:rowOff>114299</xdr:rowOff>
    </xdr:to>
    <xdr:sp macro="" textlink="">
      <xdr:nvSpPr>
        <xdr:cNvPr id="5" name="Retângulo 4">
          <a:extLst>
            <a:ext uri="{FF2B5EF4-FFF2-40B4-BE49-F238E27FC236}">
              <a16:creationId xmlns:a16="http://schemas.microsoft.com/office/drawing/2014/main" id="{00000000-0008-0000-0600-000005000000}"/>
            </a:ext>
          </a:extLst>
        </xdr:cNvPr>
        <xdr:cNvSpPr/>
      </xdr:nvSpPr>
      <xdr:spPr>
        <a:xfrm>
          <a:off x="96613" y="468088"/>
          <a:ext cx="12276363" cy="4351561"/>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92528</xdr:colOff>
      <xdr:row>0</xdr:row>
      <xdr:rowOff>123825</xdr:rowOff>
    </xdr:from>
    <xdr:to>
      <xdr:col>2</xdr:col>
      <xdr:colOff>689200</xdr:colOff>
      <xdr:row>1</xdr:row>
      <xdr:rowOff>311753</xdr:rowOff>
    </xdr:to>
    <xdr:sp macro="[0]!abaInicio" textlink="">
      <xdr:nvSpPr>
        <xdr:cNvPr id="6" name="Arredondar Retângulo no Mesmo Canto Lateral 5">
          <a:extLst>
            <a:ext uri="{FF2B5EF4-FFF2-40B4-BE49-F238E27FC236}">
              <a16:creationId xmlns:a16="http://schemas.microsoft.com/office/drawing/2014/main" id="{00000000-0008-0000-0600-000006000000}"/>
            </a:ext>
          </a:extLst>
        </xdr:cNvPr>
        <xdr:cNvSpPr/>
      </xdr:nvSpPr>
      <xdr:spPr>
        <a:xfrm>
          <a:off x="92528" y="123825"/>
          <a:ext cx="939572" cy="330803"/>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Início</a:t>
          </a:r>
        </a:p>
      </xdr:txBody>
    </xdr:sp>
    <xdr:clientData/>
  </xdr:twoCellAnchor>
  <xdr:twoCellAnchor editAs="absolute">
    <xdr:from>
      <xdr:col>2</xdr:col>
      <xdr:colOff>630513</xdr:colOff>
      <xdr:row>0</xdr:row>
      <xdr:rowOff>120163</xdr:rowOff>
    </xdr:from>
    <xdr:to>
      <xdr:col>2</xdr:col>
      <xdr:colOff>1565668</xdr:colOff>
      <xdr:row>1</xdr:row>
      <xdr:rowOff>315688</xdr:rowOff>
    </xdr:to>
    <xdr:sp macro="[0]!abaCadastro" textlink="">
      <xdr:nvSpPr>
        <xdr:cNvPr id="7" name="Arredondar Retângulo no Mesmo Canto Lateral 6">
          <a:extLst>
            <a:ext uri="{FF2B5EF4-FFF2-40B4-BE49-F238E27FC236}">
              <a16:creationId xmlns:a16="http://schemas.microsoft.com/office/drawing/2014/main" id="{00000000-0008-0000-0600-000007000000}"/>
            </a:ext>
          </a:extLst>
        </xdr:cNvPr>
        <xdr:cNvSpPr/>
      </xdr:nvSpPr>
      <xdr:spPr>
        <a:xfrm>
          <a:off x="973413" y="120163"/>
          <a:ext cx="935155" cy="3384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b="1">
              <a:solidFill>
                <a:schemeClr val="lt1"/>
              </a:solidFill>
              <a:latin typeface="+mn-lt"/>
              <a:ea typeface="+mn-ea"/>
              <a:cs typeface="+mn-cs"/>
            </a:rPr>
            <a:t>Cadastro</a:t>
          </a:r>
        </a:p>
      </xdr:txBody>
    </xdr:sp>
    <xdr:clientData/>
  </xdr:twoCellAnchor>
  <xdr:twoCellAnchor editAs="absolute">
    <xdr:from>
      <xdr:col>2</xdr:col>
      <xdr:colOff>1561020</xdr:colOff>
      <xdr:row>0</xdr:row>
      <xdr:rowOff>25163</xdr:rowOff>
    </xdr:from>
    <xdr:to>
      <xdr:col>3</xdr:col>
      <xdr:colOff>819150</xdr:colOff>
      <xdr:row>1</xdr:row>
      <xdr:rowOff>314288</xdr:rowOff>
    </xdr:to>
    <xdr:sp macro="[0]!abaInspecoes" textlink="">
      <xdr:nvSpPr>
        <xdr:cNvPr id="23" name="Arredondar Retângulo no Mesmo Canto Lateral 22">
          <a:extLst>
            <a:ext uri="{FF2B5EF4-FFF2-40B4-BE49-F238E27FC236}">
              <a16:creationId xmlns:a16="http://schemas.microsoft.com/office/drawing/2014/main" id="{00000000-0008-0000-0600-000017000000}"/>
            </a:ext>
          </a:extLst>
        </xdr:cNvPr>
        <xdr:cNvSpPr>
          <a:spLocks/>
        </xdr:cNvSpPr>
      </xdr:nvSpPr>
      <xdr:spPr>
        <a:xfrm>
          <a:off x="1903920" y="25163"/>
          <a:ext cx="1001205" cy="432000"/>
        </a:xfrm>
        <a:prstGeom prst="round2Same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Inspeções</a:t>
          </a:r>
        </a:p>
      </xdr:txBody>
    </xdr:sp>
    <xdr:clientData/>
  </xdr:twoCellAnchor>
  <xdr:twoCellAnchor editAs="absolute">
    <xdr:from>
      <xdr:col>10</xdr:col>
      <xdr:colOff>171450</xdr:colOff>
      <xdr:row>16</xdr:row>
      <xdr:rowOff>57150</xdr:rowOff>
    </xdr:from>
    <xdr:to>
      <xdr:col>11</xdr:col>
      <xdr:colOff>266700</xdr:colOff>
      <xdr:row>18</xdr:row>
      <xdr:rowOff>33436</xdr:rowOff>
    </xdr:to>
    <xdr:sp macro="" textlink="">
      <xdr:nvSpPr>
        <xdr:cNvPr id="24" name="Retângulo Arredondado 23">
          <a:extLst>
            <a:ext uri="{FF2B5EF4-FFF2-40B4-BE49-F238E27FC236}">
              <a16:creationId xmlns:a16="http://schemas.microsoft.com/office/drawing/2014/main" id="{00000000-0008-0000-0600-000018000000}"/>
            </a:ext>
          </a:extLst>
        </xdr:cNvPr>
        <xdr:cNvSpPr/>
      </xdr:nvSpPr>
      <xdr:spPr>
        <a:xfrm>
          <a:off x="10058400" y="4152900"/>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Próximo</a:t>
          </a:r>
        </a:p>
      </xdr:txBody>
    </xdr:sp>
    <xdr:clientData/>
  </xdr:twoCellAnchor>
  <xdr:twoCellAnchor editAs="absolute">
    <xdr:from>
      <xdr:col>9</xdr:col>
      <xdr:colOff>914400</xdr:colOff>
      <xdr:row>16</xdr:row>
      <xdr:rowOff>66676</xdr:rowOff>
    </xdr:from>
    <xdr:to>
      <xdr:col>10</xdr:col>
      <xdr:colOff>95250</xdr:colOff>
      <xdr:row>18</xdr:row>
      <xdr:rowOff>42962</xdr:rowOff>
    </xdr:to>
    <xdr:sp macro="" textlink="">
      <xdr:nvSpPr>
        <xdr:cNvPr id="25" name="Retângulo Arredondado 24">
          <a:extLst>
            <a:ext uri="{FF2B5EF4-FFF2-40B4-BE49-F238E27FC236}">
              <a16:creationId xmlns:a16="http://schemas.microsoft.com/office/drawing/2014/main" id="{00000000-0008-0000-0600-000019000000}"/>
            </a:ext>
          </a:extLst>
        </xdr:cNvPr>
        <xdr:cNvSpPr/>
      </xdr:nvSpPr>
      <xdr:spPr>
        <a:xfrm>
          <a:off x="8820150" y="4162426"/>
          <a:ext cx="1162050" cy="34776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Anterior</a:t>
          </a:r>
        </a:p>
      </xdr:txBody>
    </xdr:sp>
    <xdr:clientData/>
  </xdr:twoCellAnchor>
  <xdr:twoCellAnchor editAs="oneCell">
    <xdr:from>
      <xdr:col>1</xdr:col>
      <xdr:colOff>153763</xdr:colOff>
      <xdr:row>2</xdr:row>
      <xdr:rowOff>342900</xdr:rowOff>
    </xdr:from>
    <xdr:to>
      <xdr:col>11</xdr:col>
      <xdr:colOff>1285876</xdr:colOff>
      <xdr:row>18</xdr:row>
      <xdr:rowOff>171450</xdr:rowOff>
    </xdr:to>
    <xdr:sp macro="" textlink="">
      <xdr:nvSpPr>
        <xdr:cNvPr id="27" name="Retângulo 26">
          <a:extLst>
            <a:ext uri="{FF2B5EF4-FFF2-40B4-BE49-F238E27FC236}">
              <a16:creationId xmlns:a16="http://schemas.microsoft.com/office/drawing/2014/main" id="{00000000-0008-0000-0600-00001B000000}"/>
            </a:ext>
          </a:extLst>
        </xdr:cNvPr>
        <xdr:cNvSpPr/>
      </xdr:nvSpPr>
      <xdr:spPr>
        <a:xfrm>
          <a:off x="249013" y="857250"/>
          <a:ext cx="11990613" cy="3781425"/>
        </a:xfrm>
        <a:prstGeom prst="rect">
          <a:avLst/>
        </a:prstGeom>
        <a:no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xdr:col>
      <xdr:colOff>141795</xdr:colOff>
      <xdr:row>2</xdr:row>
      <xdr:rowOff>0</xdr:rowOff>
    </xdr:from>
    <xdr:to>
      <xdr:col>2</xdr:col>
      <xdr:colOff>981074</xdr:colOff>
      <xdr:row>2</xdr:row>
      <xdr:rowOff>333337</xdr:rowOff>
    </xdr:to>
    <xdr:sp macro="" textlink="">
      <xdr:nvSpPr>
        <xdr:cNvPr id="28" name="Arredondar Retângulo no Mesmo Canto Lateral 27">
          <a:extLst>
            <a:ext uri="{FF2B5EF4-FFF2-40B4-BE49-F238E27FC236}">
              <a16:creationId xmlns:a16="http://schemas.microsoft.com/office/drawing/2014/main" id="{00000000-0008-0000-0600-00001C000000}"/>
            </a:ext>
          </a:extLst>
        </xdr:cNvPr>
        <xdr:cNvSpPr>
          <a:spLocks/>
        </xdr:cNvSpPr>
      </xdr:nvSpPr>
      <xdr:spPr>
        <a:xfrm>
          <a:off x="237045" y="514350"/>
          <a:ext cx="1086929" cy="333337"/>
        </a:xfrm>
        <a:prstGeom prst="round2SameRect">
          <a:avLst/>
        </a:prstGeom>
        <a:ln w="25400">
          <a:solidFill>
            <a:schemeClr val="accent2">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pt-BR" sz="1400" b="1">
              <a:solidFill>
                <a:sysClr val="windowText" lastClr="000000"/>
              </a:solidFill>
              <a:latin typeface="+mn-lt"/>
              <a:ea typeface="+mn-ea"/>
              <a:cs typeface="+mn-cs"/>
            </a:rPr>
            <a:t>Thinning</a:t>
          </a:r>
        </a:p>
      </xdr:txBody>
    </xdr:sp>
    <xdr:clientData/>
  </xdr:twoCellAnchor>
  <xdr:twoCellAnchor editAs="absolute">
    <xdr:from>
      <xdr:col>3</xdr:col>
      <xdr:colOff>1323974</xdr:colOff>
      <xdr:row>2</xdr:row>
      <xdr:rowOff>19050</xdr:rowOff>
    </xdr:from>
    <xdr:to>
      <xdr:col>5</xdr:col>
      <xdr:colOff>133350</xdr:colOff>
      <xdr:row>2</xdr:row>
      <xdr:rowOff>325050</xdr:rowOff>
    </xdr:to>
    <xdr:sp macro="" textlink="">
      <xdr:nvSpPr>
        <xdr:cNvPr id="31" name="Arredondar Retângulo no Mesmo Canto Lateral 30">
          <a:extLst>
            <a:ext uri="{FF2B5EF4-FFF2-40B4-BE49-F238E27FC236}">
              <a16:creationId xmlns:a16="http://schemas.microsoft.com/office/drawing/2014/main" id="{00000000-0008-0000-0600-00001F000000}"/>
            </a:ext>
          </a:extLst>
        </xdr:cNvPr>
        <xdr:cNvSpPr/>
      </xdr:nvSpPr>
      <xdr:spPr>
        <a:xfrm>
          <a:off x="34099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5</xdr:col>
      <xdr:colOff>133349</xdr:colOff>
      <xdr:row>2</xdr:row>
      <xdr:rowOff>19050</xdr:rowOff>
    </xdr:from>
    <xdr:to>
      <xdr:col>6</xdr:col>
      <xdr:colOff>276225</xdr:colOff>
      <xdr:row>2</xdr:row>
      <xdr:rowOff>325050</xdr:rowOff>
    </xdr:to>
    <xdr:sp macro="" textlink="">
      <xdr:nvSpPr>
        <xdr:cNvPr id="32" name="Arredondar Retângulo no Mesmo Canto Lateral 31">
          <a:extLst>
            <a:ext uri="{FF2B5EF4-FFF2-40B4-BE49-F238E27FC236}">
              <a16:creationId xmlns:a16="http://schemas.microsoft.com/office/drawing/2014/main" id="{00000000-0008-0000-0600-000020000000}"/>
            </a:ext>
          </a:extLst>
        </xdr:cNvPr>
        <xdr:cNvSpPr/>
      </xdr:nvSpPr>
      <xdr:spPr>
        <a:xfrm>
          <a:off x="42862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6</xdr:col>
      <xdr:colOff>276224</xdr:colOff>
      <xdr:row>2</xdr:row>
      <xdr:rowOff>19050</xdr:rowOff>
    </xdr:from>
    <xdr:to>
      <xdr:col>6</xdr:col>
      <xdr:colOff>1152525</xdr:colOff>
      <xdr:row>2</xdr:row>
      <xdr:rowOff>325050</xdr:rowOff>
    </xdr:to>
    <xdr:sp macro="" textlink="">
      <xdr:nvSpPr>
        <xdr:cNvPr id="33" name="Arredondar Retângulo no Mesmo Canto Lateral 32">
          <a:extLst>
            <a:ext uri="{FF2B5EF4-FFF2-40B4-BE49-F238E27FC236}">
              <a16:creationId xmlns:a16="http://schemas.microsoft.com/office/drawing/2014/main" id="{00000000-0008-0000-0600-000021000000}"/>
            </a:ext>
          </a:extLst>
        </xdr:cNvPr>
        <xdr:cNvSpPr/>
      </xdr:nvSpPr>
      <xdr:spPr>
        <a:xfrm>
          <a:off x="51625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6</xdr:col>
      <xdr:colOff>1152524</xdr:colOff>
      <xdr:row>2</xdr:row>
      <xdr:rowOff>19050</xdr:rowOff>
    </xdr:from>
    <xdr:to>
      <xdr:col>7</xdr:col>
      <xdr:colOff>466725</xdr:colOff>
      <xdr:row>2</xdr:row>
      <xdr:rowOff>325050</xdr:rowOff>
    </xdr:to>
    <xdr:sp macro="" textlink="">
      <xdr:nvSpPr>
        <xdr:cNvPr id="34" name="Arredondar Retângulo no Mesmo Canto Lateral 33">
          <a:extLst>
            <a:ext uri="{FF2B5EF4-FFF2-40B4-BE49-F238E27FC236}">
              <a16:creationId xmlns:a16="http://schemas.microsoft.com/office/drawing/2014/main" id="{00000000-0008-0000-0600-000022000000}"/>
            </a:ext>
          </a:extLst>
        </xdr:cNvPr>
        <xdr:cNvSpPr/>
      </xdr:nvSpPr>
      <xdr:spPr>
        <a:xfrm>
          <a:off x="60388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7</xdr:col>
      <xdr:colOff>466724</xdr:colOff>
      <xdr:row>2</xdr:row>
      <xdr:rowOff>19050</xdr:rowOff>
    </xdr:from>
    <xdr:to>
      <xdr:col>8</xdr:col>
      <xdr:colOff>28575</xdr:colOff>
      <xdr:row>2</xdr:row>
      <xdr:rowOff>325050</xdr:rowOff>
    </xdr:to>
    <xdr:sp macro="" textlink="">
      <xdr:nvSpPr>
        <xdr:cNvPr id="35" name="Arredondar Retângulo no Mesmo Canto Lateral 34">
          <a:extLst>
            <a:ext uri="{FF2B5EF4-FFF2-40B4-BE49-F238E27FC236}">
              <a16:creationId xmlns:a16="http://schemas.microsoft.com/office/drawing/2014/main" id="{00000000-0008-0000-0600-000023000000}"/>
            </a:ext>
          </a:extLst>
        </xdr:cNvPr>
        <xdr:cNvSpPr/>
      </xdr:nvSpPr>
      <xdr:spPr>
        <a:xfrm>
          <a:off x="69151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8</xdr:col>
      <xdr:colOff>28574</xdr:colOff>
      <xdr:row>2</xdr:row>
      <xdr:rowOff>19050</xdr:rowOff>
    </xdr:from>
    <xdr:to>
      <xdr:col>9</xdr:col>
      <xdr:colOff>762000</xdr:colOff>
      <xdr:row>2</xdr:row>
      <xdr:rowOff>325050</xdr:rowOff>
    </xdr:to>
    <xdr:sp macro="" textlink="">
      <xdr:nvSpPr>
        <xdr:cNvPr id="36" name="Arredondar Retângulo no Mesmo Canto Lateral 35">
          <a:extLst>
            <a:ext uri="{FF2B5EF4-FFF2-40B4-BE49-F238E27FC236}">
              <a16:creationId xmlns:a16="http://schemas.microsoft.com/office/drawing/2014/main" id="{00000000-0008-0000-0600-000024000000}"/>
            </a:ext>
          </a:extLst>
        </xdr:cNvPr>
        <xdr:cNvSpPr/>
      </xdr:nvSpPr>
      <xdr:spPr>
        <a:xfrm>
          <a:off x="77914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9</xdr:col>
      <xdr:colOff>761999</xdr:colOff>
      <xdr:row>2</xdr:row>
      <xdr:rowOff>19050</xdr:rowOff>
    </xdr:from>
    <xdr:to>
      <xdr:col>9</xdr:col>
      <xdr:colOff>1638300</xdr:colOff>
      <xdr:row>2</xdr:row>
      <xdr:rowOff>325050</xdr:rowOff>
    </xdr:to>
    <xdr:sp macro="" textlink="">
      <xdr:nvSpPr>
        <xdr:cNvPr id="37" name="Arredondar Retângulo no Mesmo Canto Lateral 36">
          <a:extLst>
            <a:ext uri="{FF2B5EF4-FFF2-40B4-BE49-F238E27FC236}">
              <a16:creationId xmlns:a16="http://schemas.microsoft.com/office/drawing/2014/main" id="{00000000-0008-0000-0600-000025000000}"/>
            </a:ext>
          </a:extLst>
        </xdr:cNvPr>
        <xdr:cNvSpPr/>
      </xdr:nvSpPr>
      <xdr:spPr>
        <a:xfrm>
          <a:off x="86677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9</xdr:col>
      <xdr:colOff>1638299</xdr:colOff>
      <xdr:row>2</xdr:row>
      <xdr:rowOff>19050</xdr:rowOff>
    </xdr:from>
    <xdr:to>
      <xdr:col>10</xdr:col>
      <xdr:colOff>533400</xdr:colOff>
      <xdr:row>2</xdr:row>
      <xdr:rowOff>325050</xdr:rowOff>
    </xdr:to>
    <xdr:sp macro="" textlink="">
      <xdr:nvSpPr>
        <xdr:cNvPr id="38" name="Arredondar Retângulo no Mesmo Canto Lateral 37">
          <a:extLst>
            <a:ext uri="{FF2B5EF4-FFF2-40B4-BE49-F238E27FC236}">
              <a16:creationId xmlns:a16="http://schemas.microsoft.com/office/drawing/2014/main" id="{00000000-0008-0000-0600-000026000000}"/>
            </a:ext>
          </a:extLst>
        </xdr:cNvPr>
        <xdr:cNvSpPr/>
      </xdr:nvSpPr>
      <xdr:spPr>
        <a:xfrm>
          <a:off x="95440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10</xdr:col>
      <xdr:colOff>533399</xdr:colOff>
      <xdr:row>2</xdr:row>
      <xdr:rowOff>19050</xdr:rowOff>
    </xdr:from>
    <xdr:to>
      <xdr:col>11</xdr:col>
      <xdr:colOff>342900</xdr:colOff>
      <xdr:row>2</xdr:row>
      <xdr:rowOff>325050</xdr:rowOff>
    </xdr:to>
    <xdr:sp macro="" textlink="">
      <xdr:nvSpPr>
        <xdr:cNvPr id="39" name="Arredondar Retângulo no Mesmo Canto Lateral 38">
          <a:extLst>
            <a:ext uri="{FF2B5EF4-FFF2-40B4-BE49-F238E27FC236}">
              <a16:creationId xmlns:a16="http://schemas.microsoft.com/office/drawing/2014/main" id="{00000000-0008-0000-0600-000027000000}"/>
            </a:ext>
          </a:extLst>
        </xdr:cNvPr>
        <xdr:cNvSpPr/>
      </xdr:nvSpPr>
      <xdr:spPr>
        <a:xfrm>
          <a:off x="104203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editAs="absolute">
    <xdr:from>
      <xdr:col>11</xdr:col>
      <xdr:colOff>342899</xdr:colOff>
      <xdr:row>2</xdr:row>
      <xdr:rowOff>19050</xdr:rowOff>
    </xdr:from>
    <xdr:to>
      <xdr:col>11</xdr:col>
      <xdr:colOff>1219200</xdr:colOff>
      <xdr:row>2</xdr:row>
      <xdr:rowOff>325050</xdr:rowOff>
    </xdr:to>
    <xdr:sp macro="" textlink="">
      <xdr:nvSpPr>
        <xdr:cNvPr id="40" name="Arredondar Retângulo no Mesmo Canto Lateral 39">
          <a:extLst>
            <a:ext uri="{FF2B5EF4-FFF2-40B4-BE49-F238E27FC236}">
              <a16:creationId xmlns:a16="http://schemas.microsoft.com/office/drawing/2014/main" id="{00000000-0008-0000-0600-000028000000}"/>
            </a:ext>
          </a:extLst>
        </xdr:cNvPr>
        <xdr:cNvSpPr/>
      </xdr:nvSpPr>
      <xdr:spPr>
        <a:xfrm>
          <a:off x="11296649" y="533400"/>
          <a:ext cx="876301" cy="306000"/>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pt-BR" sz="1000" b="1">
            <a:solidFill>
              <a:schemeClr val="lt1"/>
            </a:solidFill>
            <a:latin typeface="+mn-lt"/>
            <a:ea typeface="+mn-ea"/>
            <a:cs typeface="+mn-cs"/>
          </a:endParaRPr>
        </a:p>
      </xdr:txBody>
    </xdr:sp>
    <xdr:clientData/>
  </xdr:twoCellAnchor>
  <xdr:twoCellAnchor>
    <xdr:from>
      <xdr:col>11</xdr:col>
      <xdr:colOff>85726</xdr:colOff>
      <xdr:row>10</xdr:row>
      <xdr:rowOff>0</xdr:rowOff>
    </xdr:from>
    <xdr:to>
      <xdr:col>11</xdr:col>
      <xdr:colOff>1162050</xdr:colOff>
      <xdr:row>11</xdr:row>
      <xdr:rowOff>9525</xdr:rowOff>
    </xdr:to>
    <xdr:sp macro="[0]!Part2_Table4_8" textlink="">
      <xdr:nvSpPr>
        <xdr:cNvPr id="41" name="Retângulo Arredondado 40">
          <a:extLst>
            <a:ext uri="{FF2B5EF4-FFF2-40B4-BE49-F238E27FC236}">
              <a16:creationId xmlns:a16="http://schemas.microsoft.com/office/drawing/2014/main" id="{00000000-0008-0000-0600-000029000000}"/>
            </a:ext>
          </a:extLst>
        </xdr:cNvPr>
        <xdr:cNvSpPr/>
      </xdr:nvSpPr>
      <xdr:spPr>
        <a:xfrm>
          <a:off x="11039476" y="2667000"/>
          <a:ext cx="1076324"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Consultar Tabela</a:t>
          </a:r>
        </a:p>
      </xdr:txBody>
    </xdr:sp>
    <xdr:clientData/>
  </xdr:twoCellAnchor>
  <xdr:twoCellAnchor>
    <xdr:from>
      <xdr:col>11</xdr:col>
      <xdr:colOff>971550</xdr:colOff>
      <xdr:row>2</xdr:row>
      <xdr:rowOff>371475</xdr:rowOff>
    </xdr:from>
    <xdr:to>
      <xdr:col>11</xdr:col>
      <xdr:colOff>1209675</xdr:colOff>
      <xdr:row>3</xdr:row>
      <xdr:rowOff>133350</xdr:rowOff>
    </xdr:to>
    <xdr:sp macro="[0]!abaInspecoes" textlink="">
      <xdr:nvSpPr>
        <xdr:cNvPr id="8" name="Multiplicar 7">
          <a:extLst>
            <a:ext uri="{FF2B5EF4-FFF2-40B4-BE49-F238E27FC236}">
              <a16:creationId xmlns:a16="http://schemas.microsoft.com/office/drawing/2014/main" id="{00000000-0008-0000-0600-000008000000}"/>
            </a:ext>
          </a:extLst>
        </xdr:cNvPr>
        <xdr:cNvSpPr/>
      </xdr:nvSpPr>
      <xdr:spPr>
        <a:xfrm>
          <a:off x="11925300" y="885825"/>
          <a:ext cx="238125" cy="247650"/>
        </a:xfrm>
        <a:prstGeom prst="mathMultiply">
          <a:avLst/>
        </a:prstGeom>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85725</xdr:colOff>
      <xdr:row>14</xdr:row>
      <xdr:rowOff>200025</xdr:rowOff>
    </xdr:from>
    <xdr:to>
      <xdr:col>11</xdr:col>
      <xdr:colOff>733426</xdr:colOff>
      <xdr:row>17</xdr:row>
      <xdr:rowOff>28575</xdr:rowOff>
    </xdr:to>
    <xdr:sp macro="" textlink="">
      <xdr:nvSpPr>
        <xdr:cNvPr id="43" name="CaixaDeTexto 42">
          <a:extLst>
            <a:ext uri="{FF2B5EF4-FFF2-40B4-BE49-F238E27FC236}">
              <a16:creationId xmlns:a16="http://schemas.microsoft.com/office/drawing/2014/main" id="{00000000-0008-0000-0600-00002B000000}"/>
            </a:ext>
          </a:extLst>
        </xdr:cNvPr>
        <xdr:cNvSpPr txBox="1"/>
      </xdr:nvSpPr>
      <xdr:spPr>
        <a:xfrm>
          <a:off x="7991475" y="3819525"/>
          <a:ext cx="3695701"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t>Navegação Inteligente</a:t>
          </a:r>
          <a:r>
            <a:rPr lang="pt-BR" sz="1400" baseline="0"/>
            <a:t> </a:t>
          </a:r>
          <a:r>
            <a:rPr lang="pt-BR" sz="1400"/>
            <a:t>entre os mecanismos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793750</xdr:colOff>
      <xdr:row>7</xdr:row>
      <xdr:rowOff>306918</xdr:rowOff>
    </xdr:from>
    <xdr:to>
      <xdr:col>9</xdr:col>
      <xdr:colOff>678392</xdr:colOff>
      <xdr:row>10</xdr:row>
      <xdr:rowOff>58209</xdr:rowOff>
    </xdr:to>
    <xdr:pic>
      <xdr:nvPicPr>
        <xdr:cNvPr id="4" name="Imagem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4083" y="8752418"/>
          <a:ext cx="1313392" cy="1211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137583</xdr:colOff>
      <xdr:row>10</xdr:row>
      <xdr:rowOff>402167</xdr:rowOff>
    </xdr:from>
    <xdr:to>
      <xdr:col>9</xdr:col>
      <xdr:colOff>466857</xdr:colOff>
      <xdr:row>11</xdr:row>
      <xdr:rowOff>67755</xdr:rowOff>
    </xdr:to>
    <xdr:pic>
      <xdr:nvPicPr>
        <xdr:cNvPr id="5" name="Imagem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312833" y="10160000"/>
          <a:ext cx="943107" cy="152421"/>
        </a:xfrm>
        <a:prstGeom prst="rect">
          <a:avLst/>
        </a:prstGeom>
      </xdr:spPr>
    </xdr:pic>
    <xdr:clientData/>
  </xdr:twoCellAnchor>
  <xdr:twoCellAnchor editAs="oneCell">
    <xdr:from>
      <xdr:col>1</xdr:col>
      <xdr:colOff>116416</xdr:colOff>
      <xdr:row>18</xdr:row>
      <xdr:rowOff>74083</xdr:rowOff>
    </xdr:from>
    <xdr:to>
      <xdr:col>12</xdr:col>
      <xdr:colOff>450828</xdr:colOff>
      <xdr:row>46</xdr:row>
      <xdr:rowOff>1828</xdr:rowOff>
    </xdr:to>
    <xdr:pic>
      <xdr:nvPicPr>
        <xdr:cNvPr id="10" name="Imagem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3"/>
        <a:stretch>
          <a:fillRect/>
        </a:stretch>
      </xdr:blipFill>
      <xdr:spPr>
        <a:xfrm>
          <a:off x="730249" y="5418666"/>
          <a:ext cx="7467579" cy="551574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15875</xdr:colOff>
      <xdr:row>20</xdr:row>
      <xdr:rowOff>15875</xdr:rowOff>
    </xdr:from>
    <xdr:to>
      <xdr:col>1</xdr:col>
      <xdr:colOff>908844</xdr:colOff>
      <xdr:row>22</xdr:row>
      <xdr:rowOff>170655</xdr:rowOff>
    </xdr:to>
    <xdr:sp macro="[0]!abaRisco" textlink="">
      <xdr:nvSpPr>
        <xdr:cNvPr id="2" name="Seta para a Esquerda 1">
          <a:extLst>
            <a:ext uri="{FF2B5EF4-FFF2-40B4-BE49-F238E27FC236}">
              <a16:creationId xmlns:a16="http://schemas.microsoft.com/office/drawing/2014/main" id="{00000000-0008-0000-0A00-000002000000}"/>
            </a:ext>
          </a:extLst>
        </xdr:cNvPr>
        <xdr:cNvSpPr/>
      </xdr:nvSpPr>
      <xdr:spPr>
        <a:xfrm>
          <a:off x="95250" y="3889375"/>
          <a:ext cx="892969" cy="5357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20</xdr:row>
      <xdr:rowOff>19050</xdr:rowOff>
    </xdr:from>
    <xdr:to>
      <xdr:col>1</xdr:col>
      <xdr:colOff>892969</xdr:colOff>
      <xdr:row>22</xdr:row>
      <xdr:rowOff>173830</xdr:rowOff>
    </xdr:to>
    <xdr:sp macro="[0]!abaPOF" textlink="">
      <xdr:nvSpPr>
        <xdr:cNvPr id="2" name="Seta para a Esquerda 1">
          <a:extLst>
            <a:ext uri="{FF2B5EF4-FFF2-40B4-BE49-F238E27FC236}">
              <a16:creationId xmlns:a16="http://schemas.microsoft.com/office/drawing/2014/main" id="{00000000-0008-0000-0B00-000002000000}"/>
            </a:ext>
          </a:extLst>
        </xdr:cNvPr>
        <xdr:cNvSpPr/>
      </xdr:nvSpPr>
      <xdr:spPr>
        <a:xfrm>
          <a:off x="66675" y="3705225"/>
          <a:ext cx="892969" cy="5357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40821</xdr:colOff>
      <xdr:row>24</xdr:row>
      <xdr:rowOff>68035</xdr:rowOff>
    </xdr:from>
    <xdr:to>
      <xdr:col>1</xdr:col>
      <xdr:colOff>933790</xdr:colOff>
      <xdr:row>27</xdr:row>
      <xdr:rowOff>32315</xdr:rowOff>
    </xdr:to>
    <xdr:sp macro="[0]!abaCOF" textlink="">
      <xdr:nvSpPr>
        <xdr:cNvPr id="2" name="Seta para a Esquerda 1">
          <a:extLst>
            <a:ext uri="{FF2B5EF4-FFF2-40B4-BE49-F238E27FC236}">
              <a16:creationId xmlns:a16="http://schemas.microsoft.com/office/drawing/2014/main" id="{00000000-0008-0000-1C00-000002000000}"/>
            </a:ext>
          </a:extLst>
        </xdr:cNvPr>
        <xdr:cNvSpPr/>
      </xdr:nvSpPr>
      <xdr:spPr>
        <a:xfrm>
          <a:off x="136071" y="4762499"/>
          <a:ext cx="892969" cy="5357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20</xdr:col>
      <xdr:colOff>581025</xdr:colOff>
      <xdr:row>2</xdr:row>
      <xdr:rowOff>0</xdr:rowOff>
    </xdr:from>
    <xdr:to>
      <xdr:col>25</xdr:col>
      <xdr:colOff>38100</xdr:colOff>
      <xdr:row>23</xdr:row>
      <xdr:rowOff>90827</xdr:rowOff>
    </xdr:to>
    <xdr:pic>
      <xdr:nvPicPr>
        <xdr:cNvPr id="2" name="Imagem 1">
          <a:extLst>
            <a:ext uri="{FF2B5EF4-FFF2-40B4-BE49-F238E27FC236}">
              <a16:creationId xmlns:a16="http://schemas.microsoft.com/office/drawing/2014/main" id="{00000000-0008-0000-2000-000002000000}"/>
            </a:ext>
          </a:extLst>
        </xdr:cNvPr>
        <xdr:cNvPicPr>
          <a:picLocks noChangeAspect="1"/>
        </xdr:cNvPicPr>
      </xdr:nvPicPr>
      <xdr:blipFill rotWithShape="1">
        <a:blip xmlns:r="http://schemas.openxmlformats.org/officeDocument/2006/relationships" r:embed="rId1"/>
        <a:srcRect l="28408" t="7164" r="29640" b="6107"/>
        <a:stretch/>
      </xdr:blipFill>
      <xdr:spPr>
        <a:xfrm>
          <a:off x="18940463" y="333375"/>
          <a:ext cx="5743575" cy="6163015"/>
        </a:xfrm>
        <a:prstGeom prst="rect">
          <a:avLst/>
        </a:prstGeom>
      </xdr:spPr>
    </xdr:pic>
    <xdr:clientData/>
  </xdr:twoCellAnchor>
  <xdr:twoCellAnchor>
    <xdr:from>
      <xdr:col>20</xdr:col>
      <xdr:colOff>607213</xdr:colOff>
      <xdr:row>0</xdr:row>
      <xdr:rowOff>2</xdr:rowOff>
    </xdr:from>
    <xdr:to>
      <xdr:col>21</xdr:col>
      <xdr:colOff>892964</xdr:colOff>
      <xdr:row>2</xdr:row>
      <xdr:rowOff>202407</xdr:rowOff>
    </xdr:to>
    <xdr:sp macro="[0]!abaThinningUI" textlink="">
      <xdr:nvSpPr>
        <xdr:cNvPr id="3" name="Seta para a Esquerda 2">
          <a:extLst>
            <a:ext uri="{FF2B5EF4-FFF2-40B4-BE49-F238E27FC236}">
              <a16:creationId xmlns:a16="http://schemas.microsoft.com/office/drawing/2014/main" id="{00000000-0008-0000-2000-000003000000}"/>
            </a:ext>
          </a:extLst>
        </xdr:cNvPr>
        <xdr:cNvSpPr/>
      </xdr:nvSpPr>
      <xdr:spPr>
        <a:xfrm>
          <a:off x="18966651" y="2"/>
          <a:ext cx="892969" cy="5357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133350</xdr:colOff>
      <xdr:row>35</xdr:row>
      <xdr:rowOff>85725</xdr:rowOff>
    </xdr:from>
    <xdr:to>
      <xdr:col>15</xdr:col>
      <xdr:colOff>27781</xdr:colOff>
      <xdr:row>44</xdr:row>
      <xdr:rowOff>45145</xdr:rowOff>
    </xdr:to>
    <xdr:pic>
      <xdr:nvPicPr>
        <xdr:cNvPr id="2" name="Imagem 1">
          <a:extLst>
            <a:ext uri="{FF2B5EF4-FFF2-40B4-BE49-F238E27FC236}">
              <a16:creationId xmlns:a16="http://schemas.microsoft.com/office/drawing/2014/main" id="{00000000-0008-0000-2100-000002000000}"/>
            </a:ext>
          </a:extLst>
        </xdr:cNvPr>
        <xdr:cNvPicPr>
          <a:picLocks noChangeAspect="1"/>
        </xdr:cNvPicPr>
      </xdr:nvPicPr>
      <xdr:blipFill rotWithShape="1">
        <a:blip xmlns:r="http://schemas.openxmlformats.org/officeDocument/2006/relationships" r:embed="rId1"/>
        <a:srcRect l="313"/>
        <a:stretch/>
      </xdr:blipFill>
      <xdr:spPr>
        <a:xfrm>
          <a:off x="7646194" y="7681913"/>
          <a:ext cx="7907337" cy="1738555"/>
        </a:xfrm>
        <a:prstGeom prst="rect">
          <a:avLst/>
        </a:prstGeom>
      </xdr:spPr>
    </xdr:pic>
    <xdr:clientData/>
  </xdr:twoCellAnchor>
  <xdr:twoCellAnchor editAs="oneCell">
    <xdr:from>
      <xdr:col>107</xdr:col>
      <xdr:colOff>571500</xdr:colOff>
      <xdr:row>2</xdr:row>
      <xdr:rowOff>0</xdr:rowOff>
    </xdr:from>
    <xdr:to>
      <xdr:col>117</xdr:col>
      <xdr:colOff>40821</xdr:colOff>
      <xdr:row>29</xdr:row>
      <xdr:rowOff>168073</xdr:rowOff>
    </xdr:to>
    <xdr:pic>
      <xdr:nvPicPr>
        <xdr:cNvPr id="3" name="Imagem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stretch>
          <a:fillRect/>
        </a:stretch>
      </xdr:blipFill>
      <xdr:spPr>
        <a:xfrm>
          <a:off x="98828679" y="312964"/>
          <a:ext cx="5592535" cy="6958038"/>
        </a:xfrm>
        <a:prstGeom prst="rect">
          <a:avLst/>
        </a:prstGeom>
      </xdr:spPr>
    </xdr:pic>
    <xdr:clientData/>
  </xdr:twoCellAnchor>
  <xdr:twoCellAnchor>
    <xdr:from>
      <xdr:col>31</xdr:col>
      <xdr:colOff>149678</xdr:colOff>
      <xdr:row>10</xdr:row>
      <xdr:rowOff>176893</xdr:rowOff>
    </xdr:from>
    <xdr:to>
      <xdr:col>31</xdr:col>
      <xdr:colOff>1042647</xdr:colOff>
      <xdr:row>12</xdr:row>
      <xdr:rowOff>141173</xdr:rowOff>
    </xdr:to>
    <xdr:sp macro="[0]!abaCadastro" textlink="">
      <xdr:nvSpPr>
        <xdr:cNvPr id="5" name="Seta para a Esquerda 4">
          <a:extLst>
            <a:ext uri="{FF2B5EF4-FFF2-40B4-BE49-F238E27FC236}">
              <a16:creationId xmlns:a16="http://schemas.microsoft.com/office/drawing/2014/main" id="{00000000-0008-0000-2100-000005000000}"/>
            </a:ext>
          </a:extLst>
        </xdr:cNvPr>
        <xdr:cNvSpPr/>
      </xdr:nvSpPr>
      <xdr:spPr>
        <a:xfrm>
          <a:off x="33582428" y="3442607"/>
          <a:ext cx="892969" cy="5357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twoCellAnchor>
    <xdr:from>
      <xdr:col>115</xdr:col>
      <xdr:colOff>312964</xdr:colOff>
      <xdr:row>0</xdr:row>
      <xdr:rowOff>1</xdr:rowOff>
    </xdr:from>
    <xdr:to>
      <xdr:col>116</xdr:col>
      <xdr:colOff>593612</xdr:colOff>
      <xdr:row>2</xdr:row>
      <xdr:rowOff>149679</xdr:rowOff>
    </xdr:to>
    <xdr:sp macro="[0]!abaCadastro" textlink="">
      <xdr:nvSpPr>
        <xdr:cNvPr id="6" name="Seta para a Esquerda 5">
          <a:extLst>
            <a:ext uri="{FF2B5EF4-FFF2-40B4-BE49-F238E27FC236}">
              <a16:creationId xmlns:a16="http://schemas.microsoft.com/office/drawing/2014/main" id="{00000000-0008-0000-2100-000006000000}"/>
            </a:ext>
          </a:extLst>
        </xdr:cNvPr>
        <xdr:cNvSpPr/>
      </xdr:nvSpPr>
      <xdr:spPr>
        <a:xfrm>
          <a:off x="103468714" y="1"/>
          <a:ext cx="892969" cy="46264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Voltar </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19</xdr:col>
      <xdr:colOff>0</xdr:colOff>
      <xdr:row>0</xdr:row>
      <xdr:rowOff>1</xdr:rowOff>
    </xdr:from>
    <xdr:to>
      <xdr:col>28</xdr:col>
      <xdr:colOff>104775</xdr:colOff>
      <xdr:row>10</xdr:row>
      <xdr:rowOff>152872</xdr:rowOff>
    </xdr:to>
    <xdr:pic>
      <xdr:nvPicPr>
        <xdr:cNvPr id="2" name="Imagem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12039600" y="1"/>
          <a:ext cx="5591175" cy="229599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8</xdr:col>
      <xdr:colOff>476912</xdr:colOff>
      <xdr:row>31</xdr:row>
      <xdr:rowOff>153219</xdr:rowOff>
    </xdr:to>
    <xdr:pic>
      <xdr:nvPicPr>
        <xdr:cNvPr id="3" name="Imagem 2">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1"/>
        <a:stretch>
          <a:fillRect/>
        </a:stretch>
      </xdr:blipFill>
      <xdr:spPr>
        <a:xfrm>
          <a:off x="609600" y="190500"/>
          <a:ext cx="4744112" cy="58682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304800</xdr:colOff>
      <xdr:row>0</xdr:row>
      <xdr:rowOff>104775</xdr:rowOff>
    </xdr:from>
    <xdr:to>
      <xdr:col>10</xdr:col>
      <xdr:colOff>280226</xdr:colOff>
      <xdr:row>20</xdr:row>
      <xdr:rowOff>37632</xdr:rowOff>
    </xdr:to>
    <xdr:pic>
      <xdr:nvPicPr>
        <xdr:cNvPr id="2" name="Imagem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stretch>
          <a:fillRect/>
        </a:stretch>
      </xdr:blipFill>
      <xdr:spPr>
        <a:xfrm>
          <a:off x="304800" y="104775"/>
          <a:ext cx="6071426" cy="37428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Vinicius Holanda Monteiro" id="{77CEB089-A53D-42E4-B751-A43EA7644861}" userId="S::viniciusholanda@petrobras.com.br::fa7ef1d3-3692-4528-80b8-42f036736ed3" providerId="AD"/>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 dT="2020-07-23T18:23:12.53" personId="{77CEB089-A53D-42E4-B751-A43EA7644861}" id="{3969CB20-E9B1-4917-BFCB-BE01C3069C45}">
    <text>Colocar uma fórmula para se basear em 
no mecanismo de corrosão externa governante.</text>
  </threadedComment>
</ThreadedComments>
</file>

<file path=xl/threadedComments/threadedComment2.xml><?xml version="1.0" encoding="utf-8"?>
<ThreadedComments xmlns="http://schemas.microsoft.com/office/spreadsheetml/2018/threadedcomments" xmlns:x="http://schemas.openxmlformats.org/spreadsheetml/2006/main">
  <threadedComment ref="AU3" dT="2020-07-23T18:36:17.15" personId="{77CEB089-A53D-42E4-B751-A43EA7644861}" id="{9B191EF6-4AE1-4506-A616-22835643214C}">
    <text>Esse cálculo é diferente da corrosão externa e do thinning.</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3.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microsoft.com/office/2017/10/relationships/threadedComment" Target="../threadedComments/threadedComment1.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6.bin"/><Relationship Id="rId4" Type="http://schemas.microsoft.com/office/2017/10/relationships/threadedComment" Target="../threadedComments/threadedComment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1.xml"/><Relationship Id="rId1" Type="http://schemas.openxmlformats.org/officeDocument/2006/relationships/printerSettings" Target="../printerSettings/printerSettings29.bin"/><Relationship Id="rId4" Type="http://schemas.openxmlformats.org/officeDocument/2006/relationships/comments" Target="../comments2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3.xml"/><Relationship Id="rId1" Type="http://schemas.openxmlformats.org/officeDocument/2006/relationships/printerSettings" Target="../printerSettings/printerSettings33.bin"/><Relationship Id="rId4" Type="http://schemas.openxmlformats.org/officeDocument/2006/relationships/comments" Target="../comments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34"/>
  <dimension ref="A1:BG44"/>
  <sheetViews>
    <sheetView showGridLines="0" zoomScaleNormal="100" workbookViewId="0">
      <selection activeCell="G7" sqref="G7"/>
    </sheetView>
  </sheetViews>
  <sheetFormatPr defaultRowHeight="14.5" x14ac:dyDescent="0.35"/>
  <cols>
    <col min="1" max="1" width="1.453125" customWidth="1"/>
    <col min="2" max="2" width="10.54296875" customWidth="1"/>
    <col min="3" max="3" width="17.453125" customWidth="1"/>
    <col min="4" max="4" width="32.7265625" customWidth="1"/>
    <col min="5" max="5" width="18.1796875" customWidth="1"/>
    <col min="6" max="6" width="20.453125" customWidth="1"/>
    <col min="7" max="7" width="16.26953125" customWidth="1"/>
    <col min="8" max="8" width="49" customWidth="1"/>
    <col min="9" max="9" width="24.453125" customWidth="1"/>
    <col min="10" max="10" width="4.7265625" customWidth="1"/>
    <col min="11" max="11" width="24.26953125" customWidth="1"/>
    <col min="12" max="12" width="33.26953125" customWidth="1"/>
    <col min="13" max="13" width="31.54296875" customWidth="1"/>
    <col min="14" max="14" width="17.81640625" bestFit="1" customWidth="1"/>
  </cols>
  <sheetData>
    <row r="1" spans="1:36" s="504" customFormat="1" ht="11.25" customHeight="1" x14ac:dyDescent="0.35">
      <c r="A1" s="577"/>
      <c r="B1" s="577"/>
      <c r="C1" s="577"/>
      <c r="D1" s="577"/>
      <c r="E1" s="577"/>
      <c r="F1" s="577"/>
      <c r="G1" s="577"/>
      <c r="H1" s="577"/>
      <c r="I1" s="577"/>
      <c r="J1" s="577"/>
      <c r="K1" s="577"/>
      <c r="L1" s="577"/>
      <c r="M1" s="577"/>
      <c r="N1" s="577"/>
      <c r="O1" s="577"/>
      <c r="P1" s="577"/>
      <c r="Q1" s="577"/>
      <c r="R1" s="577"/>
      <c r="S1" s="577"/>
      <c r="T1" s="577"/>
      <c r="U1" s="577"/>
      <c r="V1" s="577"/>
      <c r="W1" s="577"/>
      <c r="X1" s="577"/>
      <c r="Y1" s="577"/>
      <c r="Z1" s="577"/>
      <c r="AA1" s="577"/>
      <c r="AB1" s="577"/>
      <c r="AC1" s="577"/>
      <c r="AD1" s="577"/>
      <c r="AE1" s="577"/>
      <c r="AF1" s="577"/>
      <c r="AG1" s="577"/>
      <c r="AH1" s="577"/>
      <c r="AI1" s="577"/>
      <c r="AJ1" s="577"/>
    </row>
    <row r="2" spans="1:36" s="504" customFormat="1" x14ac:dyDescent="0.35">
      <c r="A2" s="577"/>
      <c r="B2" s="577"/>
      <c r="C2" s="577"/>
      <c r="D2" s="577"/>
      <c r="E2" s="577"/>
      <c r="F2" s="577"/>
      <c r="G2" s="577"/>
      <c r="H2" s="577"/>
      <c r="I2" s="577"/>
      <c r="J2" s="577"/>
      <c r="K2" s="577"/>
      <c r="L2" s="577"/>
      <c r="M2" s="577"/>
      <c r="N2" s="577"/>
      <c r="O2" s="577"/>
      <c r="P2" s="577"/>
      <c r="Q2" s="577"/>
      <c r="R2" s="577"/>
      <c r="S2" s="577"/>
      <c r="T2" s="577"/>
      <c r="U2" s="577"/>
      <c r="V2" s="577"/>
      <c r="W2" s="577"/>
      <c r="X2" s="577"/>
      <c r="Y2" s="577"/>
      <c r="Z2" s="577"/>
      <c r="AA2" s="577"/>
      <c r="AB2" s="577"/>
      <c r="AC2" s="577"/>
      <c r="AD2" s="577"/>
      <c r="AE2" s="577"/>
      <c r="AF2" s="577"/>
      <c r="AG2" s="577"/>
      <c r="AH2" s="577"/>
      <c r="AI2" s="577"/>
      <c r="AJ2" s="577"/>
    </row>
    <row r="3" spans="1:36" s="504" customFormat="1" ht="21.75" customHeight="1" thickBot="1" x14ac:dyDescent="0.4">
      <c r="A3" s="577"/>
      <c r="B3" s="577"/>
      <c r="C3" s="577"/>
      <c r="D3" s="577"/>
      <c r="E3" s="577"/>
      <c r="F3" s="577"/>
      <c r="G3" s="577"/>
      <c r="H3" s="577"/>
      <c r="I3" s="577"/>
      <c r="J3" s="577"/>
      <c r="K3" s="577"/>
      <c r="L3" s="577"/>
      <c r="M3" s="577"/>
      <c r="N3" s="577"/>
      <c r="O3" s="577"/>
      <c r="P3" s="577"/>
      <c r="Q3" s="577"/>
      <c r="R3" s="577"/>
      <c r="S3" s="577"/>
      <c r="T3" s="577"/>
      <c r="U3" s="577"/>
      <c r="V3" s="577"/>
      <c r="W3" s="577"/>
      <c r="X3" s="577"/>
      <c r="Y3" s="577"/>
      <c r="Z3" s="577"/>
      <c r="AA3" s="577"/>
      <c r="AB3" s="577"/>
      <c r="AC3" s="577"/>
      <c r="AD3" s="577"/>
      <c r="AE3" s="577"/>
      <c r="AF3" s="577"/>
      <c r="AG3" s="577"/>
      <c r="AH3" s="577"/>
      <c r="AI3" s="577"/>
      <c r="AJ3" s="577"/>
    </row>
    <row r="4" spans="1:36" ht="29.5" thickBot="1" x14ac:dyDescent="0.4">
      <c r="A4" s="577"/>
      <c r="B4" s="580"/>
      <c r="C4" s="390" t="s">
        <v>1027</v>
      </c>
      <c r="D4" s="383" t="s">
        <v>1045</v>
      </c>
      <c r="E4" s="384" t="s">
        <v>1019</v>
      </c>
      <c r="F4" s="385" t="s">
        <v>1020</v>
      </c>
      <c r="G4" s="580"/>
      <c r="H4" s="390" t="s">
        <v>1562</v>
      </c>
      <c r="I4" s="580"/>
      <c r="J4" s="580"/>
      <c r="K4" s="580"/>
      <c r="L4" s="580"/>
      <c r="M4" s="580"/>
      <c r="N4" s="580"/>
      <c r="O4" s="577"/>
      <c r="P4" s="577"/>
      <c r="Q4" s="577"/>
      <c r="R4" s="577"/>
      <c r="S4" s="577"/>
      <c r="T4" s="577"/>
      <c r="U4" s="577"/>
      <c r="V4" s="577"/>
      <c r="W4" s="577"/>
      <c r="X4" s="577"/>
      <c r="Y4" s="577"/>
      <c r="Z4" s="577"/>
      <c r="AA4" s="577"/>
      <c r="AB4" s="577"/>
      <c r="AC4" s="577"/>
      <c r="AD4" s="577"/>
      <c r="AE4" s="577"/>
      <c r="AF4" s="577"/>
      <c r="AG4" s="577"/>
      <c r="AH4" s="577"/>
      <c r="AI4" s="577"/>
      <c r="AJ4" s="577"/>
    </row>
    <row r="5" spans="1:36" ht="26.5" thickBot="1" x14ac:dyDescent="0.4">
      <c r="A5" s="577"/>
      <c r="B5" s="580"/>
      <c r="C5" s="610"/>
      <c r="D5" s="611" t="str">
        <f>Risk!AT4</f>
        <v>A</v>
      </c>
      <c r="E5" s="612"/>
      <c r="F5" s="613"/>
      <c r="G5" s="580"/>
      <c r="H5" s="620"/>
      <c r="I5" s="580"/>
      <c r="J5" s="580"/>
      <c r="K5" s="580"/>
      <c r="L5" s="580"/>
      <c r="M5" s="580"/>
      <c r="N5" s="580"/>
      <c r="O5" s="577"/>
      <c r="P5" s="577"/>
      <c r="Q5" s="577"/>
      <c r="R5" s="577"/>
      <c r="S5" s="577"/>
      <c r="T5" s="577"/>
      <c r="U5" s="577"/>
      <c r="V5" s="577"/>
      <c r="W5" s="577"/>
      <c r="X5" s="577"/>
      <c r="Y5" s="577"/>
      <c r="Z5" s="577"/>
      <c r="AA5" s="577"/>
      <c r="AB5" s="577"/>
      <c r="AC5" s="577"/>
      <c r="AD5" s="577"/>
      <c r="AE5" s="577"/>
      <c r="AF5" s="577"/>
      <c r="AG5" s="577"/>
      <c r="AH5" s="577"/>
      <c r="AI5" s="577"/>
      <c r="AJ5" s="577"/>
    </row>
    <row r="6" spans="1:36" ht="26" x14ac:dyDescent="0.35">
      <c r="A6" s="577"/>
      <c r="B6" s="580"/>
      <c r="C6" s="580"/>
      <c r="D6" s="614" t="str">
        <f>Risk!AT5</f>
        <v>B</v>
      </c>
      <c r="E6" s="615"/>
      <c r="F6" s="616"/>
      <c r="G6" s="580"/>
      <c r="H6" s="580"/>
      <c r="I6" s="580"/>
      <c r="J6" s="580"/>
      <c r="K6" s="580"/>
      <c r="L6" s="580"/>
      <c r="M6" s="580"/>
      <c r="N6" s="580"/>
      <c r="O6" s="577"/>
      <c r="P6" s="577"/>
      <c r="Q6" s="577"/>
      <c r="R6" s="577"/>
      <c r="S6" s="577"/>
      <c r="T6" s="577"/>
      <c r="U6" s="577"/>
      <c r="V6" s="577"/>
      <c r="W6" s="577"/>
      <c r="X6" s="577"/>
      <c r="Y6" s="577"/>
      <c r="Z6" s="577"/>
      <c r="AA6" s="577"/>
      <c r="AB6" s="577"/>
      <c r="AC6" s="577"/>
      <c r="AD6" s="577"/>
      <c r="AE6" s="577"/>
      <c r="AF6" s="577"/>
      <c r="AG6" s="577"/>
      <c r="AH6" s="577"/>
      <c r="AI6" s="577"/>
      <c r="AJ6" s="577"/>
    </row>
    <row r="7" spans="1:36" ht="26" x14ac:dyDescent="0.35">
      <c r="A7" s="577"/>
      <c r="B7" s="580"/>
      <c r="C7" s="580"/>
      <c r="D7" s="614" t="str">
        <f>Risk!AT6</f>
        <v>C</v>
      </c>
      <c r="E7" s="615"/>
      <c r="F7" s="616"/>
      <c r="G7" s="580"/>
      <c r="H7" s="580"/>
      <c r="I7" s="580"/>
      <c r="J7" s="580"/>
      <c r="K7" s="580"/>
      <c r="L7" s="580"/>
      <c r="M7" s="580"/>
      <c r="N7" s="580"/>
      <c r="O7" s="577"/>
      <c r="P7" s="577"/>
      <c r="Q7" s="577"/>
      <c r="R7" s="577"/>
      <c r="S7" s="577"/>
      <c r="T7" s="577"/>
      <c r="U7" s="577"/>
      <c r="V7" s="577"/>
      <c r="W7" s="577"/>
      <c r="X7" s="577"/>
      <c r="Y7" s="577"/>
      <c r="Z7" s="577"/>
      <c r="AA7" s="577"/>
      <c r="AB7" s="577"/>
      <c r="AC7" s="577"/>
      <c r="AD7" s="577"/>
      <c r="AE7" s="577"/>
      <c r="AF7" s="577"/>
      <c r="AG7" s="577"/>
      <c r="AH7" s="577"/>
      <c r="AI7" s="577"/>
      <c r="AJ7" s="577"/>
    </row>
    <row r="8" spans="1:36" ht="26" x14ac:dyDescent="0.35">
      <c r="A8" s="577"/>
      <c r="B8" s="580"/>
      <c r="C8" s="580"/>
      <c r="D8" s="614" t="str">
        <f>Risk!AT7</f>
        <v>D</v>
      </c>
      <c r="E8" s="615"/>
      <c r="F8" s="616"/>
      <c r="G8" s="580"/>
      <c r="H8" s="580"/>
      <c r="I8" s="580"/>
      <c r="J8" s="580"/>
      <c r="K8" s="580"/>
      <c r="L8" s="580"/>
      <c r="M8" s="580"/>
      <c r="N8" s="580"/>
      <c r="O8" s="577"/>
      <c r="P8" s="577"/>
      <c r="Q8" s="577"/>
      <c r="R8" s="577"/>
      <c r="S8" s="577"/>
      <c r="T8" s="577"/>
      <c r="U8" s="577"/>
      <c r="V8" s="577"/>
      <c r="W8" s="577"/>
      <c r="X8" s="577"/>
      <c r="Y8" s="577"/>
      <c r="Z8" s="577"/>
      <c r="AA8" s="577"/>
      <c r="AB8" s="577"/>
      <c r="AC8" s="577"/>
      <c r="AD8" s="577"/>
      <c r="AE8" s="577"/>
      <c r="AF8" s="577"/>
      <c r="AG8" s="577"/>
      <c r="AH8" s="577"/>
      <c r="AI8" s="577"/>
      <c r="AJ8" s="577"/>
    </row>
    <row r="9" spans="1:36" ht="26.5" thickBot="1" x14ac:dyDescent="0.4">
      <c r="A9" s="577"/>
      <c r="B9" s="580"/>
      <c r="C9" s="580"/>
      <c r="D9" s="617" t="str">
        <f>Risk!AT8</f>
        <v>E</v>
      </c>
      <c r="E9" s="618"/>
      <c r="F9" s="619"/>
      <c r="G9" s="580"/>
      <c r="H9" s="580"/>
      <c r="I9" s="580"/>
      <c r="J9" s="580"/>
      <c r="K9" s="580"/>
      <c r="L9" s="580"/>
      <c r="M9" s="580"/>
      <c r="N9" s="580"/>
      <c r="O9" s="577"/>
      <c r="P9" s="577"/>
      <c r="Q9" s="577"/>
      <c r="R9" s="577"/>
      <c r="S9" s="577"/>
      <c r="T9" s="577"/>
      <c r="U9" s="577"/>
      <c r="V9" s="577"/>
      <c r="W9" s="577"/>
      <c r="X9" s="577"/>
      <c r="Y9" s="577"/>
      <c r="Z9" s="577"/>
      <c r="AA9" s="577"/>
      <c r="AB9" s="577"/>
      <c r="AC9" s="577"/>
      <c r="AD9" s="577"/>
      <c r="AE9" s="577"/>
      <c r="AF9" s="577"/>
      <c r="AG9" s="577"/>
      <c r="AH9" s="577"/>
      <c r="AI9" s="577"/>
      <c r="AJ9" s="577"/>
    </row>
    <row r="10" spans="1:36" ht="26" x14ac:dyDescent="0.35">
      <c r="A10" s="577"/>
      <c r="B10" s="580"/>
      <c r="C10" s="580"/>
      <c r="D10" s="580"/>
      <c r="E10" s="580"/>
      <c r="F10" s="580"/>
      <c r="G10" s="580"/>
      <c r="H10" s="580"/>
      <c r="I10" s="580"/>
      <c r="J10" s="580"/>
      <c r="K10" s="580"/>
      <c r="L10" s="580"/>
      <c r="M10" s="580"/>
      <c r="N10" s="580"/>
      <c r="O10" s="577"/>
      <c r="P10" s="577"/>
      <c r="Q10" s="577"/>
      <c r="R10" s="577"/>
      <c r="S10" s="577"/>
      <c r="T10" s="577"/>
      <c r="U10" s="577"/>
      <c r="V10" s="577"/>
      <c r="W10" s="577"/>
      <c r="X10" s="577"/>
      <c r="Y10" s="577"/>
      <c r="Z10" s="577"/>
      <c r="AA10" s="577"/>
      <c r="AB10" s="577"/>
      <c r="AC10" s="577"/>
      <c r="AD10" s="577"/>
      <c r="AE10" s="577"/>
      <c r="AF10" s="577"/>
      <c r="AG10" s="577"/>
      <c r="AH10" s="577"/>
    </row>
    <row r="11" spans="1:36" ht="15" customHeight="1" x14ac:dyDescent="0.35">
      <c r="A11" s="577"/>
      <c r="B11" s="580"/>
      <c r="C11" s="580"/>
      <c r="D11" s="580"/>
      <c r="E11" s="580"/>
      <c r="F11" s="580"/>
      <c r="G11" s="580"/>
      <c r="H11" s="580"/>
      <c r="I11" s="580"/>
      <c r="J11" s="580"/>
      <c r="K11" s="580"/>
      <c r="L11" s="580"/>
      <c r="M11" s="580"/>
      <c r="N11" s="580"/>
      <c r="O11" s="577"/>
      <c r="P11" s="577"/>
      <c r="Q11" s="577"/>
      <c r="R11" s="577"/>
      <c r="S11" s="577"/>
      <c r="T11" s="577"/>
      <c r="U11" s="577"/>
      <c r="V11" s="577"/>
      <c r="W11" s="577"/>
      <c r="X11" s="577"/>
      <c r="Y11" s="577"/>
      <c r="Z11" s="577"/>
      <c r="AA11" s="577"/>
      <c r="AB11" s="577"/>
      <c r="AC11" s="577"/>
      <c r="AD11" s="577"/>
      <c r="AE11" s="577"/>
      <c r="AF11" s="577"/>
      <c r="AG11" s="577"/>
      <c r="AH11" s="577"/>
    </row>
    <row r="12" spans="1:36" ht="56.25" customHeight="1" x14ac:dyDescent="0.35">
      <c r="A12" s="577"/>
      <c r="B12" s="580"/>
      <c r="C12" s="580"/>
      <c r="D12" s="580"/>
      <c r="E12" s="580"/>
      <c r="F12" s="580"/>
      <c r="G12" s="580"/>
      <c r="H12" s="580"/>
      <c r="I12" s="580"/>
      <c r="J12" s="580"/>
      <c r="K12" s="580"/>
      <c r="L12" s="580"/>
      <c r="M12" s="580"/>
      <c r="N12" s="580"/>
      <c r="O12" s="577"/>
      <c r="P12" s="577"/>
      <c r="Q12" s="577"/>
      <c r="R12" s="577"/>
      <c r="S12" s="577"/>
      <c r="T12" s="577"/>
      <c r="U12" s="577"/>
      <c r="V12" s="577"/>
      <c r="W12" s="577"/>
      <c r="X12" s="577"/>
      <c r="Y12" s="577"/>
      <c r="Z12" s="577"/>
      <c r="AA12" s="577"/>
      <c r="AB12" s="577"/>
      <c r="AC12" s="577"/>
      <c r="AD12" s="577"/>
      <c r="AE12" s="577"/>
      <c r="AF12" s="577"/>
      <c r="AG12" s="577"/>
      <c r="AH12" s="577"/>
    </row>
    <row r="13" spans="1:36" ht="36" customHeight="1" x14ac:dyDescent="0.35">
      <c r="A13" s="577"/>
      <c r="B13" s="580"/>
      <c r="C13" s="580"/>
      <c r="D13" s="580"/>
      <c r="E13" s="580"/>
      <c r="F13" s="580"/>
      <c r="G13" s="580"/>
      <c r="H13" s="580"/>
      <c r="I13" s="580"/>
      <c r="J13" s="580"/>
      <c r="K13" s="580"/>
      <c r="L13" s="580"/>
      <c r="M13" s="580"/>
      <c r="N13" s="580"/>
      <c r="O13" s="577"/>
      <c r="P13" s="577"/>
      <c r="Q13" s="577"/>
      <c r="R13" s="577"/>
      <c r="S13" s="577"/>
      <c r="T13" s="577"/>
      <c r="U13" s="577"/>
      <c r="V13" s="577"/>
      <c r="W13" s="577"/>
      <c r="X13" s="577"/>
      <c r="Y13" s="577"/>
      <c r="Z13" s="577"/>
      <c r="AA13" s="577"/>
      <c r="AB13" s="577"/>
      <c r="AC13" s="577"/>
      <c r="AD13" s="577"/>
      <c r="AE13" s="577"/>
      <c r="AF13" s="577"/>
      <c r="AG13" s="577"/>
      <c r="AH13" s="577"/>
    </row>
    <row r="14" spans="1:36" ht="26" x14ac:dyDescent="0.35">
      <c r="A14" s="577"/>
      <c r="B14" s="580"/>
      <c r="C14" s="580"/>
      <c r="D14" s="580"/>
      <c r="E14" s="580"/>
      <c r="F14" s="580"/>
      <c r="G14" s="580"/>
      <c r="H14" s="580"/>
      <c r="I14" s="580"/>
      <c r="J14" s="580"/>
      <c r="K14" s="580"/>
      <c r="L14" s="580"/>
      <c r="M14" s="580"/>
      <c r="N14" s="580"/>
      <c r="O14" s="577"/>
      <c r="P14" s="577"/>
      <c r="Q14" s="577"/>
      <c r="R14" s="577"/>
      <c r="S14" s="577"/>
      <c r="T14" s="577"/>
      <c r="U14" s="577"/>
      <c r="V14" s="577"/>
      <c r="W14" s="577"/>
      <c r="X14" s="577"/>
      <c r="Y14" s="577"/>
      <c r="Z14" s="577"/>
      <c r="AA14" s="577"/>
      <c r="AB14" s="577"/>
      <c r="AC14" s="577"/>
      <c r="AD14" s="577"/>
      <c r="AE14" s="577"/>
      <c r="AF14" s="577"/>
      <c r="AG14" s="577"/>
      <c r="AH14" s="577"/>
    </row>
    <row r="15" spans="1:36" ht="26" x14ac:dyDescent="0.35">
      <c r="A15" s="577"/>
      <c r="B15" s="580"/>
      <c r="C15" s="580"/>
      <c r="D15" s="580"/>
      <c r="E15" s="580"/>
      <c r="F15" s="580"/>
      <c r="G15" s="580"/>
      <c r="H15" s="580"/>
      <c r="I15" s="580"/>
      <c r="J15" s="580"/>
      <c r="K15" s="580"/>
      <c r="L15" s="580"/>
      <c r="M15" s="580"/>
      <c r="N15" s="580"/>
      <c r="O15" s="577"/>
      <c r="P15" s="577"/>
      <c r="Q15" s="577"/>
      <c r="R15" s="577"/>
      <c r="S15" s="577"/>
      <c r="T15" s="577"/>
      <c r="U15" s="577"/>
      <c r="V15" s="577"/>
      <c r="W15" s="577"/>
      <c r="X15" s="577"/>
      <c r="Y15" s="577"/>
      <c r="Z15" s="577"/>
      <c r="AA15" s="577"/>
      <c r="AB15" s="577"/>
      <c r="AC15" s="577"/>
      <c r="AD15" s="577"/>
      <c r="AE15" s="577"/>
      <c r="AF15" s="577"/>
      <c r="AG15" s="577"/>
      <c r="AH15" s="577"/>
      <c r="AI15" s="577"/>
      <c r="AJ15" s="577"/>
    </row>
    <row r="16" spans="1:36" ht="26" x14ac:dyDescent="0.35">
      <c r="A16" s="577"/>
      <c r="B16" s="580"/>
      <c r="C16" s="580"/>
      <c r="D16" s="580"/>
      <c r="E16" s="580"/>
      <c r="F16" s="580"/>
      <c r="G16" s="580"/>
      <c r="H16" s="580"/>
      <c r="I16" s="580"/>
      <c r="J16" s="580"/>
      <c r="K16" s="580"/>
      <c r="L16" s="580"/>
      <c r="M16" s="580"/>
      <c r="N16" s="580"/>
      <c r="O16" s="577"/>
      <c r="P16" s="577"/>
      <c r="Q16" s="577"/>
      <c r="R16" s="577"/>
      <c r="S16" s="577"/>
      <c r="T16" s="577"/>
      <c r="U16" s="577"/>
      <c r="V16" s="577"/>
      <c r="W16" s="577"/>
      <c r="X16" s="577"/>
      <c r="Y16" s="577"/>
      <c r="Z16" s="577"/>
      <c r="AA16" s="577"/>
      <c r="AB16" s="577"/>
      <c r="AC16" s="577"/>
      <c r="AD16" s="577"/>
      <c r="AE16" s="577"/>
      <c r="AF16" s="577"/>
      <c r="AG16" s="577"/>
      <c r="AH16" s="577"/>
      <c r="AI16" s="577"/>
      <c r="AJ16" s="577"/>
    </row>
    <row r="17" spans="1:59" ht="26" x14ac:dyDescent="0.35">
      <c r="A17" s="577"/>
      <c r="B17" s="580"/>
      <c r="C17" s="580"/>
      <c r="D17" s="580"/>
      <c r="E17" s="580"/>
      <c r="F17" s="580"/>
      <c r="G17" s="580"/>
      <c r="H17" s="580"/>
      <c r="I17" s="580"/>
      <c r="J17" s="580"/>
      <c r="K17" s="580"/>
      <c r="L17" s="580"/>
      <c r="M17" s="580"/>
      <c r="N17" s="580"/>
      <c r="O17" s="577"/>
      <c r="P17" s="577"/>
      <c r="Q17" s="577"/>
      <c r="R17" s="577"/>
      <c r="S17" s="577"/>
      <c r="T17" s="577"/>
      <c r="U17" s="577"/>
      <c r="V17" s="577"/>
      <c r="W17" s="577"/>
      <c r="X17" s="577"/>
      <c r="Y17" s="577"/>
      <c r="Z17" s="577"/>
      <c r="AA17" s="577"/>
      <c r="AB17" s="577"/>
      <c r="AC17" s="577"/>
      <c r="AD17" s="577"/>
      <c r="AE17" s="577"/>
      <c r="AF17" s="577"/>
      <c r="AG17" s="577"/>
      <c r="AH17" s="577"/>
      <c r="AI17" s="577"/>
      <c r="AJ17" s="577"/>
    </row>
    <row r="18" spans="1:59" ht="56.25" customHeight="1" x14ac:dyDescent="0.35">
      <c r="A18" s="577"/>
      <c r="B18" s="580"/>
      <c r="C18" s="580"/>
      <c r="D18" s="580"/>
      <c r="E18" s="580"/>
      <c r="F18" s="580"/>
      <c r="G18" s="580"/>
      <c r="H18" s="580"/>
      <c r="I18" s="580"/>
      <c r="J18" s="580"/>
      <c r="K18" s="580"/>
      <c r="L18" s="580"/>
      <c r="M18" s="580"/>
      <c r="N18" s="580"/>
      <c r="O18" s="577"/>
      <c r="P18" s="577"/>
      <c r="Q18" s="577"/>
      <c r="R18" s="577"/>
      <c r="S18" s="577"/>
      <c r="T18" s="577"/>
      <c r="U18" s="577"/>
      <c r="V18" s="577"/>
      <c r="W18" s="577"/>
      <c r="X18" s="577"/>
      <c r="Y18" s="577"/>
      <c r="Z18" s="577"/>
      <c r="AA18" s="577"/>
      <c r="AB18" s="577"/>
      <c r="AC18" s="577"/>
      <c r="AD18" s="577"/>
      <c r="AE18" s="577"/>
      <c r="AF18" s="577"/>
      <c r="AG18" s="577"/>
      <c r="AH18" s="577"/>
      <c r="AI18" s="577"/>
      <c r="AJ18" s="577"/>
    </row>
    <row r="19" spans="1:59" ht="36" customHeight="1" x14ac:dyDescent="0.35">
      <c r="A19" s="577"/>
      <c r="B19" s="580"/>
      <c r="C19" s="580"/>
      <c r="D19" s="580"/>
      <c r="E19" s="580"/>
      <c r="F19" s="580"/>
      <c r="G19" s="580"/>
      <c r="H19" s="580"/>
      <c r="I19" s="580"/>
      <c r="J19" s="580"/>
      <c r="K19" s="580"/>
      <c r="L19" s="580"/>
      <c r="M19" s="580"/>
      <c r="N19" s="580"/>
      <c r="O19" s="577"/>
      <c r="P19" s="577"/>
      <c r="Q19" s="577"/>
      <c r="R19" s="577"/>
      <c r="S19" s="577"/>
      <c r="T19" s="577"/>
      <c r="U19" s="577"/>
      <c r="V19" s="577"/>
      <c r="W19" s="577"/>
      <c r="X19" s="577"/>
      <c r="Y19" s="577"/>
      <c r="Z19" s="577"/>
      <c r="AA19" s="577"/>
      <c r="AB19" s="577"/>
      <c r="AC19" s="577"/>
      <c r="AD19" s="577"/>
      <c r="AE19" s="577"/>
      <c r="AF19" s="577"/>
      <c r="AG19" s="577"/>
      <c r="AH19" s="577"/>
      <c r="AI19" s="577"/>
      <c r="AJ19" s="577"/>
    </row>
    <row r="20" spans="1:59" ht="26" x14ac:dyDescent="0.35">
      <c r="A20" s="577"/>
      <c r="B20" s="580"/>
      <c r="C20" s="580"/>
      <c r="D20" s="580"/>
      <c r="E20" s="580"/>
      <c r="F20" s="580"/>
      <c r="G20" s="580"/>
      <c r="H20" s="580"/>
      <c r="I20" s="580"/>
      <c r="J20" s="580"/>
      <c r="K20" s="580"/>
      <c r="L20" s="580"/>
      <c r="M20" s="580"/>
      <c r="N20" s="580"/>
      <c r="O20" s="577"/>
      <c r="P20" s="577"/>
      <c r="Q20" s="577"/>
      <c r="R20" s="577"/>
      <c r="S20" s="577"/>
      <c r="T20" s="577"/>
      <c r="U20" s="577"/>
      <c r="V20" s="577"/>
      <c r="W20" s="577"/>
      <c r="X20" s="577"/>
      <c r="Y20" s="577"/>
      <c r="Z20" s="577"/>
      <c r="AA20" s="577"/>
      <c r="AB20" s="577"/>
      <c r="AC20" s="577"/>
      <c r="AD20" s="577"/>
      <c r="AE20" s="577"/>
      <c r="AF20" s="577"/>
      <c r="AG20" s="577"/>
      <c r="AH20" s="577"/>
      <c r="AI20" s="577"/>
      <c r="AJ20" s="577"/>
    </row>
    <row r="21" spans="1:59" ht="26" x14ac:dyDescent="0.35">
      <c r="A21" s="577"/>
      <c r="B21" s="580"/>
      <c r="C21" s="580"/>
      <c r="D21" s="580"/>
      <c r="E21" s="580"/>
      <c r="F21" s="580"/>
      <c r="G21" s="580"/>
      <c r="H21" s="580"/>
      <c r="I21" s="580"/>
      <c r="J21" s="580"/>
      <c r="K21" s="580"/>
      <c r="L21" s="580"/>
      <c r="M21" s="580"/>
      <c r="N21" s="580"/>
      <c r="O21" s="577"/>
      <c r="P21" s="577"/>
      <c r="Q21" s="577"/>
      <c r="R21" s="577"/>
      <c r="S21" s="577"/>
      <c r="T21" s="577"/>
      <c r="U21" s="577"/>
      <c r="V21" s="577"/>
      <c r="W21" s="577"/>
      <c r="X21" s="577"/>
      <c r="Y21" s="577"/>
      <c r="Z21" s="577"/>
      <c r="AA21" s="577"/>
      <c r="AB21" s="577"/>
      <c r="AC21" s="577"/>
      <c r="AD21" s="577"/>
      <c r="AE21" s="577"/>
      <c r="AF21" s="577"/>
      <c r="AG21" s="577"/>
      <c r="AH21" s="577"/>
      <c r="AI21" s="577"/>
      <c r="AJ21" s="577"/>
    </row>
    <row r="22" spans="1:59" ht="26" x14ac:dyDescent="0.35">
      <c r="A22" s="577"/>
      <c r="B22" s="580"/>
      <c r="C22" s="580"/>
      <c r="D22" s="580"/>
      <c r="E22" s="580"/>
      <c r="F22" s="580"/>
      <c r="G22" s="580"/>
      <c r="H22" s="580"/>
      <c r="I22" s="580"/>
      <c r="J22" s="580"/>
      <c r="K22" s="580"/>
      <c r="L22" s="580"/>
      <c r="M22" s="580"/>
      <c r="N22" s="580"/>
      <c r="O22" s="577"/>
      <c r="P22" s="577"/>
      <c r="Q22" s="577"/>
      <c r="R22" s="577"/>
      <c r="S22" s="577"/>
      <c r="T22" s="577"/>
      <c r="U22" s="577"/>
      <c r="V22" s="577"/>
      <c r="W22" s="577"/>
      <c r="X22" s="577"/>
      <c r="Y22" s="577"/>
      <c r="Z22" s="577"/>
      <c r="AA22" s="577"/>
      <c r="AB22" s="577"/>
      <c r="AC22" s="577"/>
      <c r="AD22" s="577"/>
      <c r="AE22" s="577"/>
      <c r="AF22" s="577"/>
      <c r="AG22" s="577"/>
      <c r="AH22" s="577"/>
      <c r="AI22" s="577"/>
      <c r="AJ22" s="577"/>
    </row>
    <row r="23" spans="1:59" ht="26" x14ac:dyDescent="0.35">
      <c r="A23" s="577"/>
      <c r="B23" s="577"/>
      <c r="C23" s="580"/>
      <c r="D23" s="578"/>
      <c r="E23" s="579"/>
      <c r="F23" s="579"/>
      <c r="G23" s="579"/>
      <c r="H23" s="579"/>
      <c r="I23" s="579"/>
      <c r="J23" s="579"/>
      <c r="K23" s="579"/>
      <c r="L23" s="579"/>
      <c r="M23" s="579"/>
      <c r="N23" s="577"/>
      <c r="O23" s="577"/>
      <c r="P23" s="577"/>
      <c r="Q23" s="577"/>
      <c r="R23" s="577"/>
      <c r="S23" s="577"/>
      <c r="T23" s="577"/>
      <c r="U23" s="577"/>
      <c r="V23" s="577"/>
      <c r="W23" s="577"/>
      <c r="X23" s="577"/>
      <c r="Y23" s="577"/>
      <c r="Z23" s="577"/>
      <c r="AA23" s="577"/>
      <c r="AB23" s="577"/>
      <c r="AC23" s="577"/>
      <c r="AD23" s="577"/>
      <c r="AE23" s="577"/>
      <c r="AF23" s="577"/>
      <c r="AG23" s="577"/>
      <c r="AH23" s="577"/>
      <c r="AI23" s="577"/>
      <c r="AJ23" s="577"/>
    </row>
    <row r="24" spans="1:59" ht="26" x14ac:dyDescent="0.35">
      <c r="A24" s="577"/>
      <c r="B24" s="577"/>
      <c r="C24" s="580"/>
      <c r="D24" s="578"/>
      <c r="E24" s="579"/>
      <c r="F24" s="579"/>
      <c r="G24" s="579"/>
      <c r="H24" s="579"/>
      <c r="I24" s="579"/>
      <c r="J24" s="579"/>
      <c r="K24" s="579"/>
      <c r="L24" s="579"/>
      <c r="M24" s="579"/>
      <c r="N24" s="577"/>
      <c r="O24" s="577"/>
      <c r="P24" s="577"/>
      <c r="Q24" s="577"/>
      <c r="R24" s="577"/>
      <c r="S24" s="577"/>
      <c r="T24" s="577"/>
      <c r="U24" s="577"/>
      <c r="V24" s="577"/>
      <c r="W24" s="577"/>
      <c r="X24" s="577"/>
      <c r="Y24" s="577"/>
      <c r="Z24" s="577"/>
      <c r="AA24" s="577"/>
      <c r="AB24" s="577"/>
      <c r="AC24" s="577"/>
      <c r="AD24" s="577"/>
      <c r="AE24" s="577"/>
      <c r="AF24" s="577"/>
      <c r="AG24" s="577"/>
      <c r="AH24" s="577"/>
      <c r="AI24" s="577"/>
      <c r="AJ24" s="577"/>
    </row>
    <row r="25" spans="1:59" ht="26" x14ac:dyDescent="0.35">
      <c r="A25" s="577"/>
      <c r="B25" s="577"/>
      <c r="C25" s="580"/>
      <c r="D25" s="578"/>
      <c r="E25" s="579"/>
      <c r="F25" s="579"/>
      <c r="G25" s="579"/>
      <c r="H25" s="579"/>
      <c r="I25" s="579"/>
      <c r="J25" s="579"/>
      <c r="K25" s="579"/>
      <c r="L25" s="579"/>
      <c r="M25" s="579"/>
      <c r="N25" s="577"/>
      <c r="O25" s="577"/>
      <c r="P25" s="577"/>
      <c r="Q25" s="577"/>
      <c r="R25" s="577"/>
      <c r="S25" s="577"/>
      <c r="T25" s="577"/>
      <c r="U25" s="577"/>
      <c r="V25" s="577"/>
      <c r="W25" s="577"/>
      <c r="X25" s="577"/>
      <c r="Y25" s="577"/>
      <c r="Z25" s="577"/>
      <c r="AA25" s="577"/>
      <c r="AB25" s="577"/>
      <c r="AC25" s="577"/>
      <c r="AD25" s="577"/>
      <c r="AE25" s="577"/>
      <c r="AF25" s="577"/>
      <c r="AG25" s="577"/>
      <c r="AH25" s="577"/>
      <c r="AI25" s="577"/>
      <c r="AJ25" s="577"/>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row>
    <row r="26" spans="1:59" ht="36" customHeight="1" x14ac:dyDescent="0.35">
      <c r="A26" s="577"/>
      <c r="B26" s="577"/>
      <c r="C26" s="579"/>
      <c r="D26" s="579"/>
      <c r="E26" s="579"/>
      <c r="F26" s="579"/>
      <c r="G26" s="579"/>
      <c r="H26" s="579"/>
      <c r="I26" s="579"/>
      <c r="J26" s="579"/>
      <c r="K26" s="579"/>
      <c r="L26" s="579"/>
      <c r="M26" s="579"/>
      <c r="N26" s="577"/>
      <c r="O26" s="577"/>
      <c r="P26" s="577"/>
      <c r="Q26" s="577"/>
      <c r="R26" s="577"/>
      <c r="S26" s="577"/>
      <c r="T26" s="577"/>
      <c r="U26" s="577"/>
      <c r="V26" s="577"/>
      <c r="W26" s="577"/>
      <c r="X26" s="577"/>
      <c r="Y26" s="577"/>
      <c r="Z26" s="577"/>
      <c r="AA26" s="577"/>
      <c r="AB26" s="577"/>
      <c r="AC26" s="577"/>
      <c r="AD26" s="577"/>
      <c r="AE26" s="577"/>
      <c r="AF26" s="577"/>
      <c r="AG26" s="577"/>
      <c r="AH26" s="577"/>
      <c r="AI26" s="577"/>
      <c r="AJ26" s="577"/>
    </row>
    <row r="27" spans="1:59" x14ac:dyDescent="0.35">
      <c r="A27" s="577"/>
      <c r="B27" s="577"/>
      <c r="C27" s="577"/>
      <c r="D27" s="577"/>
      <c r="E27" s="577"/>
      <c r="F27" s="577"/>
      <c r="G27" s="577"/>
      <c r="H27" s="577"/>
      <c r="I27" s="577"/>
      <c r="J27" s="577"/>
      <c r="K27" s="577"/>
      <c r="L27" s="577"/>
      <c r="M27" s="577"/>
      <c r="N27" s="577"/>
      <c r="O27" s="577"/>
      <c r="P27" s="577"/>
      <c r="Q27" s="577"/>
      <c r="R27" s="577"/>
      <c r="S27" s="577"/>
      <c r="T27" s="577"/>
      <c r="U27" s="577"/>
      <c r="V27" s="577"/>
      <c r="W27" s="577"/>
      <c r="X27" s="577"/>
      <c r="Y27" s="577"/>
      <c r="Z27" s="577"/>
      <c r="AA27" s="577"/>
      <c r="AB27" s="577"/>
      <c r="AC27" s="577"/>
      <c r="AD27" s="577"/>
      <c r="AE27" s="577"/>
      <c r="AF27" s="577"/>
      <c r="AG27" s="577"/>
      <c r="AH27" s="577"/>
      <c r="AI27" s="577"/>
      <c r="AJ27" s="577"/>
    </row>
    <row r="28" spans="1:59" x14ac:dyDescent="0.35">
      <c r="A28" s="577"/>
      <c r="B28" s="577"/>
      <c r="C28" s="577"/>
      <c r="D28" s="577"/>
      <c r="E28" s="577"/>
      <c r="F28" s="577"/>
      <c r="G28" s="577"/>
      <c r="H28" s="577"/>
      <c r="I28" s="577"/>
      <c r="J28" s="577"/>
      <c r="K28" s="577"/>
      <c r="L28" s="577"/>
      <c r="M28" s="577"/>
      <c r="N28" s="577"/>
      <c r="O28" s="577"/>
      <c r="P28" s="577"/>
      <c r="Q28" s="577"/>
      <c r="R28" s="577"/>
      <c r="S28" s="577"/>
      <c r="T28" s="577"/>
      <c r="U28" s="577"/>
      <c r="V28" s="577"/>
      <c r="W28" s="577"/>
      <c r="X28" s="577"/>
      <c r="Y28" s="577"/>
      <c r="Z28" s="577"/>
      <c r="AA28" s="577"/>
      <c r="AB28" s="577"/>
      <c r="AC28" s="577"/>
      <c r="AD28" s="577"/>
      <c r="AE28" s="577"/>
      <c r="AF28" s="577"/>
      <c r="AG28" s="577"/>
      <c r="AH28" s="577"/>
      <c r="AI28" s="577"/>
      <c r="AJ28" s="577"/>
    </row>
    <row r="29" spans="1:59" x14ac:dyDescent="0.35">
      <c r="A29" s="577"/>
      <c r="B29" s="577"/>
      <c r="C29" s="577"/>
      <c r="D29" s="577"/>
      <c r="E29" s="577"/>
      <c r="F29" s="577"/>
      <c r="G29" s="577"/>
      <c r="H29" s="577"/>
      <c r="I29" s="577"/>
      <c r="J29" s="577"/>
      <c r="K29" s="577"/>
      <c r="L29" s="577"/>
      <c r="M29" s="577"/>
      <c r="N29" s="577"/>
      <c r="O29" s="577"/>
      <c r="P29" s="577"/>
      <c r="Q29" s="577"/>
      <c r="R29" s="577"/>
      <c r="S29" s="577"/>
      <c r="T29" s="577"/>
      <c r="U29" s="577"/>
      <c r="V29" s="577"/>
      <c r="W29" s="577"/>
      <c r="X29" s="577"/>
      <c r="Y29" s="577"/>
      <c r="Z29" s="577"/>
      <c r="AA29" s="577"/>
      <c r="AB29" s="577"/>
      <c r="AC29" s="577"/>
      <c r="AD29" s="577"/>
      <c r="AE29" s="577"/>
      <c r="AF29" s="577"/>
      <c r="AG29" s="577"/>
      <c r="AH29" s="577"/>
      <c r="AI29" s="577"/>
      <c r="AJ29" s="577"/>
    </row>
    <row r="30" spans="1:59" x14ac:dyDescent="0.35">
      <c r="A30" s="577"/>
      <c r="B30" s="577"/>
      <c r="C30" s="577"/>
      <c r="D30" s="577"/>
      <c r="E30" s="577"/>
      <c r="F30" s="577"/>
      <c r="G30" s="577"/>
      <c r="H30" s="577"/>
      <c r="I30" s="577"/>
      <c r="J30" s="577"/>
      <c r="K30" s="577"/>
      <c r="L30" s="577"/>
      <c r="M30" s="577"/>
      <c r="N30" s="577"/>
      <c r="O30" s="577"/>
      <c r="P30" s="577"/>
      <c r="Q30" s="577"/>
      <c r="R30" s="577"/>
      <c r="S30" s="577"/>
      <c r="T30" s="577"/>
      <c r="U30" s="577"/>
      <c r="V30" s="577"/>
      <c r="W30" s="577"/>
      <c r="X30" s="577"/>
      <c r="Y30" s="577"/>
      <c r="Z30" s="577"/>
      <c r="AA30" s="577"/>
      <c r="AB30" s="577"/>
      <c r="AC30" s="577"/>
      <c r="AD30" s="577"/>
      <c r="AE30" s="577"/>
      <c r="AF30" s="577"/>
      <c r="AG30" s="577"/>
      <c r="AH30" s="577"/>
      <c r="AI30" s="577"/>
      <c r="AJ30" s="577"/>
    </row>
    <row r="31" spans="1:59" x14ac:dyDescent="0.35">
      <c r="A31" s="577"/>
      <c r="B31" s="577"/>
      <c r="C31" s="577"/>
      <c r="D31" s="577"/>
      <c r="E31" s="577"/>
      <c r="F31" s="577"/>
      <c r="G31" s="577"/>
      <c r="H31" s="577"/>
      <c r="I31" s="577"/>
      <c r="J31" s="577"/>
      <c r="K31" s="577"/>
      <c r="L31" s="577"/>
      <c r="M31" s="577"/>
      <c r="N31" s="577"/>
      <c r="O31" s="577"/>
      <c r="P31" s="577"/>
      <c r="Q31" s="577"/>
      <c r="R31" s="577"/>
      <c r="S31" s="577"/>
      <c r="T31" s="577"/>
      <c r="U31" s="577"/>
      <c r="V31" s="577"/>
      <c r="W31" s="577"/>
      <c r="X31" s="577"/>
      <c r="Y31" s="577"/>
      <c r="Z31" s="577"/>
      <c r="AA31" s="577"/>
      <c r="AB31" s="577"/>
      <c r="AC31" s="577"/>
      <c r="AD31" s="577"/>
      <c r="AE31" s="577"/>
      <c r="AF31" s="577"/>
      <c r="AG31" s="577"/>
      <c r="AH31" s="577"/>
      <c r="AI31" s="577"/>
      <c r="AJ31" s="577"/>
    </row>
    <row r="32" spans="1:59" x14ac:dyDescent="0.35">
      <c r="A32" s="577"/>
      <c r="B32" s="577"/>
      <c r="C32" s="577"/>
      <c r="D32" s="577"/>
      <c r="E32" s="577"/>
      <c r="F32" s="577"/>
      <c r="G32" s="577"/>
      <c r="H32" s="577"/>
      <c r="I32" s="577"/>
      <c r="J32" s="577"/>
      <c r="K32" s="577"/>
      <c r="L32" s="577"/>
      <c r="M32" s="577"/>
      <c r="N32" s="577"/>
      <c r="O32" s="577"/>
      <c r="P32" s="577"/>
      <c r="Q32" s="577"/>
      <c r="R32" s="577"/>
      <c r="S32" s="577"/>
      <c r="T32" s="577"/>
      <c r="U32" s="577"/>
      <c r="V32" s="577"/>
      <c r="W32" s="577"/>
      <c r="X32" s="577"/>
      <c r="Y32" s="577"/>
      <c r="Z32" s="577"/>
      <c r="AA32" s="577"/>
      <c r="AB32" s="577"/>
      <c r="AC32" s="577"/>
      <c r="AD32" s="577"/>
      <c r="AE32" s="577"/>
      <c r="AF32" s="577"/>
      <c r="AG32" s="577"/>
      <c r="AH32" s="577"/>
      <c r="AI32" s="577"/>
      <c r="AJ32" s="577"/>
    </row>
    <row r="33" spans="1:36" x14ac:dyDescent="0.35">
      <c r="A33" s="577"/>
      <c r="B33" s="577"/>
      <c r="C33" s="577"/>
      <c r="D33" s="577"/>
      <c r="E33" s="577"/>
      <c r="F33" s="577"/>
      <c r="G33" s="577"/>
      <c r="H33" s="577"/>
      <c r="I33" s="577"/>
      <c r="J33" s="577"/>
      <c r="K33" s="577"/>
      <c r="L33" s="577"/>
      <c r="M33" s="577"/>
      <c r="N33" s="577"/>
      <c r="O33" s="577"/>
      <c r="P33" s="577"/>
      <c r="Q33" s="577"/>
      <c r="R33" s="577"/>
      <c r="S33" s="577"/>
      <c r="T33" s="577"/>
      <c r="U33" s="577"/>
      <c r="V33" s="577"/>
      <c r="W33" s="577"/>
      <c r="X33" s="577"/>
      <c r="Y33" s="577"/>
      <c r="Z33" s="577"/>
      <c r="AA33" s="577"/>
      <c r="AB33" s="577"/>
      <c r="AC33" s="577"/>
      <c r="AD33" s="577"/>
      <c r="AE33" s="577"/>
      <c r="AF33" s="577"/>
      <c r="AG33" s="577"/>
      <c r="AH33" s="577"/>
      <c r="AI33" s="577"/>
      <c r="AJ33" s="577"/>
    </row>
    <row r="34" spans="1:36" x14ac:dyDescent="0.35">
      <c r="A34" s="577"/>
      <c r="B34" s="577"/>
      <c r="C34" s="577"/>
      <c r="D34" s="577"/>
      <c r="E34" s="577"/>
      <c r="F34" s="577"/>
      <c r="G34" s="577"/>
      <c r="H34" s="577"/>
      <c r="I34" s="577"/>
      <c r="J34" s="577"/>
      <c r="K34" s="577"/>
      <c r="L34" s="577"/>
      <c r="M34" s="577"/>
      <c r="N34" s="577"/>
      <c r="O34" s="577"/>
      <c r="P34" s="577"/>
      <c r="Q34" s="577"/>
      <c r="R34" s="577"/>
      <c r="S34" s="577"/>
      <c r="T34" s="577"/>
      <c r="U34" s="577"/>
      <c r="V34" s="577"/>
      <c r="W34" s="577"/>
      <c r="X34" s="577"/>
      <c r="Y34" s="577"/>
      <c r="Z34" s="577"/>
      <c r="AA34" s="577"/>
      <c r="AB34" s="577"/>
      <c r="AC34" s="577"/>
      <c r="AD34" s="577"/>
      <c r="AE34" s="577"/>
      <c r="AF34" s="577"/>
      <c r="AG34" s="577"/>
      <c r="AH34" s="577"/>
      <c r="AI34" s="577"/>
      <c r="AJ34" s="577"/>
    </row>
    <row r="35" spans="1:36" x14ac:dyDescent="0.35">
      <c r="A35" s="577"/>
      <c r="B35" s="577"/>
      <c r="C35" s="577"/>
      <c r="D35" s="577"/>
      <c r="E35" s="577"/>
      <c r="F35" s="577"/>
      <c r="G35" s="577"/>
      <c r="H35" s="577"/>
      <c r="I35" s="577"/>
      <c r="J35" s="577"/>
      <c r="K35" s="577"/>
      <c r="L35" s="577"/>
      <c r="M35" s="577"/>
      <c r="N35" s="577"/>
      <c r="O35" s="577"/>
      <c r="P35" s="577"/>
      <c r="Q35" s="577"/>
      <c r="R35" s="577"/>
      <c r="S35" s="577"/>
      <c r="T35" s="577"/>
      <c r="U35" s="577"/>
      <c r="V35" s="577"/>
      <c r="W35" s="577"/>
      <c r="X35" s="577"/>
      <c r="Y35" s="577"/>
      <c r="Z35" s="577"/>
      <c r="AA35" s="577"/>
      <c r="AB35" s="577"/>
      <c r="AC35" s="577"/>
      <c r="AD35" s="577"/>
      <c r="AE35" s="577"/>
      <c r="AF35" s="577"/>
      <c r="AG35" s="577"/>
      <c r="AH35" s="577"/>
      <c r="AI35" s="577"/>
      <c r="AJ35" s="577"/>
    </row>
    <row r="36" spans="1:36" x14ac:dyDescent="0.35">
      <c r="A36" s="577"/>
      <c r="B36" s="577"/>
      <c r="C36" s="577"/>
      <c r="D36" s="577"/>
      <c r="E36" s="577"/>
      <c r="F36" s="577"/>
      <c r="G36" s="577"/>
      <c r="H36" s="577"/>
      <c r="I36" s="577"/>
      <c r="J36" s="577"/>
      <c r="K36" s="577"/>
      <c r="L36" s="577"/>
      <c r="M36" s="577"/>
      <c r="N36" s="577"/>
      <c r="O36" s="577"/>
      <c r="P36" s="577"/>
      <c r="Q36" s="577"/>
      <c r="R36" s="577"/>
      <c r="S36" s="577"/>
      <c r="T36" s="577"/>
      <c r="U36" s="577"/>
      <c r="V36" s="577"/>
      <c r="W36" s="577"/>
      <c r="X36" s="577"/>
      <c r="Y36" s="577"/>
      <c r="Z36" s="577"/>
      <c r="AA36" s="577"/>
      <c r="AB36" s="577"/>
      <c r="AC36" s="577"/>
      <c r="AD36" s="577"/>
      <c r="AE36" s="577"/>
      <c r="AF36" s="577"/>
      <c r="AG36" s="577"/>
      <c r="AH36" s="577"/>
      <c r="AI36" s="577"/>
      <c r="AJ36" s="577"/>
    </row>
    <row r="37" spans="1:36" x14ac:dyDescent="0.35">
      <c r="A37" s="577"/>
      <c r="B37" s="577"/>
      <c r="C37" s="577"/>
      <c r="D37" s="577"/>
      <c r="E37" s="577"/>
      <c r="F37" s="577"/>
      <c r="G37" s="577"/>
      <c r="H37" s="577"/>
      <c r="I37" s="577"/>
      <c r="J37" s="577"/>
      <c r="K37" s="577"/>
      <c r="L37" s="577"/>
      <c r="M37" s="577"/>
      <c r="N37" s="577"/>
      <c r="O37" s="577"/>
      <c r="P37" s="577"/>
      <c r="Q37" s="577"/>
      <c r="R37" s="577"/>
      <c r="S37" s="577"/>
      <c r="T37" s="577"/>
      <c r="U37" s="577"/>
      <c r="V37" s="577"/>
      <c r="W37" s="577"/>
      <c r="X37" s="577"/>
      <c r="Y37" s="577"/>
      <c r="Z37" s="577"/>
      <c r="AA37" s="577"/>
      <c r="AB37" s="577"/>
      <c r="AC37" s="577"/>
      <c r="AD37" s="577"/>
      <c r="AE37" s="577"/>
      <c r="AF37" s="577"/>
      <c r="AG37" s="577"/>
      <c r="AH37" s="577"/>
      <c r="AI37" s="577"/>
      <c r="AJ37" s="577"/>
    </row>
    <row r="38" spans="1:36" x14ac:dyDescent="0.35">
      <c r="A38" s="577"/>
      <c r="B38" s="577"/>
      <c r="C38" s="577"/>
      <c r="D38" s="577"/>
      <c r="E38" s="577"/>
      <c r="F38" s="577"/>
      <c r="G38" s="577"/>
      <c r="H38" s="577"/>
      <c r="I38" s="577"/>
      <c r="J38" s="577"/>
      <c r="K38" s="577"/>
      <c r="L38" s="577"/>
      <c r="M38" s="577"/>
      <c r="N38" s="577"/>
      <c r="O38" s="577"/>
      <c r="P38" s="577"/>
      <c r="Q38" s="577"/>
      <c r="R38" s="577"/>
      <c r="S38" s="577"/>
      <c r="T38" s="577"/>
      <c r="U38" s="577"/>
      <c r="V38" s="577"/>
      <c r="W38" s="577"/>
      <c r="X38" s="577"/>
      <c r="Y38" s="577"/>
      <c r="Z38" s="577"/>
      <c r="AA38" s="577"/>
      <c r="AB38" s="577"/>
      <c r="AC38" s="577"/>
      <c r="AD38" s="577"/>
      <c r="AE38" s="577"/>
      <c r="AF38" s="577"/>
      <c r="AG38" s="577"/>
      <c r="AH38" s="577"/>
      <c r="AI38" s="577"/>
      <c r="AJ38" s="577"/>
    </row>
    <row r="39" spans="1:36" x14ac:dyDescent="0.35">
      <c r="A39" s="577"/>
      <c r="B39" s="577"/>
      <c r="C39" s="577"/>
      <c r="D39" s="577"/>
      <c r="E39" s="577"/>
      <c r="F39" s="577"/>
      <c r="G39" s="577"/>
      <c r="H39" s="577"/>
      <c r="I39" s="577"/>
      <c r="J39" s="577"/>
      <c r="K39" s="577"/>
      <c r="L39" s="577"/>
      <c r="M39" s="577"/>
      <c r="N39" s="577"/>
      <c r="O39" s="577"/>
      <c r="P39" s="577"/>
      <c r="Q39" s="577"/>
      <c r="R39" s="577"/>
      <c r="S39" s="577"/>
      <c r="T39" s="577"/>
      <c r="U39" s="577"/>
      <c r="V39" s="577"/>
      <c r="W39" s="577"/>
      <c r="X39" s="577"/>
      <c r="Y39" s="577"/>
      <c r="Z39" s="577"/>
      <c r="AA39" s="577"/>
      <c r="AB39" s="577"/>
      <c r="AC39" s="577"/>
      <c r="AD39" s="577"/>
      <c r="AE39" s="577"/>
      <c r="AF39" s="577"/>
      <c r="AG39" s="577"/>
      <c r="AH39" s="577"/>
      <c r="AI39" s="577"/>
      <c r="AJ39" s="577"/>
    </row>
    <row r="40" spans="1:36" x14ac:dyDescent="0.35">
      <c r="A40" s="577"/>
      <c r="B40" s="577"/>
      <c r="C40" s="577"/>
      <c r="D40" s="577"/>
      <c r="E40" s="577"/>
      <c r="F40" s="577"/>
      <c r="G40" s="577"/>
      <c r="H40" s="577"/>
      <c r="I40" s="577"/>
      <c r="J40" s="577"/>
      <c r="K40" s="577"/>
      <c r="L40" s="577"/>
      <c r="M40" s="577"/>
      <c r="N40" s="577"/>
      <c r="O40" s="577"/>
      <c r="P40" s="577"/>
      <c r="Q40" s="577"/>
      <c r="R40" s="577"/>
      <c r="S40" s="577"/>
      <c r="T40" s="577"/>
      <c r="U40" s="577"/>
      <c r="V40" s="577"/>
      <c r="W40" s="577"/>
      <c r="X40" s="577"/>
      <c r="Y40" s="577"/>
      <c r="Z40" s="577"/>
      <c r="AA40" s="577"/>
      <c r="AB40" s="577"/>
      <c r="AC40" s="577"/>
      <c r="AD40" s="577"/>
      <c r="AE40" s="577"/>
      <c r="AF40" s="577"/>
      <c r="AG40" s="577"/>
      <c r="AH40" s="577"/>
      <c r="AI40" s="577"/>
      <c r="AJ40" s="577"/>
    </row>
    <row r="41" spans="1:36" x14ac:dyDescent="0.35">
      <c r="A41" s="577"/>
      <c r="B41" s="577"/>
      <c r="C41" s="577"/>
      <c r="D41" s="577"/>
      <c r="E41" s="577"/>
      <c r="F41" s="577"/>
      <c r="G41" s="577"/>
      <c r="H41" s="577"/>
      <c r="I41" s="577"/>
      <c r="J41" s="577"/>
      <c r="K41" s="577"/>
      <c r="L41" s="577"/>
      <c r="M41" s="577"/>
      <c r="N41" s="577"/>
      <c r="O41" s="577"/>
      <c r="P41" s="577"/>
      <c r="Q41" s="577"/>
      <c r="R41" s="577"/>
      <c r="S41" s="577"/>
      <c r="T41" s="577"/>
      <c r="U41" s="577"/>
      <c r="V41" s="577"/>
      <c r="W41" s="577"/>
      <c r="X41" s="577"/>
      <c r="Y41" s="577"/>
      <c r="Z41" s="577"/>
      <c r="AA41" s="577"/>
      <c r="AB41" s="577"/>
      <c r="AC41" s="577"/>
      <c r="AD41" s="577"/>
      <c r="AE41" s="577"/>
      <c r="AF41" s="577"/>
      <c r="AG41" s="577"/>
      <c r="AH41" s="577"/>
      <c r="AI41" s="577"/>
      <c r="AJ41" s="577"/>
    </row>
    <row r="42" spans="1:36" x14ac:dyDescent="0.35">
      <c r="A42" s="577"/>
      <c r="B42" s="577"/>
      <c r="C42" s="577"/>
      <c r="D42" s="577"/>
      <c r="E42" s="577"/>
      <c r="F42" s="577"/>
      <c r="G42" s="577"/>
      <c r="H42" s="577"/>
      <c r="I42" s="577"/>
      <c r="J42" s="577"/>
      <c r="K42" s="577"/>
      <c r="L42" s="577"/>
      <c r="M42" s="577"/>
      <c r="N42" s="577"/>
      <c r="O42" s="577"/>
      <c r="P42" s="577"/>
      <c r="Q42" s="577"/>
      <c r="R42" s="577"/>
      <c r="S42" s="577"/>
      <c r="T42" s="577"/>
      <c r="U42" s="577"/>
      <c r="V42" s="577"/>
      <c r="W42" s="577"/>
      <c r="X42" s="577"/>
      <c r="Y42" s="577"/>
      <c r="Z42" s="577"/>
      <c r="AA42" s="577"/>
      <c r="AB42" s="577"/>
      <c r="AC42" s="577"/>
      <c r="AD42" s="577"/>
      <c r="AE42" s="577"/>
      <c r="AF42" s="577"/>
      <c r="AG42" s="577"/>
      <c r="AH42" s="577"/>
      <c r="AI42" s="577"/>
      <c r="AJ42" s="577"/>
    </row>
    <row r="43" spans="1:36" ht="15" thickBot="1" x14ac:dyDescent="0.4">
      <c r="A43" s="577"/>
      <c r="B43" s="577"/>
      <c r="C43" s="577"/>
      <c r="D43" s="577"/>
      <c r="E43" s="577"/>
      <c r="F43" s="577"/>
      <c r="G43" s="577"/>
      <c r="H43" s="577"/>
      <c r="I43" s="577"/>
      <c r="J43" s="577"/>
      <c r="K43" s="577"/>
      <c r="L43" s="577"/>
      <c r="M43" s="577"/>
      <c r="N43" s="577"/>
      <c r="O43" s="577"/>
      <c r="P43" s="577"/>
      <c r="Q43" s="577"/>
      <c r="R43" s="577"/>
      <c r="S43" s="577"/>
      <c r="T43" s="577"/>
      <c r="U43" s="577"/>
      <c r="V43" s="577"/>
      <c r="W43" s="577"/>
      <c r="X43" s="577"/>
      <c r="Y43" s="577"/>
      <c r="Z43" s="577"/>
      <c r="AA43" s="577"/>
      <c r="AB43" s="577"/>
      <c r="AC43" s="577"/>
      <c r="AD43" s="577"/>
      <c r="AE43" s="577"/>
      <c r="AF43" s="577"/>
      <c r="AG43" s="577"/>
      <c r="AH43" s="577"/>
      <c r="AI43" s="577"/>
      <c r="AJ43" s="577"/>
    </row>
    <row r="44" spans="1:36" ht="29" x14ac:dyDescent="0.35">
      <c r="D44" s="306" t="s">
        <v>1137</v>
      </c>
      <c r="E44" s="306" t="s">
        <v>1402</v>
      </c>
      <c r="F44" s="306"/>
      <c r="G44" s="306"/>
      <c r="H44" s="306" t="s">
        <v>1412</v>
      </c>
      <c r="I44" s="306" t="s">
        <v>1401</v>
      </c>
      <c r="J44" s="306"/>
      <c r="K44" s="306"/>
      <c r="L44" s="306" t="s">
        <v>1413</v>
      </c>
      <c r="M44" s="306" t="s">
        <v>1415</v>
      </c>
      <c r="N44" s="306" t="s">
        <v>1416</v>
      </c>
      <c r="O44" s="306" t="s">
        <v>1427</v>
      </c>
      <c r="P44" s="344" t="s">
        <v>1337</v>
      </c>
    </row>
  </sheetData>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'Tratamento de Dados'!$D$2:$E$2</xm:f>
          </x14:formula1>
          <xm:sqref>C5</xm:sqref>
        </x14:dataValidation>
        <x14:dataValidation type="list" allowBlank="1" showInputMessage="1" showErrorMessage="1" xr:uid="{00000000-0002-0000-0000-000001000000}">
          <x14:formula1>
            <xm:f>'Tratamento de Dados'!$A$14:$A$1048576</xm:f>
          </x14:formula1>
          <xm:sqref>H5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6"/>
  <dimension ref="A1:BG40"/>
  <sheetViews>
    <sheetView showGridLines="0" zoomScaleNormal="100" workbookViewId="0">
      <selection activeCell="C5" sqref="C5"/>
    </sheetView>
  </sheetViews>
  <sheetFormatPr defaultColWidth="9.1796875" defaultRowHeight="18.5" x14ac:dyDescent="0.45"/>
  <cols>
    <col min="1" max="1" width="1.453125" style="589" customWidth="1"/>
    <col min="2" max="2" width="3.7265625" style="589" customWidth="1"/>
    <col min="3" max="3" width="26.1796875" style="589" bestFit="1" customWidth="1"/>
    <col min="4" max="4" width="23.1796875" style="589" bestFit="1" customWidth="1"/>
    <col min="5" max="5" width="12.7265625" style="589" customWidth="1"/>
    <col min="6" max="6" width="36.453125" style="589" bestFit="1" customWidth="1"/>
    <col min="7" max="7" width="28.7265625" style="589" customWidth="1"/>
    <col min="8" max="8" width="24.26953125" style="589" customWidth="1"/>
    <col min="9" max="9" width="17.7265625" style="589" customWidth="1"/>
    <col min="10" max="10" width="17.26953125" style="589" customWidth="1"/>
    <col min="11" max="11" width="24.26953125" style="589" customWidth="1"/>
    <col min="12" max="12" width="33.26953125" style="589" customWidth="1"/>
    <col min="13" max="13" width="31.54296875" style="589" customWidth="1"/>
    <col min="14" max="14" width="17.81640625" style="589" bestFit="1" customWidth="1"/>
    <col min="15" max="16384" width="9.1796875" style="589"/>
  </cols>
  <sheetData>
    <row r="1" spans="1:36"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row>
    <row r="2" spans="1:36"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row>
    <row r="3" spans="1:36" s="588" customFormat="1" ht="21.75" customHeight="1" x14ac:dyDescent="0.45">
      <c r="A3" s="581"/>
      <c r="B3" s="581"/>
      <c r="C3" s="581"/>
      <c r="D3" s="581"/>
      <c r="E3" s="581"/>
      <c r="F3" s="584"/>
      <c r="G3" s="584"/>
      <c r="H3" s="584"/>
      <c r="I3" s="584"/>
      <c r="J3" s="581"/>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row>
    <row r="4" spans="1:36" x14ac:dyDescent="0.45">
      <c r="A4" s="581"/>
      <c r="B4" s="581"/>
      <c r="C4" s="583" t="s">
        <v>968</v>
      </c>
      <c r="D4" s="583" t="s">
        <v>107</v>
      </c>
      <c r="E4" s="581"/>
      <c r="F4" s="587" t="s">
        <v>825</v>
      </c>
      <c r="G4" s="591">
        <v>1</v>
      </c>
      <c r="H4" s="581"/>
      <c r="I4" s="581"/>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row>
    <row r="5" spans="1:36" x14ac:dyDescent="0.45">
      <c r="A5" s="581"/>
      <c r="B5" s="581"/>
      <c r="C5" s="591" t="s">
        <v>1596</v>
      </c>
      <c r="D5" s="592" t="s">
        <v>166</v>
      </c>
      <c r="E5" s="581"/>
      <c r="F5" s="587" t="s">
        <v>826</v>
      </c>
      <c r="G5" s="591">
        <v>2</v>
      </c>
      <c r="H5" s="581"/>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row>
    <row r="6" spans="1:36" ht="15" customHeight="1" x14ac:dyDescent="0.45">
      <c r="A6" s="581"/>
      <c r="B6" s="581"/>
      <c r="C6" s="581"/>
      <c r="D6" s="581"/>
      <c r="E6" s="581"/>
      <c r="F6" s="587" t="s">
        <v>707</v>
      </c>
      <c r="G6" s="591">
        <v>3</v>
      </c>
      <c r="H6" s="581"/>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81"/>
    </row>
    <row r="7" spans="1:36" x14ac:dyDescent="0.45">
      <c r="A7" s="581"/>
      <c r="B7" s="581"/>
      <c r="C7" s="583" t="s">
        <v>969</v>
      </c>
      <c r="D7" s="583" t="s">
        <v>108</v>
      </c>
      <c r="E7" s="584"/>
      <c r="F7" s="587" t="s">
        <v>212</v>
      </c>
      <c r="G7" s="591">
        <v>4</v>
      </c>
      <c r="H7" s="668" t="s">
        <v>1533</v>
      </c>
      <c r="I7" s="669"/>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row>
    <row r="8" spans="1:36" x14ac:dyDescent="0.45">
      <c r="A8" s="581"/>
      <c r="B8" s="581"/>
      <c r="C8" s="591" t="s">
        <v>1042</v>
      </c>
      <c r="D8" s="592" t="s">
        <v>143</v>
      </c>
      <c r="E8" s="584"/>
      <c r="F8" s="587" t="s">
        <v>211</v>
      </c>
      <c r="G8" s="591">
        <v>5</v>
      </c>
      <c r="H8" s="668"/>
      <c r="I8" s="669"/>
      <c r="J8" s="581"/>
      <c r="K8" s="581"/>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row>
    <row r="9" spans="1:36" x14ac:dyDescent="0.45">
      <c r="A9" s="581"/>
      <c r="B9" s="581"/>
      <c r="C9" s="584"/>
      <c r="D9" s="584"/>
      <c r="E9" s="584"/>
      <c r="F9" s="581"/>
      <c r="G9" s="581"/>
      <c r="H9" s="581"/>
      <c r="I9" s="581"/>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row>
    <row r="10" spans="1:36" x14ac:dyDescent="0.45">
      <c r="A10" s="581"/>
      <c r="B10" s="581"/>
      <c r="C10" s="584"/>
      <c r="D10" s="584"/>
      <c r="E10" s="584"/>
      <c r="F10" s="581"/>
      <c r="G10" s="581"/>
      <c r="H10" s="581"/>
      <c r="I10" s="581"/>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row>
    <row r="11" spans="1:36" x14ac:dyDescent="0.45">
      <c r="A11" s="581"/>
      <c r="B11" s="581"/>
      <c r="C11" s="581"/>
      <c r="D11" s="581"/>
      <c r="E11" s="581"/>
      <c r="F11" s="582" t="s">
        <v>1531</v>
      </c>
      <c r="G11" s="581"/>
      <c r="H11" s="581"/>
      <c r="I11" s="581"/>
      <c r="J11" s="581"/>
      <c r="K11" s="581"/>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row>
    <row r="12" spans="1:36" x14ac:dyDescent="0.45">
      <c r="A12" s="581"/>
      <c r="B12" s="581"/>
      <c r="C12" s="587" t="s">
        <v>92</v>
      </c>
      <c r="D12" s="587" t="s">
        <v>90</v>
      </c>
      <c r="E12" s="583" t="s">
        <v>935</v>
      </c>
      <c r="F12" s="583" t="s">
        <v>1327</v>
      </c>
      <c r="G12" s="587" t="s">
        <v>1534</v>
      </c>
      <c r="H12" s="587" t="s">
        <v>1532</v>
      </c>
      <c r="I12" s="597" t="s">
        <v>1556</v>
      </c>
      <c r="J12" s="581"/>
      <c r="K12" s="581"/>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row>
    <row r="13" spans="1:36" x14ac:dyDescent="0.45">
      <c r="A13" s="581"/>
      <c r="B13" s="581"/>
      <c r="C13" s="592" t="s">
        <v>694</v>
      </c>
      <c r="D13" s="592" t="s">
        <v>51</v>
      </c>
      <c r="E13" s="655">
        <v>0.5</v>
      </c>
      <c r="F13" s="603"/>
      <c r="G13" s="593" t="s">
        <v>535</v>
      </c>
      <c r="H13" s="654">
        <v>1.1000000000000001E-3</v>
      </c>
      <c r="I13" s="602" t="s">
        <v>244</v>
      </c>
      <c r="J13" s="581"/>
      <c r="K13" s="581"/>
      <c r="L13" s="581"/>
      <c r="M13" s="581"/>
      <c r="N13" s="581"/>
      <c r="O13" s="581"/>
      <c r="P13" s="581"/>
      <c r="Q13" s="581"/>
      <c r="R13" s="581"/>
      <c r="S13" s="581"/>
      <c r="T13" s="581"/>
      <c r="U13" s="581"/>
      <c r="V13" s="581"/>
      <c r="W13" s="581"/>
      <c r="X13" s="581"/>
      <c r="Y13" s="581"/>
      <c r="Z13" s="581"/>
      <c r="AA13" s="581"/>
      <c r="AB13" s="581"/>
      <c r="AC13" s="581"/>
      <c r="AD13" s="581"/>
      <c r="AE13" s="581"/>
      <c r="AF13" s="581"/>
      <c r="AG13" s="581"/>
      <c r="AH13" s="581"/>
      <c r="AI13" s="581"/>
      <c r="AJ13" s="581"/>
    </row>
    <row r="14" spans="1:36" x14ac:dyDescent="0.45">
      <c r="A14" s="581"/>
      <c r="B14" s="581"/>
      <c r="C14" s="581"/>
      <c r="D14" s="581"/>
      <c r="E14" s="581"/>
      <c r="F14" s="581"/>
      <c r="G14" s="581"/>
      <c r="H14" s="581"/>
      <c r="I14" s="581"/>
      <c r="J14" s="581"/>
      <c r="K14" s="581"/>
      <c r="L14" s="581"/>
      <c r="M14" s="581"/>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1"/>
    </row>
    <row r="15" spans="1:36" x14ac:dyDescent="0.45">
      <c r="A15" s="581"/>
      <c r="B15" s="581"/>
      <c r="C15" s="581"/>
      <c r="D15" s="581"/>
      <c r="E15" s="581"/>
      <c r="F15" s="581"/>
      <c r="G15" s="581"/>
      <c r="H15" s="581"/>
      <c r="I15" s="581"/>
      <c r="J15" s="581"/>
      <c r="K15" s="581"/>
      <c r="L15" s="581"/>
      <c r="M15" s="581"/>
      <c r="N15" s="581"/>
      <c r="O15" s="581"/>
      <c r="P15" s="581"/>
      <c r="Q15" s="581"/>
      <c r="R15" s="581"/>
      <c r="S15" s="581"/>
      <c r="T15" s="581"/>
      <c r="U15" s="581"/>
      <c r="V15" s="581"/>
      <c r="W15" s="581"/>
      <c r="X15" s="581"/>
      <c r="Y15" s="581"/>
      <c r="Z15" s="581"/>
      <c r="AA15" s="581"/>
      <c r="AB15" s="581"/>
      <c r="AC15" s="581"/>
      <c r="AD15" s="581"/>
      <c r="AE15" s="581"/>
      <c r="AF15" s="581"/>
      <c r="AG15" s="581"/>
      <c r="AH15" s="581"/>
      <c r="AI15" s="581"/>
      <c r="AJ15" s="581"/>
    </row>
    <row r="16" spans="1:36" x14ac:dyDescent="0.45">
      <c r="A16" s="581"/>
      <c r="B16" s="581"/>
      <c r="C16" s="585" t="s">
        <v>313</v>
      </c>
      <c r="D16" s="594" t="s">
        <v>280</v>
      </c>
      <c r="E16" s="581"/>
      <c r="F16" s="585" t="s">
        <v>1055</v>
      </c>
      <c r="G16" s="671" t="s">
        <v>1329</v>
      </c>
      <c r="H16" s="672"/>
      <c r="I16" s="581"/>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row>
    <row r="17" spans="1:59" ht="18.75" customHeight="1" x14ac:dyDescent="0.45">
      <c r="A17" s="581"/>
      <c r="B17" s="581"/>
      <c r="C17" s="585" t="s">
        <v>314</v>
      </c>
      <c r="D17" s="594" t="s">
        <v>280</v>
      </c>
      <c r="E17" s="581"/>
      <c r="F17" s="595" t="s">
        <v>1330</v>
      </c>
      <c r="G17" s="670">
        <v>10000</v>
      </c>
      <c r="H17" s="670"/>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row>
    <row r="18" spans="1:59" x14ac:dyDescent="0.45">
      <c r="A18" s="581"/>
      <c r="B18" s="581"/>
      <c r="C18" s="585" t="s">
        <v>364</v>
      </c>
      <c r="D18" s="594" t="s">
        <v>898</v>
      </c>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row>
    <row r="19" spans="1:59"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row>
    <row r="20" spans="1:59"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row>
    <row r="21" spans="1:59"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row>
    <row r="22" spans="1:59"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90"/>
      <c r="AL22" s="590"/>
      <c r="AM22" s="590"/>
      <c r="AN22" s="590"/>
      <c r="AO22" s="590"/>
      <c r="AP22" s="590"/>
      <c r="AQ22" s="590"/>
      <c r="AR22" s="590"/>
      <c r="AS22" s="590"/>
      <c r="AT22" s="590"/>
      <c r="AU22" s="590"/>
      <c r="AV22" s="590"/>
      <c r="AW22" s="590"/>
      <c r="AX22" s="590"/>
      <c r="AY22" s="590"/>
      <c r="AZ22" s="590"/>
      <c r="BA22" s="590"/>
      <c r="BB22" s="590"/>
      <c r="BC22" s="590"/>
      <c r="BD22" s="590"/>
      <c r="BE22" s="590"/>
      <c r="BF22" s="590"/>
      <c r="BG22" s="590"/>
    </row>
    <row r="23" spans="1:59" ht="36" customHeight="1"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row>
    <row r="24" spans="1:59"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row>
    <row r="25" spans="1:59"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row>
    <row r="26" spans="1:59"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row>
    <row r="27" spans="1:59"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row>
    <row r="28" spans="1:59"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row>
    <row r="29" spans="1:59"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row>
    <row r="30" spans="1:59"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row>
    <row r="31" spans="1:59"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row>
    <row r="32" spans="1:59"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row>
    <row r="33" spans="1:36"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row>
    <row r="34" spans="1:36"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row>
    <row r="35" spans="1:36"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row>
    <row r="36" spans="1:36"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row>
    <row r="37" spans="1:36"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row>
    <row r="38" spans="1:36"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row>
    <row r="39" spans="1:36"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row>
    <row r="40" spans="1:36"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row>
  </sheetData>
  <mergeCells count="3">
    <mergeCell ref="H7:I8"/>
    <mergeCell ref="G17:H17"/>
    <mergeCell ref="G16:H16"/>
  </mergeCells>
  <dataValidations count="1">
    <dataValidation type="list" allowBlank="1" showInputMessage="1" showErrorMessage="1" sqref="D8" xr:uid="{00000000-0002-0000-0100-000000000000}">
      <formula1>INDIRECT($D$5)</formula1>
    </dataValidation>
  </dataValidations>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COF!$TQ$6:$TQ$12</xm:f>
          </x14:formula1>
          <xm:sqref>G13</xm:sqref>
        </x14:dataValidation>
        <x14:dataValidation type="list" allowBlank="1" showInputMessage="1" showErrorMessage="1" xr:uid="{00000000-0002-0000-0100-000002000000}">
          <x14:formula1>
            <xm:f>COF!$TJ$6:$TJ$11</xm:f>
          </x14:formula1>
          <xm:sqref>D5</xm:sqref>
        </x14:dataValidation>
        <x14:dataValidation type="list" allowBlank="1" showInputMessage="1" showErrorMessage="1" xr:uid="{00000000-0002-0000-0100-000003000000}">
          <x14:formula1>
            <xm:f>'Tables - Part 3'!$B$4:$B$37</xm:f>
          </x14:formula1>
          <xm:sqref>C13</xm:sqref>
        </x14:dataValidation>
        <x14:dataValidation type="list" allowBlank="1" showInputMessage="1" showErrorMessage="1" xr:uid="{00000000-0002-0000-0100-000004000000}">
          <x14:formula1>
            <xm:f>COF!$TH$6:$TH$7</xm:f>
          </x14:formula1>
          <xm:sqref>D13</xm:sqref>
        </x14:dataValidation>
        <x14:dataValidation type="list" allowBlank="1" showInputMessage="1" showErrorMessage="1" xr:uid="{00000000-0002-0000-0100-000005000000}">
          <x14:formula1>
            <xm:f>COF!$TG$14:$TG$16</xm:f>
          </x14:formula1>
          <xm:sqref>D16:D17</xm:sqref>
        </x14:dataValidation>
        <x14:dataValidation type="list" allowBlank="1" showInputMessage="1" showErrorMessage="1" xr:uid="{00000000-0002-0000-0100-000006000000}">
          <x14:formula1>
            <xm:f>'Tables - Part 3'!$CG$4:$CG$8</xm:f>
          </x14:formula1>
          <xm:sqref>D18</xm:sqref>
        </x14:dataValidation>
        <x14:dataValidation type="list" allowBlank="1" showInputMessage="1" showErrorMessage="1" xr:uid="{00000000-0002-0000-0100-000007000000}">
          <x14:formula1>
            <xm:f>COF!$TH$10:$TH$11</xm:f>
          </x14:formula1>
          <xm:sqref>I13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7"/>
  <dimension ref="A1:BH41"/>
  <sheetViews>
    <sheetView showGridLines="0" zoomScaleNormal="100" workbookViewId="0"/>
  </sheetViews>
  <sheetFormatPr defaultColWidth="9.1796875" defaultRowHeight="18.5" x14ac:dyDescent="0.45"/>
  <cols>
    <col min="1" max="1" width="1.453125" style="589" customWidth="1"/>
    <col min="2" max="2" width="3.7265625" style="589" customWidth="1"/>
    <col min="3" max="3" width="26.1796875" style="589" bestFit="1" customWidth="1"/>
    <col min="4" max="4" width="23.81640625" style="589" bestFit="1" customWidth="1"/>
    <col min="5" max="5" width="16.26953125" style="589" customWidth="1"/>
    <col min="6" max="6" width="10.7265625" style="589" customWidth="1"/>
    <col min="7" max="7" width="16.26953125" style="589" customWidth="1"/>
    <col min="8" max="8" width="41.7265625" style="589" customWidth="1"/>
    <col min="9" max="9" width="27.81640625" style="589" customWidth="1"/>
    <col min="10" max="10" width="17.7265625" style="589" customWidth="1"/>
    <col min="11" max="11" width="17.26953125" style="589" customWidth="1"/>
    <col min="12" max="12" width="24.26953125" style="589" customWidth="1"/>
    <col min="13" max="13" width="33.26953125" style="589" customWidth="1"/>
    <col min="14" max="14" width="31.54296875" style="589" customWidth="1"/>
    <col min="15" max="15" width="17.81640625" style="589" bestFit="1" customWidth="1"/>
    <col min="16" max="16" width="16.1796875" style="589" bestFit="1" customWidth="1"/>
    <col min="17" max="16384" width="9.1796875" style="589"/>
  </cols>
  <sheetData>
    <row r="1" spans="1:37"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row>
    <row r="2" spans="1:37"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row>
    <row r="3" spans="1:37" s="588" customFormat="1" ht="21.75" customHeight="1" x14ac:dyDescent="0.45">
      <c r="A3" s="581"/>
      <c r="B3" s="581"/>
      <c r="C3" s="581"/>
      <c r="D3" s="581"/>
      <c r="E3" s="581"/>
      <c r="F3" s="581"/>
      <c r="G3" s="584"/>
      <c r="H3" s="584"/>
      <c r="I3" s="584"/>
      <c r="J3" s="584"/>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7" x14ac:dyDescent="0.45">
      <c r="A4" s="581"/>
      <c r="B4" s="581"/>
      <c r="C4" s="583" t="s">
        <v>968</v>
      </c>
      <c r="D4" s="583" t="s">
        <v>107</v>
      </c>
      <c r="E4" s="581"/>
      <c r="F4" s="584"/>
      <c r="G4" s="581"/>
      <c r="H4" s="587" t="s">
        <v>920</v>
      </c>
      <c r="I4" s="656">
        <v>43831</v>
      </c>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row>
    <row r="5" spans="1:37" x14ac:dyDescent="0.45">
      <c r="A5" s="581"/>
      <c r="B5" s="581"/>
      <c r="C5" s="604" t="str">
        <f>IF('Cadastro Equipamento'!C5=0,"",'Cadastro Equipamento'!C5)</f>
        <v>V-90</v>
      </c>
      <c r="D5" s="604" t="str">
        <f>IF('Cadastro Equipamento'!D5=0,"",'Cadastro Equipamento'!D5)</f>
        <v>Vessel</v>
      </c>
      <c r="E5" s="581"/>
      <c r="F5" s="584"/>
      <c r="G5" s="581"/>
      <c r="H5" s="587" t="s">
        <v>1039</v>
      </c>
      <c r="I5" s="656">
        <v>43832</v>
      </c>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row>
    <row r="6" spans="1:37" x14ac:dyDescent="0.45">
      <c r="A6" s="581"/>
      <c r="B6" s="581"/>
      <c r="C6" s="581"/>
      <c r="D6" s="581"/>
      <c r="E6" s="581"/>
      <c r="F6" s="584"/>
      <c r="G6" s="581"/>
      <c r="H6" s="587" t="s">
        <v>754</v>
      </c>
      <c r="I6" s="656">
        <v>43833</v>
      </c>
      <c r="J6" s="581"/>
      <c r="K6" s="581"/>
      <c r="L6" s="581"/>
      <c r="M6" s="581"/>
      <c r="N6" s="581"/>
      <c r="O6" s="581" t="b">
        <v>1</v>
      </c>
      <c r="P6" s="581"/>
      <c r="Q6" s="581"/>
      <c r="R6" s="581"/>
      <c r="S6" s="581"/>
      <c r="T6" s="581"/>
      <c r="U6" s="581"/>
      <c r="V6" s="581"/>
      <c r="W6" s="581"/>
      <c r="X6" s="581"/>
      <c r="Y6" s="581"/>
      <c r="Z6" s="581"/>
      <c r="AA6" s="581"/>
      <c r="AB6" s="581"/>
      <c r="AC6" s="581"/>
      <c r="AD6" s="581"/>
      <c r="AE6" s="581"/>
      <c r="AF6" s="581"/>
      <c r="AG6" s="581"/>
      <c r="AH6" s="581"/>
      <c r="AI6" s="581"/>
      <c r="AJ6" s="581"/>
      <c r="AK6" s="581"/>
    </row>
    <row r="7" spans="1:37" x14ac:dyDescent="0.45">
      <c r="A7" s="581"/>
      <c r="B7" s="581"/>
      <c r="C7" s="583" t="s">
        <v>969</v>
      </c>
      <c r="D7" s="583" t="s">
        <v>108</v>
      </c>
      <c r="E7" s="584"/>
      <c r="F7" s="584"/>
      <c r="G7" s="581"/>
      <c r="H7" s="587" t="s">
        <v>977</v>
      </c>
      <c r="I7" s="656">
        <v>43834</v>
      </c>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c r="AK7" s="581"/>
    </row>
    <row r="8" spans="1:37" x14ac:dyDescent="0.45">
      <c r="A8" s="581"/>
      <c r="B8" s="581"/>
      <c r="C8" s="604" t="str">
        <f>IF('Cadastro Equipamento'!C8=0,"",'Cadastro Equipamento'!C8)</f>
        <v>Casco</v>
      </c>
      <c r="D8" s="604" t="str">
        <f>IF('Cadastro Equipamento'!D8=0,"",'Cadastro Equipamento'!D8)</f>
        <v>DRUM</v>
      </c>
      <c r="E8" s="584"/>
      <c r="F8" s="584"/>
      <c r="G8" s="581"/>
      <c r="H8" s="587" t="s">
        <v>1015</v>
      </c>
      <c r="I8" s="656">
        <v>43835</v>
      </c>
      <c r="J8" s="581"/>
      <c r="K8" s="581"/>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c r="AK8" s="581"/>
    </row>
    <row r="9" spans="1:37" x14ac:dyDescent="0.45">
      <c r="A9" s="581"/>
      <c r="B9" s="581"/>
      <c r="C9" s="584"/>
      <c r="D9" s="584"/>
      <c r="E9" s="584"/>
      <c r="F9" s="584"/>
      <c r="G9" s="581"/>
      <c r="H9" s="587" t="s">
        <v>1016</v>
      </c>
      <c r="I9" s="656">
        <v>43836</v>
      </c>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row>
    <row r="10" spans="1:37" x14ac:dyDescent="0.45">
      <c r="A10" s="581"/>
      <c r="B10" s="581"/>
      <c r="C10" s="584"/>
      <c r="D10" s="584"/>
      <c r="E10" s="584"/>
      <c r="F10" s="584"/>
      <c r="G10" s="581"/>
      <c r="H10" s="587" t="s">
        <v>1024</v>
      </c>
      <c r="I10" s="586">
        <v>7</v>
      </c>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row>
    <row r="11" spans="1:37" x14ac:dyDescent="0.45">
      <c r="A11" s="581"/>
      <c r="B11" s="581"/>
      <c r="C11" s="584"/>
      <c r="D11" s="584"/>
      <c r="E11" s="584"/>
      <c r="F11" s="584"/>
      <c r="G11" s="581"/>
      <c r="H11" s="597" t="s">
        <v>1555</v>
      </c>
      <c r="I11" s="595">
        <v>8</v>
      </c>
      <c r="J11" s="581"/>
      <c r="K11" s="581"/>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c r="AK11" s="581"/>
    </row>
    <row r="12" spans="1:37" x14ac:dyDescent="0.45">
      <c r="A12" s="581"/>
      <c r="B12" s="581"/>
      <c r="C12" s="581"/>
      <c r="D12" s="581"/>
      <c r="E12" s="581"/>
      <c r="F12" s="581"/>
      <c r="G12" s="581"/>
      <c r="H12" s="581"/>
      <c r="I12" s="581"/>
      <c r="J12" s="581"/>
      <c r="K12" s="581"/>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c r="AK12" s="581"/>
    </row>
    <row r="13" spans="1:37" x14ac:dyDescent="0.45">
      <c r="A13" s="581"/>
      <c r="B13" s="581"/>
      <c r="C13" s="673" t="s">
        <v>1535</v>
      </c>
      <c r="D13" s="673"/>
      <c r="E13" s="673"/>
      <c r="F13" s="673"/>
      <c r="G13" s="673"/>
      <c r="H13" s="673"/>
      <c r="I13" s="673"/>
      <c r="J13" s="581"/>
      <c r="K13" s="581"/>
      <c r="L13" s="581"/>
      <c r="M13" s="581"/>
      <c r="N13" s="581"/>
      <c r="O13" s="581" t="s">
        <v>1536</v>
      </c>
      <c r="P13" s="581" t="s">
        <v>1537</v>
      </c>
      <c r="Q13" s="581" t="s">
        <v>947</v>
      </c>
      <c r="R13" s="581" t="s">
        <v>1538</v>
      </c>
      <c r="S13" s="581" t="s">
        <v>1539</v>
      </c>
      <c r="T13" s="581" t="s">
        <v>1548</v>
      </c>
      <c r="U13" s="581" t="s">
        <v>1540</v>
      </c>
      <c r="V13" s="581" t="s">
        <v>1541</v>
      </c>
      <c r="W13" s="581"/>
      <c r="X13" s="581"/>
      <c r="Y13" s="581"/>
      <c r="Z13" s="581"/>
      <c r="AA13" s="581"/>
      <c r="AB13" s="581"/>
      <c r="AC13" s="581"/>
      <c r="AD13" s="581"/>
      <c r="AE13" s="581"/>
      <c r="AF13" s="581"/>
      <c r="AG13" s="581"/>
      <c r="AH13" s="581"/>
      <c r="AI13" s="581"/>
      <c r="AJ13" s="581"/>
      <c r="AK13" s="581"/>
    </row>
    <row r="14" spans="1:37" ht="51.75" customHeight="1" x14ac:dyDescent="0.45">
      <c r="A14" s="581"/>
      <c r="B14" s="581"/>
      <c r="C14" s="674"/>
      <c r="D14" s="674"/>
      <c r="E14" s="674"/>
      <c r="F14" s="674"/>
      <c r="G14" s="674"/>
      <c r="H14" s="674"/>
      <c r="I14" s="674"/>
      <c r="J14" s="581"/>
      <c r="K14" s="581"/>
      <c r="L14" s="581"/>
      <c r="M14" s="581"/>
      <c r="N14" s="581"/>
      <c r="O14" s="581" t="b">
        <v>1</v>
      </c>
      <c r="P14" s="581" t="b">
        <v>0</v>
      </c>
      <c r="Q14" s="581" t="b">
        <v>0</v>
      </c>
      <c r="R14" s="581" t="b">
        <v>0</v>
      </c>
      <c r="S14" s="581" t="b">
        <v>0</v>
      </c>
      <c r="T14" s="581" t="b">
        <v>0</v>
      </c>
      <c r="U14" s="581" t="b">
        <v>0</v>
      </c>
      <c r="V14" s="581" t="b">
        <v>0</v>
      </c>
      <c r="W14" s="581"/>
      <c r="X14" s="581"/>
      <c r="Y14" s="581"/>
      <c r="Z14" s="581"/>
      <c r="AA14" s="581"/>
      <c r="AB14" s="581"/>
      <c r="AC14" s="581"/>
      <c r="AD14" s="581"/>
      <c r="AE14" s="581"/>
      <c r="AF14" s="581"/>
      <c r="AG14" s="581"/>
      <c r="AH14" s="581"/>
      <c r="AI14" s="581"/>
      <c r="AJ14" s="581"/>
      <c r="AK14" s="581"/>
    </row>
    <row r="15" spans="1:37" x14ac:dyDescent="0.45">
      <c r="A15" s="581"/>
      <c r="B15" s="581"/>
      <c r="C15" s="581"/>
      <c r="D15" s="581"/>
      <c r="E15" s="581"/>
      <c r="F15" s="581"/>
      <c r="G15" s="581"/>
      <c r="H15" s="581"/>
      <c r="I15" s="581"/>
      <c r="J15" s="581"/>
      <c r="K15" s="581"/>
      <c r="L15" s="581"/>
      <c r="M15" s="581"/>
      <c r="N15" s="581"/>
      <c r="O15" s="581" t="s">
        <v>1542</v>
      </c>
      <c r="P15" s="581" t="s">
        <v>1543</v>
      </c>
      <c r="Q15" s="581" t="s">
        <v>941</v>
      </c>
      <c r="R15" s="581" t="s">
        <v>1544</v>
      </c>
      <c r="S15" s="581" t="s">
        <v>1545</v>
      </c>
      <c r="T15" s="581" t="s">
        <v>1546</v>
      </c>
      <c r="U15" s="581" t="s">
        <v>1547</v>
      </c>
      <c r="V15" s="581"/>
      <c r="W15" s="581"/>
      <c r="X15" s="581"/>
      <c r="Y15" s="581"/>
      <c r="Z15" s="581"/>
      <c r="AA15" s="581"/>
      <c r="AB15" s="581"/>
      <c r="AC15" s="581"/>
      <c r="AD15" s="581"/>
      <c r="AE15" s="581"/>
      <c r="AF15" s="581"/>
      <c r="AG15" s="581"/>
      <c r="AH15" s="581"/>
      <c r="AI15" s="581"/>
      <c r="AJ15" s="581"/>
      <c r="AK15" s="581"/>
    </row>
    <row r="16" spans="1:37" ht="12" customHeight="1" x14ac:dyDescent="0.45">
      <c r="A16" s="581"/>
      <c r="B16" s="581"/>
      <c r="C16" s="581"/>
      <c r="D16" s="581"/>
      <c r="E16" s="581"/>
      <c r="F16" s="581"/>
      <c r="G16" s="581"/>
      <c r="H16" s="607" t="s">
        <v>1554</v>
      </c>
      <c r="I16" s="581"/>
      <c r="J16" s="581"/>
      <c r="K16" s="581"/>
      <c r="L16" s="581"/>
      <c r="M16" s="581"/>
      <c r="N16" s="581"/>
      <c r="O16" s="581" t="b">
        <v>0</v>
      </c>
      <c r="P16" s="581" t="b">
        <v>0</v>
      </c>
      <c r="Q16" s="581" t="b">
        <v>0</v>
      </c>
      <c r="R16" s="581" t="b">
        <v>0</v>
      </c>
      <c r="S16" s="581" t="b">
        <v>0</v>
      </c>
      <c r="T16" s="581" t="b">
        <v>0</v>
      </c>
      <c r="U16" s="581" t="b">
        <v>0</v>
      </c>
      <c r="V16" s="581"/>
      <c r="W16" s="581"/>
      <c r="X16" s="581"/>
      <c r="Y16" s="581"/>
      <c r="Z16" s="581"/>
      <c r="AA16" s="581"/>
      <c r="AB16" s="581"/>
      <c r="AC16" s="581"/>
      <c r="AD16" s="581"/>
      <c r="AE16" s="581"/>
      <c r="AF16" s="581"/>
      <c r="AG16" s="581"/>
      <c r="AH16" s="581"/>
      <c r="AI16" s="581"/>
      <c r="AJ16" s="581"/>
      <c r="AK16" s="581"/>
    </row>
    <row r="17" spans="1:60" ht="14.25" customHeight="1" x14ac:dyDescent="0.45">
      <c r="A17" s="581"/>
      <c r="B17" s="581"/>
      <c r="C17" s="581"/>
      <c r="D17" s="581"/>
      <c r="E17" s="581"/>
      <c r="F17" s="581"/>
      <c r="G17" s="581"/>
      <c r="H17" s="581"/>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c r="AK17" s="581"/>
    </row>
    <row r="18" spans="1:60" ht="10.5" customHeight="1" x14ac:dyDescent="0.45">
      <c r="A18" s="581"/>
      <c r="B18" s="581"/>
      <c r="C18" s="581"/>
      <c r="D18" s="581"/>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c r="AK18" s="581"/>
    </row>
    <row r="19" spans="1:60"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c r="AK19" s="581"/>
    </row>
    <row r="20" spans="1:60"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c r="AK20" s="581"/>
    </row>
    <row r="21" spans="1:60"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row>
    <row r="22" spans="1:60"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row>
    <row r="23" spans="1:60"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c r="AK23" s="581"/>
      <c r="AL23" s="590"/>
      <c r="AM23" s="590"/>
      <c r="AN23" s="590"/>
      <c r="AO23" s="590"/>
      <c r="AP23" s="590"/>
      <c r="AQ23" s="590"/>
      <c r="AR23" s="590"/>
      <c r="AS23" s="590"/>
      <c r="AT23" s="590"/>
      <c r="AU23" s="590"/>
      <c r="AV23" s="590"/>
      <c r="AW23" s="590"/>
      <c r="AX23" s="590"/>
      <c r="AY23" s="590"/>
      <c r="AZ23" s="590"/>
      <c r="BA23" s="590"/>
      <c r="BB23" s="590"/>
      <c r="BC23" s="590"/>
      <c r="BD23" s="590"/>
      <c r="BE23" s="590"/>
      <c r="BF23" s="590"/>
      <c r="BG23" s="590"/>
      <c r="BH23" s="590"/>
    </row>
    <row r="24" spans="1:60"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c r="AK24" s="581"/>
    </row>
    <row r="25" spans="1:60"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c r="AK25" s="581"/>
    </row>
    <row r="26" spans="1:60"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c r="AK26" s="581"/>
    </row>
    <row r="27" spans="1:60"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c r="AK27" s="581"/>
    </row>
    <row r="28" spans="1:60"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c r="AK28" s="581"/>
    </row>
    <row r="29" spans="1:60"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c r="AK29" s="581"/>
    </row>
    <row r="30" spans="1:60"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c r="AK30" s="581"/>
    </row>
    <row r="31" spans="1:60"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c r="AK31" s="581"/>
    </row>
    <row r="32" spans="1:60"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row>
    <row r="33" spans="1:37"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row>
    <row r="34" spans="1:37"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row>
    <row r="35" spans="1:37"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c r="AK35" s="581"/>
    </row>
    <row r="36" spans="1:37"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row>
    <row r="37" spans="1:37"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row>
    <row r="38" spans="1:37"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c r="AK38" s="581"/>
    </row>
    <row r="39" spans="1:37"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c r="AK39" s="581"/>
    </row>
    <row r="40" spans="1:37"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c r="AK40" s="581"/>
    </row>
    <row r="41" spans="1:37" x14ac:dyDescent="0.45">
      <c r="A41" s="581"/>
      <c r="B41" s="581"/>
      <c r="C41" s="581"/>
      <c r="D41" s="581"/>
      <c r="E41" s="581"/>
      <c r="F41" s="581"/>
      <c r="G41" s="581"/>
      <c r="H41" s="581"/>
      <c r="I41" s="581"/>
      <c r="J41" s="581"/>
      <c r="K41" s="581"/>
      <c r="L41" s="581"/>
      <c r="M41" s="581"/>
      <c r="N41" s="581"/>
      <c r="O41" s="581"/>
      <c r="P41" s="581"/>
      <c r="Q41" s="581"/>
      <c r="R41" s="581"/>
      <c r="S41" s="581"/>
      <c r="T41" s="581"/>
      <c r="U41" s="581"/>
      <c r="V41" s="581"/>
      <c r="W41" s="581"/>
      <c r="X41" s="581"/>
      <c r="Y41" s="581"/>
      <c r="Z41" s="581"/>
      <c r="AA41" s="581"/>
      <c r="AB41" s="581"/>
      <c r="AC41" s="581"/>
      <c r="AD41" s="581"/>
      <c r="AE41" s="581"/>
      <c r="AF41" s="581"/>
      <c r="AG41" s="581"/>
      <c r="AH41" s="581"/>
      <c r="AI41" s="581"/>
      <c r="AJ41" s="581"/>
      <c r="AK41" s="581"/>
    </row>
  </sheetData>
  <mergeCells count="2">
    <mergeCell ref="C13:I13"/>
    <mergeCell ref="C14:I14"/>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43" r:id="rId4" name="Check Box 7">
              <controlPr defaultSize="0" autoFill="0" autoLine="0" autoPict="0">
                <anchor moveWithCells="1">
                  <from>
                    <xdr:col>2</xdr:col>
                    <xdr:colOff>488950</xdr:colOff>
                    <xdr:row>13</xdr:row>
                    <xdr:rowOff>57150</xdr:rowOff>
                  </from>
                  <to>
                    <xdr:col>2</xdr:col>
                    <xdr:colOff>1257300</xdr:colOff>
                    <xdr:row>13</xdr:row>
                    <xdr:rowOff>336550</xdr:rowOff>
                  </to>
                </anchor>
              </controlPr>
            </control>
          </mc:Choice>
        </mc:AlternateContent>
        <mc:AlternateContent xmlns:mc="http://schemas.openxmlformats.org/markup-compatibility/2006">
          <mc:Choice Requires="x14">
            <control shapeId="219144" r:id="rId5" name="Check Box 8">
              <controlPr defaultSize="0" autoFill="0" autoLine="0" autoPict="0">
                <anchor moveWithCells="1">
                  <from>
                    <xdr:col>2</xdr:col>
                    <xdr:colOff>488950</xdr:colOff>
                    <xdr:row>13</xdr:row>
                    <xdr:rowOff>323850</xdr:rowOff>
                  </from>
                  <to>
                    <xdr:col>2</xdr:col>
                    <xdr:colOff>793750</xdr:colOff>
                    <xdr:row>13</xdr:row>
                    <xdr:rowOff>546100</xdr:rowOff>
                  </to>
                </anchor>
              </controlPr>
            </control>
          </mc:Choice>
        </mc:AlternateContent>
        <mc:AlternateContent xmlns:mc="http://schemas.openxmlformats.org/markup-compatibility/2006">
          <mc:Choice Requires="x14">
            <control shapeId="219145" r:id="rId6" name="Check Box 9">
              <controlPr defaultSize="0" autoFill="0" autoLine="0" autoPict="0">
                <anchor moveWithCells="1">
                  <from>
                    <xdr:col>2</xdr:col>
                    <xdr:colOff>1422400</xdr:colOff>
                    <xdr:row>13</xdr:row>
                    <xdr:rowOff>76200</xdr:rowOff>
                  </from>
                  <to>
                    <xdr:col>3</xdr:col>
                    <xdr:colOff>527050</xdr:colOff>
                    <xdr:row>13</xdr:row>
                    <xdr:rowOff>317500</xdr:rowOff>
                  </to>
                </anchor>
              </controlPr>
            </control>
          </mc:Choice>
        </mc:AlternateContent>
        <mc:AlternateContent xmlns:mc="http://schemas.openxmlformats.org/markup-compatibility/2006">
          <mc:Choice Requires="x14">
            <control shapeId="219146" r:id="rId7" name="Check Box 10">
              <controlPr defaultSize="0" autoFill="0" autoLine="0" autoPict="0">
                <anchor moveWithCells="1">
                  <from>
                    <xdr:col>2</xdr:col>
                    <xdr:colOff>1422400</xdr:colOff>
                    <xdr:row>13</xdr:row>
                    <xdr:rowOff>317500</xdr:rowOff>
                  </from>
                  <to>
                    <xdr:col>3</xdr:col>
                    <xdr:colOff>990600</xdr:colOff>
                    <xdr:row>13</xdr:row>
                    <xdr:rowOff>552450</xdr:rowOff>
                  </to>
                </anchor>
              </controlPr>
            </control>
          </mc:Choice>
        </mc:AlternateContent>
        <mc:AlternateContent xmlns:mc="http://schemas.openxmlformats.org/markup-compatibility/2006">
          <mc:Choice Requires="x14">
            <control shapeId="219147" r:id="rId8" name="Check Box 11">
              <controlPr defaultSize="0" autoFill="0" autoLine="0" autoPict="0">
                <anchor moveWithCells="1">
                  <from>
                    <xdr:col>3</xdr:col>
                    <xdr:colOff>1308100</xdr:colOff>
                    <xdr:row>13</xdr:row>
                    <xdr:rowOff>57150</xdr:rowOff>
                  </from>
                  <to>
                    <xdr:col>4</xdr:col>
                    <xdr:colOff>774700</xdr:colOff>
                    <xdr:row>13</xdr:row>
                    <xdr:rowOff>336550</xdr:rowOff>
                  </to>
                </anchor>
              </controlPr>
            </control>
          </mc:Choice>
        </mc:AlternateContent>
        <mc:AlternateContent xmlns:mc="http://schemas.openxmlformats.org/markup-compatibility/2006">
          <mc:Choice Requires="x14">
            <control shapeId="219148" r:id="rId9" name="Check Box 12">
              <controlPr defaultSize="0" autoFill="0" autoLine="0" autoPict="0">
                <anchor moveWithCells="1">
                  <from>
                    <xdr:col>3</xdr:col>
                    <xdr:colOff>1308100</xdr:colOff>
                    <xdr:row>13</xdr:row>
                    <xdr:rowOff>323850</xdr:rowOff>
                  </from>
                  <to>
                    <xdr:col>4</xdr:col>
                    <xdr:colOff>679450</xdr:colOff>
                    <xdr:row>13</xdr:row>
                    <xdr:rowOff>571500</xdr:rowOff>
                  </to>
                </anchor>
              </controlPr>
            </control>
          </mc:Choice>
        </mc:AlternateContent>
        <mc:AlternateContent xmlns:mc="http://schemas.openxmlformats.org/markup-compatibility/2006">
          <mc:Choice Requires="x14">
            <control shapeId="219149" r:id="rId10" name="Check Box 13">
              <controlPr defaultSize="0" autoFill="0" autoLine="0" autoPict="0">
                <anchor moveWithCells="1">
                  <from>
                    <xdr:col>4</xdr:col>
                    <xdr:colOff>927100</xdr:colOff>
                    <xdr:row>13</xdr:row>
                    <xdr:rowOff>76200</xdr:rowOff>
                  </from>
                  <to>
                    <xdr:col>5</xdr:col>
                    <xdr:colOff>685800</xdr:colOff>
                    <xdr:row>13</xdr:row>
                    <xdr:rowOff>317500</xdr:rowOff>
                  </to>
                </anchor>
              </controlPr>
            </control>
          </mc:Choice>
        </mc:AlternateContent>
        <mc:AlternateContent xmlns:mc="http://schemas.openxmlformats.org/markup-compatibility/2006">
          <mc:Choice Requires="x14">
            <control shapeId="219150" r:id="rId11" name="Check Box 14">
              <controlPr defaultSize="0" autoFill="0" autoLine="0" autoPict="0">
                <anchor moveWithCells="1">
                  <from>
                    <xdr:col>4</xdr:col>
                    <xdr:colOff>927100</xdr:colOff>
                    <xdr:row>13</xdr:row>
                    <xdr:rowOff>317500</xdr:rowOff>
                  </from>
                  <to>
                    <xdr:col>5</xdr:col>
                    <xdr:colOff>685800</xdr:colOff>
                    <xdr:row>13</xdr:row>
                    <xdr:rowOff>552450</xdr:rowOff>
                  </to>
                </anchor>
              </controlPr>
            </control>
          </mc:Choice>
        </mc:AlternateContent>
        <mc:AlternateContent xmlns:mc="http://schemas.openxmlformats.org/markup-compatibility/2006">
          <mc:Choice Requires="x14">
            <control shapeId="219151" r:id="rId12" name="Check Box 15">
              <controlPr defaultSize="0" autoFill="0" autoLine="0" autoPict="0">
                <anchor moveWithCells="1">
                  <from>
                    <xdr:col>6</xdr:col>
                    <xdr:colOff>285750</xdr:colOff>
                    <xdr:row>13</xdr:row>
                    <xdr:rowOff>76200</xdr:rowOff>
                  </from>
                  <to>
                    <xdr:col>7</xdr:col>
                    <xdr:colOff>565150</xdr:colOff>
                    <xdr:row>13</xdr:row>
                    <xdr:rowOff>317500</xdr:rowOff>
                  </to>
                </anchor>
              </controlPr>
            </control>
          </mc:Choice>
        </mc:AlternateContent>
        <mc:AlternateContent xmlns:mc="http://schemas.openxmlformats.org/markup-compatibility/2006">
          <mc:Choice Requires="x14">
            <control shapeId="219152" r:id="rId13" name="Check Box 16">
              <controlPr defaultSize="0" autoFill="0" autoLine="0" autoPict="0">
                <anchor moveWithCells="1">
                  <from>
                    <xdr:col>6</xdr:col>
                    <xdr:colOff>285750</xdr:colOff>
                    <xdr:row>13</xdr:row>
                    <xdr:rowOff>317500</xdr:rowOff>
                  </from>
                  <to>
                    <xdr:col>7</xdr:col>
                    <xdr:colOff>412750</xdr:colOff>
                    <xdr:row>13</xdr:row>
                    <xdr:rowOff>552450</xdr:rowOff>
                  </to>
                </anchor>
              </controlPr>
            </control>
          </mc:Choice>
        </mc:AlternateContent>
        <mc:AlternateContent xmlns:mc="http://schemas.openxmlformats.org/markup-compatibility/2006">
          <mc:Choice Requires="x14">
            <control shapeId="219153" r:id="rId14" name="Check Box 17">
              <controlPr defaultSize="0" autoFill="0" autoLine="0" autoPict="0">
                <anchor moveWithCells="1">
                  <from>
                    <xdr:col>7</xdr:col>
                    <xdr:colOff>647700</xdr:colOff>
                    <xdr:row>13</xdr:row>
                    <xdr:rowOff>76200</xdr:rowOff>
                  </from>
                  <to>
                    <xdr:col>7</xdr:col>
                    <xdr:colOff>2012950</xdr:colOff>
                    <xdr:row>13</xdr:row>
                    <xdr:rowOff>317500</xdr:rowOff>
                  </to>
                </anchor>
              </controlPr>
            </control>
          </mc:Choice>
        </mc:AlternateContent>
        <mc:AlternateContent xmlns:mc="http://schemas.openxmlformats.org/markup-compatibility/2006">
          <mc:Choice Requires="x14">
            <control shapeId="219154" r:id="rId15" name="Check Box 18">
              <controlPr defaultSize="0" autoFill="0" autoLine="0" autoPict="0">
                <anchor moveWithCells="1">
                  <from>
                    <xdr:col>7</xdr:col>
                    <xdr:colOff>647700</xdr:colOff>
                    <xdr:row>13</xdr:row>
                    <xdr:rowOff>317500</xdr:rowOff>
                  </from>
                  <to>
                    <xdr:col>7</xdr:col>
                    <xdr:colOff>1860550</xdr:colOff>
                    <xdr:row>13</xdr:row>
                    <xdr:rowOff>552450</xdr:rowOff>
                  </to>
                </anchor>
              </controlPr>
            </control>
          </mc:Choice>
        </mc:AlternateContent>
        <mc:AlternateContent xmlns:mc="http://schemas.openxmlformats.org/markup-compatibility/2006">
          <mc:Choice Requires="x14">
            <control shapeId="219155" r:id="rId16" name="Check Box 19">
              <controlPr defaultSize="0" autoFill="0" autoLine="0" autoPict="0">
                <anchor moveWithCells="1">
                  <from>
                    <xdr:col>7</xdr:col>
                    <xdr:colOff>2133600</xdr:colOff>
                    <xdr:row>13</xdr:row>
                    <xdr:rowOff>76200</xdr:rowOff>
                  </from>
                  <to>
                    <xdr:col>8</xdr:col>
                    <xdr:colOff>717550</xdr:colOff>
                    <xdr:row>13</xdr:row>
                    <xdr:rowOff>317500</xdr:rowOff>
                  </to>
                </anchor>
              </controlPr>
            </control>
          </mc:Choice>
        </mc:AlternateContent>
        <mc:AlternateContent xmlns:mc="http://schemas.openxmlformats.org/markup-compatibility/2006">
          <mc:Choice Requires="x14">
            <control shapeId="219156" r:id="rId17" name="Check Box 20">
              <controlPr defaultSize="0" autoFill="0" autoLine="0" autoPict="0">
                <anchor moveWithCells="1">
                  <from>
                    <xdr:col>7</xdr:col>
                    <xdr:colOff>2133600</xdr:colOff>
                    <xdr:row>13</xdr:row>
                    <xdr:rowOff>317500</xdr:rowOff>
                  </from>
                  <to>
                    <xdr:col>8</xdr:col>
                    <xdr:colOff>565150</xdr:colOff>
                    <xdr:row>13</xdr:row>
                    <xdr:rowOff>552450</xdr:rowOff>
                  </to>
                </anchor>
              </controlPr>
            </control>
          </mc:Choice>
        </mc:AlternateContent>
        <mc:AlternateContent xmlns:mc="http://schemas.openxmlformats.org/markup-compatibility/2006">
          <mc:Choice Requires="x14">
            <control shapeId="219157" r:id="rId18" name="Check Box 21">
              <controlPr defaultSize="0" autoFill="0" autoLine="0" autoPict="0">
                <anchor moveWithCells="1">
                  <from>
                    <xdr:col>8</xdr:col>
                    <xdr:colOff>755650</xdr:colOff>
                    <xdr:row>13</xdr:row>
                    <xdr:rowOff>76200</xdr:rowOff>
                  </from>
                  <to>
                    <xdr:col>8</xdr:col>
                    <xdr:colOff>1733550</xdr:colOff>
                    <xdr:row>13</xdr:row>
                    <xdr:rowOff>317500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9"/>
  <dimension ref="A1:BH40"/>
  <sheetViews>
    <sheetView showGridLines="0" zoomScaleNormal="100" workbookViewId="0"/>
  </sheetViews>
  <sheetFormatPr defaultColWidth="9.1796875" defaultRowHeight="18.5" x14ac:dyDescent="0.45"/>
  <cols>
    <col min="1" max="1" width="1.453125" style="589" customWidth="1"/>
    <col min="2" max="2" width="3.7265625" style="589" customWidth="1"/>
    <col min="3" max="3" width="26.1796875" style="589" bestFit="1" customWidth="1"/>
    <col min="4" max="4" width="23.81640625" style="589" bestFit="1" customWidth="1"/>
    <col min="5" max="5" width="16.26953125" style="589" customWidth="1"/>
    <col min="6" max="6" width="10.7265625" style="589" customWidth="1"/>
    <col min="7" max="7" width="15.7265625" style="589" bestFit="1" customWidth="1"/>
    <col min="8" max="8" width="25" style="589" customWidth="1"/>
    <col min="9" max="9" width="27.81640625" style="589" customWidth="1"/>
    <col min="10" max="10" width="17.7265625" style="589" customWidth="1"/>
    <col min="11" max="11" width="17.26953125" style="589" customWidth="1"/>
    <col min="12" max="12" width="24.26953125" style="589" customWidth="1"/>
    <col min="13" max="13" width="33.26953125" style="589" customWidth="1"/>
    <col min="14" max="14" width="31.54296875" style="589" customWidth="1"/>
    <col min="15" max="15" width="17.81640625" style="589" bestFit="1" customWidth="1"/>
    <col min="16" max="16" width="16.1796875" style="589" bestFit="1" customWidth="1"/>
    <col min="17" max="16384" width="9.1796875" style="589"/>
  </cols>
  <sheetData>
    <row r="1" spans="1:37"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row>
    <row r="2" spans="1:37"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row>
    <row r="3" spans="1:37" s="588" customFormat="1" ht="21.75" customHeight="1" x14ac:dyDescent="0.45">
      <c r="A3" s="581"/>
      <c r="B3" s="581"/>
      <c r="C3" s="581"/>
      <c r="D3" s="581"/>
      <c r="E3" s="581"/>
      <c r="F3" s="581"/>
      <c r="G3" s="584"/>
      <c r="H3" s="584"/>
      <c r="I3" s="584"/>
      <c r="J3" s="584"/>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7" x14ac:dyDescent="0.45">
      <c r="A4" s="581"/>
      <c r="B4" s="581"/>
      <c r="C4" s="583" t="s">
        <v>968</v>
      </c>
      <c r="D4" s="583" t="s">
        <v>107</v>
      </c>
      <c r="E4" s="581"/>
      <c r="F4" s="581"/>
      <c r="G4" s="597" t="s">
        <v>958</v>
      </c>
      <c r="H4" s="604">
        <f>POF!AH3</f>
        <v>6409.4964263855954</v>
      </c>
      <c r="I4" s="581"/>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row>
    <row r="5" spans="1:37" x14ac:dyDescent="0.45">
      <c r="A5" s="581"/>
      <c r="B5" s="581"/>
      <c r="C5" s="604" t="str">
        <f>IF('Cadastro Equipamento'!C5=0,"",'Cadastro Equipamento'!C5)</f>
        <v>V-90</v>
      </c>
      <c r="D5" s="604" t="str">
        <f>IF('Cadastro Equipamento'!D5=0,"",'Cadastro Equipamento'!D5)</f>
        <v>Vessel</v>
      </c>
      <c r="E5" s="581"/>
      <c r="F5" s="581"/>
      <c r="G5" s="597" t="s">
        <v>960</v>
      </c>
      <c r="H5" s="604">
        <f>POF!AI3</f>
        <v>0</v>
      </c>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row>
    <row r="6" spans="1:37" x14ac:dyDescent="0.45">
      <c r="A6" s="581"/>
      <c r="B6" s="581"/>
      <c r="C6" s="581"/>
      <c r="D6" s="581"/>
      <c r="E6" s="581"/>
      <c r="F6" s="581"/>
      <c r="G6" s="597" t="s">
        <v>959</v>
      </c>
      <c r="H6" s="604">
        <f>POF!AJ3</f>
        <v>0</v>
      </c>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81"/>
      <c r="AK6" s="581"/>
    </row>
    <row r="7" spans="1:37" x14ac:dyDescent="0.45">
      <c r="A7" s="581"/>
      <c r="B7" s="581"/>
      <c r="C7" s="583" t="s">
        <v>969</v>
      </c>
      <c r="D7" s="583" t="s">
        <v>108</v>
      </c>
      <c r="E7" s="584"/>
      <c r="F7" s="584"/>
      <c r="G7" s="597" t="s">
        <v>961</v>
      </c>
      <c r="H7" s="604" t="s">
        <v>1558</v>
      </c>
      <c r="I7" s="581"/>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c r="AK7" s="581"/>
    </row>
    <row r="8" spans="1:37" x14ac:dyDescent="0.45">
      <c r="A8" s="581"/>
      <c r="B8" s="581"/>
      <c r="C8" s="604" t="str">
        <f>IF('Cadastro Equipamento'!C8=0,"",'Cadastro Equipamento'!C8)</f>
        <v>Casco</v>
      </c>
      <c r="D8" s="604" t="str">
        <f>IF('Cadastro Equipamento'!D8=0,"",'Cadastro Equipamento'!D8)</f>
        <v>DRUM</v>
      </c>
      <c r="E8" s="584"/>
      <c r="F8" s="584"/>
      <c r="G8" s="597" t="s">
        <v>962</v>
      </c>
      <c r="H8" s="604" t="s">
        <v>1558</v>
      </c>
      <c r="I8" s="581"/>
      <c r="J8" s="581"/>
      <c r="K8" s="581"/>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c r="AK8" s="581"/>
    </row>
    <row r="9" spans="1:37" x14ac:dyDescent="0.45">
      <c r="A9" s="581"/>
      <c r="B9" s="581"/>
      <c r="C9" s="584"/>
      <c r="D9" s="584"/>
      <c r="E9" s="584"/>
      <c r="F9" s="584"/>
      <c r="G9" s="597" t="s">
        <v>963</v>
      </c>
      <c r="H9" s="604" t="s">
        <v>1558</v>
      </c>
      <c r="I9" s="581"/>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row>
    <row r="10" spans="1:37" x14ac:dyDescent="0.45">
      <c r="A10" s="581"/>
      <c r="B10" s="581"/>
      <c r="C10" s="584"/>
      <c r="D10" s="584"/>
      <c r="E10" s="584"/>
      <c r="F10" s="584"/>
      <c r="G10" s="581"/>
      <c r="H10" s="581"/>
      <c r="I10" s="581"/>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row>
    <row r="11" spans="1:37" x14ac:dyDescent="0.45">
      <c r="A11" s="581"/>
      <c r="B11" s="581"/>
      <c r="C11" s="581"/>
      <c r="D11" s="581"/>
      <c r="E11" s="581"/>
      <c r="F11" s="581"/>
      <c r="G11" s="609" t="s">
        <v>956</v>
      </c>
      <c r="H11" s="604">
        <f>POF!AN3</f>
        <v>6409.4964263855954</v>
      </c>
      <c r="I11" s="581"/>
      <c r="J11" s="581"/>
      <c r="K11" s="581"/>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c r="AK11" s="581"/>
    </row>
    <row r="12" spans="1:37" x14ac:dyDescent="0.45">
      <c r="A12" s="581"/>
      <c r="B12" s="581"/>
      <c r="C12" s="581"/>
      <c r="D12" s="581"/>
      <c r="E12" s="581"/>
      <c r="F12" s="581"/>
      <c r="G12" s="621" t="s">
        <v>957</v>
      </c>
      <c r="H12" s="604">
        <f>POF!AO3</f>
        <v>1.5690447251791941</v>
      </c>
      <c r="I12" s="581"/>
      <c r="J12" s="581"/>
      <c r="K12" s="581"/>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c r="AK12" s="581"/>
    </row>
    <row r="13" spans="1:37" ht="51.75" customHeight="1" x14ac:dyDescent="0.45">
      <c r="A13" s="581"/>
      <c r="B13" s="581"/>
      <c r="C13" s="581"/>
      <c r="D13" s="581"/>
      <c r="E13" s="581"/>
      <c r="F13" s="581"/>
      <c r="G13" s="581"/>
      <c r="H13" s="581"/>
      <c r="I13" s="581"/>
      <c r="J13" s="581"/>
      <c r="K13" s="581"/>
      <c r="L13" s="581"/>
      <c r="M13" s="581"/>
      <c r="N13" s="581"/>
      <c r="O13" s="581"/>
      <c r="P13" s="581"/>
      <c r="Q13" s="581"/>
      <c r="R13" s="581"/>
      <c r="S13" s="581"/>
      <c r="T13" s="581"/>
      <c r="U13" s="581"/>
      <c r="V13" s="581"/>
      <c r="W13" s="581"/>
      <c r="X13" s="581"/>
      <c r="Y13" s="581"/>
      <c r="Z13" s="581"/>
      <c r="AA13" s="581"/>
      <c r="AB13" s="581"/>
      <c r="AC13" s="581"/>
      <c r="AD13" s="581"/>
      <c r="AE13" s="581"/>
      <c r="AF13" s="581"/>
      <c r="AG13" s="581"/>
      <c r="AH13" s="581"/>
      <c r="AI13" s="581"/>
      <c r="AJ13" s="581"/>
      <c r="AK13" s="581"/>
    </row>
    <row r="14" spans="1:37" x14ac:dyDescent="0.45">
      <c r="A14" s="581"/>
      <c r="B14" s="581"/>
      <c r="C14" s="581"/>
      <c r="D14" s="581"/>
      <c r="E14" s="581"/>
      <c r="F14" s="581"/>
      <c r="G14" s="581"/>
      <c r="H14" s="581"/>
      <c r="I14" s="581"/>
      <c r="J14" s="581"/>
      <c r="K14" s="581"/>
      <c r="L14" s="581"/>
      <c r="M14" s="581"/>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1"/>
      <c r="AK14" s="581"/>
    </row>
    <row r="15" spans="1:37" ht="12" customHeight="1" x14ac:dyDescent="0.45">
      <c r="A15" s="581"/>
      <c r="B15" s="581"/>
      <c r="C15" s="581"/>
      <c r="D15" s="581"/>
      <c r="E15" s="581"/>
      <c r="F15" s="581"/>
      <c r="G15" s="581"/>
      <c r="H15" s="581"/>
      <c r="I15" s="581"/>
      <c r="J15" s="581"/>
      <c r="K15" s="581"/>
      <c r="L15" s="581"/>
      <c r="M15" s="581"/>
      <c r="N15" s="581"/>
      <c r="O15" s="581"/>
      <c r="P15" s="581"/>
      <c r="Q15" s="581"/>
      <c r="R15" s="581"/>
      <c r="S15" s="581"/>
      <c r="T15" s="581"/>
      <c r="U15" s="581"/>
      <c r="V15" s="581"/>
      <c r="W15" s="581"/>
      <c r="X15" s="581"/>
      <c r="Y15" s="581"/>
      <c r="Z15" s="581"/>
      <c r="AA15" s="581"/>
      <c r="AB15" s="581"/>
      <c r="AC15" s="581"/>
      <c r="AD15" s="581"/>
      <c r="AE15" s="581"/>
      <c r="AF15" s="581"/>
      <c r="AG15" s="581"/>
      <c r="AH15" s="581"/>
      <c r="AI15" s="581"/>
      <c r="AJ15" s="581"/>
      <c r="AK15" s="581"/>
    </row>
    <row r="16" spans="1:37" ht="14.25" customHeight="1" x14ac:dyDescent="0.45">
      <c r="A16" s="581"/>
      <c r="B16" s="581"/>
      <c r="C16" s="581"/>
      <c r="D16" s="581"/>
      <c r="E16" s="581"/>
      <c r="F16" s="581"/>
      <c r="G16" s="581"/>
      <c r="H16" s="581"/>
      <c r="I16" s="581"/>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c r="AK16" s="581"/>
    </row>
    <row r="17" spans="1:60" ht="10.5" customHeight="1" x14ac:dyDescent="0.45">
      <c r="A17" s="581"/>
      <c r="B17" s="581"/>
      <c r="C17" s="581"/>
      <c r="D17" s="581"/>
      <c r="E17" s="581"/>
      <c r="F17" s="581"/>
      <c r="G17" s="581"/>
      <c r="H17" s="581"/>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c r="AK17" s="581"/>
    </row>
    <row r="18" spans="1:60" x14ac:dyDescent="0.45">
      <c r="A18" s="581"/>
      <c r="B18" s="581"/>
      <c r="C18" s="581"/>
      <c r="D18" s="581"/>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c r="AK18" s="581"/>
    </row>
    <row r="19" spans="1:60"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c r="AK19" s="581"/>
    </row>
    <row r="20" spans="1:60"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c r="AK20" s="581"/>
    </row>
    <row r="21" spans="1:60"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row>
    <row r="22" spans="1:60"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c r="AL22" s="590"/>
      <c r="AM22" s="590"/>
      <c r="AN22" s="590"/>
      <c r="AO22" s="590"/>
      <c r="AP22" s="590"/>
      <c r="AQ22" s="590"/>
      <c r="AR22" s="590"/>
      <c r="AS22" s="590"/>
      <c r="AT22" s="590"/>
      <c r="AU22" s="590"/>
      <c r="AV22" s="590"/>
      <c r="AW22" s="590"/>
      <c r="AX22" s="590"/>
      <c r="AY22" s="590"/>
      <c r="AZ22" s="590"/>
      <c r="BA22" s="590"/>
      <c r="BB22" s="590"/>
      <c r="BC22" s="590"/>
      <c r="BD22" s="590"/>
      <c r="BE22" s="590"/>
      <c r="BF22" s="590"/>
      <c r="BG22" s="590"/>
      <c r="BH22" s="590"/>
    </row>
    <row r="23" spans="1:60"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c r="AK23" s="581"/>
    </row>
    <row r="24" spans="1:60"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c r="AK24" s="581"/>
    </row>
    <row r="25" spans="1:60"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c r="AK25" s="581"/>
    </row>
    <row r="26" spans="1:60"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c r="AK26" s="581"/>
    </row>
    <row r="27" spans="1:60"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c r="AK27" s="581"/>
    </row>
    <row r="28" spans="1:60"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c r="AK28" s="581"/>
    </row>
    <row r="29" spans="1:60"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c r="AK29" s="581"/>
    </row>
    <row r="30" spans="1:60"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c r="AK30" s="581"/>
    </row>
    <row r="31" spans="1:60"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c r="AK31" s="581"/>
    </row>
    <row r="32" spans="1:60"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row>
    <row r="33" spans="1:37"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row>
    <row r="34" spans="1:37"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row>
    <row r="35" spans="1:37"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c r="AK35" s="581"/>
    </row>
    <row r="36" spans="1:37"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row>
    <row r="37" spans="1:37"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row>
    <row r="38" spans="1:37"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c r="AK38" s="581"/>
    </row>
    <row r="39" spans="1:37"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c r="AK39" s="581"/>
    </row>
    <row r="40" spans="1:37"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c r="AK40" s="581"/>
    </row>
  </sheetData>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0"/>
  <dimension ref="A1:BH40"/>
  <sheetViews>
    <sheetView showGridLines="0" zoomScaleNormal="100" workbookViewId="0"/>
  </sheetViews>
  <sheetFormatPr defaultColWidth="9.1796875" defaultRowHeight="18.5" x14ac:dyDescent="0.45"/>
  <cols>
    <col min="1" max="1" width="1.453125" style="589" customWidth="1"/>
    <col min="2" max="2" width="3.7265625" style="589" customWidth="1"/>
    <col min="3" max="3" width="26.1796875" style="589" bestFit="1" customWidth="1"/>
    <col min="4" max="4" width="23.81640625" style="589" bestFit="1" customWidth="1"/>
    <col min="5" max="5" width="16.26953125" style="589" customWidth="1"/>
    <col min="6" max="6" width="10.7265625" style="589" customWidth="1"/>
    <col min="7" max="7" width="27" style="589" customWidth="1"/>
    <col min="8" max="8" width="28.453125" style="589" customWidth="1"/>
    <col min="9" max="9" width="27.81640625" style="589" customWidth="1"/>
    <col min="10" max="10" width="17.7265625" style="589" customWidth="1"/>
    <col min="11" max="11" width="17.26953125" style="589" customWidth="1"/>
    <col min="12" max="12" width="24.26953125" style="589" customWidth="1"/>
    <col min="13" max="13" width="33.26953125" style="589" customWidth="1"/>
    <col min="14" max="14" width="31.54296875" style="589" customWidth="1"/>
    <col min="15" max="15" width="17.81640625" style="589" bestFit="1" customWidth="1"/>
    <col min="16" max="16" width="16.1796875" style="589" bestFit="1" customWidth="1"/>
    <col min="17" max="16384" width="9.1796875" style="589"/>
  </cols>
  <sheetData>
    <row r="1" spans="1:37"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row>
    <row r="2" spans="1:37"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row>
    <row r="3" spans="1:37" s="588" customFormat="1" ht="21.75" customHeight="1" x14ac:dyDescent="0.45">
      <c r="A3" s="581"/>
      <c r="B3" s="581"/>
      <c r="C3" s="581"/>
      <c r="D3" s="581"/>
      <c r="E3" s="581"/>
      <c r="F3" s="581"/>
      <c r="G3" s="584"/>
      <c r="H3" s="584"/>
      <c r="I3" s="584"/>
      <c r="J3" s="584"/>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7" x14ac:dyDescent="0.45">
      <c r="A4" s="581"/>
      <c r="B4" s="581"/>
      <c r="C4" s="583" t="s">
        <v>968</v>
      </c>
      <c r="D4" s="583" t="s">
        <v>107</v>
      </c>
      <c r="E4" s="581"/>
      <c r="F4" s="581"/>
      <c r="G4" s="597" t="s">
        <v>1559</v>
      </c>
      <c r="H4" s="604">
        <f>COF!FN7</f>
        <v>231.45634350758851</v>
      </c>
      <c r="I4" s="581"/>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row>
    <row r="5" spans="1:37" x14ac:dyDescent="0.45">
      <c r="A5" s="581"/>
      <c r="B5" s="581"/>
      <c r="C5" s="604" t="str">
        <f>IF('Cadastro Equipamento'!C5=0,"",'Cadastro Equipamento'!C5)</f>
        <v>V-90</v>
      </c>
      <c r="D5" s="604" t="str">
        <f>IF('Cadastro Equipamento'!D5=0,"",'Cadastro Equipamento'!D5)</f>
        <v>Vessel</v>
      </c>
      <c r="E5" s="581"/>
      <c r="F5" s="581"/>
      <c r="G5" s="597" t="s">
        <v>512</v>
      </c>
      <c r="H5" s="604">
        <f>COF!FO7</f>
        <v>666.6933587218349</v>
      </c>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row>
    <row r="6" spans="1:37" x14ac:dyDescent="0.45">
      <c r="A6" s="581"/>
      <c r="B6" s="581"/>
      <c r="C6" s="581"/>
      <c r="D6" s="581"/>
      <c r="E6" s="581"/>
      <c r="F6" s="581"/>
      <c r="G6" s="597" t="s">
        <v>640</v>
      </c>
      <c r="H6" s="604">
        <f>COF!LP7</f>
        <v>987.39422537292944</v>
      </c>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81"/>
      <c r="AK6" s="581"/>
    </row>
    <row r="7" spans="1:37" x14ac:dyDescent="0.45">
      <c r="A7" s="581"/>
      <c r="B7" s="581"/>
      <c r="C7" s="583" t="s">
        <v>969</v>
      </c>
      <c r="D7" s="583" t="s">
        <v>108</v>
      </c>
      <c r="E7" s="584"/>
      <c r="F7" s="584"/>
      <c r="G7" s="597" t="s">
        <v>683</v>
      </c>
      <c r="H7" s="604">
        <f>COF!MW7</f>
        <v>0</v>
      </c>
      <c r="I7" s="581"/>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c r="AK7" s="581"/>
    </row>
    <row r="8" spans="1:37" x14ac:dyDescent="0.45">
      <c r="A8" s="581"/>
      <c r="B8" s="581"/>
      <c r="C8" s="604" t="str">
        <f>IF('Cadastro Equipamento'!C8=0,"",'Cadastro Equipamento'!C8)</f>
        <v>Casco</v>
      </c>
      <c r="D8" s="604" t="str">
        <f>IF('Cadastro Equipamento'!D8=0,"",'Cadastro Equipamento'!D8)</f>
        <v>DRUM</v>
      </c>
      <c r="E8" s="584"/>
      <c r="F8" s="584"/>
      <c r="G8" s="609" t="s">
        <v>686</v>
      </c>
      <c r="H8" s="604">
        <f>COF!MX7</f>
        <v>231.45634350758851</v>
      </c>
      <c r="I8" s="581"/>
      <c r="J8" s="581"/>
      <c r="K8" s="581"/>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c r="AK8" s="581"/>
    </row>
    <row r="9" spans="1:37" x14ac:dyDescent="0.45">
      <c r="A9" s="581"/>
      <c r="B9" s="581"/>
      <c r="C9" s="584"/>
      <c r="D9" s="584"/>
      <c r="E9" s="584"/>
      <c r="F9" s="584"/>
      <c r="G9" s="609" t="s">
        <v>685</v>
      </c>
      <c r="H9" s="604">
        <f>COF!MY7</f>
        <v>987.39422537292944</v>
      </c>
      <c r="I9" s="581"/>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row>
    <row r="10" spans="1:37" x14ac:dyDescent="0.45">
      <c r="A10" s="581"/>
      <c r="B10" s="581"/>
      <c r="C10" s="584"/>
      <c r="D10" s="584"/>
      <c r="E10" s="584"/>
      <c r="F10" s="584"/>
      <c r="G10" s="581"/>
      <c r="H10" s="581"/>
      <c r="I10" s="581"/>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row>
    <row r="11" spans="1:37" x14ac:dyDescent="0.45">
      <c r="A11" s="581"/>
      <c r="B11" s="581"/>
      <c r="C11" s="581"/>
      <c r="D11" s="581"/>
      <c r="E11" s="581"/>
      <c r="F11" s="581"/>
      <c r="G11" s="621" t="s">
        <v>691</v>
      </c>
      <c r="H11" s="604">
        <f>COF!MZ7</f>
        <v>987.39422537292944</v>
      </c>
      <c r="I11" s="581"/>
      <c r="J11" s="581"/>
      <c r="K11" s="581"/>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c r="AK11" s="581"/>
    </row>
    <row r="12" spans="1:37" ht="18.75" customHeight="1" x14ac:dyDescent="0.45">
      <c r="A12" s="581"/>
      <c r="B12" s="581"/>
      <c r="C12" s="581"/>
      <c r="D12" s="581"/>
      <c r="E12" s="581"/>
      <c r="F12" s="581"/>
      <c r="G12" s="581"/>
      <c r="H12" s="581"/>
      <c r="I12" s="581"/>
      <c r="J12" s="581"/>
      <c r="K12" s="581"/>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c r="AK12" s="581"/>
    </row>
    <row r="13" spans="1:37" ht="51.75" customHeight="1" x14ac:dyDescent="0.45">
      <c r="A13" s="581"/>
      <c r="B13" s="581"/>
      <c r="C13" s="581"/>
      <c r="D13" s="581"/>
      <c r="E13" s="581"/>
      <c r="F13" s="581"/>
      <c r="G13" s="581"/>
      <c r="H13" s="581"/>
      <c r="I13" s="581"/>
      <c r="J13" s="581"/>
      <c r="K13" s="581"/>
      <c r="L13" s="581"/>
      <c r="M13" s="581"/>
      <c r="N13" s="581"/>
      <c r="O13" s="581"/>
      <c r="P13" s="581"/>
      <c r="Q13" s="581"/>
      <c r="R13" s="581"/>
      <c r="S13" s="581"/>
      <c r="T13" s="581"/>
      <c r="U13" s="581"/>
      <c r="V13" s="581"/>
      <c r="W13" s="581"/>
      <c r="X13" s="581"/>
      <c r="Y13" s="581"/>
      <c r="Z13" s="581"/>
      <c r="AA13" s="581"/>
      <c r="AB13" s="581"/>
      <c r="AC13" s="581"/>
      <c r="AD13" s="581"/>
      <c r="AE13" s="581"/>
      <c r="AF13" s="581"/>
      <c r="AG13" s="581"/>
      <c r="AH13" s="581"/>
      <c r="AI13" s="581"/>
      <c r="AJ13" s="581"/>
      <c r="AK13" s="581"/>
    </row>
    <row r="14" spans="1:37" x14ac:dyDescent="0.45">
      <c r="A14" s="581"/>
      <c r="B14" s="581"/>
      <c r="C14" s="581"/>
      <c r="D14" s="581"/>
      <c r="E14" s="581"/>
      <c r="F14" s="581"/>
      <c r="G14" s="581"/>
      <c r="H14" s="581"/>
      <c r="I14" s="581"/>
      <c r="J14" s="581"/>
      <c r="K14" s="581"/>
      <c r="L14" s="581"/>
      <c r="M14" s="581"/>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1"/>
      <c r="AK14" s="581"/>
    </row>
    <row r="15" spans="1:37" ht="12" customHeight="1" x14ac:dyDescent="0.45">
      <c r="A15" s="581"/>
      <c r="B15" s="581"/>
      <c r="C15" s="581"/>
      <c r="D15" s="581"/>
      <c r="E15" s="581"/>
      <c r="F15" s="581"/>
      <c r="G15" s="581"/>
      <c r="H15" s="581"/>
      <c r="I15" s="581"/>
      <c r="J15" s="581"/>
      <c r="K15" s="581"/>
      <c r="L15" s="581"/>
      <c r="M15" s="581"/>
      <c r="N15" s="581"/>
      <c r="O15" s="581"/>
      <c r="P15" s="581"/>
      <c r="Q15" s="581"/>
      <c r="R15" s="581"/>
      <c r="S15" s="581"/>
      <c r="T15" s="581"/>
      <c r="U15" s="581"/>
      <c r="V15" s="581"/>
      <c r="W15" s="581"/>
      <c r="X15" s="581"/>
      <c r="Y15" s="581"/>
      <c r="Z15" s="581"/>
      <c r="AA15" s="581"/>
      <c r="AB15" s="581"/>
      <c r="AC15" s="581"/>
      <c r="AD15" s="581"/>
      <c r="AE15" s="581"/>
      <c r="AF15" s="581"/>
      <c r="AG15" s="581"/>
      <c r="AH15" s="581"/>
      <c r="AI15" s="581"/>
      <c r="AJ15" s="581"/>
      <c r="AK15" s="581"/>
    </row>
    <row r="16" spans="1:37" ht="14.25" customHeight="1" x14ac:dyDescent="0.45">
      <c r="A16" s="581"/>
      <c r="B16" s="581"/>
      <c r="C16" s="581"/>
      <c r="D16" s="581"/>
      <c r="E16" s="581"/>
      <c r="F16" s="581"/>
      <c r="G16" s="581"/>
      <c r="H16" s="581"/>
      <c r="I16" s="581"/>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c r="AK16" s="581"/>
    </row>
    <row r="17" spans="1:60" ht="10.5" customHeight="1" x14ac:dyDescent="0.45">
      <c r="A17" s="581"/>
      <c r="B17" s="581"/>
      <c r="C17" s="581"/>
      <c r="D17" s="581"/>
      <c r="E17" s="581"/>
      <c r="F17" s="581"/>
      <c r="G17" s="581"/>
      <c r="H17" s="581"/>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c r="AK17" s="581"/>
    </row>
    <row r="18" spans="1:60" x14ac:dyDescent="0.45">
      <c r="A18" s="581"/>
      <c r="B18" s="581"/>
      <c r="C18" s="581"/>
      <c r="D18" s="581"/>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c r="AK18" s="581"/>
    </row>
    <row r="19" spans="1:60"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c r="AK19" s="581"/>
    </row>
    <row r="20" spans="1:60"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c r="AK20" s="581"/>
    </row>
    <row r="21" spans="1:60"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row>
    <row r="22" spans="1:60"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c r="AL22" s="590"/>
      <c r="AM22" s="590"/>
      <c r="AN22" s="590"/>
      <c r="AO22" s="590"/>
      <c r="AP22" s="590"/>
      <c r="AQ22" s="590"/>
      <c r="AR22" s="590"/>
      <c r="AS22" s="590"/>
      <c r="AT22" s="590"/>
      <c r="AU22" s="590"/>
      <c r="AV22" s="590"/>
      <c r="AW22" s="590"/>
      <c r="AX22" s="590"/>
      <c r="AY22" s="590"/>
      <c r="AZ22" s="590"/>
      <c r="BA22" s="590"/>
      <c r="BB22" s="590"/>
      <c r="BC22" s="590"/>
      <c r="BD22" s="590"/>
      <c r="BE22" s="590"/>
      <c r="BF22" s="590"/>
      <c r="BG22" s="590"/>
      <c r="BH22" s="590"/>
    </row>
    <row r="23" spans="1:60"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c r="AK23" s="581"/>
    </row>
    <row r="24" spans="1:60"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c r="AK24" s="581"/>
    </row>
    <row r="25" spans="1:60"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c r="AK25" s="581"/>
    </row>
    <row r="26" spans="1:60"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c r="AK26" s="581"/>
    </row>
    <row r="27" spans="1:60"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c r="AK27" s="581"/>
    </row>
    <row r="28" spans="1:60"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c r="AK28" s="581"/>
    </row>
    <row r="29" spans="1:60"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c r="AK29" s="581"/>
    </row>
    <row r="30" spans="1:60"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c r="AK30" s="581"/>
    </row>
    <row r="31" spans="1:60"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c r="AK31" s="581"/>
    </row>
    <row r="32" spans="1:60"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row>
    <row r="33" spans="1:37"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row>
    <row r="34" spans="1:37"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row>
    <row r="35" spans="1:37"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c r="AK35" s="581"/>
    </row>
    <row r="36" spans="1:37"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row>
    <row r="37" spans="1:37"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row>
    <row r="38" spans="1:37"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c r="AK38" s="581"/>
    </row>
    <row r="39" spans="1:37"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c r="AK39" s="581"/>
    </row>
    <row r="40" spans="1:37"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c r="AK40" s="581"/>
    </row>
  </sheetData>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41"/>
  <dimension ref="A1:BH40"/>
  <sheetViews>
    <sheetView showGridLines="0" zoomScaleNormal="100" workbookViewId="0"/>
  </sheetViews>
  <sheetFormatPr defaultColWidth="9.1796875" defaultRowHeight="18.5" x14ac:dyDescent="0.45"/>
  <cols>
    <col min="1" max="1" width="1.453125" style="589" customWidth="1"/>
    <col min="2" max="2" width="3.7265625" style="589" customWidth="1"/>
    <col min="3" max="3" width="30.1796875" style="589" bestFit="1" customWidth="1"/>
    <col min="4" max="4" width="20.26953125" style="589" bestFit="1" customWidth="1"/>
    <col min="5" max="5" width="13" style="589" customWidth="1"/>
    <col min="6" max="6" width="6.453125" style="589" customWidth="1"/>
    <col min="7" max="7" width="45.81640625" style="589" bestFit="1" customWidth="1"/>
    <col min="8" max="8" width="43.453125" style="589" customWidth="1"/>
    <col min="9" max="9" width="27.81640625" style="589" customWidth="1"/>
    <col min="10" max="10" width="17.7265625" style="589" customWidth="1"/>
    <col min="11" max="11" width="17.26953125" style="589" customWidth="1"/>
    <col min="12" max="12" width="24.26953125" style="589" customWidth="1"/>
    <col min="13" max="13" width="33.26953125" style="589" customWidth="1"/>
    <col min="14" max="14" width="31.54296875" style="589" customWidth="1"/>
    <col min="15" max="15" width="17.81640625" style="589" bestFit="1" customWidth="1"/>
    <col min="16" max="16" width="16.1796875" style="589" bestFit="1" customWidth="1"/>
    <col min="17" max="16384" width="9.1796875" style="589"/>
  </cols>
  <sheetData>
    <row r="1" spans="1:37"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row>
    <row r="2" spans="1:37"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row>
    <row r="3" spans="1:37" s="588" customFormat="1" ht="21.75" customHeight="1" x14ac:dyDescent="0.45">
      <c r="A3" s="581"/>
      <c r="B3" s="581"/>
      <c r="C3" s="581"/>
      <c r="D3" s="581"/>
      <c r="E3" s="581"/>
      <c r="F3" s="581"/>
      <c r="G3" s="584"/>
      <c r="H3" s="584"/>
      <c r="I3" s="584"/>
      <c r="J3" s="584"/>
      <c r="K3" s="581"/>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row>
    <row r="4" spans="1:37" x14ac:dyDescent="0.45">
      <c r="A4" s="581"/>
      <c r="B4" s="581"/>
      <c r="C4" s="583" t="s">
        <v>968</v>
      </c>
      <c r="D4" s="583" t="s">
        <v>107</v>
      </c>
      <c r="E4" s="581"/>
      <c r="F4" s="581"/>
      <c r="G4" s="659" t="s">
        <v>1563</v>
      </c>
      <c r="H4" s="604" t="str">
        <f>Risk!X3</f>
        <v>5D</v>
      </c>
      <c r="I4" s="581"/>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row>
    <row r="5" spans="1:37" x14ac:dyDescent="0.45">
      <c r="A5" s="581"/>
      <c r="B5" s="581"/>
      <c r="C5" s="604" t="str">
        <f>IF('Cadastro Equipamento'!C5=0,"",'Cadastro Equipamento'!C5)</f>
        <v>V-90</v>
      </c>
      <c r="D5" s="604" t="str">
        <f>IF('Cadastro Equipamento'!D5=0,"",'Cadastro Equipamento'!D5)</f>
        <v>Vessel</v>
      </c>
      <c r="E5" s="581"/>
      <c r="F5" s="581"/>
      <c r="G5" s="659" t="s">
        <v>1012</v>
      </c>
      <c r="H5" s="604">
        <f>Risk!Y3</f>
        <v>1549.2657009937914</v>
      </c>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row>
    <row r="6" spans="1:37" x14ac:dyDescent="0.45">
      <c r="A6" s="581"/>
      <c r="B6" s="581"/>
      <c r="C6" s="581"/>
      <c r="D6" s="581"/>
      <c r="E6" s="581"/>
      <c r="F6" s="581"/>
      <c r="G6" s="659" t="s">
        <v>1046</v>
      </c>
      <c r="H6" s="604">
        <f>Risk!Z3</f>
        <v>6409.4964263855954</v>
      </c>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81"/>
      <c r="AK6" s="581"/>
    </row>
    <row r="7" spans="1:37" x14ac:dyDescent="0.45">
      <c r="A7" s="581"/>
      <c r="B7" s="581"/>
      <c r="C7" s="583" t="s">
        <v>969</v>
      </c>
      <c r="D7" s="583" t="s">
        <v>108</v>
      </c>
      <c r="E7" s="584"/>
      <c r="F7" s="584"/>
      <c r="G7" s="659" t="s">
        <v>1013</v>
      </c>
      <c r="H7" s="604">
        <f>Risk!AA3</f>
        <v>1.5981969491321963</v>
      </c>
      <c r="I7" s="581"/>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c r="AK7" s="581"/>
    </row>
    <row r="8" spans="1:37" x14ac:dyDescent="0.45">
      <c r="A8" s="581"/>
      <c r="B8" s="581"/>
      <c r="C8" s="604" t="str">
        <f>IF('Cadastro Equipamento'!C8=0,"",'Cadastro Equipamento'!C8)</f>
        <v>Casco</v>
      </c>
      <c r="D8" s="604" t="str">
        <f>IF('Cadastro Equipamento'!D8=0,"",'Cadastro Equipamento'!D8)</f>
        <v>DRUM</v>
      </c>
      <c r="E8" s="584"/>
      <c r="F8" s="584"/>
      <c r="G8" s="659" t="s">
        <v>1047</v>
      </c>
      <c r="H8" s="604">
        <f>Risk!AB3</f>
        <v>100.00000099772811</v>
      </c>
      <c r="I8" s="581"/>
      <c r="J8" s="581"/>
      <c r="K8" s="581"/>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c r="AK8" s="581"/>
    </row>
    <row r="9" spans="1:37" x14ac:dyDescent="0.45">
      <c r="A9" s="581"/>
      <c r="B9" s="581"/>
      <c r="C9" s="584"/>
      <c r="D9" s="584"/>
      <c r="E9" s="584"/>
      <c r="F9" s="584"/>
      <c r="G9" s="659" t="s">
        <v>1049</v>
      </c>
      <c r="H9" s="661" t="str">
        <f>IF(Risk!AC3="","",Risk!AC3)</f>
        <v/>
      </c>
      <c r="I9" s="581"/>
      <c r="J9" s="581"/>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row>
    <row r="10" spans="1:37" x14ac:dyDescent="0.45">
      <c r="A10" s="581"/>
      <c r="B10" s="581"/>
      <c r="C10" s="597" t="s">
        <v>1027</v>
      </c>
      <c r="D10" s="604" t="str">
        <f>Risk!K3</f>
        <v>DF Target</v>
      </c>
      <c r="E10" s="584"/>
      <c r="F10" s="584"/>
      <c r="G10" s="659" t="s">
        <v>1048</v>
      </c>
      <c r="H10" s="661">
        <f>IF(Risk!AD3="","",Risk!AD3)</f>
        <v>165.34473067512761</v>
      </c>
      <c r="I10" s="581"/>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row>
    <row r="11" spans="1:37" x14ac:dyDescent="0.45">
      <c r="A11" s="581"/>
      <c r="B11" s="581"/>
      <c r="C11" s="597" t="s">
        <v>1019</v>
      </c>
      <c r="D11" s="604">
        <f>Risk!N3</f>
        <v>4.8342821274258636</v>
      </c>
      <c r="E11" s="581"/>
      <c r="F11" s="581"/>
      <c r="G11" s="660" t="s">
        <v>1014</v>
      </c>
      <c r="H11" s="661">
        <f>Risk!AE3</f>
        <v>43833</v>
      </c>
      <c r="I11" s="581"/>
      <c r="J11" s="581"/>
      <c r="K11" s="581"/>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c r="AK11" s="581"/>
    </row>
    <row r="12" spans="1:37" ht="19.5" customHeight="1" x14ac:dyDescent="0.45">
      <c r="A12" s="581"/>
      <c r="B12" s="581"/>
      <c r="C12" s="597" t="s">
        <v>1021</v>
      </c>
      <c r="D12" s="604">
        <f>Risk!O3</f>
        <v>20</v>
      </c>
      <c r="E12" s="581"/>
      <c r="F12" s="581"/>
      <c r="G12" s="660" t="s">
        <v>1025</v>
      </c>
      <c r="H12" s="661">
        <f>Risk!AF3</f>
        <v>44045</v>
      </c>
      <c r="I12" s="581"/>
      <c r="J12" s="581"/>
      <c r="K12" s="581"/>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c r="AK12" s="581"/>
    </row>
    <row r="13" spans="1:37" x14ac:dyDescent="0.45">
      <c r="A13" s="581"/>
      <c r="B13" s="581"/>
      <c r="C13" s="597" t="s">
        <v>1018</v>
      </c>
      <c r="D13" s="604">
        <f>Risk!P3</f>
        <v>6409.4964263855954</v>
      </c>
      <c r="E13" s="581"/>
      <c r="F13" s="581"/>
      <c r="G13" s="660" t="s">
        <v>1026</v>
      </c>
      <c r="H13" s="662" t="str">
        <f>Risk!AG3</f>
        <v>ATENÇÃO: Risco acima do definido como aceitável. INSPECIONAR IMEDIATAMENTE.</v>
      </c>
      <c r="I13" s="581"/>
      <c r="J13" s="581"/>
      <c r="K13" s="581"/>
      <c r="L13" s="581"/>
      <c r="M13" s="581"/>
      <c r="N13" s="581"/>
      <c r="O13" s="581"/>
      <c r="P13" s="581"/>
      <c r="Q13" s="581"/>
      <c r="R13" s="581"/>
      <c r="S13" s="581"/>
      <c r="T13" s="581"/>
      <c r="U13" s="581"/>
      <c r="V13" s="581"/>
      <c r="W13" s="581"/>
      <c r="X13" s="581"/>
      <c r="Y13" s="581"/>
      <c r="Z13" s="581"/>
      <c r="AA13" s="581"/>
      <c r="AB13" s="581"/>
      <c r="AC13" s="581"/>
      <c r="AD13" s="581"/>
      <c r="AE13" s="581"/>
      <c r="AF13" s="581"/>
      <c r="AG13" s="581"/>
      <c r="AH13" s="581"/>
      <c r="AI13" s="581"/>
      <c r="AJ13" s="581"/>
      <c r="AK13" s="581"/>
    </row>
    <row r="14" spans="1:37" x14ac:dyDescent="0.45">
      <c r="A14" s="581"/>
      <c r="B14" s="581"/>
      <c r="C14" s="597" t="s">
        <v>979</v>
      </c>
      <c r="D14" s="604">
        <f>Risk!R3</f>
        <v>1.5690447251791941</v>
      </c>
      <c r="E14" s="581"/>
      <c r="F14" s="581"/>
      <c r="G14" s="581"/>
      <c r="H14" s="581"/>
      <c r="I14" s="581"/>
      <c r="J14" s="581"/>
      <c r="K14" s="581"/>
      <c r="L14" s="581"/>
      <c r="M14" s="581"/>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1"/>
      <c r="AK14" s="581"/>
    </row>
    <row r="15" spans="1:37" x14ac:dyDescent="0.45">
      <c r="A15" s="581"/>
      <c r="B15" s="581"/>
      <c r="C15" s="597" t="s">
        <v>970</v>
      </c>
      <c r="D15" s="604">
        <f>Risk!T3</f>
        <v>987.39422537292944</v>
      </c>
      <c r="E15" s="581"/>
      <c r="F15" s="581"/>
      <c r="G15" s="581"/>
      <c r="H15" s="581"/>
      <c r="I15" s="581"/>
      <c r="J15" s="581"/>
      <c r="K15" s="581"/>
      <c r="L15" s="581"/>
      <c r="M15" s="581"/>
      <c r="N15" s="581"/>
      <c r="O15" s="581"/>
      <c r="P15" s="581"/>
      <c r="Q15" s="581"/>
      <c r="R15" s="581"/>
      <c r="S15" s="581"/>
      <c r="T15" s="581"/>
      <c r="U15" s="581"/>
      <c r="V15" s="581"/>
      <c r="W15" s="581"/>
      <c r="X15" s="581"/>
      <c r="Y15" s="581"/>
      <c r="Z15" s="581"/>
      <c r="AA15" s="581"/>
      <c r="AB15" s="581"/>
      <c r="AC15" s="581"/>
      <c r="AD15" s="581"/>
      <c r="AE15" s="581"/>
      <c r="AF15" s="581"/>
      <c r="AG15" s="581"/>
      <c r="AH15" s="581"/>
      <c r="AI15" s="581"/>
      <c r="AJ15" s="581"/>
      <c r="AK15" s="581"/>
    </row>
    <row r="16" spans="1:37" x14ac:dyDescent="0.45">
      <c r="A16" s="581"/>
      <c r="B16" s="581"/>
      <c r="C16" s="597" t="s">
        <v>978</v>
      </c>
      <c r="D16" s="604">
        <f>Risk!V3</f>
        <v>1549.2657009937914</v>
      </c>
      <c r="E16" s="581"/>
      <c r="F16" s="581"/>
      <c r="G16" s="581"/>
      <c r="H16" s="581"/>
      <c r="I16" s="581"/>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c r="AK16" s="581"/>
    </row>
    <row r="17" spans="1:60" x14ac:dyDescent="0.45">
      <c r="A17" s="581"/>
      <c r="B17" s="581"/>
      <c r="C17" s="597" t="s">
        <v>997</v>
      </c>
      <c r="D17" s="604" t="str">
        <f>Risk!W3</f>
        <v>High</v>
      </c>
      <c r="E17" s="581"/>
      <c r="F17" s="581"/>
      <c r="G17" s="581"/>
      <c r="H17" s="581"/>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c r="AK17" s="581"/>
    </row>
    <row r="18" spans="1:60" x14ac:dyDescent="0.45">
      <c r="A18" s="581"/>
      <c r="B18" s="581"/>
      <c r="C18" s="581"/>
      <c r="D18" s="581"/>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c r="AK18" s="581"/>
    </row>
    <row r="19" spans="1:60"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c r="AK19" s="581"/>
    </row>
    <row r="20" spans="1:60"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c r="AK20" s="581"/>
    </row>
    <row r="21" spans="1:60"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row>
    <row r="22" spans="1:60"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c r="AL22" s="590"/>
      <c r="AM22" s="590"/>
      <c r="AN22" s="590"/>
      <c r="AO22" s="590"/>
      <c r="AP22" s="590"/>
      <c r="AQ22" s="590"/>
      <c r="AR22" s="590"/>
      <c r="AS22" s="590"/>
      <c r="AT22" s="590"/>
      <c r="AU22" s="590"/>
      <c r="AV22" s="590"/>
      <c r="AW22" s="590"/>
      <c r="AX22" s="590"/>
      <c r="AY22" s="590"/>
      <c r="AZ22" s="590"/>
      <c r="BA22" s="590"/>
      <c r="BB22" s="590"/>
      <c r="BC22" s="590"/>
      <c r="BD22" s="590"/>
      <c r="BE22" s="590"/>
      <c r="BF22" s="590"/>
      <c r="BG22" s="590"/>
      <c r="BH22" s="590"/>
    </row>
    <row r="23" spans="1:60"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c r="AK23" s="581"/>
    </row>
    <row r="24" spans="1:60"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c r="AK24" s="581"/>
    </row>
    <row r="25" spans="1:60"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c r="AK25" s="581"/>
    </row>
    <row r="26" spans="1:60"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c r="AK26" s="581"/>
    </row>
    <row r="27" spans="1:60"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c r="AK27" s="581"/>
    </row>
    <row r="28" spans="1:60"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c r="AK28" s="581"/>
    </row>
    <row r="29" spans="1:60"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c r="AK29" s="581"/>
    </row>
    <row r="30" spans="1:60"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c r="AK30" s="581"/>
    </row>
    <row r="31" spans="1:60"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c r="AK31" s="581"/>
    </row>
    <row r="32" spans="1:60"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row>
    <row r="33" spans="1:37"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row>
    <row r="34" spans="1:37"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row>
    <row r="35" spans="1:37"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c r="AK35" s="581"/>
    </row>
    <row r="36" spans="1:37"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row>
    <row r="37" spans="1:37"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row>
    <row r="38" spans="1:37"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c r="AK38" s="581"/>
    </row>
    <row r="39" spans="1:37"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c r="AK39" s="581"/>
    </row>
    <row r="40" spans="1:37"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c r="AK40" s="581"/>
    </row>
  </sheetData>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38"/>
  <dimension ref="A1:BI40"/>
  <sheetViews>
    <sheetView showGridLines="0" zoomScaleNormal="100" workbookViewId="0">
      <selection activeCell="C5" sqref="C5"/>
    </sheetView>
  </sheetViews>
  <sheetFormatPr defaultColWidth="9.1796875" defaultRowHeight="18.5" x14ac:dyDescent="0.45"/>
  <cols>
    <col min="1" max="1" width="1.453125" style="589" customWidth="1"/>
    <col min="2" max="2" width="3.7265625" style="589" customWidth="1"/>
    <col min="3" max="3" width="26.1796875" style="589" bestFit="1" customWidth="1"/>
    <col min="4" max="4" width="23.81640625" style="589" bestFit="1" customWidth="1"/>
    <col min="5" max="5" width="7.1796875" style="589" customWidth="1"/>
    <col min="6" max="6" width="11" style="589" bestFit="1" customWidth="1"/>
    <col min="7" max="7" width="23.453125" style="589" bestFit="1" customWidth="1"/>
    <col min="8" max="8" width="19.7265625" style="589" bestFit="1" customWidth="1"/>
    <col min="9" max="9" width="2.1796875" style="589" customWidth="1"/>
    <col min="10" max="10" width="29.7265625" style="589" bestFit="1" customWidth="1"/>
    <col min="11" max="11" width="16" style="589" customWidth="1"/>
    <col min="12" max="12" width="22.453125" style="589" bestFit="1" customWidth="1"/>
    <col min="13" max="13" width="24.26953125" style="589" customWidth="1"/>
    <col min="14" max="14" width="33.26953125" style="589" customWidth="1"/>
    <col min="15" max="15" width="31.54296875" style="589" customWidth="1"/>
    <col min="16" max="16" width="17.81640625" style="589" bestFit="1" customWidth="1"/>
    <col min="17" max="17" width="16.1796875" style="589" bestFit="1" customWidth="1"/>
    <col min="18" max="16384" width="9.1796875" style="589"/>
  </cols>
  <sheetData>
    <row r="1" spans="1:38" s="588" customFormat="1" ht="11.25" customHeight="1" x14ac:dyDescent="0.45">
      <c r="A1" s="581"/>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1"/>
      <c r="AI1" s="581"/>
      <c r="AJ1" s="581"/>
      <c r="AK1" s="581"/>
      <c r="AL1" s="581"/>
    </row>
    <row r="2" spans="1:38" s="588" customFormat="1" ht="29.25" customHeight="1" x14ac:dyDescent="0.45">
      <c r="A2" s="581"/>
      <c r="B2" s="581"/>
      <c r="C2" s="581"/>
      <c r="D2" s="581"/>
      <c r="E2" s="581"/>
      <c r="F2" s="581"/>
      <c r="G2" s="581"/>
      <c r="H2" s="581"/>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c r="AL2" s="581"/>
    </row>
    <row r="3" spans="1:38" s="588" customFormat="1" ht="38.25" customHeight="1" x14ac:dyDescent="0.45">
      <c r="A3" s="581"/>
      <c r="B3" s="581"/>
      <c r="C3" s="581"/>
      <c r="D3" s="581"/>
      <c r="E3" s="581"/>
      <c r="F3" s="581"/>
      <c r="G3" s="584"/>
      <c r="H3" s="584"/>
      <c r="I3" s="584"/>
      <c r="J3" s="584"/>
      <c r="K3" s="584"/>
      <c r="L3" s="581"/>
      <c r="M3" s="581"/>
      <c r="N3" s="581"/>
      <c r="O3" s="581"/>
      <c r="P3" s="581"/>
      <c r="Q3" s="581"/>
      <c r="R3" s="581"/>
      <c r="S3" s="581"/>
      <c r="T3" s="581"/>
      <c r="U3" s="581"/>
      <c r="V3" s="581"/>
      <c r="W3" s="581"/>
      <c r="X3" s="581"/>
      <c r="Y3" s="581"/>
      <c r="Z3" s="581"/>
      <c r="AA3" s="581"/>
      <c r="AB3" s="581"/>
      <c r="AC3" s="581"/>
      <c r="AD3" s="581"/>
      <c r="AE3" s="581"/>
      <c r="AF3" s="581"/>
      <c r="AG3" s="581"/>
      <c r="AH3" s="581"/>
      <c r="AI3" s="581"/>
      <c r="AJ3" s="581"/>
      <c r="AK3" s="581"/>
      <c r="AL3" s="581"/>
    </row>
    <row r="4" spans="1:38" x14ac:dyDescent="0.45">
      <c r="A4" s="581"/>
      <c r="B4" s="581"/>
      <c r="C4" s="583" t="s">
        <v>968</v>
      </c>
      <c r="D4" s="583" t="s">
        <v>107</v>
      </c>
      <c r="E4" s="581"/>
      <c r="F4" s="581"/>
      <c r="G4" s="346" t="s">
        <v>1035</v>
      </c>
      <c r="H4" s="595">
        <v>10</v>
      </c>
      <c r="I4" s="584"/>
      <c r="J4" s="346" t="s">
        <v>1551</v>
      </c>
      <c r="K4" s="657" t="s">
        <v>790</v>
      </c>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c r="AL4" s="581"/>
    </row>
    <row r="5" spans="1:38" x14ac:dyDescent="0.45">
      <c r="A5" s="581"/>
      <c r="B5" s="581"/>
      <c r="C5" s="604" t="str">
        <f>IF('Cadastro Equipamento'!C5=0,"",'Cadastro Equipamento'!C5)</f>
        <v>V-90</v>
      </c>
      <c r="D5" s="604" t="str">
        <f>IF('Cadastro Equipamento'!D5=0,"",'Cadastro Equipamento'!D5)</f>
        <v>Vessel</v>
      </c>
      <c r="E5" s="581"/>
      <c r="F5" s="581"/>
      <c r="G5" s="346" t="s">
        <v>1040</v>
      </c>
      <c r="H5" s="595">
        <v>2</v>
      </c>
      <c r="I5" s="584"/>
      <c r="J5" s="346" t="s">
        <v>1552</v>
      </c>
      <c r="K5" s="595">
        <v>10</v>
      </c>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c r="AL5" s="581"/>
    </row>
    <row r="6" spans="1:38" x14ac:dyDescent="0.45">
      <c r="A6" s="581"/>
      <c r="B6" s="581"/>
      <c r="C6" s="581"/>
      <c r="D6" s="581"/>
      <c r="E6" s="581"/>
      <c r="F6" s="581"/>
      <c r="G6" s="346" t="s">
        <v>1549</v>
      </c>
      <c r="H6" s="657" t="s">
        <v>245</v>
      </c>
      <c r="I6" s="584"/>
      <c r="J6" s="346" t="s">
        <v>1553</v>
      </c>
      <c r="K6" s="595">
        <v>20</v>
      </c>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81"/>
      <c r="AK6" s="581"/>
      <c r="AL6" s="581"/>
    </row>
    <row r="7" spans="1:38" x14ac:dyDescent="0.45">
      <c r="A7" s="581"/>
      <c r="B7" s="581"/>
      <c r="C7" s="583" t="s">
        <v>969</v>
      </c>
      <c r="D7" s="583" t="s">
        <v>108</v>
      </c>
      <c r="E7" s="584"/>
      <c r="F7" s="584"/>
      <c r="G7" s="346" t="s">
        <v>1036</v>
      </c>
      <c r="H7" s="595"/>
      <c r="I7" s="584"/>
      <c r="J7" s="346" t="s">
        <v>774</v>
      </c>
      <c r="K7" s="595">
        <v>1</v>
      </c>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81"/>
      <c r="AK7" s="581"/>
      <c r="AL7" s="581"/>
    </row>
    <row r="8" spans="1:38" x14ac:dyDescent="0.45">
      <c r="A8" s="581"/>
      <c r="B8" s="581"/>
      <c r="C8" s="604" t="str">
        <f>IF('Cadastro Equipamento'!C8=0,"",'Cadastro Equipamento'!C8)</f>
        <v>Casco</v>
      </c>
      <c r="D8" s="604" t="str">
        <f>IF('Cadastro Equipamento'!D8=0,"",'Cadastro Equipamento'!D8)</f>
        <v>DRUM</v>
      </c>
      <c r="E8" s="584"/>
      <c r="F8" s="596" t="s">
        <v>1531</v>
      </c>
      <c r="G8" s="346" t="s">
        <v>786</v>
      </c>
      <c r="H8" s="603"/>
      <c r="I8" s="584"/>
      <c r="J8" s="346" t="s">
        <v>787</v>
      </c>
      <c r="K8" s="603"/>
      <c r="L8" s="581"/>
      <c r="M8" s="581"/>
      <c r="N8" s="581"/>
      <c r="O8" s="581"/>
      <c r="P8" s="581"/>
      <c r="Q8" s="581"/>
      <c r="R8" s="581"/>
      <c r="S8" s="581"/>
      <c r="T8" s="581"/>
      <c r="U8" s="581"/>
      <c r="V8" s="581"/>
      <c r="W8" s="581"/>
      <c r="X8" s="581"/>
      <c r="Y8" s="581"/>
      <c r="Z8" s="581"/>
      <c r="AA8" s="581"/>
      <c r="AB8" s="581"/>
      <c r="AC8" s="581"/>
      <c r="AD8" s="581"/>
      <c r="AE8" s="581"/>
      <c r="AF8" s="581"/>
      <c r="AG8" s="581"/>
      <c r="AH8" s="581"/>
      <c r="AI8" s="581"/>
      <c r="AJ8" s="581"/>
      <c r="AK8" s="581"/>
      <c r="AL8" s="581"/>
    </row>
    <row r="9" spans="1:38" x14ac:dyDescent="0.45">
      <c r="A9" s="581"/>
      <c r="B9" s="581"/>
      <c r="C9" s="584"/>
      <c r="D9" s="584"/>
      <c r="E9" s="584"/>
      <c r="F9" s="584"/>
      <c r="G9" s="584"/>
      <c r="H9" s="581"/>
      <c r="I9" s="584"/>
      <c r="J9" s="584"/>
      <c r="K9" s="581"/>
      <c r="L9" s="581"/>
      <c r="M9" s="581"/>
      <c r="N9" s="581"/>
      <c r="O9" s="581"/>
      <c r="P9" s="581"/>
      <c r="Q9" s="581"/>
      <c r="R9" s="581"/>
      <c r="S9" s="581"/>
      <c r="T9" s="581"/>
      <c r="U9" s="581"/>
      <c r="V9" s="581"/>
      <c r="W9" s="581"/>
      <c r="X9" s="581"/>
      <c r="Y9" s="581"/>
      <c r="Z9" s="581"/>
      <c r="AA9" s="581"/>
      <c r="AB9" s="581"/>
      <c r="AC9" s="581"/>
      <c r="AD9" s="581"/>
      <c r="AE9" s="581"/>
      <c r="AF9" s="581"/>
      <c r="AG9" s="581"/>
      <c r="AH9" s="581"/>
      <c r="AI9" s="581"/>
      <c r="AJ9" s="581"/>
      <c r="AK9" s="581"/>
      <c r="AL9" s="581"/>
    </row>
    <row r="10" spans="1:38" x14ac:dyDescent="0.45">
      <c r="A10" s="581"/>
      <c r="B10" s="581"/>
      <c r="C10" s="584"/>
      <c r="D10" s="584"/>
      <c r="E10" s="584"/>
      <c r="F10" s="584"/>
      <c r="G10" s="584"/>
      <c r="H10" s="581"/>
      <c r="I10" s="584"/>
      <c r="J10" s="584"/>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c r="AL10" s="581"/>
    </row>
    <row r="11" spans="1:38" x14ac:dyDescent="0.45">
      <c r="A11" s="581"/>
      <c r="B11" s="581"/>
      <c r="C11" s="346" t="s">
        <v>1550</v>
      </c>
      <c r="D11" s="595">
        <v>1</v>
      </c>
      <c r="E11" s="581"/>
      <c r="F11" s="581"/>
      <c r="G11" s="346" t="s">
        <v>713</v>
      </c>
      <c r="H11" s="595">
        <v>1</v>
      </c>
      <c r="I11" s="581"/>
      <c r="J11" s="346" t="s">
        <v>748</v>
      </c>
      <c r="K11" s="219">
        <v>1</v>
      </c>
      <c r="L11" s="581"/>
      <c r="M11" s="581"/>
      <c r="N11" s="581"/>
      <c r="O11" s="581"/>
      <c r="P11" s="581"/>
      <c r="Q11" s="581"/>
      <c r="R11" s="581"/>
      <c r="S11" s="581"/>
      <c r="T11" s="581"/>
      <c r="U11" s="581"/>
      <c r="V11" s="581"/>
      <c r="W11" s="581"/>
      <c r="X11" s="581"/>
      <c r="Y11" s="581"/>
      <c r="Z11" s="581"/>
      <c r="AA11" s="581"/>
      <c r="AB11" s="581"/>
      <c r="AC11" s="581"/>
      <c r="AD11" s="581"/>
      <c r="AE11" s="581"/>
      <c r="AF11" s="581"/>
      <c r="AG11" s="581"/>
      <c r="AH11" s="581"/>
      <c r="AI11" s="581"/>
      <c r="AJ11" s="581"/>
      <c r="AK11" s="581"/>
      <c r="AL11" s="581"/>
    </row>
    <row r="12" spans="1:38" x14ac:dyDescent="0.45">
      <c r="A12" s="581"/>
      <c r="B12" s="581"/>
      <c r="C12" s="346" t="s">
        <v>766</v>
      </c>
      <c r="D12" s="595">
        <v>2</v>
      </c>
      <c r="E12" s="584"/>
      <c r="F12" s="584"/>
      <c r="G12" s="346" t="s">
        <v>714</v>
      </c>
      <c r="H12" s="595">
        <v>2</v>
      </c>
      <c r="I12" s="584"/>
      <c r="J12" s="346" t="s">
        <v>749</v>
      </c>
      <c r="K12" s="219">
        <v>1</v>
      </c>
      <c r="L12" s="581"/>
      <c r="M12" s="581"/>
      <c r="N12" s="581"/>
      <c r="O12" s="581"/>
      <c r="P12" s="581"/>
      <c r="Q12" s="581"/>
      <c r="R12" s="581"/>
      <c r="S12" s="581"/>
      <c r="T12" s="581"/>
      <c r="U12" s="581"/>
      <c r="V12" s="581"/>
      <c r="W12" s="581"/>
      <c r="X12" s="581"/>
      <c r="Y12" s="581"/>
      <c r="Z12" s="581"/>
      <c r="AA12" s="581"/>
      <c r="AB12" s="581"/>
      <c r="AC12" s="581"/>
      <c r="AD12" s="581"/>
      <c r="AE12" s="581"/>
      <c r="AF12" s="581"/>
      <c r="AG12" s="581"/>
      <c r="AH12" s="581"/>
      <c r="AI12" s="581"/>
      <c r="AJ12" s="581"/>
      <c r="AK12" s="581"/>
      <c r="AL12" s="581"/>
    </row>
    <row r="13" spans="1:38" x14ac:dyDescent="0.45">
      <c r="A13" s="581"/>
      <c r="B13" s="581"/>
      <c r="C13" s="346" t="s">
        <v>1037</v>
      </c>
      <c r="D13" s="595">
        <v>3</v>
      </c>
      <c r="E13" s="584"/>
      <c r="F13" s="584"/>
      <c r="G13" s="346" t="s">
        <v>715</v>
      </c>
      <c r="H13" s="595">
        <v>3</v>
      </c>
      <c r="I13" s="584"/>
      <c r="J13" s="346" t="s">
        <v>750</v>
      </c>
      <c r="K13" s="219">
        <v>1</v>
      </c>
      <c r="L13" s="581"/>
      <c r="M13" s="581"/>
      <c r="N13" s="581"/>
      <c r="O13" s="581"/>
      <c r="P13" s="581"/>
      <c r="Q13" s="581"/>
      <c r="R13" s="581"/>
      <c r="S13" s="581"/>
      <c r="T13" s="581"/>
      <c r="U13" s="581"/>
      <c r="V13" s="581"/>
      <c r="W13" s="581"/>
      <c r="X13" s="581"/>
      <c r="Y13" s="581"/>
      <c r="Z13" s="581"/>
      <c r="AA13" s="581"/>
      <c r="AB13" s="581"/>
      <c r="AC13" s="581"/>
      <c r="AD13" s="581"/>
      <c r="AE13" s="581"/>
      <c r="AF13" s="581"/>
      <c r="AG13" s="581"/>
      <c r="AH13" s="581"/>
      <c r="AI13" s="581"/>
      <c r="AJ13" s="581"/>
      <c r="AK13" s="581"/>
      <c r="AL13" s="581"/>
    </row>
    <row r="14" spans="1:38" x14ac:dyDescent="0.45">
      <c r="A14" s="581"/>
      <c r="B14" s="581"/>
      <c r="C14" s="346" t="s">
        <v>1038</v>
      </c>
      <c r="D14" s="595">
        <v>4</v>
      </c>
      <c r="E14" s="581"/>
      <c r="F14" s="581"/>
      <c r="G14" s="605" t="s">
        <v>716</v>
      </c>
      <c r="H14" s="606">
        <v>0</v>
      </c>
      <c r="I14" s="581"/>
      <c r="J14" s="581"/>
      <c r="K14" s="581"/>
      <c r="L14" s="581"/>
      <c r="M14" s="581"/>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1"/>
      <c r="AK14" s="581"/>
      <c r="AL14" s="581"/>
    </row>
    <row r="15" spans="1:38" x14ac:dyDescent="0.45">
      <c r="A15" s="581"/>
      <c r="B15" s="581"/>
      <c r="C15" s="346" t="s">
        <v>951</v>
      </c>
      <c r="D15" s="594" t="s">
        <v>953</v>
      </c>
      <c r="E15" s="581"/>
      <c r="F15" s="581"/>
      <c r="G15" s="675" t="str">
        <f>IF(SUM(H11:H14)&gt;6,"Favor cadastrar apenas as últimas 6 inspeções","Máx 6 inspeções")</f>
        <v>Máx 6 inspeções</v>
      </c>
      <c r="H15" s="676"/>
      <c r="I15" s="581"/>
      <c r="J15" s="581"/>
      <c r="K15" s="581"/>
      <c r="L15" s="581"/>
      <c r="M15" s="581"/>
      <c r="N15" s="581"/>
      <c r="O15" s="581"/>
      <c r="P15" s="581"/>
      <c r="Q15" s="581"/>
      <c r="R15" s="581"/>
      <c r="S15" s="581"/>
      <c r="T15" s="581"/>
      <c r="U15" s="581"/>
      <c r="V15" s="581"/>
      <c r="W15" s="581"/>
      <c r="X15" s="581"/>
      <c r="Y15" s="581"/>
      <c r="Z15" s="581"/>
      <c r="AA15" s="581"/>
      <c r="AB15" s="581"/>
      <c r="AC15" s="581"/>
      <c r="AD15" s="581"/>
      <c r="AE15" s="581"/>
      <c r="AF15" s="581"/>
      <c r="AG15" s="581"/>
      <c r="AH15" s="581"/>
      <c r="AI15" s="581"/>
      <c r="AJ15" s="581"/>
      <c r="AK15" s="581"/>
      <c r="AL15" s="581"/>
    </row>
    <row r="16" spans="1:38" x14ac:dyDescent="0.45">
      <c r="A16" s="581"/>
      <c r="B16" s="581"/>
      <c r="C16" s="346" t="s">
        <v>810</v>
      </c>
      <c r="D16" s="658" t="s">
        <v>799</v>
      </c>
      <c r="E16" s="581"/>
      <c r="F16" s="581"/>
      <c r="G16" s="581"/>
      <c r="H16" s="581"/>
      <c r="I16" s="581"/>
      <c r="J16" s="581"/>
      <c r="K16" s="581"/>
      <c r="L16" s="581"/>
      <c r="M16" s="581"/>
      <c r="N16" s="581"/>
      <c r="O16" s="581"/>
      <c r="P16" s="581"/>
      <c r="Q16" s="581"/>
      <c r="R16" s="581"/>
      <c r="S16" s="581"/>
      <c r="T16" s="581"/>
      <c r="U16" s="581"/>
      <c r="V16" s="581"/>
      <c r="W16" s="581"/>
      <c r="X16" s="581"/>
      <c r="Y16" s="581"/>
      <c r="Z16" s="581"/>
      <c r="AA16" s="581"/>
      <c r="AB16" s="581"/>
      <c r="AC16" s="581"/>
      <c r="AD16" s="581"/>
      <c r="AE16" s="581"/>
      <c r="AF16" s="581"/>
      <c r="AG16" s="581"/>
      <c r="AH16" s="581"/>
      <c r="AI16" s="581"/>
      <c r="AJ16" s="581"/>
      <c r="AK16" s="581"/>
      <c r="AL16" s="581"/>
    </row>
    <row r="17" spans="1:61" ht="10.5" customHeight="1" x14ac:dyDescent="0.45">
      <c r="A17" s="581"/>
      <c r="B17" s="581"/>
      <c r="C17" s="581"/>
      <c r="D17" s="581"/>
      <c r="E17" s="581"/>
      <c r="F17" s="581"/>
      <c r="G17" s="581"/>
      <c r="H17" s="581"/>
      <c r="I17" s="581"/>
      <c r="J17" s="581"/>
      <c r="K17" s="581"/>
      <c r="L17" s="581"/>
      <c r="M17" s="581"/>
      <c r="N17" s="581"/>
      <c r="O17" s="581"/>
      <c r="P17" s="581"/>
      <c r="Q17" s="581"/>
      <c r="R17" s="581"/>
      <c r="S17" s="581"/>
      <c r="T17" s="581"/>
      <c r="U17" s="581"/>
      <c r="V17" s="581"/>
      <c r="W17" s="581"/>
      <c r="X17" s="581"/>
      <c r="Y17" s="581"/>
      <c r="Z17" s="581"/>
      <c r="AA17" s="581"/>
      <c r="AB17" s="581"/>
      <c r="AC17" s="581"/>
      <c r="AD17" s="581"/>
      <c r="AE17" s="581"/>
      <c r="AF17" s="581"/>
      <c r="AG17" s="581"/>
      <c r="AH17" s="581"/>
      <c r="AI17" s="581"/>
      <c r="AJ17" s="581"/>
      <c r="AK17" s="581"/>
      <c r="AL17" s="581"/>
    </row>
    <row r="18" spans="1:61" x14ac:dyDescent="0.45">
      <c r="A18" s="581"/>
      <c r="B18" s="581"/>
      <c r="C18" s="581"/>
      <c r="D18" s="581"/>
      <c r="E18" s="581"/>
      <c r="F18" s="581"/>
      <c r="G18" s="581"/>
      <c r="H18" s="581"/>
      <c r="I18" s="581"/>
      <c r="J18" s="581"/>
      <c r="K18" s="581"/>
      <c r="L18" s="581"/>
      <c r="M18" s="581"/>
      <c r="N18" s="581"/>
      <c r="O18" s="581"/>
      <c r="P18" s="581"/>
      <c r="Q18" s="581"/>
      <c r="R18" s="581"/>
      <c r="S18" s="581"/>
      <c r="T18" s="581"/>
      <c r="U18" s="581"/>
      <c r="V18" s="581"/>
      <c r="W18" s="581"/>
      <c r="X18" s="581"/>
      <c r="Y18" s="581"/>
      <c r="Z18" s="581"/>
      <c r="AA18" s="581"/>
      <c r="AB18" s="581"/>
      <c r="AC18" s="581"/>
      <c r="AD18" s="581"/>
      <c r="AE18" s="581"/>
      <c r="AF18" s="581"/>
      <c r="AG18" s="581"/>
      <c r="AH18" s="581"/>
      <c r="AI18" s="581"/>
      <c r="AJ18" s="581"/>
      <c r="AK18" s="581"/>
      <c r="AL18" s="581"/>
    </row>
    <row r="19" spans="1:61" x14ac:dyDescent="0.45">
      <c r="A19" s="581"/>
      <c r="B19" s="581"/>
      <c r="C19" s="581"/>
      <c r="D19" s="581"/>
      <c r="E19" s="581"/>
      <c r="F19" s="581"/>
      <c r="G19" s="581"/>
      <c r="H19" s="581"/>
      <c r="I19" s="581"/>
      <c r="J19" s="581"/>
      <c r="K19" s="581"/>
      <c r="L19" s="581"/>
      <c r="M19" s="581"/>
      <c r="N19" s="581"/>
      <c r="O19" s="581"/>
      <c r="P19" s="581"/>
      <c r="Q19" s="581"/>
      <c r="R19" s="581"/>
      <c r="S19" s="581"/>
      <c r="T19" s="581"/>
      <c r="U19" s="581"/>
      <c r="V19" s="581"/>
      <c r="W19" s="581"/>
      <c r="X19" s="581"/>
      <c r="Y19" s="581"/>
      <c r="Z19" s="581"/>
      <c r="AA19" s="581"/>
      <c r="AB19" s="581"/>
      <c r="AC19" s="581"/>
      <c r="AD19" s="581"/>
      <c r="AE19" s="581"/>
      <c r="AF19" s="581"/>
      <c r="AG19" s="581"/>
      <c r="AH19" s="581"/>
      <c r="AI19" s="581"/>
      <c r="AJ19" s="581"/>
      <c r="AK19" s="581"/>
      <c r="AL19" s="581"/>
    </row>
    <row r="20" spans="1:61" x14ac:dyDescent="0.45">
      <c r="A20" s="581"/>
      <c r="B20" s="581"/>
      <c r="C20" s="581"/>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1"/>
      <c r="AG20" s="581"/>
      <c r="AH20" s="581"/>
      <c r="AI20" s="581"/>
      <c r="AJ20" s="581"/>
      <c r="AK20" s="581"/>
      <c r="AL20" s="581"/>
    </row>
    <row r="21" spans="1:61" x14ac:dyDescent="0.45">
      <c r="A21" s="581"/>
      <c r="B21" s="581"/>
      <c r="C21" s="581"/>
      <c r="D21" s="581"/>
      <c r="E21" s="581"/>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c r="AL21" s="581"/>
    </row>
    <row r="22" spans="1:61" x14ac:dyDescent="0.45">
      <c r="A22" s="581"/>
      <c r="B22" s="581"/>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81"/>
      <c r="AK22" s="581"/>
      <c r="AL22" s="581"/>
      <c r="AM22" s="590"/>
      <c r="AN22" s="590"/>
      <c r="AO22" s="590"/>
      <c r="AP22" s="590"/>
      <c r="AQ22" s="590"/>
      <c r="AR22" s="590"/>
      <c r="AS22" s="590"/>
      <c r="AT22" s="590"/>
      <c r="AU22" s="590"/>
      <c r="AV22" s="590"/>
      <c r="AW22" s="590"/>
      <c r="AX22" s="590"/>
      <c r="AY22" s="590"/>
      <c r="AZ22" s="590"/>
      <c r="BA22" s="590"/>
      <c r="BB22" s="590"/>
      <c r="BC22" s="590"/>
      <c r="BD22" s="590"/>
      <c r="BE22" s="590"/>
      <c r="BF22" s="590"/>
      <c r="BG22" s="590"/>
      <c r="BH22" s="590"/>
      <c r="BI22" s="590"/>
    </row>
    <row r="23" spans="1:61" x14ac:dyDescent="0.45">
      <c r="A23" s="581"/>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581"/>
      <c r="AD23" s="581"/>
      <c r="AE23" s="581"/>
      <c r="AF23" s="581"/>
      <c r="AG23" s="581"/>
      <c r="AH23" s="581"/>
      <c r="AI23" s="581"/>
      <c r="AJ23" s="581"/>
      <c r="AK23" s="581"/>
      <c r="AL23" s="581"/>
    </row>
    <row r="24" spans="1:61" x14ac:dyDescent="0.45">
      <c r="A24" s="581"/>
      <c r="B24" s="581"/>
      <c r="C24" s="581"/>
      <c r="D24" s="581"/>
      <c r="E24" s="581"/>
      <c r="F24" s="581"/>
      <c r="G24" s="581"/>
      <c r="H24" s="581"/>
      <c r="I24" s="581"/>
      <c r="J24" s="581"/>
      <c r="K24" s="581"/>
      <c r="L24" s="581"/>
      <c r="M24" s="581"/>
      <c r="N24" s="581"/>
      <c r="O24" s="581"/>
      <c r="P24" s="581"/>
      <c r="Q24" s="581"/>
      <c r="R24" s="581"/>
      <c r="S24" s="581"/>
      <c r="T24" s="581"/>
      <c r="U24" s="581"/>
      <c r="V24" s="581"/>
      <c r="W24" s="581"/>
      <c r="X24" s="581"/>
      <c r="Y24" s="581"/>
      <c r="Z24" s="581"/>
      <c r="AA24" s="581"/>
      <c r="AB24" s="581"/>
      <c r="AC24" s="581"/>
      <c r="AD24" s="581"/>
      <c r="AE24" s="581"/>
      <c r="AF24" s="581"/>
      <c r="AG24" s="581"/>
      <c r="AH24" s="581"/>
      <c r="AI24" s="581"/>
      <c r="AJ24" s="581"/>
      <c r="AK24" s="581"/>
      <c r="AL24" s="581"/>
    </row>
    <row r="25" spans="1:61" x14ac:dyDescent="0.45">
      <c r="A25" s="581"/>
      <c r="B25" s="581"/>
      <c r="C25" s="581"/>
      <c r="D25" s="581"/>
      <c r="E25" s="581"/>
      <c r="F25" s="581"/>
      <c r="G25" s="581"/>
      <c r="H25" s="581"/>
      <c r="I25" s="581"/>
      <c r="J25" s="581"/>
      <c r="K25" s="581"/>
      <c r="L25" s="581"/>
      <c r="M25" s="581"/>
      <c r="N25" s="581"/>
      <c r="O25" s="581"/>
      <c r="P25" s="581"/>
      <c r="Q25" s="581"/>
      <c r="R25" s="581"/>
      <c r="S25" s="581"/>
      <c r="T25" s="581"/>
      <c r="U25" s="581"/>
      <c r="V25" s="581"/>
      <c r="W25" s="581"/>
      <c r="X25" s="581"/>
      <c r="Y25" s="581"/>
      <c r="Z25" s="581"/>
      <c r="AA25" s="581"/>
      <c r="AB25" s="581"/>
      <c r="AC25" s="581"/>
      <c r="AD25" s="581"/>
      <c r="AE25" s="581"/>
      <c r="AF25" s="581"/>
      <c r="AG25" s="581"/>
      <c r="AH25" s="581"/>
      <c r="AI25" s="581"/>
      <c r="AJ25" s="581"/>
      <c r="AK25" s="581"/>
      <c r="AL25" s="581"/>
    </row>
    <row r="26" spans="1:61" x14ac:dyDescent="0.45">
      <c r="A26" s="581"/>
      <c r="B26" s="581"/>
      <c r="C26" s="581"/>
      <c r="D26" s="581"/>
      <c r="E26" s="581"/>
      <c r="F26" s="581"/>
      <c r="G26" s="581"/>
      <c r="H26" s="581"/>
      <c r="I26" s="581"/>
      <c r="J26" s="581"/>
      <c r="K26" s="581"/>
      <c r="L26" s="581"/>
      <c r="M26" s="581"/>
      <c r="N26" s="581"/>
      <c r="O26" s="581"/>
      <c r="P26" s="581"/>
      <c r="Q26" s="581"/>
      <c r="R26" s="581"/>
      <c r="S26" s="581"/>
      <c r="T26" s="581"/>
      <c r="U26" s="581"/>
      <c r="V26" s="581"/>
      <c r="W26" s="581"/>
      <c r="X26" s="581"/>
      <c r="Y26" s="581"/>
      <c r="Z26" s="581"/>
      <c r="AA26" s="581"/>
      <c r="AB26" s="581"/>
      <c r="AC26" s="581"/>
      <c r="AD26" s="581"/>
      <c r="AE26" s="581"/>
      <c r="AF26" s="581"/>
      <c r="AG26" s="581"/>
      <c r="AH26" s="581"/>
      <c r="AI26" s="581"/>
      <c r="AJ26" s="581"/>
      <c r="AK26" s="581"/>
      <c r="AL26" s="581"/>
    </row>
    <row r="27" spans="1:61" x14ac:dyDescent="0.45">
      <c r="A27" s="581"/>
      <c r="B27" s="581"/>
      <c r="C27" s="581"/>
      <c r="D27" s="581"/>
      <c r="E27" s="581"/>
      <c r="F27" s="581"/>
      <c r="G27" s="581"/>
      <c r="H27" s="581"/>
      <c r="I27" s="581"/>
      <c r="J27" s="581"/>
      <c r="K27" s="581"/>
      <c r="L27" s="581"/>
      <c r="M27" s="581"/>
      <c r="N27" s="581"/>
      <c r="O27" s="581"/>
      <c r="P27" s="581"/>
      <c r="Q27" s="581"/>
      <c r="R27" s="581"/>
      <c r="S27" s="581"/>
      <c r="T27" s="581"/>
      <c r="U27" s="581"/>
      <c r="V27" s="581"/>
      <c r="W27" s="581"/>
      <c r="X27" s="581"/>
      <c r="Y27" s="581"/>
      <c r="Z27" s="581"/>
      <c r="AA27" s="581"/>
      <c r="AB27" s="581"/>
      <c r="AC27" s="581"/>
      <c r="AD27" s="581"/>
      <c r="AE27" s="581"/>
      <c r="AF27" s="581"/>
      <c r="AG27" s="581"/>
      <c r="AH27" s="581"/>
      <c r="AI27" s="581"/>
      <c r="AJ27" s="581"/>
      <c r="AK27" s="581"/>
      <c r="AL27" s="581"/>
    </row>
    <row r="28" spans="1:61" x14ac:dyDescent="0.45">
      <c r="A28" s="581"/>
      <c r="B28" s="581"/>
      <c r="C28" s="581"/>
      <c r="D28" s="581"/>
      <c r="E28" s="581"/>
      <c r="F28" s="581"/>
      <c r="G28" s="581"/>
      <c r="H28" s="581"/>
      <c r="I28" s="581"/>
      <c r="J28" s="581"/>
      <c r="K28" s="581"/>
      <c r="L28" s="581"/>
      <c r="M28" s="581"/>
      <c r="N28" s="581"/>
      <c r="O28" s="581"/>
      <c r="P28" s="581"/>
      <c r="Q28" s="581"/>
      <c r="R28" s="581"/>
      <c r="S28" s="581"/>
      <c r="T28" s="581"/>
      <c r="U28" s="581"/>
      <c r="V28" s="581"/>
      <c r="W28" s="581"/>
      <c r="X28" s="581"/>
      <c r="Y28" s="581"/>
      <c r="Z28" s="581"/>
      <c r="AA28" s="581"/>
      <c r="AB28" s="581"/>
      <c r="AC28" s="581"/>
      <c r="AD28" s="581"/>
      <c r="AE28" s="581"/>
      <c r="AF28" s="581"/>
      <c r="AG28" s="581"/>
      <c r="AH28" s="581"/>
      <c r="AI28" s="581"/>
      <c r="AJ28" s="581"/>
      <c r="AK28" s="581"/>
      <c r="AL28" s="581"/>
    </row>
    <row r="29" spans="1:61" x14ac:dyDescent="0.45">
      <c r="A29" s="581"/>
      <c r="B29" s="581"/>
      <c r="C29" s="581"/>
      <c r="D29" s="581"/>
      <c r="E29" s="581"/>
      <c r="F29" s="581"/>
      <c r="G29" s="581"/>
      <c r="H29" s="581"/>
      <c r="I29" s="581"/>
      <c r="J29" s="581"/>
      <c r="K29" s="581"/>
      <c r="L29" s="581"/>
      <c r="M29" s="581"/>
      <c r="N29" s="581"/>
      <c r="O29" s="581"/>
      <c r="P29" s="581"/>
      <c r="Q29" s="581"/>
      <c r="R29" s="581"/>
      <c r="S29" s="581"/>
      <c r="T29" s="581"/>
      <c r="U29" s="581"/>
      <c r="V29" s="581"/>
      <c r="W29" s="581"/>
      <c r="X29" s="581"/>
      <c r="Y29" s="581"/>
      <c r="Z29" s="581"/>
      <c r="AA29" s="581"/>
      <c r="AB29" s="581"/>
      <c r="AC29" s="581"/>
      <c r="AD29" s="581"/>
      <c r="AE29" s="581"/>
      <c r="AF29" s="581"/>
      <c r="AG29" s="581"/>
      <c r="AH29" s="581"/>
      <c r="AI29" s="581"/>
      <c r="AJ29" s="581"/>
      <c r="AK29" s="581"/>
      <c r="AL29" s="581"/>
    </row>
    <row r="30" spans="1:61" x14ac:dyDescent="0.45">
      <c r="A30" s="581"/>
      <c r="B30" s="581"/>
      <c r="C30" s="581"/>
      <c r="D30" s="581"/>
      <c r="E30" s="581"/>
      <c r="F30" s="581"/>
      <c r="G30" s="581"/>
      <c r="H30" s="581"/>
      <c r="I30" s="581"/>
      <c r="J30" s="581"/>
      <c r="K30" s="581"/>
      <c r="L30" s="581"/>
      <c r="M30" s="581"/>
      <c r="N30" s="581"/>
      <c r="O30" s="581"/>
      <c r="P30" s="581"/>
      <c r="Q30" s="581"/>
      <c r="R30" s="581"/>
      <c r="S30" s="581"/>
      <c r="T30" s="581"/>
      <c r="U30" s="581"/>
      <c r="V30" s="581"/>
      <c r="W30" s="581"/>
      <c r="X30" s="581"/>
      <c r="Y30" s="581"/>
      <c r="Z30" s="581"/>
      <c r="AA30" s="581"/>
      <c r="AB30" s="581"/>
      <c r="AC30" s="581"/>
      <c r="AD30" s="581"/>
      <c r="AE30" s="581"/>
      <c r="AF30" s="581"/>
      <c r="AG30" s="581"/>
      <c r="AH30" s="581"/>
      <c r="AI30" s="581"/>
      <c r="AJ30" s="581"/>
      <c r="AK30" s="581"/>
      <c r="AL30" s="581"/>
    </row>
    <row r="31" spans="1:61" x14ac:dyDescent="0.45">
      <c r="A31" s="581"/>
      <c r="B31" s="581"/>
      <c r="C31" s="581"/>
      <c r="D31" s="581"/>
      <c r="E31" s="581"/>
      <c r="F31" s="581"/>
      <c r="G31" s="581"/>
      <c r="H31" s="581"/>
      <c r="I31" s="581"/>
      <c r="J31" s="581"/>
      <c r="K31" s="581"/>
      <c r="L31" s="581"/>
      <c r="M31" s="581"/>
      <c r="N31" s="581"/>
      <c r="O31" s="581"/>
      <c r="P31" s="581"/>
      <c r="Q31" s="581"/>
      <c r="R31" s="581"/>
      <c r="S31" s="581"/>
      <c r="T31" s="581"/>
      <c r="U31" s="581"/>
      <c r="V31" s="581"/>
      <c r="W31" s="581"/>
      <c r="X31" s="581"/>
      <c r="Y31" s="581"/>
      <c r="Z31" s="581"/>
      <c r="AA31" s="581"/>
      <c r="AB31" s="581"/>
      <c r="AC31" s="581"/>
      <c r="AD31" s="581"/>
      <c r="AE31" s="581"/>
      <c r="AF31" s="581"/>
      <c r="AG31" s="581"/>
      <c r="AH31" s="581"/>
      <c r="AI31" s="581"/>
      <c r="AJ31" s="581"/>
      <c r="AK31" s="581"/>
      <c r="AL31" s="581"/>
    </row>
    <row r="32" spans="1:61" x14ac:dyDescent="0.45">
      <c r="A32" s="581"/>
      <c r="B32" s="581"/>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c r="AL32" s="581"/>
    </row>
    <row r="33" spans="1:38" x14ac:dyDescent="0.45">
      <c r="A33" s="581"/>
      <c r="B33" s="581"/>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c r="AL33" s="581"/>
    </row>
    <row r="34" spans="1:38" x14ac:dyDescent="0.45">
      <c r="A34" s="581"/>
      <c r="B34" s="581"/>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c r="AL34" s="581"/>
    </row>
    <row r="35" spans="1:38" x14ac:dyDescent="0.45">
      <c r="A35" s="581"/>
      <c r="B35" s="581"/>
      <c r="C35" s="581"/>
      <c r="D35" s="581"/>
      <c r="E35" s="581"/>
      <c r="F35" s="581"/>
      <c r="G35" s="581"/>
      <c r="H35" s="581"/>
      <c r="I35" s="581"/>
      <c r="J35" s="581"/>
      <c r="K35" s="581"/>
      <c r="L35" s="581"/>
      <c r="M35" s="581"/>
      <c r="N35" s="581"/>
      <c r="O35" s="581"/>
      <c r="P35" s="581"/>
      <c r="Q35" s="581"/>
      <c r="R35" s="581"/>
      <c r="S35" s="581"/>
      <c r="T35" s="581"/>
      <c r="U35" s="581"/>
      <c r="V35" s="581"/>
      <c r="W35" s="581"/>
      <c r="X35" s="581"/>
      <c r="Y35" s="581"/>
      <c r="Z35" s="581"/>
      <c r="AA35" s="581"/>
      <c r="AB35" s="581"/>
      <c r="AC35" s="581"/>
      <c r="AD35" s="581"/>
      <c r="AE35" s="581"/>
      <c r="AF35" s="581"/>
      <c r="AG35" s="581"/>
      <c r="AH35" s="581"/>
      <c r="AI35" s="581"/>
      <c r="AJ35" s="581"/>
      <c r="AK35" s="581"/>
      <c r="AL35" s="581"/>
    </row>
    <row r="36" spans="1:38" x14ac:dyDescent="0.45">
      <c r="A36" s="581"/>
      <c r="B36" s="581"/>
      <c r="C36" s="581"/>
      <c r="D36" s="581"/>
      <c r="E36" s="581"/>
      <c r="F36" s="581"/>
      <c r="G36" s="581"/>
      <c r="H36" s="581"/>
      <c r="I36" s="581"/>
      <c r="J36" s="581"/>
      <c r="K36" s="581"/>
      <c r="L36" s="581"/>
      <c r="M36" s="581"/>
      <c r="N36" s="581"/>
      <c r="O36" s="581"/>
      <c r="P36" s="581"/>
      <c r="Q36" s="581"/>
      <c r="R36" s="581"/>
      <c r="S36" s="581"/>
      <c r="T36" s="581"/>
      <c r="U36" s="581"/>
      <c r="V36" s="581"/>
      <c r="W36" s="581"/>
      <c r="X36" s="581"/>
      <c r="Y36" s="581"/>
      <c r="Z36" s="581"/>
      <c r="AA36" s="581"/>
      <c r="AB36" s="581"/>
      <c r="AC36" s="581"/>
      <c r="AD36" s="581"/>
      <c r="AE36" s="581"/>
      <c r="AF36" s="581"/>
      <c r="AG36" s="581"/>
      <c r="AH36" s="581"/>
      <c r="AI36" s="581"/>
      <c r="AJ36" s="581"/>
      <c r="AK36" s="581"/>
      <c r="AL36" s="581"/>
    </row>
    <row r="37" spans="1:38" x14ac:dyDescent="0.45">
      <c r="A37" s="581"/>
      <c r="B37" s="581"/>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c r="AL37" s="581"/>
    </row>
    <row r="38" spans="1:38" x14ac:dyDescent="0.45">
      <c r="A38" s="581"/>
      <c r="B38" s="581"/>
      <c r="C38" s="581"/>
      <c r="D38" s="581"/>
      <c r="E38" s="581"/>
      <c r="F38" s="581"/>
      <c r="G38" s="581"/>
      <c r="H38" s="581"/>
      <c r="I38" s="581"/>
      <c r="J38" s="581"/>
      <c r="K38" s="581"/>
      <c r="L38" s="581"/>
      <c r="M38" s="581"/>
      <c r="N38" s="581"/>
      <c r="O38" s="581"/>
      <c r="P38" s="581"/>
      <c r="Q38" s="581"/>
      <c r="R38" s="581"/>
      <c r="S38" s="581"/>
      <c r="T38" s="581"/>
      <c r="U38" s="581"/>
      <c r="V38" s="581"/>
      <c r="W38" s="581"/>
      <c r="X38" s="581"/>
      <c r="Y38" s="581"/>
      <c r="Z38" s="581"/>
      <c r="AA38" s="581"/>
      <c r="AB38" s="581"/>
      <c r="AC38" s="581"/>
      <c r="AD38" s="581"/>
      <c r="AE38" s="581"/>
      <c r="AF38" s="581"/>
      <c r="AG38" s="581"/>
      <c r="AH38" s="581"/>
      <c r="AI38" s="581"/>
      <c r="AJ38" s="581"/>
      <c r="AK38" s="581"/>
      <c r="AL38" s="581"/>
    </row>
    <row r="39" spans="1:38" x14ac:dyDescent="0.45">
      <c r="A39" s="581"/>
      <c r="B39" s="581"/>
      <c r="C39" s="581"/>
      <c r="D39" s="581"/>
      <c r="E39" s="581"/>
      <c r="F39" s="581"/>
      <c r="G39" s="581"/>
      <c r="H39" s="581"/>
      <c r="I39" s="581"/>
      <c r="J39" s="581"/>
      <c r="K39" s="581"/>
      <c r="L39" s="581"/>
      <c r="M39" s="581"/>
      <c r="N39" s="581"/>
      <c r="O39" s="581"/>
      <c r="P39" s="581"/>
      <c r="Q39" s="581"/>
      <c r="R39" s="581"/>
      <c r="S39" s="581"/>
      <c r="T39" s="581"/>
      <c r="U39" s="581"/>
      <c r="V39" s="581"/>
      <c r="W39" s="581"/>
      <c r="X39" s="581"/>
      <c r="Y39" s="581"/>
      <c r="Z39" s="581"/>
      <c r="AA39" s="581"/>
      <c r="AB39" s="581"/>
      <c r="AC39" s="581"/>
      <c r="AD39" s="581"/>
      <c r="AE39" s="581"/>
      <c r="AF39" s="581"/>
      <c r="AG39" s="581"/>
      <c r="AH39" s="581"/>
      <c r="AI39" s="581"/>
      <c r="AJ39" s="581"/>
      <c r="AK39" s="581"/>
      <c r="AL39" s="581"/>
    </row>
    <row r="40" spans="1:38" x14ac:dyDescent="0.45">
      <c r="A40" s="581"/>
      <c r="B40" s="581"/>
      <c r="C40" s="581"/>
      <c r="D40" s="581"/>
      <c r="E40" s="581"/>
      <c r="F40" s="581"/>
      <c r="G40" s="581"/>
      <c r="H40" s="581"/>
      <c r="I40" s="581"/>
      <c r="J40" s="581"/>
      <c r="K40" s="581"/>
      <c r="L40" s="581"/>
      <c r="M40" s="581"/>
      <c r="N40" s="581"/>
      <c r="O40" s="581"/>
      <c r="P40" s="581"/>
      <c r="Q40" s="581"/>
      <c r="R40" s="581"/>
      <c r="S40" s="581"/>
      <c r="T40" s="581"/>
      <c r="U40" s="581"/>
      <c r="V40" s="581"/>
      <c r="W40" s="581"/>
      <c r="X40" s="581"/>
      <c r="Y40" s="581"/>
      <c r="Z40" s="581"/>
      <c r="AA40" s="581"/>
      <c r="AB40" s="581"/>
      <c r="AC40" s="581"/>
      <c r="AD40" s="581"/>
      <c r="AE40" s="581"/>
      <c r="AF40" s="581"/>
      <c r="AG40" s="581"/>
      <c r="AH40" s="581"/>
      <c r="AI40" s="581"/>
      <c r="AJ40" s="581"/>
      <c r="AK40" s="581"/>
      <c r="AL40" s="581"/>
    </row>
  </sheetData>
  <mergeCells count="1">
    <mergeCell ref="G15:H15"/>
  </mergeCells>
  <conditionalFormatting sqref="H11:H14">
    <cfRule type="expression" dxfId="1" priority="1">
      <formula>SUM($H$11:$H$14)&gt;6</formula>
    </cfRule>
  </conditionalFormatting>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0000000}">
          <x14:formula1>
            <xm:f>POF!$BC$2:$BC$3</xm:f>
          </x14:formula1>
          <xm:sqref>D15</xm:sqref>
        </x14:dataValidation>
        <x14:dataValidation type="list" allowBlank="1" showInputMessage="1" showErrorMessage="1" xr:uid="{00000000-0002-0000-0600-000001000000}">
          <x14:formula1>
            <xm:f>COF!$TH$10:$TH$11</xm:f>
          </x14:formula1>
          <xm:sqref>H6</xm:sqref>
        </x14:dataValidation>
        <x14:dataValidation type="list" allowBlank="1" showInputMessage="1" showErrorMessage="1" xr:uid="{00000000-0002-0000-0600-000002000000}">
          <x14:formula1>
            <xm:f>Thinning!$BU$3:$BU$5</xm:f>
          </x14:formula1>
          <xm:sqref>K4</xm:sqref>
        </x14:dataValidation>
        <x14:dataValidation type="list" allowBlank="1" showInputMessage="1" showErrorMessage="1" xr:uid="{00000000-0002-0000-0600-000003000000}">
          <x14:formula1>
            <xm:f>Thinning!$CD$4:$CD$5</xm:f>
          </x14:formula1>
          <xm:sqref>K12:K13</xm:sqref>
        </x14:dataValidation>
        <x14:dataValidation type="list" allowBlank="1" showInputMessage="1" showErrorMessage="1" xr:uid="{00000000-0002-0000-0600-000004000000}">
          <x14:formula1>
            <xm:f>'Tables - Part 2'!$K$3:$M$3</xm:f>
          </x14:formula1>
          <xm:sqref>D16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4">
    <tabColor rgb="FF7030A0"/>
  </sheetPr>
  <dimension ref="A1:DD105"/>
  <sheetViews>
    <sheetView showGridLines="0" zoomScale="70" zoomScaleNormal="70" workbookViewId="0">
      <pane xSplit="1" ySplit="8" topLeftCell="B9" activePane="bottomRight" state="frozen"/>
      <selection activeCell="F10" sqref="F10"/>
      <selection pane="topRight" activeCell="F10" sqref="F10"/>
      <selection pane="bottomLeft" activeCell="F10" sqref="F10"/>
      <selection pane="bottomRight" activeCell="A12" sqref="A12:XFD12"/>
    </sheetView>
  </sheetViews>
  <sheetFormatPr defaultColWidth="64.7265625" defaultRowHeight="14.5" x14ac:dyDescent="0.35"/>
  <cols>
    <col min="1" max="1" width="19.26953125" style="162" customWidth="1"/>
    <col min="2" max="2" width="22.7265625" style="162" bestFit="1" customWidth="1"/>
    <col min="3" max="3" width="17.54296875" style="162" bestFit="1" customWidth="1"/>
    <col min="4" max="4" width="28" style="162" bestFit="1" customWidth="1"/>
    <col min="5" max="5" width="19" style="162" bestFit="1" customWidth="1"/>
    <col min="6" max="7" width="22" style="162" bestFit="1" customWidth="1"/>
    <col min="8" max="8" width="15.54296875" style="162" bestFit="1" customWidth="1"/>
    <col min="9" max="9" width="21.26953125" style="162" bestFit="1" customWidth="1"/>
    <col min="10" max="10" width="15.54296875" style="162" bestFit="1" customWidth="1"/>
    <col min="11" max="11" width="14.7265625" style="162" bestFit="1" customWidth="1"/>
    <col min="12" max="12" width="15.1796875" style="162" bestFit="1" customWidth="1"/>
    <col min="13" max="14" width="9.453125" style="162" customWidth="1"/>
    <col min="15" max="15" width="24.453125" style="162" bestFit="1" customWidth="1"/>
    <col min="16" max="16" width="21.54296875" style="162" bestFit="1" customWidth="1"/>
    <col min="17" max="17" width="13.7265625" style="162" bestFit="1" customWidth="1"/>
    <col min="18" max="18" width="34" style="162" bestFit="1" customWidth="1"/>
    <col min="19" max="19" width="32.26953125" style="162" bestFit="1" customWidth="1"/>
    <col min="20" max="20" width="19.453125" style="162" bestFit="1" customWidth="1"/>
    <col min="21" max="21" width="18.26953125" style="162" bestFit="1" customWidth="1"/>
    <col min="22" max="22" width="25.54296875" style="162" bestFit="1" customWidth="1"/>
    <col min="23" max="23" width="6.54296875" style="162" bestFit="1" customWidth="1"/>
    <col min="24" max="24" width="11.81640625" style="162" bestFit="1" customWidth="1"/>
    <col min="25" max="25" width="33.26953125" style="162" bestFit="1" customWidth="1"/>
    <col min="26" max="26" width="12.54296875" style="162" bestFit="1" customWidth="1"/>
    <col min="27" max="27" width="12" style="162" bestFit="1" customWidth="1"/>
    <col min="28" max="28" width="19.7265625" style="162" bestFit="1" customWidth="1"/>
    <col min="29" max="29" width="20.1796875" style="162" bestFit="1" customWidth="1"/>
    <col min="30" max="30" width="29" style="162" bestFit="1" customWidth="1"/>
    <col min="31" max="31" width="9.81640625" style="162" bestFit="1" customWidth="1"/>
    <col min="32" max="32" width="7.26953125" style="162" bestFit="1" customWidth="1"/>
    <col min="33" max="33" width="19.453125" style="162" bestFit="1" customWidth="1"/>
    <col min="34" max="34" width="18.26953125" style="162" bestFit="1" customWidth="1"/>
    <col min="35" max="35" width="21.1796875" style="162" bestFit="1" customWidth="1"/>
    <col min="36" max="36" width="18.7265625" style="162" bestFit="1" customWidth="1"/>
    <col min="37" max="37" width="27.7265625" style="162" bestFit="1" customWidth="1"/>
    <col min="38" max="38" width="24.81640625" style="162" bestFit="1" customWidth="1"/>
    <col min="39" max="39" width="16.1796875" style="162" bestFit="1" customWidth="1"/>
    <col min="40" max="40" width="26.1796875" style="162" bestFit="1" customWidth="1"/>
    <col min="41" max="41" width="17" style="162" bestFit="1" customWidth="1"/>
    <col min="42" max="42" width="28.26953125" style="162" bestFit="1" customWidth="1"/>
    <col min="43" max="43" width="13.26953125" style="162" bestFit="1" customWidth="1"/>
    <col min="44" max="44" width="25.453125" style="162" bestFit="1" customWidth="1"/>
    <col min="45" max="45" width="21.1796875" style="162" bestFit="1" customWidth="1"/>
    <col min="46" max="51" width="5.453125" style="162" bestFit="1" customWidth="1"/>
    <col min="52" max="52" width="19.453125" style="162" bestFit="1" customWidth="1"/>
    <col min="53" max="53" width="27.26953125" style="162" bestFit="1" customWidth="1"/>
    <col min="54" max="54" width="12.7265625" style="162" bestFit="1" customWidth="1"/>
    <col min="55" max="55" width="26.54296875" style="162" bestFit="1" customWidth="1"/>
    <col min="56" max="57" width="18" style="162" bestFit="1" customWidth="1"/>
    <col min="58" max="58" width="21.1796875" style="162" bestFit="1" customWidth="1"/>
    <col min="59" max="59" width="11.54296875" style="162" bestFit="1" customWidth="1"/>
    <col min="60" max="60" width="26.26953125" style="162" bestFit="1" customWidth="1"/>
    <col min="61" max="61" width="9.1796875" style="162" bestFit="1" customWidth="1"/>
    <col min="62" max="62" width="20.1796875" style="162" bestFit="1" customWidth="1"/>
    <col min="63" max="63" width="22.7265625" style="162" bestFit="1" customWidth="1"/>
    <col min="64" max="64" width="16.81640625" style="162" bestFit="1" customWidth="1"/>
    <col min="65" max="65" width="17.26953125" style="162" bestFit="1" customWidth="1"/>
    <col min="66" max="66" width="26.26953125" style="162" bestFit="1" customWidth="1"/>
    <col min="67" max="70" width="11.54296875" style="162" bestFit="1" customWidth="1"/>
    <col min="71" max="71" width="23.7265625" style="162" bestFit="1" customWidth="1"/>
    <col min="72" max="72" width="5.81640625" style="162" bestFit="1" customWidth="1"/>
    <col min="73" max="73" width="5.1796875" style="162" bestFit="1" customWidth="1"/>
    <col min="74" max="74" width="5.453125" style="162" bestFit="1" customWidth="1"/>
    <col min="75" max="75" width="46.81640625" style="162" bestFit="1" customWidth="1"/>
    <col min="76" max="76" width="19.453125" style="162" bestFit="1" customWidth="1"/>
    <col min="77" max="78" width="21.1796875" style="162" bestFit="1" customWidth="1"/>
    <col min="79" max="80" width="12.26953125" style="162" bestFit="1" customWidth="1"/>
    <col min="81" max="81" width="23.26953125" style="162" bestFit="1" customWidth="1"/>
    <col min="82" max="82" width="22" style="162" bestFit="1" customWidth="1"/>
    <col min="83" max="83" width="7.54296875" style="162" bestFit="1" customWidth="1"/>
    <col min="84" max="84" width="6.54296875" style="162" bestFit="1" customWidth="1"/>
    <col min="85" max="85" width="5.453125" style="162" bestFit="1" customWidth="1"/>
    <col min="86" max="89" width="11.54296875" style="162" bestFit="1" customWidth="1"/>
    <col min="90" max="90" width="18.453125" style="162" bestFit="1" customWidth="1"/>
    <col min="91" max="91" width="23.7265625" style="162" bestFit="1" customWidth="1"/>
    <col min="92" max="92" width="29.1796875" style="162" bestFit="1" customWidth="1"/>
    <col min="93" max="93" width="12.54296875" style="162" bestFit="1" customWidth="1"/>
    <col min="94" max="94" width="10.453125" style="162" bestFit="1" customWidth="1"/>
    <col min="95" max="95" width="16.26953125" style="162" bestFit="1" customWidth="1"/>
    <col min="96" max="96" width="14.1796875" style="162" bestFit="1" customWidth="1"/>
    <col min="97" max="97" width="32.54296875" style="162" bestFit="1" customWidth="1"/>
    <col min="98" max="98" width="9.453125" style="162" bestFit="1" customWidth="1"/>
    <col min="99" max="99" width="29" style="162" bestFit="1" customWidth="1"/>
    <col min="100" max="100" width="30.54296875" style="162" bestFit="1" customWidth="1"/>
    <col min="101" max="103" width="24.1796875" style="162" bestFit="1" customWidth="1"/>
    <col min="104" max="104" width="19.7265625" style="162" bestFit="1" customWidth="1"/>
    <col min="105" max="105" width="27" style="162" bestFit="1" customWidth="1"/>
    <col min="106" max="106" width="18.453125" style="162" bestFit="1" customWidth="1"/>
    <col min="107" max="107" width="27" style="162" bestFit="1" customWidth="1"/>
    <col min="108" max="108" width="12.54296875" style="162" bestFit="1" customWidth="1"/>
    <col min="109" max="109" width="29" style="162" bestFit="1" customWidth="1"/>
    <col min="110" max="110" width="36.26953125" style="162" bestFit="1" customWidth="1"/>
    <col min="111" max="114" width="24.1796875" style="162" bestFit="1" customWidth="1"/>
    <col min="115" max="115" width="27" style="162" bestFit="1" customWidth="1"/>
    <col min="116" max="116" width="18.453125" style="162" bestFit="1" customWidth="1"/>
    <col min="117" max="117" width="27" style="162" bestFit="1" customWidth="1"/>
    <col min="118" max="118" width="18.453125" style="162" bestFit="1" customWidth="1"/>
    <col min="119" max="16384" width="64.7265625" style="162"/>
  </cols>
  <sheetData>
    <row r="1" spans="1:108" ht="15" thickBot="1" x14ac:dyDescent="0.4"/>
    <row r="2" spans="1:108" ht="15" thickBot="1" x14ac:dyDescent="0.4">
      <c r="B2" s="390" t="s">
        <v>1027</v>
      </c>
      <c r="C2" s="383" t="s">
        <v>1045</v>
      </c>
      <c r="D2" s="384" t="s">
        <v>1019</v>
      </c>
      <c r="E2" s="385" t="s">
        <v>1020</v>
      </c>
    </row>
    <row r="3" spans="1:108" ht="15" thickBot="1" x14ac:dyDescent="0.4">
      <c r="B3" s="394" t="s">
        <v>1020</v>
      </c>
      <c r="C3" s="389" t="str">
        <f>Risk!AT4</f>
        <v>A</v>
      </c>
      <c r="D3" s="386"/>
      <c r="E3" s="387"/>
      <c r="G3" s="682" t="s">
        <v>689</v>
      </c>
      <c r="H3" s="683"/>
      <c r="I3" s="683"/>
      <c r="J3" s="683"/>
      <c r="K3" s="683"/>
      <c r="L3" s="683"/>
      <c r="M3" s="683"/>
      <c r="N3" s="683"/>
      <c r="O3" s="684"/>
    </row>
    <row r="4" spans="1:108" ht="15" thickBot="1" x14ac:dyDescent="0.4">
      <c r="A4" s="280" t="s">
        <v>1564</v>
      </c>
      <c r="B4" s="356"/>
      <c r="C4" s="351" t="str">
        <f>Risk!AT5</f>
        <v>B</v>
      </c>
      <c r="D4" s="333"/>
      <c r="E4" s="388"/>
      <c r="G4" s="685" t="s">
        <v>690</v>
      </c>
      <c r="H4" s="686"/>
      <c r="I4" s="686"/>
      <c r="J4" s="686"/>
      <c r="K4" s="686"/>
      <c r="L4" s="686"/>
      <c r="M4" s="686"/>
      <c r="N4" s="686"/>
      <c r="O4" s="687"/>
    </row>
    <row r="5" spans="1:108" ht="15" thickBot="1" x14ac:dyDescent="0.4">
      <c r="A5" s="640" t="s">
        <v>1565</v>
      </c>
      <c r="B5" s="356"/>
      <c r="C5" s="351" t="str">
        <f>Risk!AT6</f>
        <v>C</v>
      </c>
      <c r="D5" s="333"/>
      <c r="E5" s="388"/>
      <c r="G5" s="688" t="s">
        <v>1030</v>
      </c>
      <c r="H5" s="689"/>
      <c r="I5" s="689"/>
      <c r="J5" s="689"/>
      <c r="K5" s="689"/>
      <c r="L5" s="689"/>
      <c r="M5" s="689"/>
      <c r="N5" s="689"/>
      <c r="O5" s="690"/>
    </row>
    <row r="6" spans="1:108" x14ac:dyDescent="0.35">
      <c r="B6" s="356"/>
      <c r="C6" s="351" t="str">
        <f>Risk!AT7</f>
        <v>D</v>
      </c>
      <c r="D6" s="333"/>
      <c r="E6" s="388"/>
    </row>
    <row r="7" spans="1:108" ht="15" thickBot="1" x14ac:dyDescent="0.4">
      <c r="B7" s="356"/>
      <c r="C7" s="352" t="str">
        <f>Risk!AT8</f>
        <v>E</v>
      </c>
      <c r="D7" s="355"/>
      <c r="E7" s="364"/>
    </row>
    <row r="8" spans="1:108" ht="15" thickBot="1" x14ac:dyDescent="0.4"/>
    <row r="9" spans="1:108" ht="15" thickBot="1" x14ac:dyDescent="0.4">
      <c r="B9" s="396" t="s">
        <v>1028</v>
      </c>
      <c r="C9" s="397"/>
      <c r="D9" s="397"/>
      <c r="E9" s="397"/>
      <c r="F9" s="397"/>
      <c r="G9" s="398"/>
      <c r="H9" s="608"/>
      <c r="I9" s="608"/>
      <c r="J9" s="608"/>
      <c r="K9" s="608"/>
      <c r="L9" s="608"/>
      <c r="M9" s="608"/>
      <c r="N9" s="608"/>
      <c r="W9" s="680" t="s">
        <v>1056</v>
      </c>
      <c r="X9" s="680"/>
      <c r="Y9" s="680"/>
      <c r="Z9" s="681"/>
      <c r="AE9" s="680" t="s">
        <v>1057</v>
      </c>
      <c r="AF9" s="680"/>
      <c r="AG9" s="680"/>
      <c r="AH9" s="680"/>
      <c r="AI9" s="680"/>
      <c r="AJ9" s="680"/>
      <c r="AK9" s="680"/>
      <c r="AL9" s="680"/>
      <c r="AM9" s="680"/>
      <c r="AN9" s="680"/>
      <c r="AO9" s="680"/>
      <c r="AP9" s="680"/>
      <c r="AQ9" s="680"/>
      <c r="AR9" s="680"/>
      <c r="AS9" s="680"/>
      <c r="AT9" s="680"/>
      <c r="AU9" s="680"/>
      <c r="AV9" s="680"/>
      <c r="AW9" s="680"/>
      <c r="AX9" s="680"/>
      <c r="AY9" s="680"/>
      <c r="AZ9" s="679" t="s">
        <v>1033</v>
      </c>
      <c r="BA9" s="680"/>
      <c r="BB9" s="680"/>
      <c r="BC9" s="681"/>
      <c r="BW9" s="600" t="s">
        <v>1034</v>
      </c>
      <c r="BX9" s="679" t="s">
        <v>1034</v>
      </c>
      <c r="BY9" s="680"/>
      <c r="BZ9" s="680"/>
      <c r="CA9" s="681"/>
      <c r="CN9" s="679" t="s">
        <v>1032</v>
      </c>
      <c r="CO9" s="680"/>
      <c r="CP9" s="680"/>
      <c r="CQ9" s="681"/>
    </row>
    <row r="10" spans="1:108" ht="15" thickBot="1" x14ac:dyDescent="0.4">
      <c r="P10" s="677" t="s">
        <v>1029</v>
      </c>
      <c r="Q10" s="678"/>
    </row>
    <row r="11" spans="1:108" ht="29" x14ac:dyDescent="0.35">
      <c r="B11" s="650" t="s">
        <v>968</v>
      </c>
      <c r="C11" s="650" t="s">
        <v>107</v>
      </c>
      <c r="D11" s="650" t="s">
        <v>969</v>
      </c>
      <c r="E11" s="650" t="s">
        <v>108</v>
      </c>
      <c r="F11" s="651" t="s">
        <v>92</v>
      </c>
      <c r="G11" s="650" t="s">
        <v>90</v>
      </c>
      <c r="H11" s="652" t="s">
        <v>1327</v>
      </c>
      <c r="I11" s="652" t="s">
        <v>1055</v>
      </c>
      <c r="J11" s="652" t="s">
        <v>1329</v>
      </c>
      <c r="K11" s="652" t="s">
        <v>1334</v>
      </c>
      <c r="L11" s="652" t="s">
        <v>1335</v>
      </c>
      <c r="M11" s="652" t="s">
        <v>1337</v>
      </c>
      <c r="N11" s="650" t="s">
        <v>935</v>
      </c>
      <c r="O11" s="651" t="s">
        <v>707</v>
      </c>
      <c r="P11" s="348" t="s">
        <v>212</v>
      </c>
      <c r="Q11" s="598" t="s">
        <v>211</v>
      </c>
      <c r="R11" s="653" t="s">
        <v>825</v>
      </c>
      <c r="S11" s="651" t="s">
        <v>826</v>
      </c>
      <c r="T11" s="651" t="s">
        <v>313</v>
      </c>
      <c r="U11" s="651" t="s">
        <v>314</v>
      </c>
      <c r="V11" s="651" t="s">
        <v>364</v>
      </c>
      <c r="W11" s="599" t="s">
        <v>955</v>
      </c>
      <c r="X11" s="599" t="s">
        <v>920</v>
      </c>
      <c r="Y11" s="343" t="s">
        <v>1039</v>
      </c>
      <c r="Z11" s="343" t="s">
        <v>754</v>
      </c>
      <c r="AA11" s="343" t="s">
        <v>977</v>
      </c>
      <c r="AB11" s="344" t="s">
        <v>1015</v>
      </c>
      <c r="AC11" s="344" t="s">
        <v>1016</v>
      </c>
      <c r="AD11" s="345" t="s">
        <v>1024</v>
      </c>
      <c r="AE11" s="346" t="s">
        <v>964</v>
      </c>
      <c r="AF11" s="346" t="s">
        <v>1091</v>
      </c>
      <c r="AG11" s="346" t="s">
        <v>1185</v>
      </c>
      <c r="AH11" s="346" t="s">
        <v>1186</v>
      </c>
      <c r="AI11" s="346" t="s">
        <v>1187</v>
      </c>
      <c r="AJ11" s="346" t="s">
        <v>1032</v>
      </c>
      <c r="AK11" s="346" t="s">
        <v>1188</v>
      </c>
      <c r="AL11" s="346" t="s">
        <v>1189</v>
      </c>
      <c r="AM11" s="346" t="s">
        <v>1190</v>
      </c>
      <c r="AN11" s="346" t="s">
        <v>1199</v>
      </c>
      <c r="AO11" s="346" t="s">
        <v>1212</v>
      </c>
      <c r="AP11" s="346" t="s">
        <v>1031</v>
      </c>
      <c r="AQ11" s="346" t="s">
        <v>1294</v>
      </c>
      <c r="AR11" s="346" t="s">
        <v>1303</v>
      </c>
      <c r="AS11" s="346" t="s">
        <v>1317</v>
      </c>
      <c r="AT11" s="346"/>
      <c r="AU11" s="346"/>
      <c r="AV11" s="346"/>
      <c r="AW11" s="346"/>
      <c r="AX11" s="346"/>
      <c r="AY11" s="346"/>
      <c r="AZ11" s="346" t="s">
        <v>951</v>
      </c>
      <c r="BA11" s="346" t="s">
        <v>1035</v>
      </c>
      <c r="BB11" s="346" t="s">
        <v>768</v>
      </c>
      <c r="BC11" s="346" t="s">
        <v>1036</v>
      </c>
      <c r="BD11" s="346" t="s">
        <v>1037</v>
      </c>
      <c r="BE11" s="346" t="s">
        <v>1038</v>
      </c>
      <c r="BF11" s="346" t="s">
        <v>763</v>
      </c>
      <c r="BG11" s="346" t="s">
        <v>766</v>
      </c>
      <c r="BH11" s="346" t="s">
        <v>1040</v>
      </c>
      <c r="BI11" s="346" t="s">
        <v>786</v>
      </c>
      <c r="BJ11" s="346" t="s">
        <v>775</v>
      </c>
      <c r="BK11" s="346" t="s">
        <v>776</v>
      </c>
      <c r="BL11" s="346" t="s">
        <v>774</v>
      </c>
      <c r="BM11" s="346" t="s">
        <v>785</v>
      </c>
      <c r="BN11" s="346" t="s">
        <v>787</v>
      </c>
      <c r="BO11" s="346" t="s">
        <v>713</v>
      </c>
      <c r="BP11" s="346" t="s">
        <v>714</v>
      </c>
      <c r="BQ11" s="346" t="s">
        <v>715</v>
      </c>
      <c r="BR11" s="346" t="s">
        <v>716</v>
      </c>
      <c r="BS11" s="346" t="s">
        <v>810</v>
      </c>
      <c r="BT11" s="346" t="s">
        <v>748</v>
      </c>
      <c r="BU11" s="346" t="s">
        <v>749</v>
      </c>
      <c r="BV11" s="346" t="s">
        <v>750</v>
      </c>
      <c r="BW11" s="139" t="s">
        <v>899</v>
      </c>
      <c r="BX11" s="346" t="s">
        <v>951</v>
      </c>
      <c r="BY11" s="346" t="s">
        <v>763</v>
      </c>
      <c r="BZ11" s="346" t="s">
        <v>763</v>
      </c>
      <c r="CA11" s="346" t="s">
        <v>919</v>
      </c>
      <c r="CB11" s="346" t="s">
        <v>919</v>
      </c>
      <c r="CC11" s="346" t="s">
        <v>922</v>
      </c>
      <c r="CD11" s="346" t="s">
        <v>923</v>
      </c>
      <c r="CE11" s="346" t="s">
        <v>903</v>
      </c>
      <c r="CF11" s="346" t="s">
        <v>916</v>
      </c>
      <c r="CG11" s="346" t="s">
        <v>917</v>
      </c>
      <c r="CH11" s="346" t="s">
        <v>713</v>
      </c>
      <c r="CI11" s="346" t="s">
        <v>714</v>
      </c>
      <c r="CJ11" s="346" t="s">
        <v>715</v>
      </c>
      <c r="CK11" s="346" t="s">
        <v>716</v>
      </c>
      <c r="CL11" s="346" t="s">
        <v>810</v>
      </c>
      <c r="CM11" s="346" t="s">
        <v>810</v>
      </c>
      <c r="CN11" s="139" t="s">
        <v>843</v>
      </c>
      <c r="CO11" s="139" t="s">
        <v>860</v>
      </c>
      <c r="CP11" s="139" t="s">
        <v>829</v>
      </c>
      <c r="CQ11" s="139" t="s">
        <v>844</v>
      </c>
      <c r="CR11" s="139" t="s">
        <v>846</v>
      </c>
      <c r="CS11" s="361" t="s">
        <v>859</v>
      </c>
      <c r="CT11" s="346" t="s">
        <v>858</v>
      </c>
      <c r="CU11" s="346" t="s">
        <v>874</v>
      </c>
      <c r="CV11" s="139" t="s">
        <v>867</v>
      </c>
      <c r="CW11" s="139" t="s">
        <v>893</v>
      </c>
      <c r="CX11" s="139" t="s">
        <v>894</v>
      </c>
      <c r="CY11" s="139" t="s">
        <v>895</v>
      </c>
      <c r="CZ11" s="139" t="s">
        <v>896</v>
      </c>
      <c r="DA11" s="139" t="s">
        <v>882</v>
      </c>
      <c r="DB11" s="139" t="s">
        <v>880</v>
      </c>
      <c r="DC11" s="139" t="s">
        <v>882</v>
      </c>
      <c r="DD11" s="139" t="s">
        <v>880</v>
      </c>
    </row>
    <row r="12" spans="1:108" s="280" customFormat="1" x14ac:dyDescent="0.35">
      <c r="A12" s="280" t="str">
        <f>CONCATENATE(B12,D12)</f>
        <v>V-90Casco</v>
      </c>
      <c r="B12" s="622" t="str">
        <f>'Cadastro Equipamento'!C5</f>
        <v>V-90</v>
      </c>
      <c r="C12" s="622" t="str">
        <f>'Cadastro Equipamento'!D5</f>
        <v>Vessel</v>
      </c>
      <c r="D12" s="622" t="str">
        <f>'Cadastro Equipamento'!C8</f>
        <v>Casco</v>
      </c>
      <c r="E12" s="622" t="str">
        <f>'Cadastro Equipamento'!D8</f>
        <v>DRUM</v>
      </c>
      <c r="F12" s="622" t="str">
        <f>'Cadastro Equipamento'!C13</f>
        <v>C3-C4</v>
      </c>
      <c r="G12" s="622" t="str">
        <f>'Cadastro Equipamento'!D13</f>
        <v>Liquid</v>
      </c>
      <c r="H12" s="622">
        <f>'Cadastro Equipamento'!E13</f>
        <v>0.5</v>
      </c>
      <c r="I12" s="622" t="str">
        <f>'Cadastro Equipamento'!F17</f>
        <v>U-2111_Topo</v>
      </c>
      <c r="J12" s="622">
        <f>'Cadastro Equipamento'!G17</f>
        <v>10000</v>
      </c>
      <c r="K12" s="622" t="str">
        <f>'Cadastro Equipamento'!G13</f>
        <v>H2S</v>
      </c>
      <c r="L12" s="622">
        <f>'Cadastro Equipamento'!H13</f>
        <v>1.1000000000000001E-3</v>
      </c>
      <c r="M12" s="622" t="str">
        <f>'Cadastro Equipamento'!I13</f>
        <v>Sim</v>
      </c>
      <c r="N12" s="625">
        <f>'Cadastro Equipamento'!E13</f>
        <v>0.5</v>
      </c>
      <c r="O12" s="622">
        <f>'Cadastro Equipamento'!G6</f>
        <v>3</v>
      </c>
      <c r="P12" s="622">
        <f>'Cadastro Equipamento'!G7</f>
        <v>4</v>
      </c>
      <c r="Q12" s="622">
        <f>'Cadastro Equipamento'!G8</f>
        <v>5</v>
      </c>
      <c r="R12" s="622">
        <f>'Cadastro Equipamento'!G4</f>
        <v>1</v>
      </c>
      <c r="S12" s="622">
        <f>'Cadastro Equipamento'!G5</f>
        <v>2</v>
      </c>
      <c r="T12" s="622" t="str">
        <f>'Cadastro Equipamento'!D16</f>
        <v>C</v>
      </c>
      <c r="U12" s="622" t="str">
        <f>'Cadastro Equipamento'!D17</f>
        <v>C</v>
      </c>
      <c r="V12" s="626" t="str">
        <f>'Cadastro Equipamento'!D18</f>
        <v>None</v>
      </c>
      <c r="W12" s="622">
        <f>'Dados de Inspeção'!I11</f>
        <v>8</v>
      </c>
      <c r="X12" s="627">
        <f>'Dados de Inspeção'!I4</f>
        <v>43831</v>
      </c>
      <c r="Y12" s="628">
        <f>'Dados de Inspeção'!I5</f>
        <v>43832</v>
      </c>
      <c r="Z12" s="627">
        <f>'Dados de Inspeção'!I6</f>
        <v>43833</v>
      </c>
      <c r="AA12" s="627">
        <f>'Dados de Inspeção'!I7</f>
        <v>43834</v>
      </c>
      <c r="AB12" s="627">
        <f>'Dados de Inspeção'!I8</f>
        <v>43835</v>
      </c>
      <c r="AC12" s="627">
        <f>'Dados de Inspeção'!I9</f>
        <v>43836</v>
      </c>
      <c r="AD12" s="629">
        <f>'Dados de Inspeção'!I10</f>
        <v>7</v>
      </c>
      <c r="AE12" s="630" t="s">
        <v>244</v>
      </c>
      <c r="AF12" s="505" t="str">
        <f>IF('Dados de Inspeção'!$O$16='Dados de Inspeção'!$O$6,COF!$TH$10,COF!$TH$11)</f>
        <v>Não</v>
      </c>
      <c r="AG12" s="505" t="str">
        <f>IF('Dados de Inspeção'!$Q$14='Dados de Inspeção'!$O$6,COF!$TH$10,COF!$TH$11)</f>
        <v>Não</v>
      </c>
      <c r="AH12" s="505" t="str">
        <f>IF('Dados de Inspeção'!$Q$16='Dados de Inspeção'!$O$6,COF!$TH$10,COF!$TH$11)</f>
        <v>Não</v>
      </c>
      <c r="AI12" s="505" t="str">
        <f>IF('Dados de Inspeção'!$R$16='Dados de Inspeção'!$O$6,COF!$TH$10,COF!$TH$11)</f>
        <v>Não</v>
      </c>
      <c r="AJ12" s="505" t="str">
        <f>IF('Dados de Inspeção'!$R$14='Dados de Inspeção'!$O$6,COF!$TH$10,COF!$TH$11)</f>
        <v>Não</v>
      </c>
      <c r="AK12" s="505" t="str">
        <f>IF('Dados de Inspeção'!$S$14='Dados de Inspeção'!$O$6,COF!$TH$10,COF!$TH$11)</f>
        <v>Não</v>
      </c>
      <c r="AL12" s="505" t="str">
        <f>IF('Dados de Inspeção'!$S$16='Dados de Inspeção'!$O$6,COF!$TH$10,COF!$TH$11)</f>
        <v>Não</v>
      </c>
      <c r="AM12" s="505" t="str">
        <f>IF('Dados de Inspeção'!$U$14='Dados de Inspeção'!$O$6,COF!$TH$10,COF!$TH$11)</f>
        <v>Não</v>
      </c>
      <c r="AN12" s="505" t="str">
        <f>IF('Dados de Inspeção'!$U$16='Dados de Inspeção'!$O$6,COF!$TH$10,COF!$TH$11)</f>
        <v>Não</v>
      </c>
      <c r="AO12" s="505" t="str">
        <f>IF('Dados de Inspeção'!$V$14='Dados de Inspeção'!$O$6,COF!$TH$10,COF!$TH$11)</f>
        <v>Não</v>
      </c>
      <c r="AP12" s="505" t="str">
        <f>IF('Dados de Inspeção'!$P$14='Dados de Inspeção'!$O$6,COF!$TH$10,COF!$TH$11)</f>
        <v>Não</v>
      </c>
      <c r="AQ12" s="505" t="str">
        <f>IF('Dados de Inspeção'!$P$16='Dados de Inspeção'!$O$6,COF!$TH$10,COF!$TH$11)</f>
        <v>Não</v>
      </c>
      <c r="AR12" s="505" t="str">
        <f>IF('Dados de Inspeção'!$T$14='Dados de Inspeção'!$O$6,COF!$TH$10,COF!$TH$11)</f>
        <v>Não</v>
      </c>
      <c r="AS12" s="505" t="str">
        <f>IF('Dados de Inspeção'!$T$16='Dados de Inspeção'!$O$6,COF!$TH$10,COF!$TH$11)</f>
        <v>Não</v>
      </c>
      <c r="AT12" s="505"/>
      <c r="AU12" s="505"/>
      <c r="AV12" s="505"/>
      <c r="AW12" s="505"/>
      <c r="AX12" s="505"/>
      <c r="AY12" s="505"/>
      <c r="AZ12" s="622" t="str">
        <f>ThinningUI!D15</f>
        <v>Generalizada</v>
      </c>
      <c r="BA12" s="505">
        <f>ThinningUI!H4</f>
        <v>10</v>
      </c>
      <c r="BB12" s="505" t="str">
        <f>ThinningUI!H6</f>
        <v>Não</v>
      </c>
      <c r="BC12" s="505">
        <f>ThinningUI!H7</f>
        <v>0</v>
      </c>
      <c r="BD12" s="631">
        <f>ThinningUI!D13</f>
        <v>3</v>
      </c>
      <c r="BE12" s="505">
        <f>ThinningUI!D14</f>
        <v>4</v>
      </c>
      <c r="BF12" s="628">
        <f>ThinningUI!D11</f>
        <v>1</v>
      </c>
      <c r="BG12" s="505">
        <f>ThinningUI!D12</f>
        <v>2</v>
      </c>
      <c r="BH12" s="505">
        <f>ThinningUI!H5</f>
        <v>2</v>
      </c>
      <c r="BI12" s="505">
        <f>ThinningUI!H8</f>
        <v>0</v>
      </c>
      <c r="BJ12" s="505">
        <f>ThinningUI!K5</f>
        <v>10</v>
      </c>
      <c r="BK12" s="505">
        <f>ThinningUI!K6</f>
        <v>20</v>
      </c>
      <c r="BL12" s="632">
        <f>ThinningUI!K7</f>
        <v>1</v>
      </c>
      <c r="BM12" s="505" t="str">
        <f>ThinningUI!K4</f>
        <v>Head</v>
      </c>
      <c r="BN12" s="505">
        <f>ThinningUI!K8</f>
        <v>0</v>
      </c>
      <c r="BO12" s="633">
        <f>ThinningUI!H11</f>
        <v>1</v>
      </c>
      <c r="BP12" s="633">
        <f>ThinningUI!H12</f>
        <v>2</v>
      </c>
      <c r="BQ12" s="633">
        <f>ThinningUI!H13</f>
        <v>3</v>
      </c>
      <c r="BR12" s="633">
        <f>ThinningUI!H14</f>
        <v>0</v>
      </c>
      <c r="BS12" s="634" t="str">
        <f>ThinningUI!D16</f>
        <v>High Confidence Data</v>
      </c>
      <c r="BT12" s="633">
        <f>ThinningUI!K11</f>
        <v>1</v>
      </c>
      <c r="BU12" s="633">
        <f>ThinningUI!K12</f>
        <v>1</v>
      </c>
      <c r="BV12" s="633">
        <f>ThinningUI!K13</f>
        <v>1</v>
      </c>
      <c r="BW12" s="633"/>
      <c r="BX12" s="635"/>
      <c r="BY12" s="628"/>
      <c r="BZ12" s="628"/>
      <c r="CA12" s="628"/>
      <c r="CB12" s="505"/>
      <c r="CC12" s="628"/>
      <c r="CD12" s="636"/>
      <c r="CE12" s="636"/>
      <c r="CF12" s="633"/>
      <c r="CG12" s="633"/>
      <c r="CH12" s="633"/>
      <c r="CI12" s="633"/>
      <c r="CJ12" s="633"/>
      <c r="CK12" s="633"/>
      <c r="CL12" s="634"/>
      <c r="CM12" s="505"/>
      <c r="CN12" s="505"/>
      <c r="CO12" s="505"/>
      <c r="CP12" s="628"/>
      <c r="CQ12" s="636"/>
      <c r="CR12" s="637"/>
      <c r="CS12" s="637"/>
      <c r="CT12" s="505"/>
      <c r="CU12" s="638"/>
      <c r="CV12" s="628"/>
      <c r="CW12" s="633"/>
      <c r="CX12" s="633"/>
      <c r="CY12" s="633"/>
      <c r="CZ12" s="633"/>
      <c r="DA12" s="631"/>
      <c r="DB12" s="633"/>
      <c r="DC12" s="631"/>
      <c r="DD12" s="633"/>
    </row>
    <row r="13" spans="1:108" s="640" customFormat="1" x14ac:dyDescent="0.35">
      <c r="A13" s="640" t="str">
        <f t="shared" ref="A13" si="0">CONCATENATE(B13,D13)</f>
        <v/>
      </c>
      <c r="B13" s="537"/>
      <c r="C13" s="537"/>
      <c r="D13" s="537"/>
      <c r="E13" s="537"/>
      <c r="F13" s="537"/>
      <c r="G13" s="537"/>
      <c r="H13" s="507"/>
      <c r="I13" s="507"/>
      <c r="J13" s="507"/>
      <c r="K13" s="507"/>
      <c r="L13" s="641"/>
      <c r="M13" s="641"/>
      <c r="N13" s="642"/>
      <c r="O13" s="537"/>
      <c r="P13" s="537"/>
      <c r="Q13" s="537"/>
      <c r="R13" s="537"/>
      <c r="S13" s="537"/>
      <c r="T13" s="537"/>
      <c r="U13" s="537"/>
      <c r="V13" s="643"/>
      <c r="W13" s="537"/>
      <c r="X13" s="404"/>
      <c r="Y13" s="357"/>
      <c r="Z13" s="404"/>
      <c r="AA13" s="404"/>
      <c r="AB13" s="404"/>
      <c r="AC13" s="404"/>
      <c r="AD13" s="644"/>
      <c r="AE13" s="508"/>
      <c r="AF13" s="218"/>
      <c r="AG13" s="218"/>
      <c r="AH13" s="218"/>
      <c r="AI13" s="218"/>
      <c r="AJ13" s="218"/>
      <c r="AK13" s="218"/>
      <c r="AL13" s="218"/>
      <c r="AM13" s="218"/>
      <c r="AN13" s="218"/>
      <c r="AO13" s="218"/>
      <c r="AP13" s="218"/>
      <c r="AQ13" s="218"/>
      <c r="AR13" s="218"/>
      <c r="AS13" s="218"/>
      <c r="AT13" s="218"/>
      <c r="AU13" s="218"/>
      <c r="AV13" s="218"/>
      <c r="AW13" s="218"/>
      <c r="AX13" s="218"/>
      <c r="AY13" s="218"/>
      <c r="AZ13" s="537"/>
      <c r="BA13" s="218"/>
      <c r="BB13" s="218"/>
      <c r="BC13" s="218"/>
      <c r="BD13" s="253"/>
      <c r="BE13" s="218"/>
      <c r="BF13" s="357"/>
      <c r="BG13" s="218"/>
      <c r="BH13" s="218"/>
      <c r="BI13" s="218"/>
      <c r="BJ13" s="218"/>
      <c r="BK13" s="218"/>
      <c r="BL13" s="645"/>
      <c r="BM13" s="218"/>
      <c r="BN13" s="218"/>
      <c r="BO13" s="245"/>
      <c r="BP13" s="245"/>
      <c r="BQ13" s="245"/>
      <c r="BR13" s="245"/>
      <c r="BS13" s="360"/>
      <c r="BT13" s="245"/>
      <c r="BU13" s="245"/>
      <c r="BV13" s="245"/>
      <c r="BW13" s="245"/>
      <c r="BX13" s="646"/>
      <c r="BY13" s="357"/>
      <c r="BZ13" s="357"/>
      <c r="CA13" s="357"/>
      <c r="CB13" s="218"/>
      <c r="CC13" s="357"/>
      <c r="CD13" s="647"/>
      <c r="CE13" s="647"/>
      <c r="CF13" s="245"/>
      <c r="CG13" s="245"/>
      <c r="CH13" s="245"/>
      <c r="CI13" s="245"/>
      <c r="CJ13" s="245"/>
      <c r="CK13" s="245"/>
      <c r="CL13" s="360"/>
      <c r="CM13" s="218"/>
      <c r="CN13" s="218"/>
      <c r="CO13" s="218"/>
      <c r="CP13" s="357"/>
      <c r="CQ13" s="647"/>
      <c r="CR13" s="648"/>
      <c r="CS13" s="648"/>
      <c r="CT13" s="218"/>
      <c r="CU13" s="649"/>
      <c r="CV13" s="357"/>
      <c r="CW13" s="245"/>
      <c r="CX13" s="245"/>
      <c r="CY13" s="245"/>
      <c r="CZ13" s="245"/>
      <c r="DA13" s="253"/>
      <c r="DB13" s="245"/>
      <c r="DC13" s="253"/>
      <c r="DD13" s="245"/>
    </row>
    <row r="14" spans="1:108" x14ac:dyDescent="0.35">
      <c r="B14" s="347"/>
      <c r="C14" s="356"/>
      <c r="E14" s="356"/>
    </row>
    <row r="24" spans="2:6" x14ac:dyDescent="0.35">
      <c r="B24" s="163"/>
    </row>
    <row r="25" spans="2:6" x14ac:dyDescent="0.35">
      <c r="B25" s="163"/>
      <c r="C25" s="166"/>
      <c r="D25" s="165"/>
      <c r="E25" s="166"/>
      <c r="F25" s="166"/>
    </row>
    <row r="26" spans="2:6" x14ac:dyDescent="0.35">
      <c r="B26" s="163"/>
      <c r="C26" s="166"/>
      <c r="D26" s="165"/>
      <c r="E26" s="166"/>
      <c r="F26" s="166"/>
    </row>
    <row r="27" spans="2:6" x14ac:dyDescent="0.35">
      <c r="B27" s="163"/>
    </row>
    <row r="28" spans="2:6" x14ac:dyDescent="0.35">
      <c r="B28" s="163"/>
    </row>
    <row r="29" spans="2:6" x14ac:dyDescent="0.35">
      <c r="B29" s="163"/>
    </row>
    <row r="30" spans="2:6" x14ac:dyDescent="0.35">
      <c r="B30" s="163"/>
    </row>
    <row r="31" spans="2:6" x14ac:dyDescent="0.35">
      <c r="B31" s="163"/>
    </row>
    <row r="32" spans="2:6" x14ac:dyDescent="0.35">
      <c r="B32" s="163"/>
    </row>
    <row r="33" spans="2:2" x14ac:dyDescent="0.35">
      <c r="B33" s="163"/>
    </row>
    <row r="34" spans="2:2" x14ac:dyDescent="0.35">
      <c r="B34" s="163"/>
    </row>
    <row r="35" spans="2:2" x14ac:dyDescent="0.35">
      <c r="B35" s="163"/>
    </row>
    <row r="76" spans="2:5" x14ac:dyDescent="0.35">
      <c r="B76" s="367"/>
    </row>
    <row r="77" spans="2:5" x14ac:dyDescent="0.35">
      <c r="B77" s="393"/>
      <c r="C77" s="166"/>
      <c r="D77" s="166"/>
      <c r="E77" s="166"/>
    </row>
    <row r="78" spans="2:5" x14ac:dyDescent="0.35">
      <c r="B78" s="393"/>
      <c r="C78" s="166"/>
      <c r="D78" s="166"/>
      <c r="E78" s="166"/>
    </row>
    <row r="79" spans="2:5" x14ac:dyDescent="0.35">
      <c r="B79" s="393"/>
      <c r="C79" s="166"/>
      <c r="D79" s="166"/>
      <c r="E79" s="166"/>
    </row>
    <row r="80" spans="2:5" x14ac:dyDescent="0.35">
      <c r="B80" s="393"/>
      <c r="C80" s="166"/>
      <c r="D80" s="166"/>
      <c r="E80" s="166"/>
    </row>
    <row r="81" spans="2:23" x14ac:dyDescent="0.35">
      <c r="B81" s="393"/>
      <c r="C81" s="166"/>
      <c r="D81" s="166"/>
      <c r="E81" s="166"/>
    </row>
    <row r="85" spans="2:23" x14ac:dyDescent="0.35">
      <c r="F85" s="391"/>
    </row>
    <row r="86" spans="2:23" x14ac:dyDescent="0.35">
      <c r="F86" s="391"/>
    </row>
    <row r="87" spans="2:23" x14ac:dyDescent="0.35">
      <c r="F87" s="391"/>
    </row>
    <row r="88" spans="2:23" x14ac:dyDescent="0.35">
      <c r="F88" s="391"/>
    </row>
    <row r="89" spans="2:23" x14ac:dyDescent="0.35">
      <c r="F89" s="391"/>
    </row>
    <row r="90" spans="2:23" x14ac:dyDescent="0.35">
      <c r="F90" s="391"/>
    </row>
    <row r="91" spans="2:23" x14ac:dyDescent="0.35">
      <c r="F91" s="391"/>
    </row>
    <row r="92" spans="2:23" x14ac:dyDescent="0.35">
      <c r="F92" s="391"/>
    </row>
    <row r="93" spans="2:23" x14ac:dyDescent="0.35">
      <c r="F93" s="391"/>
    </row>
    <row r="94" spans="2:23" x14ac:dyDescent="0.35">
      <c r="F94" s="391"/>
    </row>
    <row r="95" spans="2:23" x14ac:dyDescent="0.35">
      <c r="F95" s="391"/>
    </row>
    <row r="96" spans="2:23" x14ac:dyDescent="0.35">
      <c r="W96" s="391"/>
    </row>
    <row r="97" spans="2:25" x14ac:dyDescent="0.35">
      <c r="W97" s="391"/>
    </row>
    <row r="98" spans="2:25" x14ac:dyDescent="0.35">
      <c r="W98" s="391"/>
    </row>
    <row r="99" spans="2:25" x14ac:dyDescent="0.35">
      <c r="W99" s="391"/>
    </row>
    <row r="100" spans="2:25" x14ac:dyDescent="0.35">
      <c r="B100" s="356"/>
      <c r="C100" s="356"/>
      <c r="D100" s="356"/>
      <c r="E100" s="356"/>
      <c r="W100" s="391"/>
    </row>
    <row r="101" spans="2:25" x14ac:dyDescent="0.35">
      <c r="W101" s="391"/>
    </row>
    <row r="102" spans="2:25" x14ac:dyDescent="0.35">
      <c r="F102" s="356"/>
      <c r="G102" s="356"/>
      <c r="H102" s="356"/>
      <c r="I102" s="356"/>
      <c r="J102" s="356"/>
      <c r="K102" s="356"/>
      <c r="L102" s="356"/>
      <c r="M102" s="356"/>
      <c r="N102" s="356"/>
      <c r="O102" s="356"/>
      <c r="P102" s="356"/>
      <c r="Q102" s="356"/>
      <c r="R102" s="356"/>
      <c r="W102" s="391"/>
    </row>
    <row r="103" spans="2:25" x14ac:dyDescent="0.35">
      <c r="O103" s="356"/>
      <c r="P103" s="356"/>
      <c r="Q103" s="356"/>
      <c r="R103" s="356"/>
      <c r="S103" s="356"/>
      <c r="T103" s="356"/>
      <c r="U103" s="356"/>
      <c r="V103" s="356"/>
      <c r="W103" s="356"/>
      <c r="X103" s="356"/>
      <c r="Y103" s="356"/>
    </row>
    <row r="104" spans="2:25" x14ac:dyDescent="0.35">
      <c r="O104" s="356"/>
      <c r="P104" s="356"/>
      <c r="Q104" s="356"/>
      <c r="R104" s="356"/>
      <c r="S104" s="356"/>
      <c r="T104" s="356"/>
      <c r="U104" s="356"/>
      <c r="V104" s="356"/>
      <c r="W104" s="356"/>
      <c r="X104" s="356"/>
      <c r="Y104" s="356"/>
    </row>
    <row r="105" spans="2:25" x14ac:dyDescent="0.35">
      <c r="S105" s="356"/>
      <c r="T105" s="356"/>
      <c r="U105" s="356"/>
      <c r="V105" s="356"/>
      <c r="W105" s="356"/>
      <c r="X105" s="356"/>
      <c r="Y105" s="356"/>
    </row>
  </sheetData>
  <dataConsolidate/>
  <mergeCells count="9">
    <mergeCell ref="P10:Q10"/>
    <mergeCell ref="BX9:CA9"/>
    <mergeCell ref="CN9:CQ9"/>
    <mergeCell ref="G3:O3"/>
    <mergeCell ref="G4:O4"/>
    <mergeCell ref="G5:O5"/>
    <mergeCell ref="W9:Z9"/>
    <mergeCell ref="AE9:AY9"/>
    <mergeCell ref="AZ9:BC9"/>
  </mergeCells>
  <dataValidations count="1">
    <dataValidation type="list" allowBlank="1" showInputMessage="1" showErrorMessage="1" sqref="B3:B7" xr:uid="{00000000-0002-0000-0700-000000000000}">
      <formula1>$D$2:$E$2</formula1>
    </dataValidation>
  </dataValidations>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1">
    <tabColor rgb="FF7030A0"/>
  </sheetPr>
  <dimension ref="A1:EEE122"/>
  <sheetViews>
    <sheetView showGridLines="0" zoomScale="60" zoomScaleNormal="60" workbookViewId="0">
      <pane xSplit="1" ySplit="8" topLeftCell="B9" activePane="bottomRight" state="frozen"/>
      <selection activeCell="F10" sqref="F10"/>
      <selection pane="topRight" activeCell="F10" sqref="F10"/>
      <selection pane="bottomLeft" activeCell="F10" sqref="F10"/>
      <selection pane="bottomRight" activeCell="A29" sqref="A29:XFD29"/>
    </sheetView>
  </sheetViews>
  <sheetFormatPr defaultColWidth="64.7265625" defaultRowHeight="14.5" x14ac:dyDescent="0.35"/>
  <cols>
    <col min="1" max="1" width="20" style="162" customWidth="1"/>
    <col min="2" max="2" width="22.7265625" style="162" bestFit="1" customWidth="1"/>
    <col min="3" max="3" width="17.54296875" style="162" bestFit="1" customWidth="1"/>
    <col min="4" max="4" width="28" style="162" bestFit="1" customWidth="1"/>
    <col min="5" max="5" width="19" style="162" bestFit="1" customWidth="1"/>
    <col min="6" max="7" width="22" style="162" bestFit="1" customWidth="1"/>
    <col min="8" max="8" width="15.54296875" style="162" bestFit="1" customWidth="1"/>
    <col min="9" max="9" width="21.26953125" style="162" bestFit="1" customWidth="1"/>
    <col min="10" max="10" width="15.54296875" style="162" bestFit="1" customWidth="1"/>
    <col min="11" max="11" width="14.7265625" style="162" bestFit="1" customWidth="1"/>
    <col min="12" max="12" width="15.1796875" style="162" bestFit="1" customWidth="1"/>
    <col min="13" max="14" width="9.453125" style="162" customWidth="1"/>
    <col min="15" max="15" width="24.453125" style="162" bestFit="1" customWidth="1"/>
    <col min="16" max="16" width="21.54296875" style="162" bestFit="1" customWidth="1"/>
    <col min="17" max="17" width="13.7265625" style="162" bestFit="1" customWidth="1"/>
    <col min="18" max="18" width="34" style="162" bestFit="1" customWidth="1"/>
    <col min="19" max="19" width="32.26953125" style="162" bestFit="1" customWidth="1"/>
    <col min="20" max="20" width="19.453125" style="162" bestFit="1" customWidth="1"/>
    <col min="21" max="21" width="18.26953125" style="162" bestFit="1" customWidth="1"/>
    <col min="22" max="22" width="25.54296875" style="162" bestFit="1" customWidth="1"/>
    <col min="23" max="23" width="6.54296875" style="162" bestFit="1" customWidth="1"/>
    <col min="24" max="24" width="11.81640625" style="162" bestFit="1" customWidth="1"/>
    <col min="25" max="25" width="33.26953125" style="162" bestFit="1" customWidth="1"/>
    <col min="26" max="26" width="12.54296875" style="162" bestFit="1" customWidth="1"/>
    <col min="27" max="27" width="12" style="162" bestFit="1" customWidth="1"/>
    <col min="28" max="28" width="19.7265625" style="162" bestFit="1" customWidth="1"/>
    <col min="29" max="29" width="20.1796875" style="162" bestFit="1" customWidth="1"/>
    <col min="30" max="30" width="29" style="162" bestFit="1" customWidth="1"/>
    <col min="31" max="31" width="9.81640625" style="162" bestFit="1" customWidth="1"/>
    <col min="32" max="32" width="7.26953125" style="162" bestFit="1" customWidth="1"/>
    <col min="33" max="33" width="19.453125" style="162" bestFit="1" customWidth="1"/>
    <col min="34" max="34" width="18.26953125" style="162" bestFit="1" customWidth="1"/>
    <col min="35" max="35" width="21.1796875" style="162" bestFit="1" customWidth="1"/>
    <col min="36" max="36" width="18.7265625" style="162" bestFit="1" customWidth="1"/>
    <col min="37" max="37" width="27.7265625" style="162" bestFit="1" customWidth="1"/>
    <col min="38" max="38" width="24.81640625" style="162" bestFit="1" customWidth="1"/>
    <col min="39" max="39" width="16.1796875" style="162" bestFit="1" customWidth="1"/>
    <col min="40" max="40" width="26.1796875" style="162" bestFit="1" customWidth="1"/>
    <col min="41" max="41" width="17" style="162" bestFit="1" customWidth="1"/>
    <col min="42" max="42" width="28.26953125" style="162" bestFit="1" customWidth="1"/>
    <col min="43" max="43" width="13.26953125" style="162" bestFit="1" customWidth="1"/>
    <col min="44" max="44" width="25.453125" style="162" bestFit="1" customWidth="1"/>
    <col min="45" max="45" width="21.1796875" style="162" bestFit="1" customWidth="1"/>
    <col min="46" max="51" width="5.453125" style="162" bestFit="1" customWidth="1"/>
    <col min="52" max="52" width="19.453125" style="162" bestFit="1" customWidth="1"/>
    <col min="53" max="53" width="27.26953125" style="162" bestFit="1" customWidth="1"/>
    <col min="54" max="54" width="12.7265625" style="162" bestFit="1" customWidth="1"/>
    <col min="55" max="55" width="26.54296875" style="162" bestFit="1" customWidth="1"/>
    <col min="56" max="57" width="18" style="162" bestFit="1" customWidth="1"/>
    <col min="58" max="58" width="21.1796875" style="162" bestFit="1" customWidth="1"/>
    <col min="59" max="59" width="11.54296875" style="162" bestFit="1" customWidth="1"/>
    <col min="60" max="60" width="26.26953125" style="162" bestFit="1" customWidth="1"/>
    <col min="61" max="61" width="9.1796875" style="162" bestFit="1" customWidth="1"/>
    <col min="62" max="62" width="20.1796875" style="162" bestFit="1" customWidth="1"/>
    <col min="63" max="63" width="22.7265625" style="162" bestFit="1" customWidth="1"/>
    <col min="64" max="64" width="16.81640625" style="162" bestFit="1" customWidth="1"/>
    <col min="65" max="65" width="17.26953125" style="162" bestFit="1" customWidth="1"/>
    <col min="66" max="66" width="26.26953125" style="162" bestFit="1" customWidth="1"/>
    <col min="67" max="70" width="11.54296875" style="162" bestFit="1" customWidth="1"/>
    <col min="71" max="71" width="23.7265625" style="162" bestFit="1" customWidth="1"/>
    <col min="72" max="72" width="5.81640625" style="162" bestFit="1" customWidth="1"/>
    <col min="73" max="73" width="5.1796875" style="162" bestFit="1" customWidth="1"/>
    <col min="74" max="74" width="5.453125" style="162" bestFit="1" customWidth="1"/>
    <col min="75" max="75" width="46.81640625" style="162" bestFit="1" customWidth="1"/>
    <col min="76" max="76" width="19.453125" style="162" bestFit="1" customWidth="1"/>
    <col min="77" max="78" width="21.1796875" style="162" bestFit="1" customWidth="1"/>
    <col min="79" max="80" width="12.26953125" style="162" bestFit="1" customWidth="1"/>
    <col min="81" max="81" width="23.26953125" style="162" bestFit="1" customWidth="1"/>
    <col min="82" max="82" width="22" style="162" bestFit="1" customWidth="1"/>
    <col min="83" max="83" width="7.54296875" style="162" bestFit="1" customWidth="1"/>
    <col min="84" max="84" width="6.54296875" style="162" bestFit="1" customWidth="1"/>
    <col min="85" max="85" width="5.453125" style="162" bestFit="1" customWidth="1"/>
    <col min="86" max="89" width="11.54296875" style="162" bestFit="1" customWidth="1"/>
    <col min="90" max="90" width="18.453125" style="162" bestFit="1" customWidth="1"/>
    <col min="91" max="91" width="23.7265625" style="162" bestFit="1" customWidth="1"/>
    <col min="92" max="92" width="29.1796875" style="162" bestFit="1" customWidth="1"/>
    <col min="93" max="93" width="12.54296875" style="162" bestFit="1" customWidth="1"/>
    <col min="94" max="94" width="10.453125" style="162" bestFit="1" customWidth="1"/>
    <col min="95" max="95" width="16.26953125" style="162" bestFit="1" customWidth="1"/>
    <col min="96" max="96" width="14.1796875" style="162" bestFit="1" customWidth="1"/>
    <col min="97" max="97" width="32.54296875" style="162" bestFit="1" customWidth="1"/>
    <col min="98" max="98" width="9.453125" style="162" bestFit="1" customWidth="1"/>
    <col min="99" max="99" width="29" style="162" bestFit="1" customWidth="1"/>
    <col min="100" max="100" width="30.54296875" style="162" bestFit="1" customWidth="1"/>
    <col min="101" max="103" width="24.1796875" style="162" bestFit="1" customWidth="1"/>
    <col min="104" max="104" width="19.7265625" style="162" bestFit="1" customWidth="1"/>
    <col min="105" max="105" width="27" style="162" bestFit="1" customWidth="1"/>
    <col min="106" max="106" width="18.453125" style="162" bestFit="1" customWidth="1"/>
    <col min="107" max="107" width="27" style="162" bestFit="1" customWidth="1"/>
    <col min="108" max="108" width="12.54296875" style="162" bestFit="1" customWidth="1"/>
    <col min="109" max="109" width="29" style="162" bestFit="1" customWidth="1"/>
    <col min="110" max="110" width="36.26953125" style="162" bestFit="1" customWidth="1"/>
    <col min="111" max="114" width="24.1796875" style="162" bestFit="1" customWidth="1"/>
    <col min="115" max="115" width="27" style="162" bestFit="1" customWidth="1"/>
    <col min="116" max="116" width="18.453125" style="162" bestFit="1" customWidth="1"/>
    <col min="117" max="117" width="27" style="162" bestFit="1" customWidth="1"/>
    <col min="118" max="118" width="18.453125" style="162" bestFit="1" customWidth="1"/>
    <col min="119" max="16384" width="64.7265625" style="162"/>
  </cols>
  <sheetData>
    <row r="1" spans="1:108" ht="15" thickBot="1" x14ac:dyDescent="0.4">
      <c r="F1" s="162" t="str">
        <f>A12</f>
        <v>V-90Casco</v>
      </c>
    </row>
    <row r="2" spans="1:108" ht="15" thickBot="1" x14ac:dyDescent="0.4">
      <c r="B2" s="390" t="s">
        <v>1027</v>
      </c>
      <c r="C2" s="383" t="s">
        <v>1045</v>
      </c>
      <c r="D2" s="384" t="s">
        <v>1019</v>
      </c>
      <c r="E2" s="385" t="s">
        <v>1020</v>
      </c>
    </row>
    <row r="3" spans="1:108" ht="15" thickBot="1" x14ac:dyDescent="0.4">
      <c r="B3" s="394" t="str">
        <f>IF(Início!C5='Tratamento de Dados'!D2,Início!C5,'Tratamento de Dados'!E2)</f>
        <v>DF Target</v>
      </c>
      <c r="C3" s="389" t="str">
        <f>Risk!AT4</f>
        <v>A</v>
      </c>
      <c r="D3" s="386"/>
      <c r="E3" s="387"/>
      <c r="G3" s="682" t="s">
        <v>689</v>
      </c>
      <c r="H3" s="683"/>
      <c r="I3" s="683"/>
      <c r="J3" s="683"/>
      <c r="K3" s="683"/>
      <c r="L3" s="683"/>
      <c r="M3" s="683"/>
      <c r="N3" s="683"/>
      <c r="O3" s="684"/>
    </row>
    <row r="4" spans="1:108" ht="15" thickBot="1" x14ac:dyDescent="0.4">
      <c r="A4" s="280" t="s">
        <v>1564</v>
      </c>
      <c r="B4" s="356"/>
      <c r="C4" s="351" t="str">
        <f>Risk!AT5</f>
        <v>B</v>
      </c>
      <c r="D4" s="333"/>
      <c r="E4" s="388"/>
      <c r="G4" s="685" t="s">
        <v>690</v>
      </c>
      <c r="H4" s="686"/>
      <c r="I4" s="686"/>
      <c r="J4" s="686"/>
      <c r="K4" s="686"/>
      <c r="L4" s="686"/>
      <c r="M4" s="686"/>
      <c r="N4" s="686"/>
      <c r="O4" s="687"/>
    </row>
    <row r="5" spans="1:108" ht="15" thickBot="1" x14ac:dyDescent="0.4">
      <c r="A5" s="640" t="s">
        <v>1565</v>
      </c>
      <c r="B5" s="356"/>
      <c r="C5" s="351" t="str">
        <f>Risk!AT6</f>
        <v>C</v>
      </c>
      <c r="D5" s="333"/>
      <c r="E5" s="388"/>
      <c r="G5" s="688" t="s">
        <v>1030</v>
      </c>
      <c r="H5" s="689"/>
      <c r="I5" s="689"/>
      <c r="J5" s="689"/>
      <c r="K5" s="689"/>
      <c r="L5" s="689"/>
      <c r="M5" s="689"/>
      <c r="N5" s="689"/>
      <c r="O5" s="690"/>
    </row>
    <row r="6" spans="1:108" x14ac:dyDescent="0.35">
      <c r="B6" s="356"/>
      <c r="C6" s="351" t="str">
        <f>Risk!AT7</f>
        <v>D</v>
      </c>
      <c r="D6" s="333"/>
      <c r="E6" s="388"/>
    </row>
    <row r="7" spans="1:108" ht="15" thickBot="1" x14ac:dyDescent="0.4">
      <c r="A7" s="162" t="str">
        <f>INDEX(A14:A1048576,MATCH(F1,A14:A1048576,0))</f>
        <v>V-90Casco</v>
      </c>
      <c r="B7" s="356"/>
      <c r="C7" s="352" t="str">
        <f>Risk!AT8</f>
        <v>E</v>
      </c>
      <c r="D7" s="355"/>
      <c r="E7" s="364"/>
    </row>
    <row r="8" spans="1:108" ht="15" thickBot="1" x14ac:dyDescent="0.4"/>
    <row r="9" spans="1:108" ht="15" thickBot="1" x14ac:dyDescent="0.4">
      <c r="B9" s="396" t="s">
        <v>1028</v>
      </c>
      <c r="C9" s="397"/>
      <c r="D9" s="397"/>
      <c r="E9" s="397"/>
      <c r="F9" s="397"/>
      <c r="G9" s="398"/>
      <c r="H9" s="608"/>
      <c r="I9" s="608"/>
      <c r="J9" s="608"/>
      <c r="K9" s="608"/>
      <c r="L9" s="608"/>
      <c r="M9" s="608"/>
      <c r="N9" s="608"/>
      <c r="W9" s="680" t="s">
        <v>1056</v>
      </c>
      <c r="X9" s="680"/>
      <c r="Y9" s="680"/>
      <c r="Z9" s="681"/>
      <c r="AE9" s="680" t="s">
        <v>1057</v>
      </c>
      <c r="AF9" s="680"/>
      <c r="AG9" s="680"/>
      <c r="AH9" s="680"/>
      <c r="AI9" s="680"/>
      <c r="AJ9" s="680"/>
      <c r="AK9" s="680"/>
      <c r="AL9" s="680"/>
      <c r="AM9" s="680"/>
      <c r="AN9" s="680"/>
      <c r="AO9" s="680"/>
      <c r="AP9" s="680"/>
      <c r="AQ9" s="680"/>
      <c r="AR9" s="680"/>
      <c r="AS9" s="680"/>
      <c r="AT9" s="680"/>
      <c r="AU9" s="680"/>
      <c r="AV9" s="680"/>
      <c r="AW9" s="680"/>
      <c r="AX9" s="680"/>
      <c r="AY9" s="680"/>
      <c r="AZ9" s="679" t="s">
        <v>1033</v>
      </c>
      <c r="BA9" s="680"/>
      <c r="BB9" s="680"/>
      <c r="BC9" s="681"/>
      <c r="BW9" s="485" t="s">
        <v>1034</v>
      </c>
      <c r="BX9" s="679" t="s">
        <v>1034</v>
      </c>
      <c r="BY9" s="680"/>
      <c r="BZ9" s="680"/>
      <c r="CA9" s="681"/>
      <c r="CN9" s="679" t="s">
        <v>1032</v>
      </c>
      <c r="CO9" s="680"/>
      <c r="CP9" s="680"/>
      <c r="CQ9" s="681"/>
    </row>
    <row r="10" spans="1:108" ht="15" thickBot="1" x14ac:dyDescent="0.4">
      <c r="P10" s="677" t="s">
        <v>1029</v>
      </c>
      <c r="Q10" s="678"/>
    </row>
    <row r="11" spans="1:108" ht="29" x14ac:dyDescent="0.35">
      <c r="A11" s="162" t="str">
        <f>IF(ISNA(A7),0,"Erro")</f>
        <v>Erro</v>
      </c>
      <c r="B11" s="650" t="s">
        <v>968</v>
      </c>
      <c r="C11" s="650" t="s">
        <v>107</v>
      </c>
      <c r="D11" s="650" t="s">
        <v>969</v>
      </c>
      <c r="E11" s="650" t="s">
        <v>108</v>
      </c>
      <c r="F11" s="651" t="s">
        <v>92</v>
      </c>
      <c r="G11" s="650" t="s">
        <v>90</v>
      </c>
      <c r="H11" s="652" t="s">
        <v>1327</v>
      </c>
      <c r="I11" s="652" t="s">
        <v>1055</v>
      </c>
      <c r="J11" s="652" t="s">
        <v>1329</v>
      </c>
      <c r="K11" s="652" t="s">
        <v>1334</v>
      </c>
      <c r="L11" s="652" t="s">
        <v>1335</v>
      </c>
      <c r="M11" s="652" t="s">
        <v>1337</v>
      </c>
      <c r="N11" s="650" t="s">
        <v>935</v>
      </c>
      <c r="O11" s="651" t="s">
        <v>707</v>
      </c>
      <c r="P11" s="348" t="s">
        <v>212</v>
      </c>
      <c r="Q11" s="349" t="s">
        <v>211</v>
      </c>
      <c r="R11" s="653" t="s">
        <v>825</v>
      </c>
      <c r="S11" s="651" t="s">
        <v>826</v>
      </c>
      <c r="T11" s="651" t="s">
        <v>313</v>
      </c>
      <c r="U11" s="651" t="s">
        <v>314</v>
      </c>
      <c r="V11" s="651" t="s">
        <v>364</v>
      </c>
      <c r="W11" s="395" t="s">
        <v>955</v>
      </c>
      <c r="X11" s="395" t="s">
        <v>920</v>
      </c>
      <c r="Y11" s="343" t="s">
        <v>1039</v>
      </c>
      <c r="Z11" s="343" t="s">
        <v>754</v>
      </c>
      <c r="AA11" s="343" t="s">
        <v>977</v>
      </c>
      <c r="AB11" s="344" t="s">
        <v>1015</v>
      </c>
      <c r="AC11" s="344" t="s">
        <v>1016</v>
      </c>
      <c r="AD11" s="345" t="s">
        <v>1024</v>
      </c>
      <c r="AE11" s="346" t="s">
        <v>964</v>
      </c>
      <c r="AF11" s="346" t="s">
        <v>1091</v>
      </c>
      <c r="AG11" s="346" t="s">
        <v>1185</v>
      </c>
      <c r="AH11" s="346" t="s">
        <v>1186</v>
      </c>
      <c r="AI11" s="346" t="s">
        <v>1187</v>
      </c>
      <c r="AJ11" s="346" t="s">
        <v>1032</v>
      </c>
      <c r="AK11" s="346" t="s">
        <v>1188</v>
      </c>
      <c r="AL11" s="346" t="s">
        <v>1189</v>
      </c>
      <c r="AM11" s="346" t="s">
        <v>1190</v>
      </c>
      <c r="AN11" s="346" t="s">
        <v>1199</v>
      </c>
      <c r="AO11" s="346" t="s">
        <v>1212</v>
      </c>
      <c r="AP11" s="346" t="s">
        <v>1031</v>
      </c>
      <c r="AQ11" s="346" t="s">
        <v>1294</v>
      </c>
      <c r="AR11" s="346" t="s">
        <v>1303</v>
      </c>
      <c r="AS11" s="346" t="s">
        <v>1317</v>
      </c>
      <c r="AT11" s="346"/>
      <c r="AU11" s="346"/>
      <c r="AV11" s="346"/>
      <c r="AW11" s="346"/>
      <c r="AX11" s="346"/>
      <c r="AY11" s="346"/>
      <c r="AZ11" s="346" t="s">
        <v>951</v>
      </c>
      <c r="BA11" s="346" t="s">
        <v>1035</v>
      </c>
      <c r="BB11" s="346" t="s">
        <v>768</v>
      </c>
      <c r="BC11" s="346" t="s">
        <v>1036</v>
      </c>
      <c r="BD11" s="346" t="s">
        <v>1037</v>
      </c>
      <c r="BE11" s="346" t="s">
        <v>1038</v>
      </c>
      <c r="BF11" s="346" t="s">
        <v>763</v>
      </c>
      <c r="BG11" s="346" t="s">
        <v>766</v>
      </c>
      <c r="BH11" s="346" t="s">
        <v>1040</v>
      </c>
      <c r="BI11" s="346" t="s">
        <v>786</v>
      </c>
      <c r="BJ11" s="346" t="s">
        <v>775</v>
      </c>
      <c r="BK11" s="346" t="s">
        <v>776</v>
      </c>
      <c r="BL11" s="346" t="s">
        <v>774</v>
      </c>
      <c r="BM11" s="346" t="s">
        <v>785</v>
      </c>
      <c r="BN11" s="346" t="s">
        <v>787</v>
      </c>
      <c r="BO11" s="346" t="s">
        <v>713</v>
      </c>
      <c r="BP11" s="346" t="s">
        <v>714</v>
      </c>
      <c r="BQ11" s="346" t="s">
        <v>715</v>
      </c>
      <c r="BR11" s="346" t="s">
        <v>716</v>
      </c>
      <c r="BS11" s="346" t="s">
        <v>810</v>
      </c>
      <c r="BT11" s="346" t="s">
        <v>748</v>
      </c>
      <c r="BU11" s="346" t="s">
        <v>749</v>
      </c>
      <c r="BV11" s="346" t="s">
        <v>750</v>
      </c>
      <c r="BW11" s="139" t="s">
        <v>899</v>
      </c>
      <c r="BX11" s="346" t="s">
        <v>951</v>
      </c>
      <c r="BY11" s="346" t="s">
        <v>763</v>
      </c>
      <c r="BZ11" s="346" t="s">
        <v>763</v>
      </c>
      <c r="CA11" s="346" t="s">
        <v>919</v>
      </c>
      <c r="CB11" s="346" t="s">
        <v>919</v>
      </c>
      <c r="CC11" s="346" t="s">
        <v>922</v>
      </c>
      <c r="CD11" s="346" t="s">
        <v>923</v>
      </c>
      <c r="CE11" s="346" t="s">
        <v>903</v>
      </c>
      <c r="CF11" s="346" t="s">
        <v>916</v>
      </c>
      <c r="CG11" s="346" t="s">
        <v>917</v>
      </c>
      <c r="CH11" s="346" t="s">
        <v>713</v>
      </c>
      <c r="CI11" s="346" t="s">
        <v>714</v>
      </c>
      <c r="CJ11" s="346" t="s">
        <v>715</v>
      </c>
      <c r="CK11" s="346" t="s">
        <v>716</v>
      </c>
      <c r="CL11" s="346" t="s">
        <v>810</v>
      </c>
      <c r="CM11" s="346" t="s">
        <v>810</v>
      </c>
      <c r="CN11" s="139" t="s">
        <v>843</v>
      </c>
      <c r="CO11" s="139" t="s">
        <v>860</v>
      </c>
      <c r="CP11" s="139" t="s">
        <v>829</v>
      </c>
      <c r="CQ11" s="139" t="s">
        <v>844</v>
      </c>
      <c r="CR11" s="139" t="s">
        <v>846</v>
      </c>
      <c r="CS11" s="361" t="s">
        <v>859</v>
      </c>
      <c r="CT11" s="346" t="s">
        <v>858</v>
      </c>
      <c r="CU11" s="346" t="s">
        <v>874</v>
      </c>
      <c r="CV11" s="139" t="s">
        <v>867</v>
      </c>
      <c r="CW11" s="139" t="s">
        <v>893</v>
      </c>
      <c r="CX11" s="139" t="s">
        <v>894</v>
      </c>
      <c r="CY11" s="139" t="s">
        <v>895</v>
      </c>
      <c r="CZ11" s="139" t="s">
        <v>896</v>
      </c>
      <c r="DA11" s="139" t="s">
        <v>882</v>
      </c>
      <c r="DB11" s="139" t="s">
        <v>880</v>
      </c>
      <c r="DC11" s="139" t="s">
        <v>882</v>
      </c>
      <c r="DD11" s="139" t="s">
        <v>880</v>
      </c>
    </row>
    <row r="12" spans="1:108" s="280" customFormat="1" x14ac:dyDescent="0.35">
      <c r="A12" s="280" t="s">
        <v>1597</v>
      </c>
      <c r="B12" s="622" t="s">
        <v>1596</v>
      </c>
      <c r="C12" s="622" t="s">
        <v>166</v>
      </c>
      <c r="D12" s="622" t="s">
        <v>1042</v>
      </c>
      <c r="E12" s="622" t="s">
        <v>143</v>
      </c>
      <c r="F12" s="622" t="s">
        <v>694</v>
      </c>
      <c r="G12" s="622" t="s">
        <v>51</v>
      </c>
      <c r="H12" s="623">
        <v>0.5</v>
      </c>
      <c r="I12" s="623" t="s">
        <v>1330</v>
      </c>
      <c r="J12" s="623">
        <v>10000</v>
      </c>
      <c r="K12" s="623" t="s">
        <v>535</v>
      </c>
      <c r="L12" s="624">
        <v>1.1000000000000001E-3</v>
      </c>
      <c r="M12" s="624" t="s">
        <v>244</v>
      </c>
      <c r="N12" s="625">
        <v>0.5</v>
      </c>
      <c r="O12" s="622">
        <v>3</v>
      </c>
      <c r="P12" s="622">
        <v>4</v>
      </c>
      <c r="Q12" s="622">
        <v>5</v>
      </c>
      <c r="R12" s="622">
        <v>1</v>
      </c>
      <c r="S12" s="622">
        <v>2</v>
      </c>
      <c r="T12" s="622" t="s">
        <v>280</v>
      </c>
      <c r="U12" s="622" t="s">
        <v>280</v>
      </c>
      <c r="V12" s="626" t="s">
        <v>898</v>
      </c>
      <c r="W12" s="622">
        <v>8</v>
      </c>
      <c r="X12" s="627">
        <v>43831</v>
      </c>
      <c r="Y12" s="628">
        <v>43832</v>
      </c>
      <c r="Z12" s="627">
        <v>43833</v>
      </c>
      <c r="AA12" s="627">
        <v>43834</v>
      </c>
      <c r="AB12" s="627">
        <v>43835</v>
      </c>
      <c r="AC12" s="627">
        <v>43836</v>
      </c>
      <c r="AD12" s="629">
        <v>7</v>
      </c>
      <c r="AE12" s="630" t="s">
        <v>244</v>
      </c>
      <c r="AF12" s="505" t="s">
        <v>245</v>
      </c>
      <c r="AG12" s="505" t="s">
        <v>245</v>
      </c>
      <c r="AH12" s="505" t="s">
        <v>245</v>
      </c>
      <c r="AI12" s="505" t="s">
        <v>245</v>
      </c>
      <c r="AJ12" s="505" t="s">
        <v>245</v>
      </c>
      <c r="AK12" s="505" t="s">
        <v>245</v>
      </c>
      <c r="AL12" s="505" t="s">
        <v>245</v>
      </c>
      <c r="AM12" s="505" t="s">
        <v>245</v>
      </c>
      <c r="AN12" s="505" t="s">
        <v>245</v>
      </c>
      <c r="AO12" s="505" t="s">
        <v>245</v>
      </c>
      <c r="AP12" s="505" t="s">
        <v>245</v>
      </c>
      <c r="AQ12" s="505" t="s">
        <v>245</v>
      </c>
      <c r="AR12" s="505" t="s">
        <v>245</v>
      </c>
      <c r="AS12" s="505" t="s">
        <v>245</v>
      </c>
      <c r="AT12" s="505"/>
      <c r="AU12" s="505"/>
      <c r="AV12" s="505"/>
      <c r="AW12" s="505"/>
      <c r="AX12" s="505"/>
      <c r="AY12" s="505"/>
      <c r="AZ12" s="622" t="s">
        <v>953</v>
      </c>
      <c r="BA12" s="505">
        <v>10</v>
      </c>
      <c r="BB12" s="505" t="s">
        <v>245</v>
      </c>
      <c r="BC12" s="505">
        <v>0</v>
      </c>
      <c r="BD12" s="631">
        <v>3</v>
      </c>
      <c r="BE12" s="505">
        <v>4</v>
      </c>
      <c r="BF12" s="628">
        <v>1</v>
      </c>
      <c r="BG12" s="505">
        <v>2</v>
      </c>
      <c r="BH12" s="505">
        <v>2</v>
      </c>
      <c r="BI12" s="505">
        <v>0</v>
      </c>
      <c r="BJ12" s="505">
        <v>10</v>
      </c>
      <c r="BK12" s="505">
        <v>20</v>
      </c>
      <c r="BL12" s="632">
        <v>1</v>
      </c>
      <c r="BM12" s="505" t="s">
        <v>790</v>
      </c>
      <c r="BN12" s="505">
        <v>0</v>
      </c>
      <c r="BO12" s="633">
        <v>1</v>
      </c>
      <c r="BP12" s="633">
        <v>2</v>
      </c>
      <c r="BQ12" s="633">
        <v>3</v>
      </c>
      <c r="BR12" s="633">
        <v>0</v>
      </c>
      <c r="BS12" s="634" t="s">
        <v>799</v>
      </c>
      <c r="BT12" s="633">
        <v>1</v>
      </c>
      <c r="BU12" s="633">
        <v>1</v>
      </c>
      <c r="BV12" s="633">
        <v>1</v>
      </c>
      <c r="BW12" s="633"/>
      <c r="BX12" s="635"/>
      <c r="BY12" s="628"/>
      <c r="BZ12" s="628"/>
      <c r="CA12" s="628"/>
      <c r="CB12" s="505"/>
      <c r="CC12" s="628"/>
      <c r="CD12" s="636"/>
      <c r="CE12" s="636"/>
      <c r="CF12" s="633"/>
      <c r="CG12" s="633"/>
      <c r="CH12" s="633"/>
      <c r="CI12" s="633"/>
      <c r="CJ12" s="633"/>
      <c r="CK12" s="633"/>
      <c r="CL12" s="634"/>
      <c r="CM12" s="505"/>
      <c r="CN12" s="505"/>
      <c r="CO12" s="505"/>
      <c r="CP12" s="628"/>
      <c r="CQ12" s="636"/>
      <c r="CR12" s="637"/>
      <c r="CS12" s="637"/>
      <c r="CT12" s="505"/>
      <c r="CU12" s="638"/>
      <c r="CV12" s="628"/>
      <c r="CW12" s="633"/>
      <c r="CX12" s="633"/>
      <c r="CY12" s="633"/>
      <c r="CZ12" s="633"/>
      <c r="DA12" s="631"/>
      <c r="DB12" s="633"/>
      <c r="DC12" s="631"/>
      <c r="DD12" s="633"/>
    </row>
    <row r="13" spans="1:108" s="640" customFormat="1" x14ac:dyDescent="0.35">
      <c r="A13" s="640" t="str">
        <f t="shared" ref="A13" si="0">CONCATENATE(B13,D13)</f>
        <v>V-07Tampo_Sul</v>
      </c>
      <c r="B13" s="537" t="s">
        <v>1528</v>
      </c>
      <c r="C13" s="537" t="s">
        <v>166</v>
      </c>
      <c r="D13" s="537" t="s">
        <v>1561</v>
      </c>
      <c r="E13" s="537" t="s">
        <v>143</v>
      </c>
      <c r="F13" s="537" t="s">
        <v>694</v>
      </c>
      <c r="G13" s="537" t="s">
        <v>51</v>
      </c>
      <c r="H13" s="507"/>
      <c r="I13" s="507" t="s">
        <v>1330</v>
      </c>
      <c r="J13" s="507">
        <v>181528</v>
      </c>
      <c r="K13" s="507" t="s">
        <v>535</v>
      </c>
      <c r="L13" s="641">
        <v>1.1000000000000001E-3</v>
      </c>
      <c r="M13" s="641" t="s">
        <v>244</v>
      </c>
      <c r="N13" s="642">
        <v>0.5</v>
      </c>
      <c r="O13" s="537">
        <v>2479.6750000000002</v>
      </c>
      <c r="P13" s="537">
        <v>9144</v>
      </c>
      <c r="Q13" s="537"/>
      <c r="R13" s="537">
        <v>7.09722484</v>
      </c>
      <c r="S13" s="537">
        <v>49</v>
      </c>
      <c r="T13" s="537" t="s">
        <v>280</v>
      </c>
      <c r="U13" s="537" t="s">
        <v>280</v>
      </c>
      <c r="V13" s="643" t="s">
        <v>898</v>
      </c>
      <c r="W13" s="537">
        <v>1</v>
      </c>
      <c r="X13" s="404">
        <v>35234</v>
      </c>
      <c r="Y13" s="357">
        <v>43350</v>
      </c>
      <c r="Z13" s="404">
        <v>43983</v>
      </c>
      <c r="AA13" s="404">
        <v>47727</v>
      </c>
      <c r="AB13" s="404">
        <v>45536</v>
      </c>
      <c r="AC13" s="404">
        <v>47727</v>
      </c>
      <c r="AD13" s="644">
        <v>96</v>
      </c>
      <c r="AE13" s="508" t="s">
        <v>244</v>
      </c>
      <c r="AF13" s="218" t="str">
        <f>IF('Dados de Inspeção'!$O$16='Dados de Inspeção'!$O$6,COF!$TH$10,COF!$TH$11)</f>
        <v>Não</v>
      </c>
      <c r="AG13" s="218" t="str">
        <f>IF('Dados de Inspeção'!$Q$14='Dados de Inspeção'!$O$6,COF!$TH$10,COF!$TH$11)</f>
        <v>Não</v>
      </c>
      <c r="AH13" s="218" t="str">
        <f>IF('Dados de Inspeção'!$Q$16='Dados de Inspeção'!$O$6,COF!$TH$10,COF!$TH$11)</f>
        <v>Não</v>
      </c>
      <c r="AI13" s="218" t="str">
        <f>IF('Dados de Inspeção'!$R$16='Dados de Inspeção'!$O$6,COF!$TH$10,COF!$TH$11)</f>
        <v>Não</v>
      </c>
      <c r="AJ13" s="218" t="str">
        <f>IF('Dados de Inspeção'!$R$14='Dados de Inspeção'!$O$6,COF!$TH$10,COF!$TH$11)</f>
        <v>Não</v>
      </c>
      <c r="AK13" s="218" t="str">
        <f>IF('Dados de Inspeção'!$S$14='Dados de Inspeção'!$O$6,COF!$TH$10,COF!$TH$11)</f>
        <v>Não</v>
      </c>
      <c r="AL13" s="218" t="str">
        <f>IF('Dados de Inspeção'!$S$16='Dados de Inspeção'!$O$6,COF!$TH$10,COF!$TH$11)</f>
        <v>Não</v>
      </c>
      <c r="AM13" s="218" t="str">
        <f>IF('Dados de Inspeção'!$U$14='Dados de Inspeção'!$O$6,COF!$TH$10,COF!$TH$11)</f>
        <v>Não</v>
      </c>
      <c r="AN13" s="218" t="str">
        <f>IF('Dados de Inspeção'!$U$16='Dados de Inspeção'!$O$6,COF!$TH$10,COF!$TH$11)</f>
        <v>Não</v>
      </c>
      <c r="AO13" s="218" t="str">
        <f>IF('Dados de Inspeção'!$V$14='Dados de Inspeção'!$O$6,COF!$TH$10,COF!$TH$11)</f>
        <v>Não</v>
      </c>
      <c r="AP13" s="218" t="str">
        <f>IF('Dados de Inspeção'!$P$14='Dados de Inspeção'!$O$6,COF!$TH$10,COF!$TH$11)</f>
        <v>Não</v>
      </c>
      <c r="AQ13" s="218" t="str">
        <f>IF('Dados de Inspeção'!$P$16='Dados de Inspeção'!$O$6,COF!$TH$10,COF!$TH$11)</f>
        <v>Não</v>
      </c>
      <c r="AR13" s="218" t="str">
        <f>IF('Dados de Inspeção'!$T$14='Dados de Inspeção'!$O$6,COF!$TH$10,COF!$TH$11)</f>
        <v>Não</v>
      </c>
      <c r="AS13" s="218" t="str">
        <f>IF('Dados de Inspeção'!$T$16='Dados de Inspeção'!$O$6,COF!$TH$10,COF!$TH$11)</f>
        <v>Não</v>
      </c>
      <c r="AT13" s="218" t="s">
        <v>244</v>
      </c>
      <c r="AU13" s="218" t="s">
        <v>244</v>
      </c>
      <c r="AV13" s="218" t="s">
        <v>244</v>
      </c>
      <c r="AW13" s="218" t="s">
        <v>244</v>
      </c>
      <c r="AX13" s="218" t="s">
        <v>244</v>
      </c>
      <c r="AY13" s="218" t="s">
        <v>244</v>
      </c>
      <c r="AZ13" s="537" t="s">
        <v>953</v>
      </c>
      <c r="BA13" s="218">
        <v>12.5</v>
      </c>
      <c r="BB13" s="218" t="s">
        <v>245</v>
      </c>
      <c r="BC13" s="218">
        <v>0</v>
      </c>
      <c r="BD13" s="253">
        <v>9.9000000000000005E-2</v>
      </c>
      <c r="BE13" s="218">
        <v>0</v>
      </c>
      <c r="BF13" s="357">
        <v>43350</v>
      </c>
      <c r="BG13" s="218">
        <v>11.2</v>
      </c>
      <c r="BH13" s="218">
        <v>6.5</v>
      </c>
      <c r="BI13" s="218"/>
      <c r="BJ13" s="218">
        <v>31.908300000000001</v>
      </c>
      <c r="BK13" s="218">
        <v>60.1907</v>
      </c>
      <c r="BL13" s="645">
        <v>1</v>
      </c>
      <c r="BM13" s="218" t="s">
        <v>790</v>
      </c>
      <c r="BN13" s="218"/>
      <c r="BO13" s="245">
        <v>0</v>
      </c>
      <c r="BP13" s="245">
        <v>6</v>
      </c>
      <c r="BQ13" s="245">
        <v>0</v>
      </c>
      <c r="BR13" s="245">
        <v>0</v>
      </c>
      <c r="BS13" s="360" t="s">
        <v>799</v>
      </c>
      <c r="BT13" s="245">
        <v>1</v>
      </c>
      <c r="BU13" s="245">
        <v>1</v>
      </c>
      <c r="BV13" s="245">
        <v>1</v>
      </c>
      <c r="BW13" s="245" t="s">
        <v>245</v>
      </c>
      <c r="BX13" s="646" t="s">
        <v>953</v>
      </c>
      <c r="BY13" s="357"/>
      <c r="BZ13" s="357">
        <f t="shared" ref="BZ13" si="1">IF(BY13=0,IF(BF13=0,"",BF13),BY13)</f>
        <v>43350</v>
      </c>
      <c r="CA13" s="357"/>
      <c r="CB13" s="218">
        <f t="shared" ref="CB13" si="2">IF(CA13=0,IF(BG13=0,"",BG13),CA13)</f>
        <v>11.2</v>
      </c>
      <c r="CC13" s="357">
        <v>41127</v>
      </c>
      <c r="CD13" s="647" t="s">
        <v>926</v>
      </c>
      <c r="CE13" s="647" t="s">
        <v>905</v>
      </c>
      <c r="CF13" s="245">
        <v>1</v>
      </c>
      <c r="CG13" s="245">
        <v>1</v>
      </c>
      <c r="CH13" s="245">
        <v>0</v>
      </c>
      <c r="CI13" s="245">
        <v>5</v>
      </c>
      <c r="CJ13" s="245">
        <v>1</v>
      </c>
      <c r="CK13" s="245">
        <v>0</v>
      </c>
      <c r="CL13" s="360"/>
      <c r="CM13" s="218" t="str">
        <f t="shared" ref="CM13" si="3">IF(CL13=0,IF(BS13=0,"",BS13),CL13)</f>
        <v>High Confidence Data</v>
      </c>
      <c r="CN13" s="218" t="s">
        <v>245</v>
      </c>
      <c r="CO13" s="218" t="s">
        <v>61</v>
      </c>
      <c r="CP13" s="357" t="s">
        <v>838</v>
      </c>
      <c r="CQ13" s="647" t="s">
        <v>831</v>
      </c>
      <c r="CR13" s="648" t="s">
        <v>245</v>
      </c>
      <c r="CS13" s="648" t="s">
        <v>851</v>
      </c>
      <c r="CT13" s="218" t="s">
        <v>245</v>
      </c>
      <c r="CU13" s="649" t="s">
        <v>898</v>
      </c>
      <c r="CV13" s="357">
        <v>39092</v>
      </c>
      <c r="CW13" s="245">
        <v>0</v>
      </c>
      <c r="CX13" s="245">
        <v>1</v>
      </c>
      <c r="CY13" s="245">
        <v>1</v>
      </c>
      <c r="CZ13" s="245">
        <v>4</v>
      </c>
      <c r="DA13" s="253"/>
      <c r="DB13" s="245"/>
      <c r="DC13" s="253">
        <f>'HIC-SOHIC-H2S'!S5</f>
        <v>2.5</v>
      </c>
      <c r="DD13" s="245" t="str">
        <f>'HIC-SOHIC-H2S'!T5</f>
        <v>B</v>
      </c>
    </row>
    <row r="14" spans="1:108" x14ac:dyDescent="0.35">
      <c r="A14" s="162" t="s">
        <v>1567</v>
      </c>
      <c r="B14" s="399" t="s">
        <v>1566</v>
      </c>
      <c r="C14" s="161" t="s">
        <v>166</v>
      </c>
      <c r="D14" s="399" t="s">
        <v>1042</v>
      </c>
      <c r="E14" s="161" t="s">
        <v>143</v>
      </c>
      <c r="F14" s="161" t="s">
        <v>694</v>
      </c>
      <c r="G14" s="161" t="s">
        <v>51</v>
      </c>
      <c r="H14" s="507">
        <v>0.5</v>
      </c>
      <c r="I14" s="663" t="s">
        <v>1330</v>
      </c>
      <c r="J14" s="663">
        <v>10000</v>
      </c>
      <c r="K14" s="663" t="s">
        <v>535</v>
      </c>
      <c r="L14" s="663">
        <v>1.1000000000000001E-3</v>
      </c>
      <c r="M14" s="663" t="s">
        <v>244</v>
      </c>
      <c r="N14" s="277">
        <v>0.5</v>
      </c>
      <c r="O14" s="161">
        <v>3</v>
      </c>
      <c r="P14" s="161">
        <v>4</v>
      </c>
      <c r="Q14" s="170">
        <v>5</v>
      </c>
      <c r="R14" s="161">
        <v>1</v>
      </c>
      <c r="S14" s="161">
        <v>2</v>
      </c>
      <c r="T14" s="161" t="s">
        <v>280</v>
      </c>
      <c r="U14" s="161" t="s">
        <v>280</v>
      </c>
      <c r="V14" s="363" t="s">
        <v>898</v>
      </c>
      <c r="W14" s="161">
        <v>8</v>
      </c>
      <c r="X14" s="331">
        <v>43831</v>
      </c>
      <c r="Y14" s="210">
        <v>43832</v>
      </c>
      <c r="Z14" s="331">
        <v>43833</v>
      </c>
      <c r="AA14" s="331">
        <v>43834</v>
      </c>
      <c r="AB14" s="331">
        <v>43835</v>
      </c>
      <c r="AC14" s="331">
        <v>43836</v>
      </c>
      <c r="AD14" s="339">
        <v>7</v>
      </c>
      <c r="AE14" s="350" t="s">
        <v>244</v>
      </c>
      <c r="AF14" s="209" t="s">
        <v>245</v>
      </c>
      <c r="AG14" s="209" t="s">
        <v>245</v>
      </c>
      <c r="AH14" s="209" t="s">
        <v>245</v>
      </c>
      <c r="AI14" s="209" t="s">
        <v>245</v>
      </c>
      <c r="AJ14" s="209" t="s">
        <v>245</v>
      </c>
      <c r="AK14" s="209" t="s">
        <v>245</v>
      </c>
      <c r="AL14" s="209" t="s">
        <v>245</v>
      </c>
      <c r="AM14" s="209" t="s">
        <v>245</v>
      </c>
      <c r="AN14" s="209" t="s">
        <v>245</v>
      </c>
      <c r="AO14" s="209" t="s">
        <v>245</v>
      </c>
      <c r="AP14" s="209" t="s">
        <v>245</v>
      </c>
      <c r="AQ14" s="209" t="s">
        <v>245</v>
      </c>
      <c r="AR14" s="209" t="s">
        <v>245</v>
      </c>
      <c r="AS14" s="209" t="s">
        <v>245</v>
      </c>
      <c r="AT14" s="505"/>
      <c r="AU14" s="505"/>
      <c r="AV14" s="505"/>
      <c r="AW14" s="505"/>
      <c r="AX14" s="505"/>
      <c r="AY14" s="505"/>
      <c r="AZ14" s="161" t="s">
        <v>953</v>
      </c>
      <c r="BA14" s="209">
        <v>10</v>
      </c>
      <c r="BB14" s="209" t="s">
        <v>245</v>
      </c>
      <c r="BC14" s="209">
        <v>0</v>
      </c>
      <c r="BD14" s="366">
        <v>3</v>
      </c>
      <c r="BE14" s="209">
        <v>4</v>
      </c>
      <c r="BF14" s="210">
        <v>1</v>
      </c>
      <c r="BG14" s="209">
        <v>2</v>
      </c>
      <c r="BH14" s="209">
        <v>2</v>
      </c>
      <c r="BI14" s="218">
        <v>0</v>
      </c>
      <c r="BJ14" s="209">
        <v>10</v>
      </c>
      <c r="BK14" s="209">
        <v>20</v>
      </c>
      <c r="BL14" s="365">
        <v>1</v>
      </c>
      <c r="BM14" s="209" t="s">
        <v>790</v>
      </c>
      <c r="BN14" s="218">
        <v>0</v>
      </c>
      <c r="BO14" s="219">
        <v>1</v>
      </c>
      <c r="BP14" s="219">
        <v>2</v>
      </c>
      <c r="BQ14" s="219">
        <v>3</v>
      </c>
      <c r="BR14" s="219">
        <v>0</v>
      </c>
      <c r="BS14" s="225" t="s">
        <v>799</v>
      </c>
      <c r="BT14" s="219">
        <v>1</v>
      </c>
      <c r="BU14" s="219">
        <v>1</v>
      </c>
      <c r="BV14" s="219">
        <v>1</v>
      </c>
      <c r="BW14" s="219"/>
      <c r="BX14" s="359"/>
      <c r="BY14" s="357"/>
      <c r="BZ14" s="337"/>
      <c r="CA14" s="357"/>
      <c r="CB14" s="247"/>
      <c r="CC14" s="210"/>
      <c r="CD14" s="358"/>
      <c r="CE14" s="358"/>
      <c r="CF14" s="219"/>
      <c r="CG14" s="219"/>
      <c r="CH14" s="219"/>
      <c r="CI14" s="219"/>
      <c r="CJ14" s="219"/>
      <c r="CK14" s="219"/>
      <c r="CL14" s="360"/>
      <c r="CM14" s="247"/>
      <c r="CN14" s="209"/>
      <c r="CO14" s="209"/>
      <c r="CP14" s="210"/>
      <c r="CQ14" s="358"/>
      <c r="CR14" s="362"/>
      <c r="CS14" s="362"/>
      <c r="CT14" s="209"/>
      <c r="CU14" s="242"/>
      <c r="CV14" s="210"/>
      <c r="CW14" s="219"/>
      <c r="CX14" s="219"/>
      <c r="CY14" s="219"/>
      <c r="CZ14" s="219"/>
      <c r="DA14" s="253"/>
      <c r="DB14" s="245"/>
      <c r="DC14" s="256"/>
      <c r="DD14" s="246"/>
    </row>
    <row r="15" spans="1:108" x14ac:dyDescent="0.35">
      <c r="A15" s="162" t="s">
        <v>1569</v>
      </c>
      <c r="B15" s="399" t="s">
        <v>1568</v>
      </c>
      <c r="C15" s="161" t="s">
        <v>166</v>
      </c>
      <c r="D15" s="399" t="s">
        <v>1042</v>
      </c>
      <c r="E15" s="161" t="s">
        <v>143</v>
      </c>
      <c r="F15" s="161" t="s">
        <v>694</v>
      </c>
      <c r="G15" s="161" t="s">
        <v>51</v>
      </c>
      <c r="H15" s="507">
        <v>0.5</v>
      </c>
      <c r="I15" s="277" t="s">
        <v>1330</v>
      </c>
      <c r="J15" s="277">
        <v>10000</v>
      </c>
      <c r="K15" s="277" t="s">
        <v>535</v>
      </c>
      <c r="L15" s="277">
        <v>1.1000000000000001E-3</v>
      </c>
      <c r="M15" s="277" t="s">
        <v>244</v>
      </c>
      <c r="N15" s="277">
        <v>0.5</v>
      </c>
      <c r="O15" s="161">
        <v>3</v>
      </c>
      <c r="P15" s="161">
        <v>4</v>
      </c>
      <c r="Q15" s="170">
        <v>5</v>
      </c>
      <c r="R15" s="161">
        <v>1</v>
      </c>
      <c r="S15" s="161">
        <v>2</v>
      </c>
      <c r="T15" s="161" t="s">
        <v>280</v>
      </c>
      <c r="U15" s="161" t="s">
        <v>280</v>
      </c>
      <c r="V15" s="363" t="s">
        <v>898</v>
      </c>
      <c r="W15" s="161">
        <v>8</v>
      </c>
      <c r="X15" s="331">
        <v>43831</v>
      </c>
      <c r="Y15" s="210">
        <v>43832</v>
      </c>
      <c r="Z15" s="331">
        <v>43833</v>
      </c>
      <c r="AA15" s="331">
        <v>43834</v>
      </c>
      <c r="AB15" s="331">
        <v>43835</v>
      </c>
      <c r="AC15" s="331">
        <v>43836</v>
      </c>
      <c r="AD15" s="339">
        <v>7</v>
      </c>
      <c r="AE15" s="350" t="s">
        <v>244</v>
      </c>
      <c r="AF15" s="209" t="s">
        <v>245</v>
      </c>
      <c r="AG15" s="209" t="s">
        <v>245</v>
      </c>
      <c r="AH15" s="209" t="s">
        <v>245</v>
      </c>
      <c r="AI15" s="209" t="s">
        <v>245</v>
      </c>
      <c r="AJ15" s="209" t="s">
        <v>245</v>
      </c>
      <c r="AK15" s="209" t="s">
        <v>245</v>
      </c>
      <c r="AL15" s="209" t="s">
        <v>245</v>
      </c>
      <c r="AM15" s="209" t="s">
        <v>245</v>
      </c>
      <c r="AN15" s="209" t="s">
        <v>245</v>
      </c>
      <c r="AO15" s="209" t="s">
        <v>245</v>
      </c>
      <c r="AP15" s="209" t="s">
        <v>245</v>
      </c>
      <c r="AQ15" s="209" t="s">
        <v>245</v>
      </c>
      <c r="AR15" s="209" t="s">
        <v>245</v>
      </c>
      <c r="AS15" s="209" t="s">
        <v>245</v>
      </c>
      <c r="AT15" s="505"/>
      <c r="AU15" s="505"/>
      <c r="AV15" s="505"/>
      <c r="AW15" s="505"/>
      <c r="AX15" s="505"/>
      <c r="AY15" s="505"/>
      <c r="AZ15" s="161" t="s">
        <v>953</v>
      </c>
      <c r="BA15" s="209">
        <v>10</v>
      </c>
      <c r="BB15" s="209" t="s">
        <v>245</v>
      </c>
      <c r="BC15" s="209">
        <v>0</v>
      </c>
      <c r="BD15" s="366">
        <v>3</v>
      </c>
      <c r="BE15" s="209">
        <v>4</v>
      </c>
      <c r="BF15" s="210">
        <v>1</v>
      </c>
      <c r="BG15" s="209">
        <v>2</v>
      </c>
      <c r="BH15" s="209">
        <v>2</v>
      </c>
      <c r="BI15" s="218">
        <v>0</v>
      </c>
      <c r="BJ15" s="209">
        <v>10</v>
      </c>
      <c r="BK15" s="209">
        <v>20</v>
      </c>
      <c r="BL15" s="365">
        <v>1</v>
      </c>
      <c r="BM15" s="209" t="s">
        <v>790</v>
      </c>
      <c r="BN15" s="218">
        <v>0</v>
      </c>
      <c r="BO15" s="219">
        <v>1</v>
      </c>
      <c r="BP15" s="219">
        <v>2</v>
      </c>
      <c r="BQ15" s="219">
        <v>3</v>
      </c>
      <c r="BR15" s="219">
        <v>0</v>
      </c>
      <c r="BS15" s="225" t="s">
        <v>799</v>
      </c>
      <c r="BT15" s="219">
        <v>1</v>
      </c>
      <c r="BU15" s="219">
        <v>1</v>
      </c>
      <c r="BV15" s="219">
        <v>1</v>
      </c>
      <c r="BW15" s="219"/>
      <c r="BX15" s="359"/>
      <c r="BY15" s="357"/>
      <c r="BZ15" s="337"/>
      <c r="CA15" s="357"/>
      <c r="CB15" s="247"/>
      <c r="CC15" s="210"/>
      <c r="CD15" s="358"/>
      <c r="CE15" s="358"/>
      <c r="CF15" s="219"/>
      <c r="CG15" s="219"/>
      <c r="CH15" s="219"/>
      <c r="CI15" s="219"/>
      <c r="CJ15" s="219"/>
      <c r="CK15" s="219"/>
      <c r="CL15" s="360"/>
      <c r="CM15" s="247"/>
      <c r="CN15" s="209"/>
      <c r="CO15" s="209"/>
      <c r="CP15" s="210"/>
      <c r="CQ15" s="358"/>
      <c r="CR15" s="362"/>
      <c r="CS15" s="362"/>
      <c r="CT15" s="209"/>
      <c r="CU15" s="242"/>
      <c r="CV15" s="210"/>
      <c r="CW15" s="219"/>
      <c r="CX15" s="219"/>
      <c r="CY15" s="219"/>
      <c r="CZ15" s="219"/>
      <c r="DA15" s="253"/>
      <c r="DB15" s="245"/>
      <c r="DC15" s="256"/>
      <c r="DD15" s="246"/>
    </row>
    <row r="16" spans="1:108" x14ac:dyDescent="0.35">
      <c r="A16" s="162" t="s">
        <v>1571</v>
      </c>
      <c r="B16" s="399" t="s">
        <v>1570</v>
      </c>
      <c r="C16" s="161" t="s">
        <v>166</v>
      </c>
      <c r="D16" s="399" t="s">
        <v>1042</v>
      </c>
      <c r="E16" s="161" t="s">
        <v>143</v>
      </c>
      <c r="F16" s="161" t="s">
        <v>694</v>
      </c>
      <c r="G16" s="161" t="s">
        <v>51</v>
      </c>
      <c r="H16" s="507">
        <v>0.5</v>
      </c>
      <c r="I16" s="277" t="s">
        <v>1330</v>
      </c>
      <c r="J16" s="277">
        <v>10000</v>
      </c>
      <c r="K16" s="277" t="s">
        <v>535</v>
      </c>
      <c r="L16" s="277">
        <v>1.1000000000000001E-3</v>
      </c>
      <c r="M16" s="277" t="s">
        <v>244</v>
      </c>
      <c r="N16" s="277">
        <v>0.5</v>
      </c>
      <c r="O16" s="161">
        <v>3</v>
      </c>
      <c r="P16" s="161">
        <v>4</v>
      </c>
      <c r="Q16" s="170">
        <v>5</v>
      </c>
      <c r="R16" s="161">
        <v>1</v>
      </c>
      <c r="S16" s="161">
        <v>2</v>
      </c>
      <c r="T16" s="161" t="s">
        <v>280</v>
      </c>
      <c r="U16" s="161" t="s">
        <v>280</v>
      </c>
      <c r="V16" s="363" t="s">
        <v>898</v>
      </c>
      <c r="W16" s="161">
        <v>8</v>
      </c>
      <c r="X16" s="331">
        <v>43831</v>
      </c>
      <c r="Y16" s="210">
        <v>43832</v>
      </c>
      <c r="Z16" s="331">
        <v>43833</v>
      </c>
      <c r="AA16" s="331">
        <v>43834</v>
      </c>
      <c r="AB16" s="331">
        <v>43835</v>
      </c>
      <c r="AC16" s="331">
        <v>43836</v>
      </c>
      <c r="AD16" s="339">
        <v>7</v>
      </c>
      <c r="AE16" s="350" t="s">
        <v>244</v>
      </c>
      <c r="AF16" s="209" t="s">
        <v>245</v>
      </c>
      <c r="AG16" s="209" t="s">
        <v>245</v>
      </c>
      <c r="AH16" s="209" t="s">
        <v>245</v>
      </c>
      <c r="AI16" s="209" t="s">
        <v>245</v>
      </c>
      <c r="AJ16" s="209" t="s">
        <v>245</v>
      </c>
      <c r="AK16" s="209" t="s">
        <v>245</v>
      </c>
      <c r="AL16" s="209" t="s">
        <v>245</v>
      </c>
      <c r="AM16" s="209" t="s">
        <v>245</v>
      </c>
      <c r="AN16" s="209" t="s">
        <v>245</v>
      </c>
      <c r="AO16" s="209" t="s">
        <v>245</v>
      </c>
      <c r="AP16" s="209" t="s">
        <v>245</v>
      </c>
      <c r="AQ16" s="209" t="s">
        <v>245</v>
      </c>
      <c r="AR16" s="209" t="s">
        <v>245</v>
      </c>
      <c r="AS16" s="209" t="s">
        <v>245</v>
      </c>
      <c r="AT16" s="505"/>
      <c r="AU16" s="505"/>
      <c r="AV16" s="505"/>
      <c r="AW16" s="505"/>
      <c r="AX16" s="505"/>
      <c r="AY16" s="505"/>
      <c r="AZ16" s="161" t="s">
        <v>953</v>
      </c>
      <c r="BA16" s="209">
        <v>10</v>
      </c>
      <c r="BB16" s="209" t="s">
        <v>245</v>
      </c>
      <c r="BC16" s="209">
        <v>0</v>
      </c>
      <c r="BD16" s="366">
        <v>3</v>
      </c>
      <c r="BE16" s="209">
        <v>4</v>
      </c>
      <c r="BF16" s="210">
        <v>1</v>
      </c>
      <c r="BG16" s="209">
        <v>2</v>
      </c>
      <c r="BH16" s="209">
        <v>2</v>
      </c>
      <c r="BI16" s="218">
        <v>0</v>
      </c>
      <c r="BJ16" s="209">
        <v>10</v>
      </c>
      <c r="BK16" s="209">
        <v>20</v>
      </c>
      <c r="BL16" s="365">
        <v>1</v>
      </c>
      <c r="BM16" s="209" t="s">
        <v>790</v>
      </c>
      <c r="BN16" s="218">
        <v>0</v>
      </c>
      <c r="BO16" s="219">
        <v>1</v>
      </c>
      <c r="BP16" s="219">
        <v>2</v>
      </c>
      <c r="BQ16" s="219">
        <v>3</v>
      </c>
      <c r="BR16" s="219">
        <v>0</v>
      </c>
      <c r="BS16" s="225" t="s">
        <v>799</v>
      </c>
      <c r="BT16" s="219">
        <v>1</v>
      </c>
      <c r="BU16" s="219">
        <v>1</v>
      </c>
      <c r="BV16" s="219">
        <v>1</v>
      </c>
      <c r="BW16" s="219"/>
      <c r="BX16" s="359"/>
      <c r="BY16" s="357"/>
      <c r="BZ16" s="337"/>
      <c r="CA16" s="357"/>
      <c r="CB16" s="247"/>
      <c r="CC16" s="210"/>
      <c r="CD16" s="358"/>
      <c r="CE16" s="358"/>
      <c r="CF16" s="219"/>
      <c r="CG16" s="219"/>
      <c r="CH16" s="219"/>
      <c r="CI16" s="219"/>
      <c r="CJ16" s="219"/>
      <c r="CK16" s="219"/>
      <c r="CL16" s="360"/>
      <c r="CM16" s="247"/>
      <c r="CN16" s="209"/>
      <c r="CO16" s="209"/>
      <c r="CP16" s="210"/>
      <c r="CQ16" s="358"/>
      <c r="CR16" s="362"/>
      <c r="CS16" s="362"/>
      <c r="CT16" s="209"/>
      <c r="CU16" s="242"/>
      <c r="CV16" s="210"/>
      <c r="CW16" s="219"/>
      <c r="CX16" s="219"/>
      <c r="CY16" s="219"/>
      <c r="CZ16" s="219"/>
      <c r="DA16" s="253"/>
      <c r="DB16" s="245"/>
      <c r="DC16" s="256"/>
      <c r="DD16" s="246"/>
    </row>
    <row r="17" spans="1:108 3515:3515" x14ac:dyDescent="0.35">
      <c r="A17" s="162" t="s">
        <v>1591</v>
      </c>
      <c r="B17" s="399" t="s">
        <v>1590</v>
      </c>
      <c r="C17" s="161" t="s">
        <v>166</v>
      </c>
      <c r="D17" s="399" t="s">
        <v>1042</v>
      </c>
      <c r="E17" s="161" t="s">
        <v>143</v>
      </c>
      <c r="F17" s="161" t="s">
        <v>694</v>
      </c>
      <c r="G17" s="161" t="s">
        <v>51</v>
      </c>
      <c r="H17" s="507">
        <v>0.5</v>
      </c>
      <c r="I17" s="277" t="s">
        <v>1330</v>
      </c>
      <c r="J17" s="277">
        <v>10000</v>
      </c>
      <c r="K17" s="277" t="s">
        <v>535</v>
      </c>
      <c r="L17" s="277">
        <v>1.1000000000000001E-3</v>
      </c>
      <c r="M17" s="277" t="s">
        <v>244</v>
      </c>
      <c r="N17" s="277">
        <v>0.5</v>
      </c>
      <c r="O17" s="161">
        <v>3</v>
      </c>
      <c r="P17" s="161">
        <v>4</v>
      </c>
      <c r="Q17" s="170">
        <v>5</v>
      </c>
      <c r="R17" s="161">
        <v>1</v>
      </c>
      <c r="S17" s="161">
        <v>2</v>
      </c>
      <c r="T17" s="161" t="s">
        <v>280</v>
      </c>
      <c r="U17" s="161" t="s">
        <v>280</v>
      </c>
      <c r="V17" s="363" t="s">
        <v>898</v>
      </c>
      <c r="W17" s="161">
        <v>8</v>
      </c>
      <c r="X17" s="331">
        <v>43831</v>
      </c>
      <c r="Y17" s="210">
        <v>43832</v>
      </c>
      <c r="Z17" s="331">
        <v>43833</v>
      </c>
      <c r="AA17" s="331">
        <v>43834</v>
      </c>
      <c r="AB17" s="331">
        <v>43835</v>
      </c>
      <c r="AC17" s="331">
        <v>43836</v>
      </c>
      <c r="AD17" s="339">
        <v>7</v>
      </c>
      <c r="AE17" s="350" t="s">
        <v>244</v>
      </c>
      <c r="AF17" s="209" t="s">
        <v>245</v>
      </c>
      <c r="AG17" s="209" t="s">
        <v>245</v>
      </c>
      <c r="AH17" s="209" t="s">
        <v>245</v>
      </c>
      <c r="AI17" s="209" t="s">
        <v>245</v>
      </c>
      <c r="AJ17" s="209" t="s">
        <v>245</v>
      </c>
      <c r="AK17" s="209" t="s">
        <v>245</v>
      </c>
      <c r="AL17" s="209" t="s">
        <v>245</v>
      </c>
      <c r="AM17" s="209" t="s">
        <v>245</v>
      </c>
      <c r="AN17" s="209" t="s">
        <v>245</v>
      </c>
      <c r="AO17" s="209" t="s">
        <v>245</v>
      </c>
      <c r="AP17" s="209" t="s">
        <v>245</v>
      </c>
      <c r="AQ17" s="209" t="s">
        <v>245</v>
      </c>
      <c r="AR17" s="209" t="s">
        <v>245</v>
      </c>
      <c r="AS17" s="209" t="s">
        <v>245</v>
      </c>
      <c r="AT17" s="505"/>
      <c r="AU17" s="505"/>
      <c r="AV17" s="505"/>
      <c r="AW17" s="505"/>
      <c r="AX17" s="505"/>
      <c r="AY17" s="505"/>
      <c r="AZ17" s="161" t="s">
        <v>953</v>
      </c>
      <c r="BA17" s="209">
        <v>10</v>
      </c>
      <c r="BB17" s="209" t="s">
        <v>245</v>
      </c>
      <c r="BC17" s="209">
        <v>0</v>
      </c>
      <c r="BD17" s="366">
        <v>3</v>
      </c>
      <c r="BE17" s="209">
        <v>4</v>
      </c>
      <c r="BF17" s="210">
        <v>1</v>
      </c>
      <c r="BG17" s="209">
        <v>2</v>
      </c>
      <c r="BH17" s="209">
        <v>2</v>
      </c>
      <c r="BI17" s="218">
        <v>0</v>
      </c>
      <c r="BJ17" s="209">
        <v>10</v>
      </c>
      <c r="BK17" s="209">
        <v>20</v>
      </c>
      <c r="BL17" s="365">
        <v>1</v>
      </c>
      <c r="BM17" s="209" t="s">
        <v>790</v>
      </c>
      <c r="BN17" s="218">
        <v>0</v>
      </c>
      <c r="BO17" s="219">
        <v>1</v>
      </c>
      <c r="BP17" s="219">
        <v>2</v>
      </c>
      <c r="BQ17" s="219">
        <v>3</v>
      </c>
      <c r="BR17" s="219">
        <v>0</v>
      </c>
      <c r="BS17" s="225" t="s">
        <v>799</v>
      </c>
      <c r="BT17" s="219">
        <v>1</v>
      </c>
      <c r="BU17" s="219">
        <v>1</v>
      </c>
      <c r="BV17" s="219">
        <v>1</v>
      </c>
      <c r="BW17" s="219"/>
      <c r="BX17" s="359"/>
      <c r="BY17" s="357"/>
      <c r="BZ17" s="337"/>
      <c r="CA17" s="357"/>
      <c r="CB17" s="247"/>
      <c r="CC17" s="210"/>
      <c r="CD17" s="358"/>
      <c r="CE17" s="358"/>
      <c r="CF17" s="219"/>
      <c r="CG17" s="219"/>
      <c r="CH17" s="219"/>
      <c r="CI17" s="219"/>
      <c r="CJ17" s="219"/>
      <c r="CK17" s="219"/>
      <c r="CL17" s="360"/>
      <c r="CM17" s="247"/>
      <c r="CN17" s="209"/>
      <c r="CO17" s="209"/>
      <c r="CP17" s="210"/>
      <c r="CQ17" s="358"/>
      <c r="CR17" s="362"/>
      <c r="CS17" s="362"/>
      <c r="CT17" s="209"/>
      <c r="CU17" s="242"/>
      <c r="CV17" s="210"/>
      <c r="CW17" s="219"/>
      <c r="CX17" s="219"/>
      <c r="CY17" s="219"/>
      <c r="CZ17" s="219"/>
      <c r="DA17" s="253"/>
      <c r="DB17" s="245"/>
      <c r="DC17" s="256"/>
      <c r="DD17" s="246"/>
    </row>
    <row r="18" spans="1:108 3515:3515" x14ac:dyDescent="0.35">
      <c r="A18" s="162" t="s">
        <v>1573</v>
      </c>
      <c r="B18" s="399" t="s">
        <v>1572</v>
      </c>
      <c r="C18" s="161" t="s">
        <v>166</v>
      </c>
      <c r="D18" s="399" t="s">
        <v>1042</v>
      </c>
      <c r="E18" s="161" t="s">
        <v>143</v>
      </c>
      <c r="F18" s="161" t="s">
        <v>694</v>
      </c>
      <c r="G18" s="161" t="s">
        <v>51</v>
      </c>
      <c r="H18" s="507">
        <v>0.5</v>
      </c>
      <c r="I18" s="509" t="s">
        <v>1330</v>
      </c>
      <c r="J18" s="509">
        <v>10000</v>
      </c>
      <c r="K18" s="509" t="s">
        <v>535</v>
      </c>
      <c r="L18" s="664">
        <v>1.1000000000000001E-3</v>
      </c>
      <c r="M18" s="664" t="s">
        <v>244</v>
      </c>
      <c r="N18" s="277">
        <v>0.5</v>
      </c>
      <c r="O18" s="161">
        <v>3</v>
      </c>
      <c r="P18" s="161">
        <v>4</v>
      </c>
      <c r="Q18" s="170">
        <v>5</v>
      </c>
      <c r="R18" s="161">
        <v>1</v>
      </c>
      <c r="S18" s="161">
        <v>2</v>
      </c>
      <c r="T18" s="161" t="s">
        <v>280</v>
      </c>
      <c r="U18" s="161" t="s">
        <v>280</v>
      </c>
      <c r="V18" s="363" t="s">
        <v>898</v>
      </c>
      <c r="W18" s="161">
        <v>8</v>
      </c>
      <c r="X18" s="331">
        <v>43831</v>
      </c>
      <c r="Y18" s="210">
        <v>43832</v>
      </c>
      <c r="Z18" s="331">
        <v>43833</v>
      </c>
      <c r="AA18" s="331">
        <v>43834</v>
      </c>
      <c r="AB18" s="331">
        <v>43835</v>
      </c>
      <c r="AC18" s="331">
        <v>43836</v>
      </c>
      <c r="AD18" s="339">
        <v>7</v>
      </c>
      <c r="AE18" s="350" t="s">
        <v>244</v>
      </c>
      <c r="AF18" s="209" t="s">
        <v>245</v>
      </c>
      <c r="AG18" s="209" t="s">
        <v>245</v>
      </c>
      <c r="AH18" s="209" t="s">
        <v>245</v>
      </c>
      <c r="AI18" s="209" t="s">
        <v>245</v>
      </c>
      <c r="AJ18" s="209" t="s">
        <v>245</v>
      </c>
      <c r="AK18" s="209" t="s">
        <v>245</v>
      </c>
      <c r="AL18" s="209" t="s">
        <v>245</v>
      </c>
      <c r="AM18" s="209" t="s">
        <v>245</v>
      </c>
      <c r="AN18" s="209" t="s">
        <v>245</v>
      </c>
      <c r="AO18" s="209" t="s">
        <v>245</v>
      </c>
      <c r="AP18" s="209" t="s">
        <v>245</v>
      </c>
      <c r="AQ18" s="209" t="s">
        <v>245</v>
      </c>
      <c r="AR18" s="209" t="s">
        <v>245</v>
      </c>
      <c r="AS18" s="209" t="s">
        <v>245</v>
      </c>
      <c r="AT18" s="505"/>
      <c r="AU18" s="505"/>
      <c r="AV18" s="505"/>
      <c r="AW18" s="505"/>
      <c r="AX18" s="505"/>
      <c r="AY18" s="505"/>
      <c r="AZ18" s="161" t="s">
        <v>953</v>
      </c>
      <c r="BA18" s="209">
        <v>10</v>
      </c>
      <c r="BB18" s="209" t="s">
        <v>245</v>
      </c>
      <c r="BC18" s="209">
        <v>0</v>
      </c>
      <c r="BD18" s="366">
        <v>3</v>
      </c>
      <c r="BE18" s="209">
        <v>4</v>
      </c>
      <c r="BF18" s="210">
        <v>1</v>
      </c>
      <c r="BG18" s="209">
        <v>2</v>
      </c>
      <c r="BH18" s="209">
        <v>2</v>
      </c>
      <c r="BI18" s="218">
        <v>0</v>
      </c>
      <c r="BJ18" s="209">
        <v>10</v>
      </c>
      <c r="BK18" s="209">
        <v>20</v>
      </c>
      <c r="BL18" s="365">
        <v>1</v>
      </c>
      <c r="BM18" s="209" t="s">
        <v>790</v>
      </c>
      <c r="BN18" s="218">
        <v>0</v>
      </c>
      <c r="BO18" s="219">
        <v>1</v>
      </c>
      <c r="BP18" s="219">
        <v>2</v>
      </c>
      <c r="BQ18" s="219">
        <v>3</v>
      </c>
      <c r="BR18" s="219">
        <v>0</v>
      </c>
      <c r="BS18" s="225" t="s">
        <v>799</v>
      </c>
      <c r="BT18" s="219">
        <v>1</v>
      </c>
      <c r="BU18" s="219">
        <v>1</v>
      </c>
      <c r="BV18" s="219">
        <v>1</v>
      </c>
      <c r="BW18" s="219"/>
      <c r="BX18" s="359"/>
      <c r="BY18" s="357"/>
      <c r="BZ18" s="337"/>
      <c r="CA18" s="357"/>
      <c r="CB18" s="247"/>
      <c r="CC18" s="210"/>
      <c r="CD18" s="358"/>
      <c r="CE18" s="358"/>
      <c r="CF18" s="219"/>
      <c r="CG18" s="219"/>
      <c r="CH18" s="219"/>
      <c r="CI18" s="219"/>
      <c r="CJ18" s="219"/>
      <c r="CK18" s="219"/>
      <c r="CL18" s="360"/>
      <c r="CM18" s="247"/>
      <c r="CN18" s="209"/>
      <c r="CO18" s="209"/>
      <c r="CP18" s="210"/>
      <c r="CQ18" s="358"/>
      <c r="CR18" s="362"/>
      <c r="CS18" s="362"/>
      <c r="CT18" s="209"/>
      <c r="CU18" s="242"/>
      <c r="CV18" s="210"/>
      <c r="CW18" s="219"/>
      <c r="CX18" s="219"/>
      <c r="CY18" s="219"/>
      <c r="CZ18" s="219"/>
      <c r="DA18" s="253"/>
      <c r="DB18" s="245"/>
      <c r="DC18" s="256"/>
      <c r="DD18" s="246"/>
    </row>
    <row r="19" spans="1:108 3515:3515" x14ac:dyDescent="0.35">
      <c r="A19" s="162" t="s">
        <v>1582</v>
      </c>
      <c r="B19" s="399" t="s">
        <v>1574</v>
      </c>
      <c r="C19" s="161" t="s">
        <v>166</v>
      </c>
      <c r="D19" s="399" t="s">
        <v>1042</v>
      </c>
      <c r="E19" s="161" t="s">
        <v>143</v>
      </c>
      <c r="F19" s="161" t="s">
        <v>694</v>
      </c>
      <c r="G19" s="161" t="s">
        <v>51</v>
      </c>
      <c r="H19" s="507">
        <v>0.5</v>
      </c>
      <c r="I19" s="277" t="s">
        <v>1330</v>
      </c>
      <c r="J19" s="277">
        <v>10000</v>
      </c>
      <c r="K19" s="277" t="s">
        <v>535</v>
      </c>
      <c r="L19" s="277">
        <v>1.1000000000000001E-3</v>
      </c>
      <c r="M19" s="277" t="s">
        <v>244</v>
      </c>
      <c r="N19" s="277">
        <v>0.5</v>
      </c>
      <c r="O19" s="161">
        <v>3</v>
      </c>
      <c r="P19" s="161">
        <v>4</v>
      </c>
      <c r="Q19" s="170">
        <v>5</v>
      </c>
      <c r="R19" s="161">
        <v>1</v>
      </c>
      <c r="S19" s="161">
        <v>2</v>
      </c>
      <c r="T19" s="161" t="s">
        <v>280</v>
      </c>
      <c r="U19" s="161" t="s">
        <v>280</v>
      </c>
      <c r="V19" s="363" t="s">
        <v>898</v>
      </c>
      <c r="W19" s="161">
        <v>8</v>
      </c>
      <c r="X19" s="331">
        <v>43831</v>
      </c>
      <c r="Y19" s="210">
        <v>43832</v>
      </c>
      <c r="Z19" s="331">
        <v>43833</v>
      </c>
      <c r="AA19" s="331">
        <v>43834</v>
      </c>
      <c r="AB19" s="331">
        <v>43835</v>
      </c>
      <c r="AC19" s="331">
        <v>43836</v>
      </c>
      <c r="AD19" s="339">
        <v>7</v>
      </c>
      <c r="AE19" s="350" t="s">
        <v>244</v>
      </c>
      <c r="AF19" s="209" t="s">
        <v>245</v>
      </c>
      <c r="AG19" s="209" t="s">
        <v>245</v>
      </c>
      <c r="AH19" s="209" t="s">
        <v>245</v>
      </c>
      <c r="AI19" s="209" t="s">
        <v>245</v>
      </c>
      <c r="AJ19" s="209" t="s">
        <v>245</v>
      </c>
      <c r="AK19" s="209" t="s">
        <v>245</v>
      </c>
      <c r="AL19" s="209" t="s">
        <v>245</v>
      </c>
      <c r="AM19" s="209" t="s">
        <v>245</v>
      </c>
      <c r="AN19" s="209" t="s">
        <v>245</v>
      </c>
      <c r="AO19" s="209" t="s">
        <v>245</v>
      </c>
      <c r="AP19" s="209" t="s">
        <v>245</v>
      </c>
      <c r="AQ19" s="209" t="s">
        <v>245</v>
      </c>
      <c r="AR19" s="209" t="s">
        <v>245</v>
      </c>
      <c r="AS19" s="209" t="s">
        <v>245</v>
      </c>
      <c r="AT19" s="505"/>
      <c r="AU19" s="505"/>
      <c r="AV19" s="505"/>
      <c r="AW19" s="505"/>
      <c r="AX19" s="505"/>
      <c r="AY19" s="505"/>
      <c r="AZ19" s="161" t="s">
        <v>953</v>
      </c>
      <c r="BA19" s="209">
        <v>10</v>
      </c>
      <c r="BB19" s="209" t="s">
        <v>245</v>
      </c>
      <c r="BC19" s="209">
        <v>0</v>
      </c>
      <c r="BD19" s="366">
        <v>3</v>
      </c>
      <c r="BE19" s="209">
        <v>4</v>
      </c>
      <c r="BF19" s="210">
        <v>1</v>
      </c>
      <c r="BG19" s="209">
        <v>2</v>
      </c>
      <c r="BH19" s="209">
        <v>2</v>
      </c>
      <c r="BI19" s="218">
        <v>0</v>
      </c>
      <c r="BJ19" s="209">
        <v>10</v>
      </c>
      <c r="BK19" s="209">
        <v>20</v>
      </c>
      <c r="BL19" s="365">
        <v>1</v>
      </c>
      <c r="BM19" s="209" t="s">
        <v>790</v>
      </c>
      <c r="BN19" s="218">
        <v>0</v>
      </c>
      <c r="BO19" s="219">
        <v>1</v>
      </c>
      <c r="BP19" s="219">
        <v>2</v>
      </c>
      <c r="BQ19" s="219">
        <v>3</v>
      </c>
      <c r="BR19" s="219">
        <v>0</v>
      </c>
      <c r="BS19" s="225" t="s">
        <v>799</v>
      </c>
      <c r="BT19" s="219">
        <v>1</v>
      </c>
      <c r="BU19" s="219">
        <v>1</v>
      </c>
      <c r="BV19" s="219">
        <v>1</v>
      </c>
      <c r="BW19" s="219"/>
      <c r="BX19" s="359"/>
      <c r="BY19" s="357"/>
      <c r="BZ19" s="337"/>
      <c r="CA19" s="357"/>
      <c r="CB19" s="247"/>
      <c r="CC19" s="210"/>
      <c r="CD19" s="358"/>
      <c r="CE19" s="358"/>
      <c r="CF19" s="219"/>
      <c r="CG19" s="219"/>
      <c r="CH19" s="219"/>
      <c r="CI19" s="219"/>
      <c r="CJ19" s="219"/>
      <c r="CK19" s="219"/>
      <c r="CL19" s="360"/>
      <c r="CM19" s="247"/>
      <c r="CN19" s="209"/>
      <c r="CO19" s="209"/>
      <c r="CP19" s="210"/>
      <c r="CQ19" s="358"/>
      <c r="CR19" s="362"/>
      <c r="CS19" s="362"/>
      <c r="CT19" s="209"/>
      <c r="CU19" s="242"/>
      <c r="CV19" s="210"/>
      <c r="CW19" s="219"/>
      <c r="CX19" s="219"/>
      <c r="CY19" s="219"/>
      <c r="CZ19" s="219"/>
      <c r="DA19" s="253"/>
      <c r="DB19" s="245"/>
      <c r="DC19" s="256"/>
      <c r="DD19" s="246"/>
    </row>
    <row r="20" spans="1:108 3515:3515" x14ac:dyDescent="0.35">
      <c r="A20" s="162" t="s">
        <v>1583</v>
      </c>
      <c r="B20" s="399" t="s">
        <v>1575</v>
      </c>
      <c r="C20" s="161" t="s">
        <v>166</v>
      </c>
      <c r="D20" s="399" t="s">
        <v>1042</v>
      </c>
      <c r="E20" s="161" t="s">
        <v>143</v>
      </c>
      <c r="F20" s="161" t="s">
        <v>694</v>
      </c>
      <c r="G20" s="161" t="s">
        <v>51</v>
      </c>
      <c r="H20" s="507">
        <v>0.5</v>
      </c>
      <c r="I20" s="277" t="s">
        <v>1330</v>
      </c>
      <c r="J20" s="277">
        <v>10000</v>
      </c>
      <c r="K20" s="277" t="s">
        <v>535</v>
      </c>
      <c r="L20" s="277">
        <v>1.1000000000000001E-3</v>
      </c>
      <c r="M20" s="277" t="s">
        <v>244</v>
      </c>
      <c r="N20" s="277">
        <v>0.5</v>
      </c>
      <c r="O20" s="161">
        <v>3</v>
      </c>
      <c r="P20" s="161">
        <v>4</v>
      </c>
      <c r="Q20" s="170">
        <v>5</v>
      </c>
      <c r="R20" s="161">
        <v>1</v>
      </c>
      <c r="S20" s="161">
        <v>2</v>
      </c>
      <c r="T20" s="161" t="s">
        <v>280</v>
      </c>
      <c r="U20" s="161" t="s">
        <v>280</v>
      </c>
      <c r="V20" s="363" t="s">
        <v>898</v>
      </c>
      <c r="W20" s="161">
        <v>8</v>
      </c>
      <c r="X20" s="331">
        <v>43831</v>
      </c>
      <c r="Y20" s="210">
        <v>43832</v>
      </c>
      <c r="Z20" s="331">
        <v>43833</v>
      </c>
      <c r="AA20" s="331">
        <v>43834</v>
      </c>
      <c r="AB20" s="331">
        <v>43835</v>
      </c>
      <c r="AC20" s="331">
        <v>43836</v>
      </c>
      <c r="AD20" s="339">
        <v>7</v>
      </c>
      <c r="AE20" s="350" t="s">
        <v>244</v>
      </c>
      <c r="AF20" s="209" t="s">
        <v>245</v>
      </c>
      <c r="AG20" s="209" t="s">
        <v>245</v>
      </c>
      <c r="AH20" s="209" t="s">
        <v>245</v>
      </c>
      <c r="AI20" s="209" t="s">
        <v>245</v>
      </c>
      <c r="AJ20" s="209" t="s">
        <v>245</v>
      </c>
      <c r="AK20" s="209" t="s">
        <v>245</v>
      </c>
      <c r="AL20" s="209" t="s">
        <v>245</v>
      </c>
      <c r="AM20" s="209" t="s">
        <v>245</v>
      </c>
      <c r="AN20" s="209" t="s">
        <v>245</v>
      </c>
      <c r="AO20" s="209" t="s">
        <v>245</v>
      </c>
      <c r="AP20" s="209" t="s">
        <v>245</v>
      </c>
      <c r="AQ20" s="209" t="s">
        <v>245</v>
      </c>
      <c r="AR20" s="209" t="s">
        <v>245</v>
      </c>
      <c r="AS20" s="209" t="s">
        <v>245</v>
      </c>
      <c r="AT20" s="505"/>
      <c r="AU20" s="505"/>
      <c r="AV20" s="505"/>
      <c r="AW20" s="505"/>
      <c r="AX20" s="505"/>
      <c r="AY20" s="505"/>
      <c r="AZ20" s="161" t="s">
        <v>953</v>
      </c>
      <c r="BA20" s="209">
        <v>10</v>
      </c>
      <c r="BB20" s="209" t="s">
        <v>245</v>
      </c>
      <c r="BC20" s="209">
        <v>0</v>
      </c>
      <c r="BD20" s="366">
        <v>3</v>
      </c>
      <c r="BE20" s="209">
        <v>4</v>
      </c>
      <c r="BF20" s="210">
        <v>1</v>
      </c>
      <c r="BG20" s="209">
        <v>2</v>
      </c>
      <c r="BH20" s="209">
        <v>2</v>
      </c>
      <c r="BI20" s="218">
        <v>0</v>
      </c>
      <c r="BJ20" s="209">
        <v>10</v>
      </c>
      <c r="BK20" s="209">
        <v>20</v>
      </c>
      <c r="BL20" s="365">
        <v>1</v>
      </c>
      <c r="BM20" s="209" t="s">
        <v>790</v>
      </c>
      <c r="BN20" s="218">
        <v>0</v>
      </c>
      <c r="BO20" s="219">
        <v>1</v>
      </c>
      <c r="BP20" s="219">
        <v>2</v>
      </c>
      <c r="BQ20" s="219">
        <v>3</v>
      </c>
      <c r="BR20" s="219">
        <v>0</v>
      </c>
      <c r="BS20" s="225" t="s">
        <v>799</v>
      </c>
      <c r="BT20" s="219">
        <v>1</v>
      </c>
      <c r="BU20" s="219">
        <v>1</v>
      </c>
      <c r="BV20" s="219">
        <v>1</v>
      </c>
      <c r="BW20" s="219"/>
      <c r="BX20" s="359"/>
      <c r="BY20" s="357"/>
      <c r="BZ20" s="337"/>
      <c r="CA20" s="357"/>
      <c r="CB20" s="247"/>
      <c r="CC20" s="210"/>
      <c r="CD20" s="358"/>
      <c r="CE20" s="358"/>
      <c r="CF20" s="219"/>
      <c r="CG20" s="219"/>
      <c r="CH20" s="219"/>
      <c r="CI20" s="219"/>
      <c r="CJ20" s="219"/>
      <c r="CK20" s="219"/>
      <c r="CL20" s="360"/>
      <c r="CM20" s="247"/>
      <c r="CN20" s="209"/>
      <c r="CO20" s="209"/>
      <c r="CP20" s="210"/>
      <c r="CQ20" s="358"/>
      <c r="CR20" s="362"/>
      <c r="CS20" s="362"/>
      <c r="CT20" s="209"/>
      <c r="CU20" s="242"/>
      <c r="CV20" s="210"/>
      <c r="CW20" s="219"/>
      <c r="CX20" s="219"/>
      <c r="CY20" s="219"/>
      <c r="CZ20" s="219"/>
      <c r="DA20" s="253"/>
      <c r="DB20" s="245"/>
      <c r="DC20" s="256"/>
      <c r="DD20" s="246"/>
    </row>
    <row r="21" spans="1:108 3515:3515" x14ac:dyDescent="0.35">
      <c r="A21" s="162" t="s">
        <v>1584</v>
      </c>
      <c r="B21" s="399" t="s">
        <v>1576</v>
      </c>
      <c r="C21" s="161" t="s">
        <v>166</v>
      </c>
      <c r="D21" s="399" t="s">
        <v>1042</v>
      </c>
      <c r="E21" s="161" t="s">
        <v>143</v>
      </c>
      <c r="F21" s="161" t="s">
        <v>694</v>
      </c>
      <c r="G21" s="161" t="s">
        <v>51</v>
      </c>
      <c r="H21" s="507">
        <v>0.5</v>
      </c>
      <c r="I21" s="277" t="s">
        <v>1330</v>
      </c>
      <c r="J21" s="277">
        <v>10000</v>
      </c>
      <c r="K21" s="277" t="s">
        <v>535</v>
      </c>
      <c r="L21" s="277">
        <v>1.1000000000000001E-3</v>
      </c>
      <c r="M21" s="277" t="s">
        <v>244</v>
      </c>
      <c r="N21" s="277">
        <v>0.5</v>
      </c>
      <c r="O21" s="161">
        <v>3</v>
      </c>
      <c r="P21" s="161">
        <v>4</v>
      </c>
      <c r="Q21" s="170">
        <v>5</v>
      </c>
      <c r="R21" s="161">
        <v>1</v>
      </c>
      <c r="S21" s="161">
        <v>2</v>
      </c>
      <c r="T21" s="161" t="s">
        <v>280</v>
      </c>
      <c r="U21" s="161" t="s">
        <v>280</v>
      </c>
      <c r="V21" s="363" t="s">
        <v>898</v>
      </c>
      <c r="W21" s="161">
        <v>8</v>
      </c>
      <c r="X21" s="331">
        <v>43831</v>
      </c>
      <c r="Y21" s="210">
        <v>43832</v>
      </c>
      <c r="Z21" s="331">
        <v>43833</v>
      </c>
      <c r="AA21" s="331">
        <v>43834</v>
      </c>
      <c r="AB21" s="331">
        <v>43835</v>
      </c>
      <c r="AC21" s="331">
        <v>43836</v>
      </c>
      <c r="AD21" s="339">
        <v>7</v>
      </c>
      <c r="AE21" s="350" t="s">
        <v>244</v>
      </c>
      <c r="AF21" s="209" t="s">
        <v>245</v>
      </c>
      <c r="AG21" s="209" t="s">
        <v>245</v>
      </c>
      <c r="AH21" s="209" t="s">
        <v>245</v>
      </c>
      <c r="AI21" s="209" t="s">
        <v>245</v>
      </c>
      <c r="AJ21" s="209" t="s">
        <v>245</v>
      </c>
      <c r="AK21" s="209" t="s">
        <v>245</v>
      </c>
      <c r="AL21" s="209" t="s">
        <v>245</v>
      </c>
      <c r="AM21" s="209" t="s">
        <v>245</v>
      </c>
      <c r="AN21" s="209" t="s">
        <v>245</v>
      </c>
      <c r="AO21" s="209" t="s">
        <v>245</v>
      </c>
      <c r="AP21" s="209" t="s">
        <v>245</v>
      </c>
      <c r="AQ21" s="209" t="s">
        <v>245</v>
      </c>
      <c r="AR21" s="209" t="s">
        <v>245</v>
      </c>
      <c r="AS21" s="209" t="s">
        <v>245</v>
      </c>
      <c r="AT21" s="505"/>
      <c r="AU21" s="505"/>
      <c r="AV21" s="505"/>
      <c r="AW21" s="505"/>
      <c r="AX21" s="505"/>
      <c r="AY21" s="505"/>
      <c r="AZ21" s="161" t="s">
        <v>953</v>
      </c>
      <c r="BA21" s="209">
        <v>10</v>
      </c>
      <c r="BB21" s="209" t="s">
        <v>245</v>
      </c>
      <c r="BC21" s="209">
        <v>0</v>
      </c>
      <c r="BD21" s="366">
        <v>3</v>
      </c>
      <c r="BE21" s="209">
        <v>4</v>
      </c>
      <c r="BF21" s="210">
        <v>1</v>
      </c>
      <c r="BG21" s="209">
        <v>2</v>
      </c>
      <c r="BH21" s="209">
        <v>2</v>
      </c>
      <c r="BI21" s="218">
        <v>0</v>
      </c>
      <c r="BJ21" s="209">
        <v>10</v>
      </c>
      <c r="BK21" s="209">
        <v>20</v>
      </c>
      <c r="BL21" s="365">
        <v>1</v>
      </c>
      <c r="BM21" s="209" t="s">
        <v>790</v>
      </c>
      <c r="BN21" s="218">
        <v>0</v>
      </c>
      <c r="BO21" s="219">
        <v>1</v>
      </c>
      <c r="BP21" s="219">
        <v>2</v>
      </c>
      <c r="BQ21" s="219">
        <v>3</v>
      </c>
      <c r="BR21" s="219">
        <v>0</v>
      </c>
      <c r="BS21" s="225" t="s">
        <v>799</v>
      </c>
      <c r="BT21" s="219">
        <v>1</v>
      </c>
      <c r="BU21" s="219">
        <v>1</v>
      </c>
      <c r="BV21" s="219">
        <v>1</v>
      </c>
      <c r="BW21" s="219"/>
      <c r="BX21" s="359"/>
      <c r="BY21" s="357"/>
      <c r="BZ21" s="337"/>
      <c r="CA21" s="357"/>
      <c r="CB21" s="247"/>
      <c r="CC21" s="210"/>
      <c r="CD21" s="358"/>
      <c r="CE21" s="358"/>
      <c r="CF21" s="219"/>
      <c r="CG21" s="219"/>
      <c r="CH21" s="219"/>
      <c r="CI21" s="219"/>
      <c r="CJ21" s="219"/>
      <c r="CK21" s="219"/>
      <c r="CL21" s="360"/>
      <c r="CM21" s="247"/>
      <c r="CN21" s="209"/>
      <c r="CO21" s="209"/>
      <c r="CP21" s="210"/>
      <c r="CQ21" s="358"/>
      <c r="CR21" s="362"/>
      <c r="CS21" s="362"/>
      <c r="CT21" s="209"/>
      <c r="CU21" s="242"/>
      <c r="CV21" s="210"/>
      <c r="CW21" s="219"/>
      <c r="CX21" s="219"/>
      <c r="CY21" s="219"/>
      <c r="CZ21" s="219"/>
      <c r="DA21" s="253"/>
      <c r="DB21" s="245"/>
      <c r="DC21" s="256"/>
      <c r="DD21" s="246"/>
    </row>
    <row r="22" spans="1:108 3515:3515" x14ac:dyDescent="0.35">
      <c r="A22" s="162" t="s">
        <v>1593</v>
      </c>
      <c r="B22" s="399" t="s">
        <v>1592</v>
      </c>
      <c r="C22" s="161" t="s">
        <v>166</v>
      </c>
      <c r="D22" s="399" t="s">
        <v>1042</v>
      </c>
      <c r="E22" s="161" t="s">
        <v>143</v>
      </c>
      <c r="F22" s="161" t="s">
        <v>694</v>
      </c>
      <c r="G22" s="161" t="s">
        <v>51</v>
      </c>
      <c r="H22" s="507">
        <v>0.5</v>
      </c>
      <c r="I22" s="277" t="s">
        <v>1330</v>
      </c>
      <c r="J22" s="277">
        <v>10000</v>
      </c>
      <c r="K22" s="277" t="s">
        <v>535</v>
      </c>
      <c r="L22" s="277">
        <v>1.1000000000000001E-3</v>
      </c>
      <c r="M22" s="277" t="s">
        <v>244</v>
      </c>
      <c r="N22" s="277">
        <v>0.5</v>
      </c>
      <c r="O22" s="161">
        <v>3</v>
      </c>
      <c r="P22" s="161">
        <v>4</v>
      </c>
      <c r="Q22" s="170">
        <v>5</v>
      </c>
      <c r="R22" s="161">
        <v>1</v>
      </c>
      <c r="S22" s="161">
        <v>2</v>
      </c>
      <c r="T22" s="161" t="s">
        <v>280</v>
      </c>
      <c r="U22" s="161" t="s">
        <v>280</v>
      </c>
      <c r="V22" s="363" t="s">
        <v>898</v>
      </c>
      <c r="W22" s="161">
        <v>8</v>
      </c>
      <c r="X22" s="331">
        <v>43831</v>
      </c>
      <c r="Y22" s="210">
        <v>43832</v>
      </c>
      <c r="Z22" s="331">
        <v>43833</v>
      </c>
      <c r="AA22" s="331">
        <v>43834</v>
      </c>
      <c r="AB22" s="331">
        <v>43835</v>
      </c>
      <c r="AC22" s="331">
        <v>43836</v>
      </c>
      <c r="AD22" s="339">
        <v>7</v>
      </c>
      <c r="AE22" s="350" t="s">
        <v>244</v>
      </c>
      <c r="AF22" s="209" t="s">
        <v>245</v>
      </c>
      <c r="AG22" s="209" t="s">
        <v>245</v>
      </c>
      <c r="AH22" s="209" t="s">
        <v>245</v>
      </c>
      <c r="AI22" s="209" t="s">
        <v>245</v>
      </c>
      <c r="AJ22" s="209" t="s">
        <v>245</v>
      </c>
      <c r="AK22" s="209" t="s">
        <v>245</v>
      </c>
      <c r="AL22" s="209" t="s">
        <v>245</v>
      </c>
      <c r="AM22" s="209" t="s">
        <v>245</v>
      </c>
      <c r="AN22" s="209" t="s">
        <v>245</v>
      </c>
      <c r="AO22" s="209" t="s">
        <v>245</v>
      </c>
      <c r="AP22" s="209" t="s">
        <v>245</v>
      </c>
      <c r="AQ22" s="209" t="s">
        <v>245</v>
      </c>
      <c r="AR22" s="209" t="s">
        <v>245</v>
      </c>
      <c r="AS22" s="209" t="s">
        <v>245</v>
      </c>
      <c r="AT22" s="505"/>
      <c r="AU22" s="505"/>
      <c r="AV22" s="505"/>
      <c r="AW22" s="505"/>
      <c r="AX22" s="505"/>
      <c r="AY22" s="505"/>
      <c r="AZ22" s="161" t="s">
        <v>953</v>
      </c>
      <c r="BA22" s="209">
        <v>10</v>
      </c>
      <c r="BB22" s="209" t="s">
        <v>245</v>
      </c>
      <c r="BC22" s="209">
        <v>0</v>
      </c>
      <c r="BD22" s="366">
        <v>3</v>
      </c>
      <c r="BE22" s="209">
        <v>4</v>
      </c>
      <c r="BF22" s="210">
        <v>1</v>
      </c>
      <c r="BG22" s="209">
        <v>2</v>
      </c>
      <c r="BH22" s="209">
        <v>2</v>
      </c>
      <c r="BI22" s="218">
        <v>0</v>
      </c>
      <c r="BJ22" s="209">
        <v>10</v>
      </c>
      <c r="BK22" s="209">
        <v>20</v>
      </c>
      <c r="BL22" s="365">
        <v>1</v>
      </c>
      <c r="BM22" s="209" t="s">
        <v>790</v>
      </c>
      <c r="BN22" s="218">
        <v>0</v>
      </c>
      <c r="BO22" s="219">
        <v>1</v>
      </c>
      <c r="BP22" s="219">
        <v>2</v>
      </c>
      <c r="BQ22" s="219">
        <v>3</v>
      </c>
      <c r="BR22" s="219">
        <v>0</v>
      </c>
      <c r="BS22" s="225" t="s">
        <v>799</v>
      </c>
      <c r="BT22" s="219">
        <v>1</v>
      </c>
      <c r="BU22" s="219">
        <v>1</v>
      </c>
      <c r="BV22" s="219">
        <v>1</v>
      </c>
      <c r="BW22" s="219"/>
      <c r="BX22" s="359"/>
      <c r="BY22" s="357"/>
      <c r="BZ22" s="337"/>
      <c r="CA22" s="357"/>
      <c r="CB22" s="247"/>
      <c r="CC22" s="210"/>
      <c r="CD22" s="358"/>
      <c r="CE22" s="358"/>
      <c r="CF22" s="219"/>
      <c r="CG22" s="219"/>
      <c r="CH22" s="219"/>
      <c r="CI22" s="219"/>
      <c r="CJ22" s="219"/>
      <c r="CK22" s="219"/>
      <c r="CL22" s="360"/>
      <c r="CM22" s="247"/>
      <c r="CN22" s="209"/>
      <c r="CO22" s="209"/>
      <c r="CP22" s="210"/>
      <c r="CQ22" s="358"/>
      <c r="CR22" s="362"/>
      <c r="CS22" s="362"/>
      <c r="CT22" s="209"/>
      <c r="CU22" s="242"/>
      <c r="CV22" s="210"/>
      <c r="CW22" s="219"/>
      <c r="CX22" s="219"/>
      <c r="CY22" s="219"/>
      <c r="CZ22" s="219"/>
      <c r="DA22" s="253"/>
      <c r="DB22" s="245"/>
      <c r="DC22" s="256"/>
      <c r="DD22" s="246"/>
    </row>
    <row r="23" spans="1:108 3515:3515" x14ac:dyDescent="0.35">
      <c r="A23" s="162" t="s">
        <v>1585</v>
      </c>
      <c r="B23" s="399" t="s">
        <v>1577</v>
      </c>
      <c r="C23" s="161" t="s">
        <v>166</v>
      </c>
      <c r="D23" s="399" t="s">
        <v>1042</v>
      </c>
      <c r="E23" s="161" t="s">
        <v>143</v>
      </c>
      <c r="F23" s="161" t="s">
        <v>694</v>
      </c>
      <c r="G23" s="161" t="s">
        <v>51</v>
      </c>
      <c r="H23" s="507">
        <v>0.5</v>
      </c>
      <c r="I23" s="277" t="s">
        <v>1330</v>
      </c>
      <c r="J23" s="277">
        <v>10000</v>
      </c>
      <c r="K23" s="277" t="s">
        <v>535</v>
      </c>
      <c r="L23" s="277">
        <v>1.1000000000000001E-3</v>
      </c>
      <c r="M23" s="277" t="s">
        <v>244</v>
      </c>
      <c r="N23" s="277">
        <v>0.5</v>
      </c>
      <c r="O23" s="161">
        <v>3</v>
      </c>
      <c r="P23" s="161">
        <v>4</v>
      </c>
      <c r="Q23" s="170">
        <v>5</v>
      </c>
      <c r="R23" s="161">
        <v>1</v>
      </c>
      <c r="S23" s="161">
        <v>2</v>
      </c>
      <c r="T23" s="161" t="s">
        <v>280</v>
      </c>
      <c r="U23" s="161" t="s">
        <v>280</v>
      </c>
      <c r="V23" s="363" t="s">
        <v>898</v>
      </c>
      <c r="W23" s="161">
        <v>8</v>
      </c>
      <c r="X23" s="331">
        <v>43831</v>
      </c>
      <c r="Y23" s="210">
        <v>43832</v>
      </c>
      <c r="Z23" s="331">
        <v>43833</v>
      </c>
      <c r="AA23" s="331">
        <v>43834</v>
      </c>
      <c r="AB23" s="331">
        <v>43835</v>
      </c>
      <c r="AC23" s="331">
        <v>43836</v>
      </c>
      <c r="AD23" s="339">
        <v>7</v>
      </c>
      <c r="AE23" s="350" t="s">
        <v>244</v>
      </c>
      <c r="AF23" s="209" t="s">
        <v>245</v>
      </c>
      <c r="AG23" s="209" t="s">
        <v>245</v>
      </c>
      <c r="AH23" s="209" t="s">
        <v>245</v>
      </c>
      <c r="AI23" s="209" t="s">
        <v>245</v>
      </c>
      <c r="AJ23" s="209" t="s">
        <v>245</v>
      </c>
      <c r="AK23" s="209" t="s">
        <v>245</v>
      </c>
      <c r="AL23" s="209" t="s">
        <v>245</v>
      </c>
      <c r="AM23" s="209" t="s">
        <v>245</v>
      </c>
      <c r="AN23" s="209" t="s">
        <v>245</v>
      </c>
      <c r="AO23" s="209" t="s">
        <v>245</v>
      </c>
      <c r="AP23" s="209" t="s">
        <v>245</v>
      </c>
      <c r="AQ23" s="209" t="s">
        <v>245</v>
      </c>
      <c r="AR23" s="209" t="s">
        <v>245</v>
      </c>
      <c r="AS23" s="209" t="s">
        <v>245</v>
      </c>
      <c r="AT23" s="505"/>
      <c r="AU23" s="505"/>
      <c r="AV23" s="505"/>
      <c r="AW23" s="505"/>
      <c r="AX23" s="505"/>
      <c r="AY23" s="505"/>
      <c r="AZ23" s="161" t="s">
        <v>953</v>
      </c>
      <c r="BA23" s="209">
        <v>10</v>
      </c>
      <c r="BB23" s="209" t="s">
        <v>245</v>
      </c>
      <c r="BC23" s="209">
        <v>0</v>
      </c>
      <c r="BD23" s="366">
        <v>3</v>
      </c>
      <c r="BE23" s="209">
        <v>4</v>
      </c>
      <c r="BF23" s="210">
        <v>1</v>
      </c>
      <c r="BG23" s="209">
        <v>2</v>
      </c>
      <c r="BH23" s="209">
        <v>2</v>
      </c>
      <c r="BI23" s="218">
        <v>0</v>
      </c>
      <c r="BJ23" s="209">
        <v>10</v>
      </c>
      <c r="BK23" s="209">
        <v>20</v>
      </c>
      <c r="BL23" s="365">
        <v>1</v>
      </c>
      <c r="BM23" s="209" t="s">
        <v>790</v>
      </c>
      <c r="BN23" s="218">
        <v>0</v>
      </c>
      <c r="BO23" s="219">
        <v>1</v>
      </c>
      <c r="BP23" s="219">
        <v>2</v>
      </c>
      <c r="BQ23" s="219">
        <v>3</v>
      </c>
      <c r="BR23" s="219">
        <v>0</v>
      </c>
      <c r="BS23" s="225" t="s">
        <v>799</v>
      </c>
      <c r="BT23" s="219">
        <v>1</v>
      </c>
      <c r="BU23" s="219">
        <v>1</v>
      </c>
      <c r="BV23" s="219">
        <v>1</v>
      </c>
      <c r="BW23" s="219"/>
      <c r="BX23" s="359"/>
      <c r="BY23" s="357"/>
      <c r="BZ23" s="337"/>
      <c r="CA23" s="357"/>
      <c r="CB23" s="247"/>
      <c r="CC23" s="210"/>
      <c r="CD23" s="358"/>
      <c r="CE23" s="358"/>
      <c r="CF23" s="219"/>
      <c r="CG23" s="219"/>
      <c r="CH23" s="219"/>
      <c r="CI23" s="219"/>
      <c r="CJ23" s="219"/>
      <c r="CK23" s="219"/>
      <c r="CL23" s="360"/>
      <c r="CM23" s="247"/>
      <c r="CN23" s="209"/>
      <c r="CO23" s="209"/>
      <c r="CP23" s="210"/>
      <c r="CQ23" s="358"/>
      <c r="CR23" s="362"/>
      <c r="CS23" s="362"/>
      <c r="CT23" s="209"/>
      <c r="CU23" s="242"/>
      <c r="CV23" s="210"/>
      <c r="CW23" s="219"/>
      <c r="CX23" s="219"/>
      <c r="CY23" s="219"/>
      <c r="CZ23" s="219"/>
      <c r="DA23" s="253"/>
      <c r="DB23" s="245"/>
      <c r="DC23" s="256"/>
      <c r="DD23" s="246"/>
    </row>
    <row r="24" spans="1:108 3515:3515" x14ac:dyDescent="0.35">
      <c r="A24" s="162" t="s">
        <v>1586</v>
      </c>
      <c r="B24" s="399" t="s">
        <v>1578</v>
      </c>
      <c r="C24" s="161" t="s">
        <v>166</v>
      </c>
      <c r="D24" s="399" t="s">
        <v>1042</v>
      </c>
      <c r="E24" s="161" t="s">
        <v>143</v>
      </c>
      <c r="F24" s="161" t="s">
        <v>694</v>
      </c>
      <c r="G24" s="161" t="s">
        <v>51</v>
      </c>
      <c r="H24" s="507">
        <v>0.5</v>
      </c>
      <c r="I24" s="277" t="s">
        <v>1330</v>
      </c>
      <c r="J24" s="277">
        <v>10000</v>
      </c>
      <c r="K24" s="277" t="s">
        <v>535</v>
      </c>
      <c r="L24" s="277">
        <v>1.1000000000000001E-3</v>
      </c>
      <c r="M24" s="277" t="s">
        <v>244</v>
      </c>
      <c r="N24" s="277">
        <v>0.5</v>
      </c>
      <c r="O24" s="161">
        <v>3</v>
      </c>
      <c r="P24" s="161">
        <v>4</v>
      </c>
      <c r="Q24" s="170">
        <v>5</v>
      </c>
      <c r="R24" s="161">
        <v>1</v>
      </c>
      <c r="S24" s="161">
        <v>2</v>
      </c>
      <c r="T24" s="161" t="s">
        <v>280</v>
      </c>
      <c r="U24" s="161" t="s">
        <v>280</v>
      </c>
      <c r="V24" s="363" t="s">
        <v>898</v>
      </c>
      <c r="W24" s="161">
        <v>8</v>
      </c>
      <c r="X24" s="331">
        <v>43831</v>
      </c>
      <c r="Y24" s="210">
        <v>43832</v>
      </c>
      <c r="Z24" s="331">
        <v>43833</v>
      </c>
      <c r="AA24" s="331">
        <v>43834</v>
      </c>
      <c r="AB24" s="331">
        <v>43835</v>
      </c>
      <c r="AC24" s="331">
        <v>43836</v>
      </c>
      <c r="AD24" s="339">
        <v>7</v>
      </c>
      <c r="AE24" s="350" t="s">
        <v>244</v>
      </c>
      <c r="AF24" s="209" t="s">
        <v>245</v>
      </c>
      <c r="AG24" s="209" t="s">
        <v>245</v>
      </c>
      <c r="AH24" s="209" t="s">
        <v>245</v>
      </c>
      <c r="AI24" s="209" t="s">
        <v>245</v>
      </c>
      <c r="AJ24" s="209" t="s">
        <v>245</v>
      </c>
      <c r="AK24" s="209" t="s">
        <v>245</v>
      </c>
      <c r="AL24" s="209" t="s">
        <v>245</v>
      </c>
      <c r="AM24" s="209" t="s">
        <v>245</v>
      </c>
      <c r="AN24" s="209" t="s">
        <v>245</v>
      </c>
      <c r="AO24" s="209" t="s">
        <v>245</v>
      </c>
      <c r="AP24" s="209" t="s">
        <v>245</v>
      </c>
      <c r="AQ24" s="209" t="s">
        <v>245</v>
      </c>
      <c r="AR24" s="209" t="s">
        <v>245</v>
      </c>
      <c r="AS24" s="209" t="s">
        <v>245</v>
      </c>
      <c r="AT24" s="505"/>
      <c r="AU24" s="505"/>
      <c r="AV24" s="505"/>
      <c r="AW24" s="505"/>
      <c r="AX24" s="505"/>
      <c r="AY24" s="505"/>
      <c r="AZ24" s="161" t="s">
        <v>953</v>
      </c>
      <c r="BA24" s="209">
        <v>10</v>
      </c>
      <c r="BB24" s="209" t="s">
        <v>245</v>
      </c>
      <c r="BC24" s="209">
        <v>0</v>
      </c>
      <c r="BD24" s="366">
        <v>3</v>
      </c>
      <c r="BE24" s="209">
        <v>4</v>
      </c>
      <c r="BF24" s="210">
        <v>1</v>
      </c>
      <c r="BG24" s="209">
        <v>2</v>
      </c>
      <c r="BH24" s="209">
        <v>2</v>
      </c>
      <c r="BI24" s="218">
        <v>0</v>
      </c>
      <c r="BJ24" s="209">
        <v>10</v>
      </c>
      <c r="BK24" s="209">
        <v>20</v>
      </c>
      <c r="BL24" s="365">
        <v>1</v>
      </c>
      <c r="BM24" s="209" t="s">
        <v>790</v>
      </c>
      <c r="BN24" s="218">
        <v>0</v>
      </c>
      <c r="BO24" s="219">
        <v>1</v>
      </c>
      <c r="BP24" s="219">
        <v>2</v>
      </c>
      <c r="BQ24" s="219">
        <v>3</v>
      </c>
      <c r="BR24" s="219">
        <v>0</v>
      </c>
      <c r="BS24" s="225" t="s">
        <v>799</v>
      </c>
      <c r="BT24" s="219">
        <v>1</v>
      </c>
      <c r="BU24" s="219">
        <v>1</v>
      </c>
      <c r="BV24" s="219">
        <v>1</v>
      </c>
      <c r="BW24" s="219"/>
      <c r="BX24" s="359"/>
      <c r="BY24" s="357"/>
      <c r="BZ24" s="337"/>
      <c r="CA24" s="357"/>
      <c r="CB24" s="247"/>
      <c r="CC24" s="210"/>
      <c r="CD24" s="358"/>
      <c r="CE24" s="358"/>
      <c r="CF24" s="219"/>
      <c r="CG24" s="219"/>
      <c r="CH24" s="219"/>
      <c r="CI24" s="219"/>
      <c r="CJ24" s="219"/>
      <c r="CK24" s="219"/>
      <c r="CL24" s="360"/>
      <c r="CM24" s="247"/>
      <c r="CN24" s="209"/>
      <c r="CO24" s="209"/>
      <c r="CP24" s="210"/>
      <c r="CQ24" s="358"/>
      <c r="CR24" s="362"/>
      <c r="CS24" s="362"/>
      <c r="CT24" s="209"/>
      <c r="CU24" s="242"/>
      <c r="CV24" s="210"/>
      <c r="CW24" s="219"/>
      <c r="CX24" s="219"/>
      <c r="CY24" s="219"/>
      <c r="CZ24" s="219"/>
      <c r="DA24" s="253"/>
      <c r="DB24" s="245"/>
      <c r="DC24" s="256"/>
      <c r="DD24" s="246"/>
    </row>
    <row r="25" spans="1:108 3515:3515" x14ac:dyDescent="0.35">
      <c r="A25" s="162" t="s">
        <v>1587</v>
      </c>
      <c r="B25" s="399" t="s">
        <v>1579</v>
      </c>
      <c r="C25" s="161" t="s">
        <v>166</v>
      </c>
      <c r="D25" s="399" t="s">
        <v>1042</v>
      </c>
      <c r="E25" s="161" t="s">
        <v>143</v>
      </c>
      <c r="F25" s="161" t="s">
        <v>694</v>
      </c>
      <c r="G25" s="161" t="s">
        <v>51</v>
      </c>
      <c r="H25" s="507">
        <v>0.5</v>
      </c>
      <c r="I25" s="277" t="s">
        <v>1330</v>
      </c>
      <c r="J25" s="277">
        <v>10000</v>
      </c>
      <c r="K25" s="277" t="s">
        <v>535</v>
      </c>
      <c r="L25" s="277">
        <v>1.1000000000000001E-3</v>
      </c>
      <c r="M25" s="277" t="s">
        <v>244</v>
      </c>
      <c r="N25" s="277">
        <v>0.5</v>
      </c>
      <c r="O25" s="161">
        <v>3</v>
      </c>
      <c r="P25" s="161">
        <v>4</v>
      </c>
      <c r="Q25" s="170">
        <v>5</v>
      </c>
      <c r="R25" s="161">
        <v>1</v>
      </c>
      <c r="S25" s="161">
        <v>2</v>
      </c>
      <c r="T25" s="161" t="s">
        <v>280</v>
      </c>
      <c r="U25" s="161" t="s">
        <v>280</v>
      </c>
      <c r="V25" s="363" t="s">
        <v>898</v>
      </c>
      <c r="W25" s="161">
        <v>8</v>
      </c>
      <c r="X25" s="331">
        <v>43831</v>
      </c>
      <c r="Y25" s="210">
        <v>43832</v>
      </c>
      <c r="Z25" s="331">
        <v>43833</v>
      </c>
      <c r="AA25" s="331">
        <v>43834</v>
      </c>
      <c r="AB25" s="331">
        <v>43835</v>
      </c>
      <c r="AC25" s="331">
        <v>43836</v>
      </c>
      <c r="AD25" s="339">
        <v>7</v>
      </c>
      <c r="AE25" s="350" t="s">
        <v>244</v>
      </c>
      <c r="AF25" s="209" t="s">
        <v>245</v>
      </c>
      <c r="AG25" s="209" t="s">
        <v>245</v>
      </c>
      <c r="AH25" s="209" t="s">
        <v>245</v>
      </c>
      <c r="AI25" s="209" t="s">
        <v>245</v>
      </c>
      <c r="AJ25" s="209" t="s">
        <v>245</v>
      </c>
      <c r="AK25" s="209" t="s">
        <v>245</v>
      </c>
      <c r="AL25" s="209" t="s">
        <v>245</v>
      </c>
      <c r="AM25" s="209" t="s">
        <v>245</v>
      </c>
      <c r="AN25" s="209" t="s">
        <v>245</v>
      </c>
      <c r="AO25" s="209" t="s">
        <v>245</v>
      </c>
      <c r="AP25" s="209" t="s">
        <v>245</v>
      </c>
      <c r="AQ25" s="209" t="s">
        <v>245</v>
      </c>
      <c r="AR25" s="209" t="s">
        <v>245</v>
      </c>
      <c r="AS25" s="209" t="s">
        <v>245</v>
      </c>
      <c r="AT25" s="505"/>
      <c r="AU25" s="505"/>
      <c r="AV25" s="505"/>
      <c r="AW25" s="505"/>
      <c r="AX25" s="505"/>
      <c r="AY25" s="505"/>
      <c r="AZ25" s="161" t="s">
        <v>953</v>
      </c>
      <c r="BA25" s="209">
        <v>10</v>
      </c>
      <c r="BB25" s="209" t="s">
        <v>245</v>
      </c>
      <c r="BC25" s="209">
        <v>0</v>
      </c>
      <c r="BD25" s="366">
        <v>3</v>
      </c>
      <c r="BE25" s="209">
        <v>4</v>
      </c>
      <c r="BF25" s="210">
        <v>1</v>
      </c>
      <c r="BG25" s="209">
        <v>2</v>
      </c>
      <c r="BH25" s="209">
        <v>2</v>
      </c>
      <c r="BI25" s="218">
        <v>0</v>
      </c>
      <c r="BJ25" s="209">
        <v>10</v>
      </c>
      <c r="BK25" s="209">
        <v>20</v>
      </c>
      <c r="BL25" s="365">
        <v>1</v>
      </c>
      <c r="BM25" s="209" t="s">
        <v>790</v>
      </c>
      <c r="BN25" s="218">
        <v>0</v>
      </c>
      <c r="BO25" s="219">
        <v>1</v>
      </c>
      <c r="BP25" s="219">
        <v>2</v>
      </c>
      <c r="BQ25" s="219">
        <v>3</v>
      </c>
      <c r="BR25" s="219">
        <v>0</v>
      </c>
      <c r="BS25" s="225" t="s">
        <v>799</v>
      </c>
      <c r="BT25" s="219">
        <v>1</v>
      </c>
      <c r="BU25" s="219">
        <v>1</v>
      </c>
      <c r="BV25" s="219">
        <v>1</v>
      </c>
      <c r="BW25" s="219"/>
      <c r="BX25" s="359"/>
      <c r="BY25" s="357"/>
      <c r="BZ25" s="337"/>
      <c r="CA25" s="357"/>
      <c r="CB25" s="247"/>
      <c r="CC25" s="210"/>
      <c r="CD25" s="358"/>
      <c r="CE25" s="358"/>
      <c r="CF25" s="219"/>
      <c r="CG25" s="219"/>
      <c r="CH25" s="219"/>
      <c r="CI25" s="219"/>
      <c r="CJ25" s="219"/>
      <c r="CK25" s="219"/>
      <c r="CL25" s="360"/>
      <c r="CM25" s="247"/>
      <c r="CN25" s="209"/>
      <c r="CO25" s="209"/>
      <c r="CP25" s="210"/>
      <c r="CQ25" s="358"/>
      <c r="CR25" s="362"/>
      <c r="CS25" s="362"/>
      <c r="CT25" s="209"/>
      <c r="CU25" s="242"/>
      <c r="CV25" s="210"/>
      <c r="CW25" s="219"/>
      <c r="CX25" s="219"/>
      <c r="CY25" s="219"/>
      <c r="CZ25" s="219"/>
      <c r="DA25" s="253"/>
      <c r="DB25" s="245"/>
      <c r="DC25" s="256"/>
      <c r="DD25" s="246"/>
    </row>
    <row r="26" spans="1:108 3515:3515" x14ac:dyDescent="0.35">
      <c r="A26" s="162" t="s">
        <v>1595</v>
      </c>
      <c r="B26" s="399" t="s">
        <v>1594</v>
      </c>
      <c r="C26" s="161" t="s">
        <v>166</v>
      </c>
      <c r="D26" s="399" t="s">
        <v>1042</v>
      </c>
      <c r="E26" s="161" t="s">
        <v>143</v>
      </c>
      <c r="F26" s="161" t="s">
        <v>694</v>
      </c>
      <c r="G26" s="161" t="s">
        <v>51</v>
      </c>
      <c r="H26" s="507">
        <v>0.5</v>
      </c>
      <c r="I26" s="277" t="s">
        <v>1330</v>
      </c>
      <c r="J26" s="277">
        <v>10000</v>
      </c>
      <c r="K26" s="277" t="s">
        <v>535</v>
      </c>
      <c r="L26" s="277">
        <v>1.1000000000000001E-3</v>
      </c>
      <c r="M26" s="277" t="s">
        <v>244</v>
      </c>
      <c r="N26" s="277">
        <v>0.5</v>
      </c>
      <c r="O26" s="161">
        <v>3</v>
      </c>
      <c r="P26" s="161">
        <v>4</v>
      </c>
      <c r="Q26" s="170">
        <v>5</v>
      </c>
      <c r="R26" s="161">
        <v>1</v>
      </c>
      <c r="S26" s="161">
        <v>2</v>
      </c>
      <c r="T26" s="161" t="s">
        <v>280</v>
      </c>
      <c r="U26" s="161" t="s">
        <v>280</v>
      </c>
      <c r="V26" s="363" t="s">
        <v>898</v>
      </c>
      <c r="W26" s="161">
        <v>8</v>
      </c>
      <c r="X26" s="331">
        <v>43831</v>
      </c>
      <c r="Y26" s="210">
        <v>43832</v>
      </c>
      <c r="Z26" s="331">
        <v>43833</v>
      </c>
      <c r="AA26" s="331">
        <v>43834</v>
      </c>
      <c r="AB26" s="331">
        <v>43835</v>
      </c>
      <c r="AC26" s="331">
        <v>43836</v>
      </c>
      <c r="AD26" s="339">
        <v>7</v>
      </c>
      <c r="AE26" s="350" t="s">
        <v>244</v>
      </c>
      <c r="AF26" s="209" t="s">
        <v>245</v>
      </c>
      <c r="AG26" s="209" t="s">
        <v>245</v>
      </c>
      <c r="AH26" s="209" t="s">
        <v>245</v>
      </c>
      <c r="AI26" s="209" t="s">
        <v>245</v>
      </c>
      <c r="AJ26" s="209" t="s">
        <v>245</v>
      </c>
      <c r="AK26" s="209" t="s">
        <v>245</v>
      </c>
      <c r="AL26" s="209" t="s">
        <v>245</v>
      </c>
      <c r="AM26" s="209" t="s">
        <v>245</v>
      </c>
      <c r="AN26" s="209" t="s">
        <v>245</v>
      </c>
      <c r="AO26" s="209" t="s">
        <v>245</v>
      </c>
      <c r="AP26" s="209" t="s">
        <v>245</v>
      </c>
      <c r="AQ26" s="209" t="s">
        <v>245</v>
      </c>
      <c r="AR26" s="209" t="s">
        <v>245</v>
      </c>
      <c r="AS26" s="209" t="s">
        <v>245</v>
      </c>
      <c r="AT26" s="505"/>
      <c r="AU26" s="505"/>
      <c r="AV26" s="505"/>
      <c r="AW26" s="505"/>
      <c r="AX26" s="505"/>
      <c r="AY26" s="505"/>
      <c r="AZ26" s="161" t="s">
        <v>953</v>
      </c>
      <c r="BA26" s="209">
        <v>10</v>
      </c>
      <c r="BB26" s="209" t="s">
        <v>245</v>
      </c>
      <c r="BC26" s="209">
        <v>0</v>
      </c>
      <c r="BD26" s="366">
        <v>3</v>
      </c>
      <c r="BE26" s="209">
        <v>4</v>
      </c>
      <c r="BF26" s="210">
        <v>1</v>
      </c>
      <c r="BG26" s="209">
        <v>2</v>
      </c>
      <c r="BH26" s="209">
        <v>2</v>
      </c>
      <c r="BI26" s="218">
        <v>0</v>
      </c>
      <c r="BJ26" s="209">
        <v>10</v>
      </c>
      <c r="BK26" s="209">
        <v>20</v>
      </c>
      <c r="BL26" s="365">
        <v>1</v>
      </c>
      <c r="BM26" s="209" t="s">
        <v>790</v>
      </c>
      <c r="BN26" s="218">
        <v>0</v>
      </c>
      <c r="BO26" s="219">
        <v>1</v>
      </c>
      <c r="BP26" s="219">
        <v>2</v>
      </c>
      <c r="BQ26" s="219">
        <v>3</v>
      </c>
      <c r="BR26" s="219">
        <v>0</v>
      </c>
      <c r="BS26" s="225" t="s">
        <v>799</v>
      </c>
      <c r="BT26" s="219">
        <v>1</v>
      </c>
      <c r="BU26" s="219">
        <v>1</v>
      </c>
      <c r="BV26" s="219">
        <v>1</v>
      </c>
      <c r="BW26" s="219"/>
      <c r="BX26" s="359"/>
      <c r="BY26" s="357"/>
      <c r="BZ26" s="337"/>
      <c r="CA26" s="357"/>
      <c r="CB26" s="247"/>
      <c r="CC26" s="210"/>
      <c r="CD26" s="358"/>
      <c r="CE26" s="358"/>
      <c r="CF26" s="219"/>
      <c r="CG26" s="219"/>
      <c r="CH26" s="219"/>
      <c r="CI26" s="219"/>
      <c r="CJ26" s="219"/>
      <c r="CK26" s="219"/>
      <c r="CL26" s="360"/>
      <c r="CM26" s="247"/>
      <c r="CN26" s="209"/>
      <c r="CO26" s="209"/>
      <c r="CP26" s="210"/>
      <c r="CQ26" s="358"/>
      <c r="CR26" s="362"/>
      <c r="CS26" s="362"/>
      <c r="CT26" s="209"/>
      <c r="CU26" s="242"/>
      <c r="CV26" s="210"/>
      <c r="CW26" s="219"/>
      <c r="CX26" s="219"/>
      <c r="CY26" s="219"/>
      <c r="CZ26" s="219"/>
      <c r="DA26" s="253"/>
      <c r="DB26" s="245"/>
      <c r="DC26" s="256"/>
      <c r="DD26" s="246"/>
    </row>
    <row r="27" spans="1:108 3515:3515" x14ac:dyDescent="0.35">
      <c r="A27" s="162" t="s">
        <v>1588</v>
      </c>
      <c r="B27" s="399" t="s">
        <v>1580</v>
      </c>
      <c r="C27" s="161" t="s">
        <v>166</v>
      </c>
      <c r="D27" s="399" t="s">
        <v>1042</v>
      </c>
      <c r="E27" s="161" t="s">
        <v>143</v>
      </c>
      <c r="F27" s="161" t="s">
        <v>694</v>
      </c>
      <c r="G27" s="161" t="s">
        <v>51</v>
      </c>
      <c r="H27" s="507">
        <v>0.5</v>
      </c>
      <c r="I27" s="277" t="s">
        <v>1330</v>
      </c>
      <c r="J27" s="277">
        <v>10000</v>
      </c>
      <c r="K27" s="277" t="s">
        <v>535</v>
      </c>
      <c r="L27" s="277">
        <v>1.1000000000000001E-3</v>
      </c>
      <c r="M27" s="277" t="s">
        <v>244</v>
      </c>
      <c r="N27" s="277">
        <v>0.5</v>
      </c>
      <c r="O27" s="161">
        <v>3</v>
      </c>
      <c r="P27" s="161">
        <v>4</v>
      </c>
      <c r="Q27" s="170">
        <v>5</v>
      </c>
      <c r="R27" s="161">
        <v>1</v>
      </c>
      <c r="S27" s="161">
        <v>2</v>
      </c>
      <c r="T27" s="161" t="s">
        <v>280</v>
      </c>
      <c r="U27" s="161" t="s">
        <v>280</v>
      </c>
      <c r="V27" s="363" t="s">
        <v>898</v>
      </c>
      <c r="W27" s="161">
        <v>8</v>
      </c>
      <c r="X27" s="331">
        <v>43831</v>
      </c>
      <c r="Y27" s="210">
        <v>43832</v>
      </c>
      <c r="Z27" s="331">
        <v>43833</v>
      </c>
      <c r="AA27" s="331">
        <v>43834</v>
      </c>
      <c r="AB27" s="331">
        <v>43835</v>
      </c>
      <c r="AC27" s="331">
        <v>43836</v>
      </c>
      <c r="AD27" s="339">
        <v>7</v>
      </c>
      <c r="AE27" s="350" t="s">
        <v>244</v>
      </c>
      <c r="AF27" s="209" t="s">
        <v>245</v>
      </c>
      <c r="AG27" s="209" t="s">
        <v>245</v>
      </c>
      <c r="AH27" s="209" t="s">
        <v>245</v>
      </c>
      <c r="AI27" s="209" t="s">
        <v>245</v>
      </c>
      <c r="AJ27" s="209" t="s">
        <v>245</v>
      </c>
      <c r="AK27" s="209" t="s">
        <v>245</v>
      </c>
      <c r="AL27" s="209" t="s">
        <v>245</v>
      </c>
      <c r="AM27" s="209" t="s">
        <v>245</v>
      </c>
      <c r="AN27" s="209" t="s">
        <v>245</v>
      </c>
      <c r="AO27" s="209" t="s">
        <v>245</v>
      </c>
      <c r="AP27" s="209" t="s">
        <v>245</v>
      </c>
      <c r="AQ27" s="209" t="s">
        <v>245</v>
      </c>
      <c r="AR27" s="209" t="s">
        <v>245</v>
      </c>
      <c r="AS27" s="209" t="s">
        <v>245</v>
      </c>
      <c r="AT27" s="505"/>
      <c r="AU27" s="505"/>
      <c r="AV27" s="505"/>
      <c r="AW27" s="505"/>
      <c r="AX27" s="505"/>
      <c r="AY27" s="505"/>
      <c r="AZ27" s="161" t="s">
        <v>953</v>
      </c>
      <c r="BA27" s="209">
        <v>10</v>
      </c>
      <c r="BB27" s="209" t="s">
        <v>245</v>
      </c>
      <c r="BC27" s="209">
        <v>0</v>
      </c>
      <c r="BD27" s="366">
        <v>3</v>
      </c>
      <c r="BE27" s="209">
        <v>4</v>
      </c>
      <c r="BF27" s="210">
        <v>1</v>
      </c>
      <c r="BG27" s="209">
        <v>2</v>
      </c>
      <c r="BH27" s="209">
        <v>2</v>
      </c>
      <c r="BI27" s="218">
        <v>0</v>
      </c>
      <c r="BJ27" s="209">
        <v>10</v>
      </c>
      <c r="BK27" s="209">
        <v>20</v>
      </c>
      <c r="BL27" s="365">
        <v>1</v>
      </c>
      <c r="BM27" s="209" t="s">
        <v>790</v>
      </c>
      <c r="BN27" s="218">
        <v>0</v>
      </c>
      <c r="BO27" s="219">
        <v>1</v>
      </c>
      <c r="BP27" s="219">
        <v>2</v>
      </c>
      <c r="BQ27" s="219">
        <v>3</v>
      </c>
      <c r="BR27" s="219">
        <v>0</v>
      </c>
      <c r="BS27" s="225" t="s">
        <v>799</v>
      </c>
      <c r="BT27" s="219">
        <v>1</v>
      </c>
      <c r="BU27" s="219">
        <v>1</v>
      </c>
      <c r="BV27" s="219">
        <v>1</v>
      </c>
      <c r="BW27" s="219"/>
      <c r="BX27" s="359"/>
      <c r="BY27" s="357"/>
      <c r="BZ27" s="337"/>
      <c r="CA27" s="357"/>
      <c r="CB27" s="247"/>
      <c r="CC27" s="210"/>
      <c r="CD27" s="358"/>
      <c r="CE27" s="358"/>
      <c r="CF27" s="219"/>
      <c r="CG27" s="219"/>
      <c r="CH27" s="219"/>
      <c r="CI27" s="219"/>
      <c r="CJ27" s="219"/>
      <c r="CK27" s="219"/>
      <c r="CL27" s="360"/>
      <c r="CM27" s="247"/>
      <c r="CN27" s="209"/>
      <c r="CO27" s="209"/>
      <c r="CP27" s="210"/>
      <c r="CQ27" s="358"/>
      <c r="CR27" s="362"/>
      <c r="CS27" s="362"/>
      <c r="CT27" s="209"/>
      <c r="CU27" s="242"/>
      <c r="CV27" s="210"/>
      <c r="CW27" s="219"/>
      <c r="CX27" s="219"/>
      <c r="CY27" s="219"/>
      <c r="CZ27" s="219"/>
      <c r="DA27" s="253"/>
      <c r="DB27" s="245"/>
      <c r="DC27" s="256"/>
      <c r="DD27" s="246"/>
      <c r="EEE27" s="162">
        <v>43833</v>
      </c>
    </row>
    <row r="28" spans="1:108 3515:3515" x14ac:dyDescent="0.35">
      <c r="A28" s="162" t="s">
        <v>1597</v>
      </c>
      <c r="B28" s="399" t="s">
        <v>1596</v>
      </c>
      <c r="C28" s="161" t="s">
        <v>166</v>
      </c>
      <c r="D28" s="399" t="s">
        <v>1042</v>
      </c>
      <c r="E28" s="161" t="s">
        <v>143</v>
      </c>
      <c r="F28" s="161" t="s">
        <v>694</v>
      </c>
      <c r="G28" s="161" t="s">
        <v>51</v>
      </c>
      <c r="H28" s="507">
        <v>0.5</v>
      </c>
      <c r="I28" s="277" t="s">
        <v>1330</v>
      </c>
      <c r="J28" s="277">
        <v>10000</v>
      </c>
      <c r="K28" s="277" t="s">
        <v>535</v>
      </c>
      <c r="L28" s="277">
        <v>1.1000000000000001E-3</v>
      </c>
      <c r="M28" s="277" t="s">
        <v>244</v>
      </c>
      <c r="N28" s="277">
        <v>0.5</v>
      </c>
      <c r="O28" s="161">
        <v>3</v>
      </c>
      <c r="P28" s="161">
        <v>4</v>
      </c>
      <c r="Q28" s="170">
        <v>5</v>
      </c>
      <c r="R28" s="161">
        <v>1</v>
      </c>
      <c r="S28" s="161">
        <v>2</v>
      </c>
      <c r="T28" s="161" t="s">
        <v>280</v>
      </c>
      <c r="U28" s="161" t="s">
        <v>280</v>
      </c>
      <c r="V28" s="363" t="s">
        <v>898</v>
      </c>
      <c r="W28" s="161">
        <v>8</v>
      </c>
      <c r="X28" s="331">
        <v>43831</v>
      </c>
      <c r="Y28" s="210">
        <v>43832</v>
      </c>
      <c r="Z28" s="331">
        <v>43833</v>
      </c>
      <c r="AA28" s="331">
        <v>43834</v>
      </c>
      <c r="AB28" s="331">
        <v>43835</v>
      </c>
      <c r="AC28" s="331">
        <v>43836</v>
      </c>
      <c r="AD28" s="339">
        <v>7</v>
      </c>
      <c r="AE28" s="350" t="s">
        <v>244</v>
      </c>
      <c r="AF28" s="209" t="s">
        <v>245</v>
      </c>
      <c r="AG28" s="209" t="s">
        <v>245</v>
      </c>
      <c r="AH28" s="209" t="s">
        <v>245</v>
      </c>
      <c r="AI28" s="209" t="s">
        <v>245</v>
      </c>
      <c r="AJ28" s="209" t="s">
        <v>245</v>
      </c>
      <c r="AK28" s="209" t="s">
        <v>245</v>
      </c>
      <c r="AL28" s="209" t="s">
        <v>245</v>
      </c>
      <c r="AM28" s="209" t="s">
        <v>245</v>
      </c>
      <c r="AN28" s="209" t="s">
        <v>245</v>
      </c>
      <c r="AO28" s="209" t="s">
        <v>245</v>
      </c>
      <c r="AP28" s="209" t="s">
        <v>245</v>
      </c>
      <c r="AQ28" s="209" t="s">
        <v>245</v>
      </c>
      <c r="AR28" s="209" t="s">
        <v>245</v>
      </c>
      <c r="AS28" s="209" t="s">
        <v>245</v>
      </c>
      <c r="AT28" s="505"/>
      <c r="AU28" s="505"/>
      <c r="AV28" s="505"/>
      <c r="AW28" s="505"/>
      <c r="AX28" s="505"/>
      <c r="AY28" s="505"/>
      <c r="AZ28" s="161" t="s">
        <v>953</v>
      </c>
      <c r="BA28" s="209">
        <v>10</v>
      </c>
      <c r="BB28" s="209" t="s">
        <v>245</v>
      </c>
      <c r="BC28" s="209">
        <v>0</v>
      </c>
      <c r="BD28" s="366">
        <v>3</v>
      </c>
      <c r="BE28" s="209">
        <v>4</v>
      </c>
      <c r="BF28" s="210">
        <v>1</v>
      </c>
      <c r="BG28" s="209">
        <v>2</v>
      </c>
      <c r="BH28" s="209">
        <v>2</v>
      </c>
      <c r="BI28" s="218">
        <v>0</v>
      </c>
      <c r="BJ28" s="209">
        <v>10</v>
      </c>
      <c r="BK28" s="209">
        <v>20</v>
      </c>
      <c r="BL28" s="365">
        <v>1</v>
      </c>
      <c r="BM28" s="209" t="s">
        <v>790</v>
      </c>
      <c r="BN28" s="218">
        <v>0</v>
      </c>
      <c r="BO28" s="219">
        <v>1</v>
      </c>
      <c r="BP28" s="219">
        <v>2</v>
      </c>
      <c r="BQ28" s="219">
        <v>3</v>
      </c>
      <c r="BR28" s="219">
        <v>0</v>
      </c>
      <c r="BS28" s="225" t="s">
        <v>799</v>
      </c>
      <c r="BT28" s="219">
        <v>1</v>
      </c>
      <c r="BU28" s="219">
        <v>1</v>
      </c>
      <c r="BV28" s="219">
        <v>1</v>
      </c>
      <c r="BW28" s="219"/>
      <c r="BX28" s="359"/>
      <c r="BY28" s="357"/>
      <c r="BZ28" s="337"/>
      <c r="CA28" s="357"/>
      <c r="CB28" s="247"/>
      <c r="CC28" s="210"/>
      <c r="CD28" s="358"/>
      <c r="CE28" s="358"/>
      <c r="CF28" s="219"/>
      <c r="CG28" s="219"/>
      <c r="CH28" s="219"/>
      <c r="CI28" s="219"/>
      <c r="CJ28" s="219"/>
      <c r="CK28" s="219"/>
      <c r="CL28" s="360"/>
      <c r="CM28" s="247"/>
      <c r="CN28" s="209"/>
      <c r="CO28" s="209"/>
      <c r="CP28" s="210"/>
      <c r="CQ28" s="358"/>
      <c r="CR28" s="362"/>
      <c r="CS28" s="362"/>
      <c r="CT28" s="209"/>
      <c r="CU28" s="242"/>
      <c r="CV28" s="210"/>
      <c r="CW28" s="219"/>
      <c r="CX28" s="219"/>
      <c r="CY28" s="219"/>
      <c r="CZ28" s="219"/>
      <c r="DA28" s="253"/>
      <c r="DB28" s="245"/>
      <c r="DC28" s="256"/>
      <c r="DD28" s="246"/>
    </row>
    <row r="29" spans="1:108 3515:3515" ht="15" thickBot="1" x14ac:dyDescent="0.4">
      <c r="A29" s="162" t="s">
        <v>1589</v>
      </c>
      <c r="B29" s="399" t="s">
        <v>1581</v>
      </c>
      <c r="C29" s="161" t="s">
        <v>166</v>
      </c>
      <c r="D29" s="399" t="s">
        <v>1042</v>
      </c>
      <c r="E29" s="161" t="s">
        <v>143</v>
      </c>
      <c r="F29" s="161" t="s">
        <v>694</v>
      </c>
      <c r="G29" s="161" t="s">
        <v>51</v>
      </c>
      <c r="H29" s="507">
        <v>0.5</v>
      </c>
      <c r="I29" s="277" t="s">
        <v>1330</v>
      </c>
      <c r="J29" s="277">
        <v>10000</v>
      </c>
      <c r="K29" s="277" t="s">
        <v>535</v>
      </c>
      <c r="L29" s="277">
        <v>1.1000000000000001E-3</v>
      </c>
      <c r="M29" s="277" t="s">
        <v>244</v>
      </c>
      <c r="N29" s="277">
        <v>0.5</v>
      </c>
      <c r="O29" s="161">
        <v>3</v>
      </c>
      <c r="P29" s="161">
        <v>4</v>
      </c>
      <c r="Q29" s="170">
        <v>5</v>
      </c>
      <c r="R29" s="161">
        <v>1</v>
      </c>
      <c r="S29" s="161">
        <v>2</v>
      </c>
      <c r="T29" s="161" t="s">
        <v>280</v>
      </c>
      <c r="U29" s="161" t="s">
        <v>280</v>
      </c>
      <c r="V29" s="363" t="s">
        <v>898</v>
      </c>
      <c r="W29" s="171">
        <v>8</v>
      </c>
      <c r="X29" s="353">
        <v>43831</v>
      </c>
      <c r="Y29" s="354">
        <v>43832</v>
      </c>
      <c r="Z29" s="353">
        <v>43833</v>
      </c>
      <c r="AA29" s="353">
        <v>43834</v>
      </c>
      <c r="AB29" s="353">
        <v>43835</v>
      </c>
      <c r="AC29" s="353">
        <v>43836</v>
      </c>
      <c r="AD29" s="340">
        <v>7</v>
      </c>
      <c r="AE29" s="350" t="s">
        <v>244</v>
      </c>
      <c r="AF29" s="209" t="s">
        <v>245</v>
      </c>
      <c r="AG29" s="209" t="s">
        <v>245</v>
      </c>
      <c r="AH29" s="209" t="s">
        <v>245</v>
      </c>
      <c r="AI29" s="209" t="s">
        <v>245</v>
      </c>
      <c r="AJ29" s="209" t="s">
        <v>245</v>
      </c>
      <c r="AK29" s="209" t="s">
        <v>245</v>
      </c>
      <c r="AL29" s="209" t="s">
        <v>245</v>
      </c>
      <c r="AM29" s="209" t="s">
        <v>245</v>
      </c>
      <c r="AN29" s="209" t="s">
        <v>245</v>
      </c>
      <c r="AO29" s="209" t="s">
        <v>245</v>
      </c>
      <c r="AP29" s="209" t="s">
        <v>245</v>
      </c>
      <c r="AQ29" s="209" t="s">
        <v>245</v>
      </c>
      <c r="AR29" s="209" t="s">
        <v>245</v>
      </c>
      <c r="AS29" s="209" t="s">
        <v>245</v>
      </c>
      <c r="AT29" s="505"/>
      <c r="AU29" s="505"/>
      <c r="AV29" s="505"/>
      <c r="AW29" s="505"/>
      <c r="AX29" s="505"/>
      <c r="AY29" s="505"/>
      <c r="AZ29" s="161" t="s">
        <v>953</v>
      </c>
      <c r="BA29" s="209">
        <v>10</v>
      </c>
      <c r="BB29" s="209" t="s">
        <v>245</v>
      </c>
      <c r="BC29" s="209">
        <v>0</v>
      </c>
      <c r="BD29" s="366">
        <v>3</v>
      </c>
      <c r="BE29" s="209">
        <v>4</v>
      </c>
      <c r="BF29" s="210">
        <v>1</v>
      </c>
      <c r="BG29" s="209">
        <v>2</v>
      </c>
      <c r="BH29" s="209">
        <v>2</v>
      </c>
      <c r="BI29" s="218">
        <v>0</v>
      </c>
      <c r="BJ29" s="209">
        <v>10</v>
      </c>
      <c r="BK29" s="209">
        <v>20</v>
      </c>
      <c r="BL29" s="365">
        <v>1</v>
      </c>
      <c r="BM29" s="209" t="s">
        <v>790</v>
      </c>
      <c r="BN29" s="218">
        <v>0</v>
      </c>
      <c r="BO29" s="219">
        <v>1</v>
      </c>
      <c r="BP29" s="219">
        <v>2</v>
      </c>
      <c r="BQ29" s="219">
        <v>3</v>
      </c>
      <c r="BR29" s="219">
        <v>0</v>
      </c>
      <c r="BS29" s="225" t="s">
        <v>799</v>
      </c>
      <c r="BT29" s="219">
        <v>1</v>
      </c>
      <c r="BU29" s="219">
        <v>1</v>
      </c>
      <c r="BV29" s="219">
        <v>1</v>
      </c>
      <c r="BW29" s="219"/>
      <c r="BX29" s="359"/>
      <c r="BY29" s="357"/>
      <c r="BZ29" s="337"/>
      <c r="CA29" s="357"/>
      <c r="CB29" s="247"/>
      <c r="CC29" s="210"/>
      <c r="CD29" s="358"/>
      <c r="CE29" s="358"/>
      <c r="CF29" s="219"/>
      <c r="CG29" s="219"/>
      <c r="CH29" s="219"/>
      <c r="CI29" s="219"/>
      <c r="CJ29" s="219"/>
      <c r="CK29" s="219"/>
      <c r="CL29" s="360"/>
      <c r="CM29" s="247"/>
      <c r="CN29" s="209"/>
      <c r="CO29" s="209"/>
      <c r="CP29" s="210"/>
      <c r="CQ29" s="358"/>
      <c r="CR29" s="362"/>
      <c r="CS29" s="362"/>
      <c r="CT29" s="209"/>
      <c r="CU29" s="242"/>
      <c r="CV29" s="210"/>
      <c r="CW29" s="219"/>
      <c r="CX29" s="219"/>
      <c r="CY29" s="219"/>
      <c r="CZ29" s="219"/>
      <c r="DA29" s="253"/>
      <c r="DB29" s="245"/>
      <c r="DC29" s="256"/>
      <c r="DD29" s="246"/>
      <c r="EEE29" s="162">
        <v>43833</v>
      </c>
    </row>
    <row r="30" spans="1:108 3515:3515" x14ac:dyDescent="0.35">
      <c r="B30" s="347"/>
    </row>
    <row r="31" spans="1:108 3515:3515" x14ac:dyDescent="0.35">
      <c r="B31" s="347"/>
      <c r="C31" s="356"/>
      <c r="E31" s="356"/>
    </row>
    <row r="41" spans="2:6" x14ac:dyDescent="0.35">
      <c r="B41" s="163"/>
    </row>
    <row r="42" spans="2:6" x14ac:dyDescent="0.35">
      <c r="B42" s="163"/>
      <c r="C42" s="166"/>
      <c r="D42" s="165"/>
      <c r="E42" s="166"/>
      <c r="F42" s="166"/>
    </row>
    <row r="43" spans="2:6" x14ac:dyDescent="0.35">
      <c r="B43" s="163"/>
      <c r="C43" s="166"/>
      <c r="D43" s="165"/>
      <c r="E43" s="166"/>
      <c r="F43" s="166"/>
    </row>
    <row r="44" spans="2:6" x14ac:dyDescent="0.35">
      <c r="B44" s="163"/>
    </row>
    <row r="45" spans="2:6" x14ac:dyDescent="0.35">
      <c r="B45" s="163"/>
    </row>
    <row r="46" spans="2:6" x14ac:dyDescent="0.35">
      <c r="B46" s="163"/>
    </row>
    <row r="47" spans="2:6" x14ac:dyDescent="0.35">
      <c r="B47" s="163"/>
    </row>
    <row r="48" spans="2:6" x14ac:dyDescent="0.35">
      <c r="B48" s="163"/>
    </row>
    <row r="49" spans="2:2" x14ac:dyDescent="0.35">
      <c r="B49" s="163"/>
    </row>
    <row r="50" spans="2:2" x14ac:dyDescent="0.35">
      <c r="B50" s="163"/>
    </row>
    <row r="51" spans="2:2" x14ac:dyDescent="0.35">
      <c r="B51" s="163"/>
    </row>
    <row r="52" spans="2:2" x14ac:dyDescent="0.35">
      <c r="B52" s="163"/>
    </row>
    <row r="93" spans="2:5" x14ac:dyDescent="0.35">
      <c r="B93" s="367"/>
    </row>
    <row r="94" spans="2:5" x14ac:dyDescent="0.35">
      <c r="B94" s="393"/>
      <c r="C94" s="166"/>
      <c r="D94" s="166"/>
      <c r="E94" s="166"/>
    </row>
    <row r="95" spans="2:5" x14ac:dyDescent="0.35">
      <c r="B95" s="393"/>
      <c r="C95" s="166"/>
      <c r="D95" s="166"/>
      <c r="E95" s="166"/>
    </row>
    <row r="96" spans="2:5" x14ac:dyDescent="0.35">
      <c r="B96" s="393"/>
      <c r="C96" s="166"/>
      <c r="D96" s="166"/>
      <c r="E96" s="166"/>
    </row>
    <row r="97" spans="2:6" x14ac:dyDescent="0.35">
      <c r="B97" s="393"/>
      <c r="C97" s="166"/>
      <c r="D97" s="166"/>
      <c r="E97" s="166"/>
    </row>
    <row r="98" spans="2:6" x14ac:dyDescent="0.35">
      <c r="B98" s="393"/>
      <c r="C98" s="166"/>
      <c r="D98" s="166"/>
      <c r="E98" s="166"/>
    </row>
    <row r="102" spans="2:6" x14ac:dyDescent="0.35">
      <c r="F102" s="391"/>
    </row>
    <row r="103" spans="2:6" x14ac:dyDescent="0.35">
      <c r="F103" s="391"/>
    </row>
    <row r="104" spans="2:6" x14ac:dyDescent="0.35">
      <c r="F104" s="391"/>
    </row>
    <row r="105" spans="2:6" x14ac:dyDescent="0.35">
      <c r="F105" s="391"/>
    </row>
    <row r="106" spans="2:6" x14ac:dyDescent="0.35">
      <c r="F106" s="391"/>
    </row>
    <row r="107" spans="2:6" x14ac:dyDescent="0.35">
      <c r="F107" s="391"/>
    </row>
    <row r="108" spans="2:6" x14ac:dyDescent="0.35">
      <c r="F108" s="391"/>
    </row>
    <row r="109" spans="2:6" x14ac:dyDescent="0.35">
      <c r="F109" s="391"/>
    </row>
    <row r="110" spans="2:6" x14ac:dyDescent="0.35">
      <c r="F110" s="391"/>
    </row>
    <row r="111" spans="2:6" x14ac:dyDescent="0.35">
      <c r="F111" s="391"/>
    </row>
    <row r="112" spans="2:6" x14ac:dyDescent="0.35">
      <c r="F112" s="391"/>
    </row>
    <row r="113" spans="2:25" x14ac:dyDescent="0.35">
      <c r="W113" s="391"/>
    </row>
    <row r="114" spans="2:25" x14ac:dyDescent="0.35">
      <c r="W114" s="391"/>
    </row>
    <row r="115" spans="2:25" x14ac:dyDescent="0.35">
      <c r="W115" s="391"/>
    </row>
    <row r="116" spans="2:25" x14ac:dyDescent="0.35">
      <c r="W116" s="391"/>
    </row>
    <row r="117" spans="2:25" x14ac:dyDescent="0.35">
      <c r="B117" s="356"/>
      <c r="C117" s="356"/>
      <c r="D117" s="356"/>
      <c r="E117" s="356"/>
      <c r="W117" s="391"/>
    </row>
    <row r="118" spans="2:25" x14ac:dyDescent="0.35">
      <c r="W118" s="391"/>
    </row>
    <row r="119" spans="2:25" x14ac:dyDescent="0.35">
      <c r="F119" s="356"/>
      <c r="G119" s="356"/>
      <c r="H119" s="356"/>
      <c r="I119" s="356"/>
      <c r="J119" s="356"/>
      <c r="K119" s="356"/>
      <c r="L119" s="356"/>
      <c r="M119" s="356"/>
      <c r="N119" s="356"/>
      <c r="O119" s="356"/>
      <c r="P119" s="356"/>
      <c r="Q119" s="356"/>
      <c r="R119" s="356"/>
      <c r="W119" s="391"/>
    </row>
    <row r="120" spans="2:25" x14ac:dyDescent="0.35">
      <c r="O120" s="356"/>
      <c r="P120" s="356"/>
      <c r="Q120" s="356"/>
      <c r="R120" s="356"/>
      <c r="S120" s="356"/>
      <c r="T120" s="356"/>
      <c r="U120" s="356"/>
      <c r="V120" s="356"/>
      <c r="W120" s="356"/>
      <c r="X120" s="356"/>
      <c r="Y120" s="356"/>
    </row>
    <row r="121" spans="2:25" x14ac:dyDescent="0.35">
      <c r="O121" s="356"/>
      <c r="P121" s="356"/>
      <c r="Q121" s="356"/>
      <c r="R121" s="356"/>
      <c r="S121" s="356"/>
      <c r="T121" s="356"/>
      <c r="U121" s="356"/>
      <c r="V121" s="356"/>
      <c r="W121" s="356"/>
      <c r="X121" s="356"/>
      <c r="Y121" s="356"/>
    </row>
    <row r="122" spans="2:25" x14ac:dyDescent="0.35">
      <c r="S122" s="356"/>
      <c r="T122" s="356"/>
      <c r="U122" s="356"/>
      <c r="V122" s="356"/>
      <c r="W122" s="356"/>
      <c r="X122" s="356"/>
      <c r="Y122" s="356"/>
    </row>
  </sheetData>
  <autoFilter ref="A13:EEE122" xr:uid="{00000000-0009-0000-0000-000008000000}">
    <sortState xmlns:xlrd2="http://schemas.microsoft.com/office/spreadsheetml/2017/richdata2" ref="A14:EEE122">
      <sortCondition ref="A13:A122"/>
      <sortCondition ref="A13"/>
    </sortState>
  </autoFilter>
  <dataConsolidate/>
  <mergeCells count="9">
    <mergeCell ref="P10:Q10"/>
    <mergeCell ref="G3:O3"/>
    <mergeCell ref="G4:O4"/>
    <mergeCell ref="CN9:CQ9"/>
    <mergeCell ref="W9:Z9"/>
    <mergeCell ref="AZ9:BC9"/>
    <mergeCell ref="BX9:CA9"/>
    <mergeCell ref="AE9:AY9"/>
    <mergeCell ref="G5:O5"/>
  </mergeCells>
  <dataValidations count="3">
    <dataValidation type="list" allowBlank="1" showInputMessage="1" showErrorMessage="1" sqref="B4:B7" xr:uid="{00000000-0002-0000-0800-000000000000}">
      <formula1>$D$2:$E$2</formula1>
    </dataValidation>
    <dataValidation type="list" allowBlank="1" showInputMessage="1" showErrorMessage="1" sqref="AT12:AY29" xr:uid="{00000000-0002-0000-0800-000001000000}">
      <formula1>$AB$8:$AB$9</formula1>
    </dataValidation>
    <dataValidation type="list" allowBlank="1" showInputMessage="1" showErrorMessage="1" sqref="E12:E29" xr:uid="{00000000-0002-0000-0800-000002000000}">
      <formula1>INDIRECT(C12)</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800-000003000000}">
          <x14:formula1>
            <xm:f>'Tables - Part 3'!$CG$4:$CG$8</xm:f>
          </x14:formula1>
          <xm:sqref>V12:V29</xm:sqref>
        </x14:dataValidation>
        <x14:dataValidation type="list" allowBlank="1" showInputMessage="1" showErrorMessage="1" xr:uid="{00000000-0002-0000-0800-000004000000}">
          <x14:formula1>
            <xm:f>POF!$BC$2:$BC$3</xm:f>
          </x14:formula1>
          <xm:sqref>BX12:BX29 AZ12:AZ29</xm:sqref>
        </x14:dataValidation>
        <x14:dataValidation type="list" allowBlank="1" showInputMessage="1" showErrorMessage="1" xr:uid="{00000000-0002-0000-0800-000005000000}">
          <x14:formula1>
            <xm:f>'Tables - Part 2'!$K$3:$M$3</xm:f>
          </x14:formula1>
          <xm:sqref>CL12:CL29 BS12:BS29</xm:sqref>
        </x14:dataValidation>
        <x14:dataValidation type="list" allowBlank="1" showInputMessage="1" showErrorMessage="1" xr:uid="{00000000-0002-0000-0800-000006000000}">
          <x14:formula1>
            <xm:f>'Tables - Part 2'!$CV$4:$CV$7</xm:f>
          </x14:formula1>
          <xm:sqref>CU12:CU29</xm:sqref>
        </x14:dataValidation>
        <x14:dataValidation type="list" allowBlank="1" showInputMessage="1" showErrorMessage="1" xr:uid="{00000000-0002-0000-0800-000007000000}">
          <x14:formula1>
            <xm:f>'Tables - Part 2'!$CE$5:$CE$9</xm:f>
          </x14:formula1>
          <xm:sqref>CP12:CP29</xm:sqref>
        </x14:dataValidation>
        <x14:dataValidation type="list" allowBlank="1" showInputMessage="1" showErrorMessage="1" xr:uid="{00000000-0002-0000-0800-000008000000}">
          <x14:formula1>
            <xm:f>'Tables - Part 2'!$CF$4:$CI$4</xm:f>
          </x14:formula1>
          <xm:sqref>CQ12:CQ29</xm:sqref>
        </x14:dataValidation>
        <x14:dataValidation type="list" allowBlank="1" showInputMessage="1" showErrorMessage="1" xr:uid="{00000000-0002-0000-0800-000009000000}">
          <x14:formula1>
            <xm:f>Ext_Corr_Ferritic!$BY$2:$BY$3</xm:f>
          </x14:formula1>
          <xm:sqref>BW12:BW29</xm:sqref>
        </x14:dataValidation>
        <x14:dataValidation type="list" allowBlank="1" showInputMessage="1" showErrorMessage="1" xr:uid="{00000000-0002-0000-0800-00000A000000}">
          <x14:formula1>
            <xm:f>Ext_Corr_Ferritic!$CA$3:$CA$5</xm:f>
          </x14:formula1>
          <xm:sqref>CD12:CD29</xm:sqref>
        </x14:dataValidation>
        <x14:dataValidation type="list" allowBlank="1" showInputMessage="1" showErrorMessage="1" xr:uid="{00000000-0002-0000-0800-00000B000000}">
          <x14:formula1>
            <xm:f>Ext_Corr_Ferritic!$BZ$2:$BZ$5</xm:f>
          </x14:formula1>
          <xm:sqref>CE12:CE29</xm:sqref>
        </x14:dataValidation>
        <x14:dataValidation type="list" allowBlank="1" showInputMessage="1" showErrorMessage="1" xr:uid="{00000000-0002-0000-0800-00000C000000}">
          <x14:formula1>
            <xm:f>Ext_Corr_Ferritic!$BX$2:$BX$3</xm:f>
          </x14:formula1>
          <xm:sqref>CF12:CG29</xm:sqref>
        </x14:dataValidation>
        <x14:dataValidation type="list" allowBlank="1" showInputMessage="1" showErrorMessage="1" xr:uid="{00000000-0002-0000-0800-00000D000000}">
          <x14:formula1>
            <xm:f>'HIC-SOHIC-H2S'!$CC$2:$CC$3</xm:f>
          </x14:formula1>
          <xm:sqref>CR12:CR29 CN12:CN29 CT12:CT29</xm:sqref>
        </x14:dataValidation>
        <x14:dataValidation type="list" allowBlank="1" showInputMessage="1" showErrorMessage="1" xr:uid="{00000000-0002-0000-0800-00000E000000}">
          <x14:formula1>
            <xm:f>'HIC-SOHIC-H2S'!$CC$2:$CC$4</xm:f>
          </x14:formula1>
          <xm:sqref>CO12:CO29</xm:sqref>
        </x14:dataValidation>
        <x14:dataValidation type="list" allowBlank="1" showInputMessage="1" showErrorMessage="1" xr:uid="{00000000-0002-0000-0800-00000F000000}">
          <x14:formula1>
            <xm:f>'HIC-SOHIC-H2S'!$V$3:$X$3</xm:f>
          </x14:formula1>
          <xm:sqref>CS12:CS29</xm:sqref>
        </x14:dataValidation>
        <x14:dataValidation type="list" allowBlank="1" showInputMessage="1" showErrorMessage="1" xr:uid="{00000000-0002-0000-0800-000010000000}">
          <x14:formula1>
            <xm:f>'HIC-SOHIC-H2S'!$AG$3:$BU$3</xm:f>
          </x14:formula1>
          <xm:sqref>DA12:DA29</xm:sqref>
        </x14:dataValidation>
        <x14:dataValidation type="list" allowBlank="1" showInputMessage="1" showErrorMessage="1" xr:uid="{00000000-0002-0000-0800-000011000000}">
          <x14:formula1>
            <xm:f>'HIC-SOHIC-H2S'!$AC$3:$AF$3</xm:f>
          </x14:formula1>
          <xm:sqref>DB12:DB29</xm:sqref>
        </x14:dataValidation>
        <x14:dataValidation type="list" allowBlank="1" showInputMessage="1" showErrorMessage="1" xr:uid="{00000000-0002-0000-0800-000012000000}">
          <x14:formula1>
            <xm:f>COF!$TH$10:$TH$11</xm:f>
          </x14:formula1>
          <xm:sqref>BB12:BB29 M12:M14</xm:sqref>
        </x14:dataValidation>
        <x14:dataValidation type="list" allowBlank="1" showInputMessage="1" showErrorMessage="1" xr:uid="{00000000-0002-0000-0800-000013000000}">
          <x14:formula1>
            <xm:f>COF!$TJ$6:$TJ$11</xm:f>
          </x14:formula1>
          <xm:sqref>C12:C29</xm:sqref>
        </x14:dataValidation>
        <x14:dataValidation type="list" allowBlank="1" showInputMessage="1" showErrorMessage="1" xr:uid="{00000000-0002-0000-0800-000014000000}">
          <x14:formula1>
            <xm:f>COF!$TG$14:$TG$16</xm:f>
          </x14:formula1>
          <xm:sqref>T12:U29</xm:sqref>
        </x14:dataValidation>
        <x14:dataValidation type="list" allowBlank="1" showInputMessage="1" showErrorMessage="1" xr:uid="{00000000-0002-0000-0800-000015000000}">
          <x14:formula1>
            <xm:f>Thinning!$BU$3:$BU$5</xm:f>
          </x14:formula1>
          <xm:sqref>BM12:BM29</xm:sqref>
        </x14:dataValidation>
        <x14:dataValidation type="list" allowBlank="1" showInputMessage="1" showErrorMessage="1" xr:uid="{00000000-0002-0000-0800-000016000000}">
          <x14:formula1>
            <xm:f>Thinning!$CD$4:$CD$5</xm:f>
          </x14:formula1>
          <xm:sqref>BU12:BV29</xm:sqref>
        </x14:dataValidation>
        <x14:dataValidation type="list" allowBlank="1" showInputMessage="1" showErrorMessage="1" xr:uid="{00000000-0002-0000-0800-000017000000}">
          <x14:formula1>
            <xm:f>'Tables - Part 3'!$B$4:$B$37</xm:f>
          </x14:formula1>
          <xm:sqref>F12:F29</xm:sqref>
        </x14:dataValidation>
        <x14:dataValidation type="list" allowBlank="1" showInputMessage="1" showErrorMessage="1" xr:uid="{00000000-0002-0000-0800-000018000000}">
          <x14:formula1>
            <xm:f>COF!$TQ$6:$TQ$12</xm:f>
          </x14:formula1>
          <xm:sqref>K12:K14</xm:sqref>
        </x14:dataValidation>
        <x14:dataValidation type="list" allowBlank="1" showInputMessage="1" showErrorMessage="1" xr:uid="{00000000-0002-0000-0800-000019000000}">
          <x14:formula1>
            <xm:f>COF!$TH$6:$TH$7</xm:f>
          </x14:formula1>
          <xm:sqref>G12:G29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2">
    <tabColor rgb="FF00B050"/>
  </sheetPr>
  <dimension ref="A1:AI27"/>
  <sheetViews>
    <sheetView showGridLines="0" zoomScale="90" zoomScaleNormal="90" workbookViewId="0">
      <selection activeCell="C14" sqref="C14:G14"/>
    </sheetView>
  </sheetViews>
  <sheetFormatPr defaultRowHeight="14.5" x14ac:dyDescent="0.35"/>
  <cols>
    <col min="2" max="2" width="7.7265625" customWidth="1"/>
    <col min="3" max="7" width="9.7265625" customWidth="1"/>
    <col min="8" max="8" width="12.1796875" customWidth="1"/>
    <col min="10" max="10" width="11" customWidth="1"/>
    <col min="27" max="35" width="0" hidden="1" customWidth="1"/>
  </cols>
  <sheetData>
    <row r="1" spans="1:35" ht="7.5" customHeight="1" x14ac:dyDescent="0.35"/>
    <row r="2" spans="1:35" x14ac:dyDescent="0.35">
      <c r="C2" t="s">
        <v>971</v>
      </c>
      <c r="D2" t="s">
        <v>968</v>
      </c>
      <c r="E2" t="s">
        <v>969</v>
      </c>
      <c r="F2" t="s">
        <v>957</v>
      </c>
      <c r="G2" t="s">
        <v>972</v>
      </c>
      <c r="H2" t="s">
        <v>974</v>
      </c>
      <c r="I2" t="s">
        <v>973</v>
      </c>
      <c r="N2" t="s">
        <v>975</v>
      </c>
    </row>
    <row r="4" spans="1:35" x14ac:dyDescent="0.35">
      <c r="N4" t="s">
        <v>976</v>
      </c>
    </row>
    <row r="6" spans="1:35" ht="26.25" customHeight="1" x14ac:dyDescent="0.35">
      <c r="C6" s="692" t="s">
        <v>1043</v>
      </c>
      <c r="D6" s="692"/>
      <c r="E6" s="692"/>
      <c r="F6" s="692"/>
      <c r="G6" s="692"/>
      <c r="AC6" s="692" t="s">
        <v>1043</v>
      </c>
      <c r="AD6" s="692"/>
      <c r="AE6" s="692"/>
      <c r="AF6" s="692"/>
      <c r="AG6" s="692"/>
    </row>
    <row r="7" spans="1:35" ht="15" thickBot="1" x14ac:dyDescent="0.4"/>
    <row r="8" spans="1:35" ht="38.5" customHeight="1" thickTop="1" thickBot="1" x14ac:dyDescent="0.4">
      <c r="A8" s="691" t="s">
        <v>1044</v>
      </c>
      <c r="B8" s="368">
        <v>5</v>
      </c>
      <c r="C8" s="370" t="str">
        <f>IF(AC8=0,"",AC8)</f>
        <v/>
      </c>
      <c r="D8" s="370" t="str">
        <f t="shared" ref="D8:D12" si="0">IF(AD8=0,"",AD8)</f>
        <v/>
      </c>
      <c r="E8" s="370" t="str">
        <f t="shared" ref="E8:E12" si="1">IF(AE8=0,"",AE8)</f>
        <v/>
      </c>
      <c r="F8" s="371">
        <f t="shared" ref="F8:F12" si="2">IF(AF8=0,"",AF8)</f>
        <v>1</v>
      </c>
      <c r="G8" s="371" t="str">
        <f t="shared" ref="G8:G12" si="3">IF(AG8=0,"",AG8)</f>
        <v/>
      </c>
      <c r="AA8" s="691" t="s">
        <v>1044</v>
      </c>
      <c r="AB8" s="392">
        <v>5</v>
      </c>
      <c r="AC8" s="370">
        <f>COUNTIF(Risk!$X$3:$X$20,"5A")</f>
        <v>0</v>
      </c>
      <c r="AD8" s="370">
        <f>COUNTIF(Risk!$X$3:$X$20,"5B")</f>
        <v>0</v>
      </c>
      <c r="AE8" s="370">
        <f>COUNTIF(Risk!$X$3:$X$20,"5C")</f>
        <v>0</v>
      </c>
      <c r="AF8" s="371">
        <f>COUNTIF(Risk!$X$3:$X$20,"5D")</f>
        <v>1</v>
      </c>
      <c r="AG8" s="371">
        <f>COUNTIF(Risk!$X$3:$X$20,"5E")</f>
        <v>0</v>
      </c>
    </row>
    <row r="9" spans="1:35" ht="38.5" customHeight="1" thickTop="1" thickBot="1" x14ac:dyDescent="0.4">
      <c r="A9" s="691"/>
      <c r="B9" s="368">
        <v>4</v>
      </c>
      <c r="C9" s="372" t="str">
        <f t="shared" ref="C9:C12" si="4">IF(AC9=0,"",AC9)</f>
        <v/>
      </c>
      <c r="D9" s="372" t="str">
        <f t="shared" si="0"/>
        <v/>
      </c>
      <c r="E9" s="373" t="str">
        <f t="shared" si="1"/>
        <v/>
      </c>
      <c r="F9" s="370" t="str">
        <f t="shared" si="2"/>
        <v/>
      </c>
      <c r="G9" s="371" t="str">
        <f t="shared" si="3"/>
        <v/>
      </c>
      <c r="AA9" s="691"/>
      <c r="AB9" s="392">
        <v>4</v>
      </c>
      <c r="AC9" s="372">
        <f>COUNTIF(Risk!$X$3:$X$20,"4A")</f>
        <v>0</v>
      </c>
      <c r="AD9" s="372">
        <f>COUNTIF(Risk!$X$3:$X$20,"4B")</f>
        <v>0</v>
      </c>
      <c r="AE9" s="373">
        <f>COUNTIF(Risk!$X$3:$X$20,"4C")</f>
        <v>0</v>
      </c>
      <c r="AF9" s="370">
        <f>COUNTIF(Risk!$X$3:$X$20,"4D")</f>
        <v>0</v>
      </c>
      <c r="AG9" s="371">
        <f>COUNTIF(Risk!$X$3:$X$20,"4E")</f>
        <v>0</v>
      </c>
    </row>
    <row r="10" spans="1:35" ht="38.5" customHeight="1" thickTop="1" thickBot="1" x14ac:dyDescent="0.4">
      <c r="A10" s="691"/>
      <c r="B10" s="368">
        <v>3</v>
      </c>
      <c r="C10" s="374" t="str">
        <f t="shared" si="4"/>
        <v/>
      </c>
      <c r="D10" s="374" t="str">
        <f t="shared" si="0"/>
        <v/>
      </c>
      <c r="E10" s="382" t="str">
        <f t="shared" si="1"/>
        <v/>
      </c>
      <c r="F10" s="375">
        <f t="shared" si="2"/>
        <v>1</v>
      </c>
      <c r="G10" s="376" t="str">
        <f t="shared" si="3"/>
        <v/>
      </c>
      <c r="AA10" s="691"/>
      <c r="AB10" s="392">
        <v>3</v>
      </c>
      <c r="AC10" s="374">
        <f>COUNTIF(Risk!$X$3:$X$20,"3A")</f>
        <v>0</v>
      </c>
      <c r="AD10" s="374">
        <f>COUNTIF(Risk!$X$3:$X$20,"3B")</f>
        <v>0</v>
      </c>
      <c r="AE10" s="382">
        <f>COUNTIF(Risk!$X$3:$X$20,"3C")</f>
        <v>0</v>
      </c>
      <c r="AF10" s="375">
        <f>COUNTIF(Risk!$X$3:$X$20,"3D")</f>
        <v>1</v>
      </c>
      <c r="AG10" s="376">
        <f>COUNTIF(Risk!$X$3:$X$20,"3E")</f>
        <v>0</v>
      </c>
    </row>
    <row r="11" spans="1:35" ht="38.5" customHeight="1" thickTop="1" thickBot="1" x14ac:dyDescent="0.4">
      <c r="A11" s="691"/>
      <c r="B11" s="368">
        <v>2</v>
      </c>
      <c r="C11" s="377" t="str">
        <f t="shared" si="4"/>
        <v/>
      </c>
      <c r="D11" s="377" t="str">
        <f t="shared" si="0"/>
        <v/>
      </c>
      <c r="E11" s="378" t="str">
        <f t="shared" si="1"/>
        <v/>
      </c>
      <c r="F11" s="379" t="str">
        <f t="shared" si="2"/>
        <v/>
      </c>
      <c r="G11" s="380" t="str">
        <f t="shared" si="3"/>
        <v/>
      </c>
      <c r="I11" s="369"/>
      <c r="AA11" s="691"/>
      <c r="AB11" s="392">
        <v>2</v>
      </c>
      <c r="AC11" s="377">
        <f>COUNTIF(Risk!$X$3:$X$20,"2A")</f>
        <v>0</v>
      </c>
      <c r="AD11" s="377">
        <f>COUNTIF(Risk!$X$3:$X$20,"2B")</f>
        <v>0</v>
      </c>
      <c r="AE11" s="378">
        <f>COUNTIF(Risk!$X$3:$X$20,"2C")</f>
        <v>0</v>
      </c>
      <c r="AF11" s="379">
        <f>COUNTIF(Risk!$X$3:$X$20,"2D")</f>
        <v>0</v>
      </c>
      <c r="AG11" s="380">
        <f>COUNTIF(Risk!$X$3:$X$20,"2E")</f>
        <v>0</v>
      </c>
      <c r="AI11" s="369"/>
    </row>
    <row r="12" spans="1:35" ht="38.5" customHeight="1" thickTop="1" thickBot="1" x14ac:dyDescent="0.4">
      <c r="A12" s="691"/>
      <c r="B12" s="368">
        <v>1</v>
      </c>
      <c r="C12" s="377" t="str">
        <f t="shared" si="4"/>
        <v/>
      </c>
      <c r="D12" s="377" t="str">
        <f t="shared" si="0"/>
        <v/>
      </c>
      <c r="E12" s="378" t="str">
        <f t="shared" si="1"/>
        <v/>
      </c>
      <c r="F12" s="378" t="str">
        <f t="shared" si="2"/>
        <v/>
      </c>
      <c r="G12" s="370" t="str">
        <f t="shared" si="3"/>
        <v/>
      </c>
      <c r="AA12" s="691"/>
      <c r="AB12" s="392">
        <v>1</v>
      </c>
      <c r="AC12" s="377">
        <f>COUNTIF(Risk!$X$3:$X$20,"1A")</f>
        <v>0</v>
      </c>
      <c r="AD12" s="377">
        <f>COUNTIF(Risk!$X$3:$X$20,"1B")</f>
        <v>0</v>
      </c>
      <c r="AE12" s="378">
        <f>COUNTIF(Risk!$X$3:$X$20,"1C")</f>
        <v>0</v>
      </c>
      <c r="AF12" s="378">
        <f>COUNTIF(Risk!$X$3:$X$20,"1D")</f>
        <v>0</v>
      </c>
      <c r="AG12" s="370">
        <f>COUNTIF(Risk!$X$3:$X$20,"1E")</f>
        <v>0</v>
      </c>
    </row>
    <row r="13" spans="1:35" ht="24.75" customHeight="1" thickTop="1" x14ac:dyDescent="0.35">
      <c r="C13" s="368" t="s">
        <v>278</v>
      </c>
      <c r="D13" s="368" t="s">
        <v>279</v>
      </c>
      <c r="E13" s="368" t="s">
        <v>280</v>
      </c>
      <c r="F13" s="368" t="s">
        <v>274</v>
      </c>
      <c r="G13" s="368" t="s">
        <v>281</v>
      </c>
      <c r="AC13" s="392" t="s">
        <v>278</v>
      </c>
      <c r="AD13" s="392" t="s">
        <v>279</v>
      </c>
      <c r="AE13" s="392" t="s">
        <v>280</v>
      </c>
      <c r="AF13" s="392" t="s">
        <v>274</v>
      </c>
      <c r="AG13" s="392" t="s">
        <v>281</v>
      </c>
    </row>
    <row r="14" spans="1:35" ht="33.75" customHeight="1" x14ac:dyDescent="0.35">
      <c r="C14" s="692" t="s">
        <v>1028</v>
      </c>
      <c r="D14" s="692"/>
      <c r="E14" s="692"/>
      <c r="F14" s="692"/>
      <c r="G14" s="692"/>
      <c r="AC14" s="692" t="s">
        <v>1028</v>
      </c>
      <c r="AD14" s="692"/>
      <c r="AE14" s="692"/>
      <c r="AF14" s="692"/>
      <c r="AG14" s="692"/>
    </row>
    <row r="22" spans="3:11" ht="15" x14ac:dyDescent="0.35">
      <c r="C22" s="692"/>
      <c r="D22" s="692"/>
    </row>
    <row r="23" spans="3:11" ht="18.75" customHeight="1" x14ac:dyDescent="0.35">
      <c r="C23" s="692"/>
      <c r="D23" s="692"/>
      <c r="I23" s="2"/>
      <c r="J23" s="2"/>
      <c r="K23" s="2"/>
    </row>
    <row r="24" spans="3:11" ht="19.5" customHeight="1" x14ac:dyDescent="0.35">
      <c r="C24" s="692"/>
      <c r="D24" s="692"/>
      <c r="I24" s="2"/>
      <c r="J24" s="2"/>
      <c r="K24" s="2"/>
    </row>
    <row r="25" spans="3:11" ht="18.75" customHeight="1" x14ac:dyDescent="0.35">
      <c r="C25" s="692"/>
      <c r="D25" s="692"/>
      <c r="I25" s="2"/>
      <c r="J25" s="2"/>
      <c r="K25" s="2"/>
    </row>
    <row r="26" spans="3:11" ht="21" customHeight="1" x14ac:dyDescent="0.35">
      <c r="C26" s="692"/>
      <c r="D26" s="692"/>
    </row>
    <row r="27" spans="3:11" ht="15" x14ac:dyDescent="0.35">
      <c r="C27" s="692"/>
      <c r="D27" s="692"/>
    </row>
  </sheetData>
  <mergeCells count="12">
    <mergeCell ref="AC6:AG6"/>
    <mergeCell ref="AA8:AA12"/>
    <mergeCell ref="AC14:AG14"/>
    <mergeCell ref="C27:D27"/>
    <mergeCell ref="C6:G6"/>
    <mergeCell ref="C26:D26"/>
    <mergeCell ref="A8:A12"/>
    <mergeCell ref="C14:G14"/>
    <mergeCell ref="C23:D23"/>
    <mergeCell ref="C24:D24"/>
    <mergeCell ref="C25:D25"/>
    <mergeCell ref="C22:D22"/>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BB27"/>
  <sheetViews>
    <sheetView topLeftCell="F1" zoomScale="60" zoomScaleNormal="60" workbookViewId="0">
      <selection activeCell="AB3" sqref="AB3:AB20"/>
    </sheetView>
  </sheetViews>
  <sheetFormatPr defaultRowHeight="14.5" x14ac:dyDescent="0.35"/>
  <cols>
    <col min="1" max="1" width="1.1796875" customWidth="1"/>
    <col min="2" max="2" width="14.7265625" bestFit="1" customWidth="1"/>
    <col min="3" max="3" width="12.54296875" customWidth="1"/>
    <col min="4" max="4" width="17.7265625" customWidth="1"/>
    <col min="5" max="5" width="22.81640625" customWidth="1"/>
    <col min="6" max="10" width="19.7265625" customWidth="1"/>
    <col min="11" max="11" width="24" customWidth="1"/>
    <col min="12" max="12" width="19.7265625" customWidth="1"/>
    <col min="13" max="15" width="15.26953125" customWidth="1"/>
    <col min="16" max="16" width="15" customWidth="1"/>
    <col min="17" max="17" width="13.81640625" customWidth="1"/>
    <col min="18" max="18" width="15" customWidth="1"/>
    <col min="19" max="19" width="13.81640625" customWidth="1"/>
    <col min="20" max="20" width="18.7265625" customWidth="1"/>
    <col min="21" max="21" width="13.81640625" customWidth="1"/>
    <col min="22" max="23" width="13.54296875" customWidth="1"/>
    <col min="24" max="24" width="12" customWidth="1"/>
    <col min="25" max="25" width="13.54296875" customWidth="1"/>
    <col min="26" max="26" width="11.1796875" customWidth="1"/>
    <col min="27" max="29" width="25.1796875" customWidth="1"/>
    <col min="30" max="30" width="17.26953125" customWidth="1"/>
    <col min="31" max="31" width="22.1796875" customWidth="1"/>
    <col min="32" max="32" width="17" customWidth="1"/>
    <col min="33" max="33" width="62.54296875" bestFit="1" customWidth="1"/>
    <col min="34" max="34" width="62.54296875" customWidth="1"/>
    <col min="38" max="39" width="11.54296875" customWidth="1"/>
    <col min="48" max="48" width="13.26953125" customWidth="1"/>
    <col min="54" max="54" width="44.7265625" customWidth="1"/>
  </cols>
  <sheetData>
    <row r="1" spans="2:54" ht="5.25" customHeight="1" x14ac:dyDescent="0.35"/>
    <row r="2" spans="2:54" ht="29" x14ac:dyDescent="0.35">
      <c r="B2" s="134" t="s">
        <v>968</v>
      </c>
      <c r="C2" s="134" t="s">
        <v>969</v>
      </c>
      <c r="D2" s="134" t="s">
        <v>920</v>
      </c>
      <c r="E2" s="139" t="s">
        <v>1039</v>
      </c>
      <c r="F2" s="134" t="s">
        <v>754</v>
      </c>
      <c r="G2" s="134" t="s">
        <v>977</v>
      </c>
      <c r="H2" s="139" t="s">
        <v>1015</v>
      </c>
      <c r="I2" s="139" t="s">
        <v>1016</v>
      </c>
      <c r="J2" s="139" t="s">
        <v>1024</v>
      </c>
      <c r="K2" s="139" t="s">
        <v>1027</v>
      </c>
      <c r="L2" s="139" t="s">
        <v>1019</v>
      </c>
      <c r="M2" s="139" t="s">
        <v>1020</v>
      </c>
      <c r="N2" s="139" t="s">
        <v>1019</v>
      </c>
      <c r="O2" s="139" t="s">
        <v>1021</v>
      </c>
      <c r="P2" s="139" t="s">
        <v>1018</v>
      </c>
      <c r="Q2" s="139" t="s">
        <v>1022</v>
      </c>
      <c r="R2" s="139" t="s">
        <v>979</v>
      </c>
      <c r="S2" s="139" t="s">
        <v>1006</v>
      </c>
      <c r="T2" s="139" t="s">
        <v>970</v>
      </c>
      <c r="U2" s="139" t="s">
        <v>1007</v>
      </c>
      <c r="V2" s="139" t="s">
        <v>978</v>
      </c>
      <c r="W2" s="139" t="s">
        <v>997</v>
      </c>
      <c r="X2" s="141" t="s">
        <v>1023</v>
      </c>
      <c r="Y2" s="141" t="s">
        <v>1012</v>
      </c>
      <c r="Z2" s="141" t="s">
        <v>1046</v>
      </c>
      <c r="AA2" s="141" t="s">
        <v>1013</v>
      </c>
      <c r="AB2" s="141" t="s">
        <v>1047</v>
      </c>
      <c r="AC2" s="141" t="s">
        <v>1049</v>
      </c>
      <c r="AD2" s="141" t="s">
        <v>1048</v>
      </c>
      <c r="AE2" s="141" t="s">
        <v>1014</v>
      </c>
      <c r="AF2" s="141" t="s">
        <v>1025</v>
      </c>
      <c r="AG2" s="141" t="s">
        <v>1026</v>
      </c>
      <c r="AH2" s="142" t="s">
        <v>1560</v>
      </c>
      <c r="AM2" s="693" t="s">
        <v>957</v>
      </c>
      <c r="AN2" s="693"/>
      <c r="AO2" s="694" t="s">
        <v>1017</v>
      </c>
      <c r="AP2" s="695"/>
      <c r="AQ2" s="693" t="s">
        <v>972</v>
      </c>
      <c r="AR2" s="693"/>
      <c r="AV2" s="693" t="s">
        <v>1009</v>
      </c>
      <c r="AW2" s="693"/>
      <c r="AZ2" s="2"/>
    </row>
    <row r="3" spans="2:54" x14ac:dyDescent="0.35">
      <c r="B3" s="161" t="str">
        <f>'Tratamento de Dados'!B12</f>
        <v>V-90</v>
      </c>
      <c r="C3" s="161" t="str">
        <f>'Tratamento de Dados'!D12</f>
        <v>Casco</v>
      </c>
      <c r="D3" s="331">
        <f>'Tratamento de Dados'!X12</f>
        <v>43831</v>
      </c>
      <c r="E3" s="210">
        <f>'Tratamento de Dados'!Y12</f>
        <v>43832</v>
      </c>
      <c r="F3" s="331">
        <f>'Tratamento de Dados'!Z12</f>
        <v>43833</v>
      </c>
      <c r="G3" s="331">
        <f>'Tratamento de Dados'!AA12</f>
        <v>43834</v>
      </c>
      <c r="H3" s="331">
        <f>'Tratamento de Dados'!AB12</f>
        <v>43835</v>
      </c>
      <c r="I3" s="331">
        <f>'Tratamento de Dados'!AC12</f>
        <v>43836</v>
      </c>
      <c r="J3" s="161">
        <f>'Tratamento de Dados'!AD12</f>
        <v>7</v>
      </c>
      <c r="K3" s="161" t="str">
        <f>'Tratamento de Dados'!$B$3</f>
        <v>DF Target</v>
      </c>
      <c r="L3" s="333">
        <f>IF(OR('Tratamento de Dados'!$D$3="",'Tratamento de Dados'!$D$3=0),0,INDEX('Tratamento de Dados'!$D$3:$D$7,MATCH(Risk!U3,'Tratamento de Dados'!$C$3:$C$7,0)))</f>
        <v>0</v>
      </c>
      <c r="M3" s="333">
        <f>IF(OR('Tratamento de Dados'!$E$3="",'Tratamento de Dados'!$E$3=0),0,INDEX('Tratamento de Dados'!$E$3:$E$7,MATCH(Risk!U3,'Tratamento de Dados'!$C$3:$C$7,0)))</f>
        <v>0</v>
      </c>
      <c r="N3" s="334">
        <f>IF(B3="","",IF(OR(K3&lt;&gt;$L$2,L3="",L3=0),O3*R3*T3/P3,L3))</f>
        <v>4.8342821274258636</v>
      </c>
      <c r="O3" s="285">
        <f t="shared" ref="O3:O20" si="0">IF(B3="","",IF(OR(K3&lt;&gt;$M$2,M3="",M3=0),IF(OR(U3=$AT$7,U3=$AT$8),20,100),M3))</f>
        <v>20</v>
      </c>
      <c r="P3" s="285">
        <f>IF(B3="","",POF!AN3)</f>
        <v>6409.4964263855954</v>
      </c>
      <c r="Q3" s="285">
        <f t="shared" ref="Q3:Q20" si="1">IF(B3="","",IF(P3&lt;=$AP$4,$AS$4,IF(P3&lt;=$AP$5,$AS$5,IF(P3&lt;=$AP$6,$AS$6,IF(P3&lt;=$AP$7,$AS$7,$AS$8)))))</f>
        <v>5</v>
      </c>
      <c r="R3" s="285">
        <f>IF(B3="","",POF!AO3)</f>
        <v>1.5690447251791941</v>
      </c>
      <c r="S3" s="285">
        <f t="shared" ref="S3:S20" si="2">IF(B3="","",IF(R3&lt;=$AN$4,$AS$4,IF(R3&lt;=$AN$5,$AS$5,IF(R3&lt;=$AN$6,$AS$6,IF(R3&lt;=$AN$7,$AS$7,$AS$8)))))</f>
        <v>5</v>
      </c>
      <c r="T3" s="285">
        <f>IF(B3="","",COF!MZ7)</f>
        <v>987.39422537292944</v>
      </c>
      <c r="U3" s="285" t="str">
        <f t="shared" ref="U3:U20" si="3">IF(B3="","",IF(T3&lt;=$AR$4,$AT$4,IF(T3&lt;=$AR$5,$AT$5,IF(T3&lt;=$AR$6,$AT$6,IF(T3&lt;=$AR$7,$AT$7,$AT$8)))))</f>
        <v>D</v>
      </c>
      <c r="V3" s="285">
        <f>IF(B3="","",R3*T3)</f>
        <v>1549.2657009937914</v>
      </c>
      <c r="W3" s="285" t="str">
        <f t="shared" ref="W3:W20" si="4">IF(B3="","",IF(V3&lt;=$AW$4,$AV$4,IF(V3&lt;=$AW$5,$AV$5,IF(V3&lt;=$AW$6,$AV$6,$AV$7))))</f>
        <v>High</v>
      </c>
      <c r="X3" s="285" t="str">
        <f>IF(B3="","",CONCATENATE(S3,U3))</f>
        <v>5D</v>
      </c>
      <c r="Y3" s="238">
        <f>V3</f>
        <v>1549.2657009937914</v>
      </c>
      <c r="Z3" s="238">
        <f>P3</f>
        <v>6409.4964263855954</v>
      </c>
      <c r="AA3" s="238">
        <v>1.5981969491321963</v>
      </c>
      <c r="AB3" s="238">
        <v>100.00000099772811</v>
      </c>
      <c r="AC3" s="338"/>
      <c r="AD3" s="338">
        <v>165.34473067512761</v>
      </c>
      <c r="AE3" s="338">
        <f>IF(B3="","",IF(AD3&lt;=F3,F3,IF(AND(AD3&gt;F3,AD3&lt;H3),AD3,IF(AND(AD3&gt;H3,AD3&lt;I3),H3,I3))))</f>
        <v>43833</v>
      </c>
      <c r="AF3" s="337">
        <f t="shared" ref="AF3:AF20" si="5">IF(B3="","",EDATE(E3,J3))</f>
        <v>44045</v>
      </c>
      <c r="AG3" s="338" t="str">
        <f>IF(OR(N3="",N3=0),"",IF(AD3&lt;=F3,$BB$3,IF(AND(AD3&gt;F3,AD3&lt;H3),$BB$4,IF(AND(AD3&gt;H3,AD3&lt;I3),$BB$5,$BB$6))))</f>
        <v>ATENÇÃO: Risco acima do definido como aceitável. INSPECIONAR IMEDIATAMENTE.</v>
      </c>
      <c r="AH3" s="639" t="str">
        <f>CONCATENATE(B3,C3)</f>
        <v>V-90Casco</v>
      </c>
      <c r="AM3" s="318" t="s">
        <v>1003</v>
      </c>
      <c r="AN3" s="318" t="s">
        <v>1004</v>
      </c>
      <c r="AO3" s="324" t="s">
        <v>1003</v>
      </c>
      <c r="AP3" s="324" t="s">
        <v>1004</v>
      </c>
      <c r="AQ3" s="318" t="s">
        <v>1003</v>
      </c>
      <c r="AR3" s="318" t="s">
        <v>1004</v>
      </c>
      <c r="AV3" s="318" t="s">
        <v>980</v>
      </c>
      <c r="AW3" s="318" t="s">
        <v>1011</v>
      </c>
      <c r="BB3" s="336" t="s">
        <v>1051</v>
      </c>
    </row>
    <row r="4" spans="2:54" x14ac:dyDescent="0.35">
      <c r="B4" s="161" t="str">
        <f>'Tratamento de Dados'!B13</f>
        <v>V-07</v>
      </c>
      <c r="C4" s="161" t="str">
        <f>'Tratamento de Dados'!D13</f>
        <v>Tampo_Sul</v>
      </c>
      <c r="D4" s="331">
        <f>'Tratamento de Dados'!X13</f>
        <v>35234</v>
      </c>
      <c r="E4" s="210">
        <f>'Tratamento de Dados'!Y13</f>
        <v>43350</v>
      </c>
      <c r="F4" s="331">
        <f>'Tratamento de Dados'!Z13</f>
        <v>43983</v>
      </c>
      <c r="G4" s="331">
        <f>'Tratamento de Dados'!AA13</f>
        <v>47727</v>
      </c>
      <c r="H4" s="331">
        <f>'Tratamento de Dados'!AB13</f>
        <v>45536</v>
      </c>
      <c r="I4" s="331">
        <f>'Tratamento de Dados'!AC13</f>
        <v>47727</v>
      </c>
      <c r="J4" s="161">
        <f>'Tratamento de Dados'!AD13</f>
        <v>96</v>
      </c>
      <c r="K4" s="161" t="str">
        <f>'Tratamento de Dados'!$B$3</f>
        <v>DF Target</v>
      </c>
      <c r="L4" s="333">
        <f>IF(OR('Tratamento de Dados'!$D$3="",'Tratamento de Dados'!$D$3=0),0,INDEX('Tratamento de Dados'!$D$3:$D$7,MATCH(Risk!U4,'Tratamento de Dados'!$C$3:$C$7,0)))</f>
        <v>0</v>
      </c>
      <c r="M4" s="333">
        <f>IF(OR('Tratamento de Dados'!$E$3="",'Tratamento de Dados'!$E$3=0),0,INDEX('Tratamento de Dados'!$E$3:$E$7,MATCH(Risk!U4,'Tratamento de Dados'!$C$3:$C$7,0)))</f>
        <v>0</v>
      </c>
      <c r="N4" s="334">
        <f t="shared" ref="N4:N20" si="6">IF(B4="","",IF(OR(K4&lt;&gt;$L$2,L4="",L4=0),O4*R4*T4/P4,L4))</f>
        <v>0.62039409472574791</v>
      </c>
      <c r="O4" s="285">
        <f t="shared" si="0"/>
        <v>20</v>
      </c>
      <c r="P4" s="285">
        <f>IF(B4="","",POF!AN4)</f>
        <v>20.345719261669462</v>
      </c>
      <c r="Q4" s="285">
        <f t="shared" si="1"/>
        <v>3</v>
      </c>
      <c r="R4" s="285">
        <f>IF(B4="","",POF!AO4)</f>
        <v>6.2257900940708563E-4</v>
      </c>
      <c r="S4" s="285">
        <f t="shared" si="2"/>
        <v>3</v>
      </c>
      <c r="T4" s="285">
        <f>IF(B4="","",COF!MZ8)</f>
        <v>1013.7158410551435</v>
      </c>
      <c r="U4" s="285" t="str">
        <f t="shared" si="3"/>
        <v>D</v>
      </c>
      <c r="V4" s="285">
        <f t="shared" ref="V4:V20" si="7">IF(B4="","",R4*T4)</f>
        <v>0.63111820414438191</v>
      </c>
      <c r="W4" s="285" t="str">
        <f t="shared" si="4"/>
        <v>Medium</v>
      </c>
      <c r="X4" s="285" t="str">
        <f t="shared" ref="X4:X20" si="8">IF(B4="","",CONCATENATE(S4,U4))</f>
        <v>3D</v>
      </c>
      <c r="Y4" s="238">
        <f t="shared" ref="Y4:Y20" si="9">V4</f>
        <v>0.63111820414438191</v>
      </c>
      <c r="Z4" s="238">
        <f t="shared" ref="Z4:Z20" si="10">P4</f>
        <v>20.345719261669462</v>
      </c>
      <c r="AA4" s="238">
        <v>0.69562260148002164</v>
      </c>
      <c r="AB4" s="238">
        <v>19.999992837018279</v>
      </c>
      <c r="AC4" s="338"/>
      <c r="AD4" s="338">
        <v>48370.864592584025</v>
      </c>
      <c r="AE4" s="338">
        <f t="shared" ref="AE4:AE20" si="11">IF(B4="","",IF(AD4&lt;=F4,F4,IF(AND(AD4&gt;F4,AD4&lt;H4),AD4,IF(AND(AD4&gt;H4,AD4&lt;I4),H4,I4))))</f>
        <v>47727</v>
      </c>
      <c r="AF4" s="337">
        <f t="shared" si="5"/>
        <v>46272</v>
      </c>
      <c r="AG4" s="338" t="str">
        <f t="shared" ref="AG4:AG20" si="12">IF(OR(N4="",N4=0),"",IF(AD4&lt;=F4,$BB$3,IF(AND(AD4&gt;F4,AD4&lt;H4),$BB$4,IF(AND(AD4&gt;H4,AD4&lt;I4),$BB$5,$BB$6))))</f>
        <v>Target Date será atingida após a Plan Date.</v>
      </c>
      <c r="AH4" s="639" t="str">
        <f t="shared" ref="AH4:AH20" si="13">CONCATENATE(B4,C4)</f>
        <v>V-07Tampo_Sul</v>
      </c>
      <c r="AM4" s="318" t="str">
        <f>'Tables - Part 1'!H4</f>
        <v>&lt;=</v>
      </c>
      <c r="AN4" s="318">
        <f>'Tables - Part 1'!I4</f>
        <v>3.0599999999999998E-5</v>
      </c>
      <c r="AO4" s="324" t="str">
        <f>'Tables - Part 1'!J4</f>
        <v>&lt;=</v>
      </c>
      <c r="AP4" s="324">
        <f>'Tables - Part 1'!K4</f>
        <v>1</v>
      </c>
      <c r="AQ4" s="318" t="str">
        <f>'Tables - Part 1'!L4</f>
        <v>&lt;=</v>
      </c>
      <c r="AR4" s="318">
        <f>'Tables - Part 1'!M4</f>
        <v>9.2899999999999991</v>
      </c>
      <c r="AS4">
        <v>1</v>
      </c>
      <c r="AT4" t="s">
        <v>278</v>
      </c>
      <c r="AV4" s="318" t="s">
        <v>839</v>
      </c>
      <c r="AW4" s="318">
        <v>9.2902999999999996E-3</v>
      </c>
      <c r="AX4" t="s">
        <v>1008</v>
      </c>
      <c r="BB4" s="336" t="s">
        <v>1052</v>
      </c>
    </row>
    <row r="5" spans="2:54" x14ac:dyDescent="0.35">
      <c r="B5" s="161" t="str">
        <f>'Tratamento de Dados'!B14</f>
        <v>V-10</v>
      </c>
      <c r="C5" s="161" t="str">
        <f>'Tratamento de Dados'!D14</f>
        <v>Casco</v>
      </c>
      <c r="D5" s="331">
        <f>'Tratamento de Dados'!X14</f>
        <v>43831</v>
      </c>
      <c r="E5" s="210">
        <f>'Tratamento de Dados'!Y14</f>
        <v>43832</v>
      </c>
      <c r="F5" s="331">
        <f>'Tratamento de Dados'!Z14</f>
        <v>43833</v>
      </c>
      <c r="G5" s="331">
        <f>'Tratamento de Dados'!AA14</f>
        <v>43834</v>
      </c>
      <c r="H5" s="331">
        <f>'Tratamento de Dados'!AB14</f>
        <v>43835</v>
      </c>
      <c r="I5" s="331">
        <f>'Tratamento de Dados'!AC14</f>
        <v>43836</v>
      </c>
      <c r="J5" s="161">
        <f>'Tratamento de Dados'!AD14</f>
        <v>7</v>
      </c>
      <c r="K5" s="161" t="str">
        <f>'Tratamento de Dados'!$B$3</f>
        <v>DF Target</v>
      </c>
      <c r="L5" s="333">
        <f>IF(OR('Tratamento de Dados'!$D$3="",'Tratamento de Dados'!$D$3=0),0,INDEX('Tratamento de Dados'!$D$3:$D$7,MATCH(Risk!U5,'Tratamento de Dados'!$C$3:$C$7,0)))</f>
        <v>0</v>
      </c>
      <c r="M5" s="333">
        <f>IF(OR('Tratamento de Dados'!$E$3="",'Tratamento de Dados'!$E$3=0),0,INDEX('Tratamento de Dados'!$E$3:$E$7,MATCH(Risk!U5,'Tratamento de Dados'!$C$3:$C$7,0)))</f>
        <v>0</v>
      </c>
      <c r="N5" s="334" t="e">
        <f t="shared" si="6"/>
        <v>#N/A</v>
      </c>
      <c r="O5" s="285">
        <f t="shared" si="0"/>
        <v>100</v>
      </c>
      <c r="P5" s="285">
        <f>IF(B5="","",POF!AN5)</f>
        <v>0</v>
      </c>
      <c r="Q5" s="285">
        <f t="shared" si="1"/>
        <v>1</v>
      </c>
      <c r="R5" s="285" t="e">
        <f>IF(B5="","",POF!AO5)</f>
        <v>#N/A</v>
      </c>
      <c r="S5" s="285" t="e">
        <f t="shared" si="2"/>
        <v>#N/A</v>
      </c>
      <c r="T5" s="285">
        <f>IF(B5="","",COF!MZ9)</f>
        <v>0</v>
      </c>
      <c r="U5" s="285" t="str">
        <f t="shared" si="3"/>
        <v>A</v>
      </c>
      <c r="V5" s="285" t="e">
        <f t="shared" si="7"/>
        <v>#N/A</v>
      </c>
      <c r="W5" s="285" t="e">
        <f t="shared" si="4"/>
        <v>#N/A</v>
      </c>
      <c r="X5" s="285" t="e">
        <f t="shared" si="8"/>
        <v>#N/A</v>
      </c>
      <c r="Y5" s="238" t="e">
        <f t="shared" si="9"/>
        <v>#N/A</v>
      </c>
      <c r="Z5" s="238">
        <f t="shared" si="10"/>
        <v>0</v>
      </c>
      <c r="AA5" s="238">
        <v>0.69570383910933686</v>
      </c>
      <c r="AB5" s="238">
        <v>100.00000099772811</v>
      </c>
      <c r="AC5" s="338"/>
      <c r="AD5" s="338">
        <v>165.34473067512761</v>
      </c>
      <c r="AE5" s="338">
        <f t="shared" si="11"/>
        <v>43833</v>
      </c>
      <c r="AF5" s="337">
        <f t="shared" si="5"/>
        <v>44045</v>
      </c>
      <c r="AG5" s="338" t="e">
        <f t="shared" si="12"/>
        <v>#N/A</v>
      </c>
      <c r="AH5" s="639" t="str">
        <f t="shared" si="13"/>
        <v>V-10Casco</v>
      </c>
      <c r="AM5" s="330">
        <f>'Tables - Part 1'!H5</f>
        <v>3.0599999999999998E-5</v>
      </c>
      <c r="AN5" s="330">
        <f>'Tables - Part 1'!I5</f>
        <v>3.0600000000000001E-4</v>
      </c>
      <c r="AO5" s="324">
        <f>'Tables - Part 1'!J5</f>
        <v>1</v>
      </c>
      <c r="AP5" s="324">
        <f>'Tables - Part 1'!K5</f>
        <v>10</v>
      </c>
      <c r="AQ5" s="318">
        <f>'Tables - Part 1'!L5</f>
        <v>9.2899999999999991</v>
      </c>
      <c r="AR5" s="318">
        <f>'Tables - Part 1'!M5</f>
        <v>92.9</v>
      </c>
      <c r="AS5">
        <v>2</v>
      </c>
      <c r="AT5" t="s">
        <v>279</v>
      </c>
      <c r="AV5" s="318" t="s">
        <v>111</v>
      </c>
      <c r="AW5" s="318">
        <v>0.92903000000000002</v>
      </c>
      <c r="AX5" t="s">
        <v>1008</v>
      </c>
      <c r="BB5" s="336" t="s">
        <v>1053</v>
      </c>
    </row>
    <row r="6" spans="2:54" x14ac:dyDescent="0.35">
      <c r="B6" s="161" t="str">
        <f>'Tratamento de Dados'!B15</f>
        <v>V-11</v>
      </c>
      <c r="C6" s="161" t="str">
        <f>'Tratamento de Dados'!D15</f>
        <v>Casco</v>
      </c>
      <c r="D6" s="331">
        <f>'Tratamento de Dados'!X15</f>
        <v>43831</v>
      </c>
      <c r="E6" s="210">
        <f>'Tratamento de Dados'!Y15</f>
        <v>43832</v>
      </c>
      <c r="F6" s="331">
        <f>'Tratamento de Dados'!Z15</f>
        <v>43833</v>
      </c>
      <c r="G6" s="331">
        <f>'Tratamento de Dados'!AA15</f>
        <v>43834</v>
      </c>
      <c r="H6" s="331">
        <f>'Tratamento de Dados'!AB15</f>
        <v>43835</v>
      </c>
      <c r="I6" s="331">
        <f>'Tratamento de Dados'!AC15</f>
        <v>43836</v>
      </c>
      <c r="J6" s="161">
        <f>'Tratamento de Dados'!AD15</f>
        <v>7</v>
      </c>
      <c r="K6" s="161" t="str">
        <f>'Tratamento de Dados'!$B$3</f>
        <v>DF Target</v>
      </c>
      <c r="L6" s="333">
        <f>IF(OR('Tratamento de Dados'!$D$3="",'Tratamento de Dados'!$D$3=0),0,INDEX('Tratamento de Dados'!$D$3:$D$7,MATCH(Risk!U6,'Tratamento de Dados'!$C$3:$C$7,0)))</f>
        <v>0</v>
      </c>
      <c r="M6" s="333">
        <f>IF(OR('Tratamento de Dados'!$E$3="",'Tratamento de Dados'!$E$3=0),0,INDEX('Tratamento de Dados'!$E$3:$E$7,MATCH(Risk!U6,'Tratamento de Dados'!$C$3:$C$7,0)))</f>
        <v>0</v>
      </c>
      <c r="N6" s="334" t="e">
        <f t="shared" si="6"/>
        <v>#N/A</v>
      </c>
      <c r="O6" s="285">
        <f t="shared" si="0"/>
        <v>100</v>
      </c>
      <c r="P6" s="285">
        <f>IF(B6="","",POF!AN6)</f>
        <v>0</v>
      </c>
      <c r="Q6" s="285">
        <f t="shared" si="1"/>
        <v>1</v>
      </c>
      <c r="R6" s="285" t="e">
        <f>IF(B6="","",POF!AO6)</f>
        <v>#N/A</v>
      </c>
      <c r="S6" s="285" t="e">
        <f t="shared" si="2"/>
        <v>#N/A</v>
      </c>
      <c r="T6" s="285">
        <f>IF(B6="","",COF!MZ10)</f>
        <v>0</v>
      </c>
      <c r="U6" s="285" t="str">
        <f t="shared" si="3"/>
        <v>A</v>
      </c>
      <c r="V6" s="285" t="e">
        <f t="shared" si="7"/>
        <v>#N/A</v>
      </c>
      <c r="W6" s="285" t="e">
        <f t="shared" si="4"/>
        <v>#N/A</v>
      </c>
      <c r="X6" s="285" t="e">
        <f t="shared" si="8"/>
        <v>#N/A</v>
      </c>
      <c r="Y6" s="238" t="e">
        <f t="shared" si="9"/>
        <v>#N/A</v>
      </c>
      <c r="Z6" s="238">
        <f t="shared" si="10"/>
        <v>0</v>
      </c>
      <c r="AA6" s="238">
        <v>1.1520782085886685</v>
      </c>
      <c r="AB6" s="238">
        <v>100.00000099772811</v>
      </c>
      <c r="AC6" s="338"/>
      <c r="AD6" s="338">
        <v>165.34473067512761</v>
      </c>
      <c r="AE6" s="338">
        <f t="shared" si="11"/>
        <v>43833</v>
      </c>
      <c r="AF6" s="337">
        <f t="shared" si="5"/>
        <v>44045</v>
      </c>
      <c r="AG6" s="338" t="e">
        <f t="shared" si="12"/>
        <v>#N/A</v>
      </c>
      <c r="AH6" s="639" t="str">
        <f t="shared" si="13"/>
        <v>V-11Casco</v>
      </c>
      <c r="AM6" s="330">
        <f>'Tables - Part 1'!H6</f>
        <v>3.0600000000000001E-4</v>
      </c>
      <c r="AN6" s="330">
        <f>'Tables - Part 1'!I6</f>
        <v>3.0599999999999998E-3</v>
      </c>
      <c r="AO6" s="324">
        <f>'Tables - Part 1'!J6</f>
        <v>10</v>
      </c>
      <c r="AP6" s="324">
        <f>'Tables - Part 1'!K6</f>
        <v>100</v>
      </c>
      <c r="AQ6" s="318">
        <f>'Tables - Part 1'!L6</f>
        <v>92.9</v>
      </c>
      <c r="AR6" s="318">
        <f>'Tables - Part 1'!M6</f>
        <v>929</v>
      </c>
      <c r="AS6">
        <v>3</v>
      </c>
      <c r="AT6" t="s">
        <v>280</v>
      </c>
      <c r="AV6" s="318" t="s">
        <v>1010</v>
      </c>
      <c r="AW6" s="318">
        <v>92.903040000000004</v>
      </c>
      <c r="AX6" t="s">
        <v>1008</v>
      </c>
      <c r="BB6" t="s">
        <v>1054</v>
      </c>
    </row>
    <row r="7" spans="2:54" x14ac:dyDescent="0.35">
      <c r="B7" s="161" t="str">
        <f>'Tratamento de Dados'!B16</f>
        <v>V-13</v>
      </c>
      <c r="C7" s="161" t="str">
        <f>'Tratamento de Dados'!D16</f>
        <v>Casco</v>
      </c>
      <c r="D7" s="331">
        <f>'Tratamento de Dados'!X16</f>
        <v>43831</v>
      </c>
      <c r="E7" s="210">
        <f>'Tratamento de Dados'!Y16</f>
        <v>43832</v>
      </c>
      <c r="F7" s="331">
        <f>'Tratamento de Dados'!Z16</f>
        <v>43833</v>
      </c>
      <c r="G7" s="331">
        <f>'Tratamento de Dados'!AA16</f>
        <v>43834</v>
      </c>
      <c r="H7" s="331">
        <f>'Tratamento de Dados'!AB16</f>
        <v>43835</v>
      </c>
      <c r="I7" s="331">
        <f>'Tratamento de Dados'!AC16</f>
        <v>43836</v>
      </c>
      <c r="J7" s="161">
        <f>'Tratamento de Dados'!AD16</f>
        <v>7</v>
      </c>
      <c r="K7" s="161" t="str">
        <f>'Tratamento de Dados'!$B$3</f>
        <v>DF Target</v>
      </c>
      <c r="L7" s="333">
        <f>IF(OR('Tratamento de Dados'!$D$3="",'Tratamento de Dados'!$D$3=0),0,INDEX('Tratamento de Dados'!$D$3:$D$7,MATCH(Risk!U7,'Tratamento de Dados'!$C$3:$C$7,0)))</f>
        <v>0</v>
      </c>
      <c r="M7" s="333">
        <f>IF(OR('Tratamento de Dados'!$E$3="",'Tratamento de Dados'!$E$3=0),0,INDEX('Tratamento de Dados'!$E$3:$E$7,MATCH(Risk!U7,'Tratamento de Dados'!$C$3:$C$7,0)))</f>
        <v>0</v>
      </c>
      <c r="N7" s="334" t="e">
        <f t="shared" si="6"/>
        <v>#N/A</v>
      </c>
      <c r="O7" s="285">
        <f t="shared" si="0"/>
        <v>100</v>
      </c>
      <c r="P7" s="285">
        <f>IF(B7="","",POF!AN7)</f>
        <v>0</v>
      </c>
      <c r="Q7" s="285">
        <f t="shared" si="1"/>
        <v>1</v>
      </c>
      <c r="R7" s="285" t="e">
        <f>IF(B7="","",POF!AO7)</f>
        <v>#N/A</v>
      </c>
      <c r="S7" s="285" t="e">
        <f t="shared" si="2"/>
        <v>#N/A</v>
      </c>
      <c r="T7" s="285">
        <f>IF(B7="","",COF!MZ11)</f>
        <v>0</v>
      </c>
      <c r="U7" s="285" t="str">
        <f t="shared" si="3"/>
        <v>A</v>
      </c>
      <c r="V7" s="285" t="e">
        <f t="shared" si="7"/>
        <v>#N/A</v>
      </c>
      <c r="W7" s="285" t="e">
        <f t="shared" si="4"/>
        <v>#N/A</v>
      </c>
      <c r="X7" s="285" t="e">
        <f t="shared" si="8"/>
        <v>#N/A</v>
      </c>
      <c r="Y7" s="238" t="e">
        <f t="shared" si="9"/>
        <v>#N/A</v>
      </c>
      <c r="Z7" s="238">
        <f t="shared" si="10"/>
        <v>0</v>
      </c>
      <c r="AA7" s="238">
        <v>1.5983602533797328</v>
      </c>
      <c r="AB7" s="238">
        <v>100.00000099772811</v>
      </c>
      <c r="AC7" s="338"/>
      <c r="AD7" s="338">
        <v>165.34473067512761</v>
      </c>
      <c r="AE7" s="338">
        <f t="shared" si="11"/>
        <v>43833</v>
      </c>
      <c r="AF7" s="337">
        <f t="shared" si="5"/>
        <v>44045</v>
      </c>
      <c r="AG7" s="338" t="e">
        <f t="shared" si="12"/>
        <v>#N/A</v>
      </c>
      <c r="AH7" s="639" t="str">
        <f t="shared" si="13"/>
        <v>V-13Casco</v>
      </c>
      <c r="AM7" s="330">
        <f>'Tables - Part 1'!H7</f>
        <v>3.0599999999999998E-3</v>
      </c>
      <c r="AN7" s="330">
        <f>'Tables - Part 1'!I7</f>
        <v>3.0599999999999999E-2</v>
      </c>
      <c r="AO7" s="324">
        <f>'Tables - Part 1'!J7</f>
        <v>100</v>
      </c>
      <c r="AP7" s="324">
        <f>'Tables - Part 1'!K7</f>
        <v>1000</v>
      </c>
      <c r="AQ7" s="318">
        <f>'Tables - Part 1'!L7</f>
        <v>929</v>
      </c>
      <c r="AR7" s="318">
        <f>'Tables - Part 1'!M7</f>
        <v>9290</v>
      </c>
      <c r="AS7">
        <v>4</v>
      </c>
      <c r="AT7" t="s">
        <v>274</v>
      </c>
      <c r="AV7" s="318" t="s">
        <v>841</v>
      </c>
      <c r="AW7" s="318"/>
      <c r="AX7" t="s">
        <v>1005</v>
      </c>
    </row>
    <row r="8" spans="2:54" x14ac:dyDescent="0.35">
      <c r="B8" s="161" t="str">
        <f>'Tratamento de Dados'!B17</f>
        <v>V-14</v>
      </c>
      <c r="C8" s="161" t="str">
        <f>'Tratamento de Dados'!D17</f>
        <v>Casco</v>
      </c>
      <c r="D8" s="331">
        <f>'Tratamento de Dados'!X17</f>
        <v>43831</v>
      </c>
      <c r="E8" s="210">
        <f>'Tratamento de Dados'!Y17</f>
        <v>43832</v>
      </c>
      <c r="F8" s="331">
        <f>'Tratamento de Dados'!Z17</f>
        <v>43833</v>
      </c>
      <c r="G8" s="331">
        <f>'Tratamento de Dados'!AA17</f>
        <v>43834</v>
      </c>
      <c r="H8" s="331">
        <f>'Tratamento de Dados'!AB17</f>
        <v>43835</v>
      </c>
      <c r="I8" s="331">
        <f>'Tratamento de Dados'!AC17</f>
        <v>43836</v>
      </c>
      <c r="J8" s="161">
        <f>'Tratamento de Dados'!AD17</f>
        <v>7</v>
      </c>
      <c r="K8" s="161" t="str">
        <f>'Tratamento de Dados'!$B$3</f>
        <v>DF Target</v>
      </c>
      <c r="L8" s="333">
        <f>IF(OR('Tratamento de Dados'!$D$3="",'Tratamento de Dados'!$D$3=0),0,INDEX('Tratamento de Dados'!$D$3:$D$7,MATCH(Risk!U8,'Tratamento de Dados'!$C$3:$C$7,0)))</f>
        <v>0</v>
      </c>
      <c r="M8" s="333">
        <f>IF(OR('Tratamento de Dados'!$E$3="",'Tratamento de Dados'!$E$3=0),0,INDEX('Tratamento de Dados'!$E$3:$E$7,MATCH(Risk!U8,'Tratamento de Dados'!$C$3:$C$7,0)))</f>
        <v>0</v>
      </c>
      <c r="N8" s="334" t="e">
        <f t="shared" si="6"/>
        <v>#N/A</v>
      </c>
      <c r="O8" s="285">
        <f t="shared" si="0"/>
        <v>100</v>
      </c>
      <c r="P8" s="285">
        <f>IF(B8="","",POF!AN8)</f>
        <v>0</v>
      </c>
      <c r="Q8" s="285">
        <f t="shared" si="1"/>
        <v>1</v>
      </c>
      <c r="R8" s="285" t="e">
        <f>IF(B8="","",POF!AO8)</f>
        <v>#N/A</v>
      </c>
      <c r="S8" s="285" t="e">
        <f t="shared" si="2"/>
        <v>#N/A</v>
      </c>
      <c r="T8" s="285">
        <f>IF(B8="","",COF!MZ12)</f>
        <v>0</v>
      </c>
      <c r="U8" s="285" t="str">
        <f t="shared" si="3"/>
        <v>A</v>
      </c>
      <c r="V8" s="285" t="e">
        <f t="shared" si="7"/>
        <v>#N/A</v>
      </c>
      <c r="W8" s="285" t="e">
        <f t="shared" si="4"/>
        <v>#N/A</v>
      </c>
      <c r="X8" s="285" t="e">
        <f t="shared" si="8"/>
        <v>#N/A</v>
      </c>
      <c r="Y8" s="238" t="e">
        <f t="shared" si="9"/>
        <v>#N/A</v>
      </c>
      <c r="Z8" s="238">
        <f t="shared" si="10"/>
        <v>0</v>
      </c>
      <c r="AA8" s="238" t="s">
        <v>1050</v>
      </c>
      <c r="AB8" s="238">
        <v>100.00000099772811</v>
      </c>
      <c r="AC8" s="338"/>
      <c r="AD8" s="338">
        <v>165.34473067512761</v>
      </c>
      <c r="AE8" s="338">
        <f t="shared" si="11"/>
        <v>43833</v>
      </c>
      <c r="AF8" s="337">
        <f t="shared" si="5"/>
        <v>44045</v>
      </c>
      <c r="AG8" s="338" t="e">
        <f t="shared" si="12"/>
        <v>#N/A</v>
      </c>
      <c r="AH8" s="639" t="str">
        <f t="shared" si="13"/>
        <v>V-14Casco</v>
      </c>
      <c r="AM8" s="330">
        <f>'Tables - Part 1'!H8</f>
        <v>3.0599999999999999E-2</v>
      </c>
      <c r="AN8" s="318" t="str">
        <f>'Tables - Part 1'!I8</f>
        <v>&lt;=</v>
      </c>
      <c r="AO8" s="324">
        <f>'Tables - Part 1'!J8</f>
        <v>1000</v>
      </c>
      <c r="AP8" s="324" t="str">
        <f>'Tables - Part 1'!K8</f>
        <v>&lt;=</v>
      </c>
      <c r="AQ8" s="318">
        <f>'Tables - Part 1'!L8</f>
        <v>9290</v>
      </c>
      <c r="AR8" s="318" t="str">
        <f>'Tables - Part 1'!M8</f>
        <v>&lt;=</v>
      </c>
      <c r="AS8">
        <v>5</v>
      </c>
      <c r="AT8" t="s">
        <v>281</v>
      </c>
    </row>
    <row r="9" spans="2:54" x14ac:dyDescent="0.35">
      <c r="B9" s="161" t="str">
        <f>'Tratamento de Dados'!B18</f>
        <v>V-1</v>
      </c>
      <c r="C9" s="161" t="str">
        <f>'Tratamento de Dados'!D18</f>
        <v>Casco</v>
      </c>
      <c r="D9" s="331">
        <f>'Tratamento de Dados'!X18</f>
        <v>43831</v>
      </c>
      <c r="E9" s="210">
        <f>'Tratamento de Dados'!Y18</f>
        <v>43832</v>
      </c>
      <c r="F9" s="331">
        <f>'Tratamento de Dados'!Z18</f>
        <v>43833</v>
      </c>
      <c r="G9" s="331">
        <f>'Tratamento de Dados'!AA18</f>
        <v>43834</v>
      </c>
      <c r="H9" s="331">
        <f>'Tratamento de Dados'!AB18</f>
        <v>43835</v>
      </c>
      <c r="I9" s="331">
        <f>'Tratamento de Dados'!AC18</f>
        <v>43836</v>
      </c>
      <c r="J9" s="161">
        <f>'Tratamento de Dados'!AD18</f>
        <v>7</v>
      </c>
      <c r="K9" s="161" t="str">
        <f>'Tratamento de Dados'!$B$3</f>
        <v>DF Target</v>
      </c>
      <c r="L9" s="333">
        <f>IF(OR('Tratamento de Dados'!$D$3="",'Tratamento de Dados'!$D$3=0),0,INDEX('Tratamento de Dados'!$D$3:$D$7,MATCH(Risk!U9,'Tratamento de Dados'!$C$3:$C$7,0)))</f>
        <v>0</v>
      </c>
      <c r="M9" s="333">
        <f>IF(OR('Tratamento de Dados'!$E$3="",'Tratamento de Dados'!$E$3=0),0,INDEX('Tratamento de Dados'!$E$3:$E$7,MATCH(Risk!U9,'Tratamento de Dados'!$C$3:$C$7,0)))</f>
        <v>0</v>
      </c>
      <c r="N9" s="334" t="e">
        <f t="shared" si="6"/>
        <v>#N/A</v>
      </c>
      <c r="O9" s="285">
        <f t="shared" si="0"/>
        <v>100</v>
      </c>
      <c r="P9" s="285">
        <f>IF(B9="","",POF!AN9)</f>
        <v>0</v>
      </c>
      <c r="Q9" s="285">
        <f t="shared" si="1"/>
        <v>1</v>
      </c>
      <c r="R9" s="285" t="e">
        <f>IF(B9="","",POF!AO9)</f>
        <v>#N/A</v>
      </c>
      <c r="S9" s="285" t="e">
        <f t="shared" si="2"/>
        <v>#N/A</v>
      </c>
      <c r="T9" s="285">
        <f>IF(B9="","",COF!MZ13)</f>
        <v>0</v>
      </c>
      <c r="U9" s="285" t="str">
        <f t="shared" si="3"/>
        <v>A</v>
      </c>
      <c r="V9" s="285" t="e">
        <f t="shared" si="7"/>
        <v>#N/A</v>
      </c>
      <c r="W9" s="285" t="e">
        <f t="shared" si="4"/>
        <v>#N/A</v>
      </c>
      <c r="X9" s="285" t="e">
        <f t="shared" si="8"/>
        <v>#N/A</v>
      </c>
      <c r="Y9" s="238" t="e">
        <f t="shared" si="9"/>
        <v>#N/A</v>
      </c>
      <c r="Z9" s="238">
        <f t="shared" si="10"/>
        <v>0</v>
      </c>
      <c r="AA9" s="238" t="s">
        <v>1050</v>
      </c>
      <c r="AB9" s="238">
        <v>100.00000099772811</v>
      </c>
      <c r="AC9" s="338"/>
      <c r="AD9" s="338">
        <v>165.34473067512761</v>
      </c>
      <c r="AE9" s="338">
        <f t="shared" si="11"/>
        <v>43833</v>
      </c>
      <c r="AF9" s="337">
        <f t="shared" si="5"/>
        <v>44045</v>
      </c>
      <c r="AG9" s="338" t="e">
        <f t="shared" si="12"/>
        <v>#N/A</v>
      </c>
      <c r="AH9" s="639" t="str">
        <f t="shared" si="13"/>
        <v>V-1Casco</v>
      </c>
    </row>
    <row r="10" spans="2:54" x14ac:dyDescent="0.35">
      <c r="B10" s="161" t="str">
        <f>'Tratamento de Dados'!B19</f>
        <v>V-2</v>
      </c>
      <c r="C10" s="161" t="str">
        <f>'Tratamento de Dados'!D19</f>
        <v>Casco</v>
      </c>
      <c r="D10" s="331">
        <f>'Tratamento de Dados'!X19</f>
        <v>43831</v>
      </c>
      <c r="E10" s="210">
        <f>'Tratamento de Dados'!Y19</f>
        <v>43832</v>
      </c>
      <c r="F10" s="331">
        <f>'Tratamento de Dados'!Z19</f>
        <v>43833</v>
      </c>
      <c r="G10" s="331">
        <f>'Tratamento de Dados'!AA19</f>
        <v>43834</v>
      </c>
      <c r="H10" s="331">
        <f>'Tratamento de Dados'!AB19</f>
        <v>43835</v>
      </c>
      <c r="I10" s="331">
        <f>'Tratamento de Dados'!AC19</f>
        <v>43836</v>
      </c>
      <c r="J10" s="161">
        <f>'Tratamento de Dados'!AD19</f>
        <v>7</v>
      </c>
      <c r="K10" s="161" t="str">
        <f>'Tratamento de Dados'!$B$3</f>
        <v>DF Target</v>
      </c>
      <c r="L10" s="333">
        <f>IF(OR('Tratamento de Dados'!$D$3="",'Tratamento de Dados'!$D$3=0),0,INDEX('Tratamento de Dados'!$D$3:$D$7,MATCH(Risk!U10,'Tratamento de Dados'!$C$3:$C$7,0)))</f>
        <v>0</v>
      </c>
      <c r="M10" s="333">
        <f>IF(OR('Tratamento de Dados'!$E$3="",'Tratamento de Dados'!$E$3=0),0,INDEX('Tratamento de Dados'!$E$3:$E$7,MATCH(Risk!U10,'Tratamento de Dados'!$C$3:$C$7,0)))</f>
        <v>0</v>
      </c>
      <c r="N10" s="334" t="e">
        <f t="shared" si="6"/>
        <v>#N/A</v>
      </c>
      <c r="O10" s="285">
        <f t="shared" si="0"/>
        <v>100</v>
      </c>
      <c r="P10" s="285">
        <f>IF(B10="","",POF!AN10)</f>
        <v>0</v>
      </c>
      <c r="Q10" s="285">
        <f t="shared" si="1"/>
        <v>1</v>
      </c>
      <c r="R10" s="285" t="e">
        <f>IF(B10="","",POF!AO10)</f>
        <v>#N/A</v>
      </c>
      <c r="S10" s="285" t="e">
        <f t="shared" si="2"/>
        <v>#N/A</v>
      </c>
      <c r="T10" s="285">
        <f>IF(B10="","",COF!MZ14)</f>
        <v>0</v>
      </c>
      <c r="U10" s="285" t="str">
        <f t="shared" si="3"/>
        <v>A</v>
      </c>
      <c r="V10" s="285" t="e">
        <f t="shared" si="7"/>
        <v>#N/A</v>
      </c>
      <c r="W10" s="285" t="e">
        <f t="shared" si="4"/>
        <v>#N/A</v>
      </c>
      <c r="X10" s="285" t="e">
        <f t="shared" si="8"/>
        <v>#N/A</v>
      </c>
      <c r="Y10" s="238" t="e">
        <f t="shared" si="9"/>
        <v>#N/A</v>
      </c>
      <c r="Z10" s="238">
        <f t="shared" si="10"/>
        <v>0</v>
      </c>
      <c r="AA10" s="238" t="s">
        <v>1050</v>
      </c>
      <c r="AB10" s="238">
        <v>100.00000099772811</v>
      </c>
      <c r="AC10" s="338"/>
      <c r="AD10" s="338">
        <v>165.34473067512761</v>
      </c>
      <c r="AE10" s="338">
        <f t="shared" si="11"/>
        <v>43833</v>
      </c>
      <c r="AF10" s="337">
        <f t="shared" si="5"/>
        <v>44045</v>
      </c>
      <c r="AG10" s="338" t="e">
        <f t="shared" si="12"/>
        <v>#N/A</v>
      </c>
      <c r="AH10" s="639" t="str">
        <f t="shared" si="13"/>
        <v>V-2Casco</v>
      </c>
    </row>
    <row r="11" spans="2:54" x14ac:dyDescent="0.35">
      <c r="B11" s="161" t="str">
        <f>'Tratamento de Dados'!B20</f>
        <v>V-3</v>
      </c>
      <c r="C11" s="161" t="str">
        <f>'Tratamento de Dados'!D20</f>
        <v>Casco</v>
      </c>
      <c r="D11" s="331">
        <f>'Tratamento de Dados'!X20</f>
        <v>43831</v>
      </c>
      <c r="E11" s="210">
        <f>'Tratamento de Dados'!Y20</f>
        <v>43832</v>
      </c>
      <c r="F11" s="331">
        <f>'Tratamento de Dados'!Z20</f>
        <v>43833</v>
      </c>
      <c r="G11" s="331">
        <f>'Tratamento de Dados'!AA20</f>
        <v>43834</v>
      </c>
      <c r="H11" s="331">
        <f>'Tratamento de Dados'!AB20</f>
        <v>43835</v>
      </c>
      <c r="I11" s="331">
        <f>'Tratamento de Dados'!AC20</f>
        <v>43836</v>
      </c>
      <c r="J11" s="161">
        <f>'Tratamento de Dados'!AD20</f>
        <v>7</v>
      </c>
      <c r="K11" s="161" t="str">
        <f>'Tratamento de Dados'!$B$3</f>
        <v>DF Target</v>
      </c>
      <c r="L11" s="333">
        <f>IF(OR('Tratamento de Dados'!$D$3="",'Tratamento de Dados'!$D$3=0),0,INDEX('Tratamento de Dados'!$D$3:$D$7,MATCH(Risk!U11,'Tratamento de Dados'!$C$3:$C$7,0)))</f>
        <v>0</v>
      </c>
      <c r="M11" s="333">
        <f>IF(OR('Tratamento de Dados'!$E$3="",'Tratamento de Dados'!$E$3=0),0,INDEX('Tratamento de Dados'!$E$3:$E$7,MATCH(Risk!U11,'Tratamento de Dados'!$C$3:$C$7,0)))</f>
        <v>0</v>
      </c>
      <c r="N11" s="334" t="e">
        <f t="shared" si="6"/>
        <v>#N/A</v>
      </c>
      <c r="O11" s="285">
        <f t="shared" si="0"/>
        <v>100</v>
      </c>
      <c r="P11" s="285">
        <f>IF(B11="","",POF!AN11)</f>
        <v>0</v>
      </c>
      <c r="Q11" s="285">
        <f t="shared" si="1"/>
        <v>1</v>
      </c>
      <c r="R11" s="285" t="e">
        <f>IF(B11="","",POF!AO11)</f>
        <v>#N/A</v>
      </c>
      <c r="S11" s="285" t="e">
        <f t="shared" si="2"/>
        <v>#N/A</v>
      </c>
      <c r="T11" s="285">
        <f>IF(B11="","",COF!MZ15)</f>
        <v>0</v>
      </c>
      <c r="U11" s="285" t="str">
        <f t="shared" si="3"/>
        <v>A</v>
      </c>
      <c r="V11" s="285" t="e">
        <f t="shared" si="7"/>
        <v>#N/A</v>
      </c>
      <c r="W11" s="285" t="e">
        <f t="shared" si="4"/>
        <v>#N/A</v>
      </c>
      <c r="X11" s="285" t="e">
        <f t="shared" si="8"/>
        <v>#N/A</v>
      </c>
      <c r="Y11" s="238" t="e">
        <f t="shared" si="9"/>
        <v>#N/A</v>
      </c>
      <c r="Z11" s="238">
        <f t="shared" si="10"/>
        <v>0</v>
      </c>
      <c r="AA11" s="238" t="s">
        <v>1050</v>
      </c>
      <c r="AB11" s="238">
        <v>100.00000099772811</v>
      </c>
      <c r="AC11" s="338"/>
      <c r="AD11" s="338">
        <v>165.34473067512761</v>
      </c>
      <c r="AE11" s="338">
        <f t="shared" si="11"/>
        <v>43833</v>
      </c>
      <c r="AF11" s="337">
        <f t="shared" si="5"/>
        <v>44045</v>
      </c>
      <c r="AG11" s="338" t="e">
        <f t="shared" si="12"/>
        <v>#N/A</v>
      </c>
      <c r="AH11" s="639" t="str">
        <f t="shared" si="13"/>
        <v>V-3Casco</v>
      </c>
    </row>
    <row r="12" spans="2:54" x14ac:dyDescent="0.35">
      <c r="B12" s="161" t="str">
        <f>'Tratamento de Dados'!B21</f>
        <v>V-4</v>
      </c>
      <c r="C12" s="161" t="str">
        <f>'Tratamento de Dados'!D21</f>
        <v>Casco</v>
      </c>
      <c r="D12" s="331">
        <f>'Tratamento de Dados'!X21</f>
        <v>43831</v>
      </c>
      <c r="E12" s="210">
        <f>'Tratamento de Dados'!Y21</f>
        <v>43832</v>
      </c>
      <c r="F12" s="331">
        <f>'Tratamento de Dados'!Z21</f>
        <v>43833</v>
      </c>
      <c r="G12" s="331">
        <f>'Tratamento de Dados'!AA21</f>
        <v>43834</v>
      </c>
      <c r="H12" s="331">
        <f>'Tratamento de Dados'!AB21</f>
        <v>43835</v>
      </c>
      <c r="I12" s="331">
        <f>'Tratamento de Dados'!AC21</f>
        <v>43836</v>
      </c>
      <c r="J12" s="161">
        <f>'Tratamento de Dados'!AD21</f>
        <v>7</v>
      </c>
      <c r="K12" s="161" t="str">
        <f>'Tratamento de Dados'!$B$3</f>
        <v>DF Target</v>
      </c>
      <c r="L12" s="333">
        <f>IF(OR('Tratamento de Dados'!$D$3="",'Tratamento de Dados'!$D$3=0),0,INDEX('Tratamento de Dados'!$D$3:$D$7,MATCH(Risk!U12,'Tratamento de Dados'!$C$3:$C$7,0)))</f>
        <v>0</v>
      </c>
      <c r="M12" s="333">
        <f>IF(OR('Tratamento de Dados'!$E$3="",'Tratamento de Dados'!$E$3=0),0,INDEX('Tratamento de Dados'!$E$3:$E$7,MATCH(Risk!U12,'Tratamento de Dados'!$C$3:$C$7,0)))</f>
        <v>0</v>
      </c>
      <c r="N12" s="334" t="e">
        <f t="shared" si="6"/>
        <v>#N/A</v>
      </c>
      <c r="O12" s="285">
        <f t="shared" si="0"/>
        <v>100</v>
      </c>
      <c r="P12" s="285">
        <f>IF(B12="","",POF!AN12)</f>
        <v>0</v>
      </c>
      <c r="Q12" s="285">
        <f t="shared" si="1"/>
        <v>1</v>
      </c>
      <c r="R12" s="285" t="e">
        <f>IF(B12="","",POF!AO12)</f>
        <v>#N/A</v>
      </c>
      <c r="S12" s="285" t="e">
        <f t="shared" si="2"/>
        <v>#N/A</v>
      </c>
      <c r="T12" s="285">
        <f>IF(B12="","",COF!MZ16)</f>
        <v>0</v>
      </c>
      <c r="U12" s="285" t="str">
        <f t="shared" si="3"/>
        <v>A</v>
      </c>
      <c r="V12" s="285" t="e">
        <f t="shared" si="7"/>
        <v>#N/A</v>
      </c>
      <c r="W12" s="285" t="e">
        <f t="shared" si="4"/>
        <v>#N/A</v>
      </c>
      <c r="X12" s="285" t="e">
        <f t="shared" si="8"/>
        <v>#N/A</v>
      </c>
      <c r="Y12" s="238" t="e">
        <f t="shared" si="9"/>
        <v>#N/A</v>
      </c>
      <c r="Z12" s="238">
        <f t="shared" si="10"/>
        <v>0</v>
      </c>
      <c r="AA12" s="238" t="s">
        <v>1050</v>
      </c>
      <c r="AB12" s="238">
        <v>100.00000099772811</v>
      </c>
      <c r="AC12" s="338"/>
      <c r="AD12" s="338">
        <v>165.34473067512761</v>
      </c>
      <c r="AE12" s="338">
        <f t="shared" si="11"/>
        <v>43833</v>
      </c>
      <c r="AF12" s="337">
        <f t="shared" si="5"/>
        <v>44045</v>
      </c>
      <c r="AG12" s="338" t="e">
        <f t="shared" si="12"/>
        <v>#N/A</v>
      </c>
      <c r="AH12" s="639" t="str">
        <f t="shared" si="13"/>
        <v>V-4Casco</v>
      </c>
      <c r="AL12" s="335"/>
      <c r="AM12" s="335"/>
      <c r="AN12" s="48"/>
    </row>
    <row r="13" spans="2:54" x14ac:dyDescent="0.35">
      <c r="B13" s="161" t="str">
        <f>'Tratamento de Dados'!B22</f>
        <v>V-50</v>
      </c>
      <c r="C13" s="161" t="str">
        <f>'Tratamento de Dados'!D22</f>
        <v>Casco</v>
      </c>
      <c r="D13" s="331">
        <f>'Tratamento de Dados'!X22</f>
        <v>43831</v>
      </c>
      <c r="E13" s="210">
        <f>'Tratamento de Dados'!Y22</f>
        <v>43832</v>
      </c>
      <c r="F13" s="331">
        <f>'Tratamento de Dados'!Z22</f>
        <v>43833</v>
      </c>
      <c r="G13" s="331">
        <f>'Tratamento de Dados'!AA22</f>
        <v>43834</v>
      </c>
      <c r="H13" s="331">
        <f>'Tratamento de Dados'!AB22</f>
        <v>43835</v>
      </c>
      <c r="I13" s="331">
        <f>'Tratamento de Dados'!AC22</f>
        <v>43836</v>
      </c>
      <c r="J13" s="161">
        <f>'Tratamento de Dados'!AD22</f>
        <v>7</v>
      </c>
      <c r="K13" s="161" t="str">
        <f>'Tratamento de Dados'!$B$3</f>
        <v>DF Target</v>
      </c>
      <c r="L13" s="333">
        <f>IF(OR('Tratamento de Dados'!$D$3="",'Tratamento de Dados'!$D$3=0),0,INDEX('Tratamento de Dados'!$D$3:$D$7,MATCH(Risk!U13,'Tratamento de Dados'!$C$3:$C$7,0)))</f>
        <v>0</v>
      </c>
      <c r="M13" s="333">
        <f>IF(OR('Tratamento de Dados'!$E$3="",'Tratamento de Dados'!$E$3=0),0,INDEX('Tratamento de Dados'!$E$3:$E$7,MATCH(Risk!U13,'Tratamento de Dados'!$C$3:$C$7,0)))</f>
        <v>0</v>
      </c>
      <c r="N13" s="334" t="e">
        <f t="shared" si="6"/>
        <v>#N/A</v>
      </c>
      <c r="O13" s="285">
        <f t="shared" si="0"/>
        <v>100</v>
      </c>
      <c r="P13" s="285">
        <f>IF(B13="","",POF!AN13)</f>
        <v>0</v>
      </c>
      <c r="Q13" s="285">
        <f t="shared" si="1"/>
        <v>1</v>
      </c>
      <c r="R13" s="285" t="e">
        <f>IF(B13="","",POF!AO13)</f>
        <v>#N/A</v>
      </c>
      <c r="S13" s="285" t="e">
        <f t="shared" si="2"/>
        <v>#N/A</v>
      </c>
      <c r="T13" s="285">
        <f>IF(B13="","",COF!MZ17)</f>
        <v>0</v>
      </c>
      <c r="U13" s="285" t="str">
        <f t="shared" si="3"/>
        <v>A</v>
      </c>
      <c r="V13" s="285" t="e">
        <f t="shared" si="7"/>
        <v>#N/A</v>
      </c>
      <c r="W13" s="285" t="e">
        <f t="shared" si="4"/>
        <v>#N/A</v>
      </c>
      <c r="X13" s="285" t="e">
        <f t="shared" si="8"/>
        <v>#N/A</v>
      </c>
      <c r="Y13" s="238" t="e">
        <f t="shared" si="9"/>
        <v>#N/A</v>
      </c>
      <c r="Z13" s="238">
        <f t="shared" si="10"/>
        <v>0</v>
      </c>
      <c r="AA13" s="238" t="s">
        <v>1050</v>
      </c>
      <c r="AB13" s="238">
        <v>100.00000099772811</v>
      </c>
      <c r="AC13" s="338"/>
      <c r="AD13" s="338">
        <v>165.34473067512761</v>
      </c>
      <c r="AE13" s="338">
        <f t="shared" si="11"/>
        <v>43833</v>
      </c>
      <c r="AF13" s="337">
        <f t="shared" si="5"/>
        <v>44045</v>
      </c>
      <c r="AG13" s="338" t="e">
        <f t="shared" si="12"/>
        <v>#N/A</v>
      </c>
      <c r="AH13" s="639" t="str">
        <f t="shared" si="13"/>
        <v>V-50Casco</v>
      </c>
    </row>
    <row r="14" spans="2:54" x14ac:dyDescent="0.35">
      <c r="B14" s="161" t="str">
        <f>'Tratamento de Dados'!B23</f>
        <v>V-5</v>
      </c>
      <c r="C14" s="161" t="str">
        <f>'Tratamento de Dados'!D23</f>
        <v>Casco</v>
      </c>
      <c r="D14" s="331">
        <f>'Tratamento de Dados'!X23</f>
        <v>43831</v>
      </c>
      <c r="E14" s="210">
        <f>'Tratamento de Dados'!Y23</f>
        <v>43832</v>
      </c>
      <c r="F14" s="331">
        <f>'Tratamento de Dados'!Z23</f>
        <v>43833</v>
      </c>
      <c r="G14" s="331">
        <f>'Tratamento de Dados'!AA23</f>
        <v>43834</v>
      </c>
      <c r="H14" s="331">
        <f>'Tratamento de Dados'!AB23</f>
        <v>43835</v>
      </c>
      <c r="I14" s="331">
        <f>'Tratamento de Dados'!AC23</f>
        <v>43836</v>
      </c>
      <c r="J14" s="161">
        <f>'Tratamento de Dados'!AD23</f>
        <v>7</v>
      </c>
      <c r="K14" s="161" t="str">
        <f>'Tratamento de Dados'!$B$3</f>
        <v>DF Target</v>
      </c>
      <c r="L14" s="333">
        <f>IF(OR('Tratamento de Dados'!$D$3="",'Tratamento de Dados'!$D$3=0),0,INDEX('Tratamento de Dados'!$D$3:$D$7,MATCH(Risk!U14,'Tratamento de Dados'!$C$3:$C$7,0)))</f>
        <v>0</v>
      </c>
      <c r="M14" s="333">
        <f>IF(OR('Tratamento de Dados'!$E$3="",'Tratamento de Dados'!$E$3=0),0,INDEX('Tratamento de Dados'!$E$3:$E$7,MATCH(Risk!U14,'Tratamento de Dados'!$C$3:$C$7,0)))</f>
        <v>0</v>
      </c>
      <c r="N14" s="334" t="e">
        <f t="shared" si="6"/>
        <v>#N/A</v>
      </c>
      <c r="O14" s="285">
        <f t="shared" si="0"/>
        <v>100</v>
      </c>
      <c r="P14" s="285">
        <f>IF(B14="","",POF!AN14)</f>
        <v>0</v>
      </c>
      <c r="Q14" s="285">
        <f t="shared" si="1"/>
        <v>1</v>
      </c>
      <c r="R14" s="285" t="e">
        <f>IF(B14="","",POF!AO14)</f>
        <v>#N/A</v>
      </c>
      <c r="S14" s="285" t="e">
        <f t="shared" si="2"/>
        <v>#N/A</v>
      </c>
      <c r="T14" s="285">
        <f>IF(B14="","",COF!MZ18)</f>
        <v>0</v>
      </c>
      <c r="U14" s="285" t="str">
        <f t="shared" si="3"/>
        <v>A</v>
      </c>
      <c r="V14" s="285" t="e">
        <f t="shared" si="7"/>
        <v>#N/A</v>
      </c>
      <c r="W14" s="285" t="e">
        <f t="shared" si="4"/>
        <v>#N/A</v>
      </c>
      <c r="X14" s="285" t="e">
        <f t="shared" si="8"/>
        <v>#N/A</v>
      </c>
      <c r="Y14" s="238" t="e">
        <f t="shared" si="9"/>
        <v>#N/A</v>
      </c>
      <c r="Z14" s="238">
        <f t="shared" si="10"/>
        <v>0</v>
      </c>
      <c r="AA14" s="238" t="s">
        <v>1050</v>
      </c>
      <c r="AB14" s="238">
        <v>100.00000099772811</v>
      </c>
      <c r="AC14" s="338"/>
      <c r="AD14" s="338">
        <v>165.34473067512761</v>
      </c>
      <c r="AE14" s="338">
        <f t="shared" si="11"/>
        <v>43833</v>
      </c>
      <c r="AF14" s="337">
        <f t="shared" si="5"/>
        <v>44045</v>
      </c>
      <c r="AG14" s="338" t="e">
        <f t="shared" si="12"/>
        <v>#N/A</v>
      </c>
      <c r="AH14" s="639" t="str">
        <f t="shared" si="13"/>
        <v>V-5Casco</v>
      </c>
    </row>
    <row r="15" spans="2:54" x14ac:dyDescent="0.35">
      <c r="B15" s="161" t="str">
        <f>'Tratamento de Dados'!B24</f>
        <v>V-6</v>
      </c>
      <c r="C15" s="161" t="str">
        <f>'Tratamento de Dados'!D24</f>
        <v>Casco</v>
      </c>
      <c r="D15" s="331">
        <f>'Tratamento de Dados'!X24</f>
        <v>43831</v>
      </c>
      <c r="E15" s="210">
        <f>'Tratamento de Dados'!Y24</f>
        <v>43832</v>
      </c>
      <c r="F15" s="331">
        <f>'Tratamento de Dados'!Z24</f>
        <v>43833</v>
      </c>
      <c r="G15" s="331">
        <f>'Tratamento de Dados'!AA24</f>
        <v>43834</v>
      </c>
      <c r="H15" s="331">
        <f>'Tratamento de Dados'!AB24</f>
        <v>43835</v>
      </c>
      <c r="I15" s="331">
        <f>'Tratamento de Dados'!AC24</f>
        <v>43836</v>
      </c>
      <c r="J15" s="161">
        <f>'Tratamento de Dados'!AD24</f>
        <v>7</v>
      </c>
      <c r="K15" s="161" t="str">
        <f>'Tratamento de Dados'!$B$3</f>
        <v>DF Target</v>
      </c>
      <c r="L15" s="333">
        <f>IF(OR('Tratamento de Dados'!$D$3="",'Tratamento de Dados'!$D$3=0),0,INDEX('Tratamento de Dados'!$D$3:$D$7,MATCH(Risk!U15,'Tratamento de Dados'!$C$3:$C$7,0)))</f>
        <v>0</v>
      </c>
      <c r="M15" s="333">
        <f>IF(OR('Tratamento de Dados'!$E$3="",'Tratamento de Dados'!$E$3=0),0,INDEX('Tratamento de Dados'!$E$3:$E$7,MATCH(Risk!U15,'Tratamento de Dados'!$C$3:$C$7,0)))</f>
        <v>0</v>
      </c>
      <c r="N15" s="334" t="e">
        <f t="shared" si="6"/>
        <v>#N/A</v>
      </c>
      <c r="O15" s="285">
        <f t="shared" si="0"/>
        <v>100</v>
      </c>
      <c r="P15" s="285">
        <f>IF(B15="","",POF!AN15)</f>
        <v>0</v>
      </c>
      <c r="Q15" s="285">
        <f t="shared" si="1"/>
        <v>1</v>
      </c>
      <c r="R15" s="285" t="e">
        <f>IF(B15="","",POF!AO15)</f>
        <v>#N/A</v>
      </c>
      <c r="S15" s="285" t="e">
        <f t="shared" si="2"/>
        <v>#N/A</v>
      </c>
      <c r="T15" s="285">
        <f>IF(B15="","",COF!MZ19)</f>
        <v>0</v>
      </c>
      <c r="U15" s="285" t="str">
        <f t="shared" si="3"/>
        <v>A</v>
      </c>
      <c r="V15" s="285" t="e">
        <f t="shared" si="7"/>
        <v>#N/A</v>
      </c>
      <c r="W15" s="285" t="e">
        <f t="shared" si="4"/>
        <v>#N/A</v>
      </c>
      <c r="X15" s="285" t="e">
        <f t="shared" si="8"/>
        <v>#N/A</v>
      </c>
      <c r="Y15" s="238" t="e">
        <f t="shared" si="9"/>
        <v>#N/A</v>
      </c>
      <c r="Z15" s="238">
        <f t="shared" si="10"/>
        <v>0</v>
      </c>
      <c r="AA15" s="238" t="s">
        <v>1050</v>
      </c>
      <c r="AB15" s="238">
        <v>100.00000099772811</v>
      </c>
      <c r="AC15" s="338"/>
      <c r="AD15" s="338">
        <v>165.34473067512761</v>
      </c>
      <c r="AE15" s="338">
        <f t="shared" si="11"/>
        <v>43833</v>
      </c>
      <c r="AF15" s="337">
        <f t="shared" si="5"/>
        <v>44045</v>
      </c>
      <c r="AG15" s="338" t="e">
        <f t="shared" si="12"/>
        <v>#N/A</v>
      </c>
      <c r="AH15" s="639" t="str">
        <f t="shared" si="13"/>
        <v>V-6Casco</v>
      </c>
    </row>
    <row r="16" spans="2:54" x14ac:dyDescent="0.35">
      <c r="B16" s="161" t="str">
        <f>'Tratamento de Dados'!B25</f>
        <v>V-7</v>
      </c>
      <c r="C16" s="161" t="str">
        <f>'Tratamento de Dados'!D25</f>
        <v>Casco</v>
      </c>
      <c r="D16" s="331">
        <f>'Tratamento de Dados'!X25</f>
        <v>43831</v>
      </c>
      <c r="E16" s="210">
        <f>'Tratamento de Dados'!Y25</f>
        <v>43832</v>
      </c>
      <c r="F16" s="331">
        <f>'Tratamento de Dados'!Z25</f>
        <v>43833</v>
      </c>
      <c r="G16" s="331">
        <f>'Tratamento de Dados'!AA25</f>
        <v>43834</v>
      </c>
      <c r="H16" s="331">
        <f>'Tratamento de Dados'!AB25</f>
        <v>43835</v>
      </c>
      <c r="I16" s="331">
        <f>'Tratamento de Dados'!AC25</f>
        <v>43836</v>
      </c>
      <c r="J16" s="161">
        <f>'Tratamento de Dados'!AD25</f>
        <v>7</v>
      </c>
      <c r="K16" s="161" t="str">
        <f>'Tratamento de Dados'!$B$3</f>
        <v>DF Target</v>
      </c>
      <c r="L16" s="333">
        <f>IF(OR('Tratamento de Dados'!$D$3="",'Tratamento de Dados'!$D$3=0),0,INDEX('Tratamento de Dados'!$D$3:$D$7,MATCH(Risk!U16,'Tratamento de Dados'!$C$3:$C$7,0)))</f>
        <v>0</v>
      </c>
      <c r="M16" s="333">
        <f>IF(OR('Tratamento de Dados'!$E$3="",'Tratamento de Dados'!$E$3=0),0,INDEX('Tratamento de Dados'!$E$3:$E$7,MATCH(Risk!U16,'Tratamento de Dados'!$C$3:$C$7,0)))</f>
        <v>0</v>
      </c>
      <c r="N16" s="334" t="e">
        <f t="shared" si="6"/>
        <v>#N/A</v>
      </c>
      <c r="O16" s="285">
        <f t="shared" si="0"/>
        <v>100</v>
      </c>
      <c r="P16" s="285">
        <f>IF(B16="","",POF!AN16)</f>
        <v>0</v>
      </c>
      <c r="Q16" s="285">
        <f t="shared" si="1"/>
        <v>1</v>
      </c>
      <c r="R16" s="285" t="e">
        <f>IF(B16="","",POF!AO16)</f>
        <v>#N/A</v>
      </c>
      <c r="S16" s="285" t="e">
        <f t="shared" si="2"/>
        <v>#N/A</v>
      </c>
      <c r="T16" s="285">
        <f>IF(B16="","",COF!MZ20)</f>
        <v>0</v>
      </c>
      <c r="U16" s="285" t="str">
        <f t="shared" si="3"/>
        <v>A</v>
      </c>
      <c r="V16" s="285" t="e">
        <f t="shared" si="7"/>
        <v>#N/A</v>
      </c>
      <c r="W16" s="285" t="e">
        <f t="shared" si="4"/>
        <v>#N/A</v>
      </c>
      <c r="X16" s="285" t="e">
        <f t="shared" si="8"/>
        <v>#N/A</v>
      </c>
      <c r="Y16" s="238" t="e">
        <f t="shared" si="9"/>
        <v>#N/A</v>
      </c>
      <c r="Z16" s="238">
        <f t="shared" si="10"/>
        <v>0</v>
      </c>
      <c r="AA16" s="238" t="s">
        <v>1050</v>
      </c>
      <c r="AB16" s="238">
        <v>100.00000099772811</v>
      </c>
      <c r="AC16" s="338"/>
      <c r="AD16" s="338">
        <v>165.34473067512761</v>
      </c>
      <c r="AE16" s="338">
        <f t="shared" si="11"/>
        <v>43833</v>
      </c>
      <c r="AF16" s="337">
        <f t="shared" si="5"/>
        <v>44045</v>
      </c>
      <c r="AG16" s="338" t="e">
        <f t="shared" si="12"/>
        <v>#N/A</v>
      </c>
      <c r="AH16" s="639" t="str">
        <f t="shared" si="13"/>
        <v>V-7Casco</v>
      </c>
    </row>
    <row r="17" spans="2:38" x14ac:dyDescent="0.35">
      <c r="B17" s="161" t="str">
        <f>'Tratamento de Dados'!B26</f>
        <v>V-80</v>
      </c>
      <c r="C17" s="161" t="str">
        <f>'Tratamento de Dados'!D26</f>
        <v>Casco</v>
      </c>
      <c r="D17" s="331">
        <f>'Tratamento de Dados'!X26</f>
        <v>43831</v>
      </c>
      <c r="E17" s="210">
        <f>'Tratamento de Dados'!Y26</f>
        <v>43832</v>
      </c>
      <c r="F17" s="331">
        <f>'Tratamento de Dados'!Z26</f>
        <v>43833</v>
      </c>
      <c r="G17" s="331">
        <f>'Tratamento de Dados'!AA26</f>
        <v>43834</v>
      </c>
      <c r="H17" s="331">
        <f>'Tratamento de Dados'!AB26</f>
        <v>43835</v>
      </c>
      <c r="I17" s="331">
        <f>'Tratamento de Dados'!AC26</f>
        <v>43836</v>
      </c>
      <c r="J17" s="161">
        <f>'Tratamento de Dados'!AD26</f>
        <v>7</v>
      </c>
      <c r="K17" s="161" t="str">
        <f>'Tratamento de Dados'!$B$3</f>
        <v>DF Target</v>
      </c>
      <c r="L17" s="333">
        <f>IF(OR('Tratamento de Dados'!$D$3="",'Tratamento de Dados'!$D$3=0),0,INDEX('Tratamento de Dados'!$D$3:$D$7,MATCH(Risk!U17,'Tratamento de Dados'!$C$3:$C$7,0)))</f>
        <v>0</v>
      </c>
      <c r="M17" s="333">
        <f>IF(OR('Tratamento de Dados'!$E$3="",'Tratamento de Dados'!$E$3=0),0,INDEX('Tratamento de Dados'!$E$3:$E$7,MATCH(Risk!U17,'Tratamento de Dados'!$C$3:$C$7,0)))</f>
        <v>0</v>
      </c>
      <c r="N17" s="334" t="e">
        <f t="shared" si="6"/>
        <v>#N/A</v>
      </c>
      <c r="O17" s="285">
        <f t="shared" si="0"/>
        <v>100</v>
      </c>
      <c r="P17" s="285">
        <f>IF(B17="","",POF!AN17)</f>
        <v>0</v>
      </c>
      <c r="Q17" s="285">
        <f t="shared" si="1"/>
        <v>1</v>
      </c>
      <c r="R17" s="285" t="e">
        <f>IF(B17="","",POF!AO17)</f>
        <v>#N/A</v>
      </c>
      <c r="S17" s="285" t="e">
        <f t="shared" si="2"/>
        <v>#N/A</v>
      </c>
      <c r="T17" s="285">
        <f>IF(B17="","",COF!MZ21)</f>
        <v>0</v>
      </c>
      <c r="U17" s="285" t="str">
        <f t="shared" si="3"/>
        <v>A</v>
      </c>
      <c r="V17" s="285" t="e">
        <f t="shared" si="7"/>
        <v>#N/A</v>
      </c>
      <c r="W17" s="285" t="e">
        <f t="shared" si="4"/>
        <v>#N/A</v>
      </c>
      <c r="X17" s="285" t="e">
        <f t="shared" si="8"/>
        <v>#N/A</v>
      </c>
      <c r="Y17" s="238" t="e">
        <f t="shared" si="9"/>
        <v>#N/A</v>
      </c>
      <c r="Z17" s="238">
        <f t="shared" si="10"/>
        <v>0</v>
      </c>
      <c r="AA17" s="238" t="s">
        <v>1050</v>
      </c>
      <c r="AB17" s="238">
        <v>100.00000099772811</v>
      </c>
      <c r="AC17" s="338"/>
      <c r="AD17" s="338">
        <v>165.34473067512761</v>
      </c>
      <c r="AE17" s="338">
        <f t="shared" si="11"/>
        <v>43833</v>
      </c>
      <c r="AF17" s="337">
        <f t="shared" si="5"/>
        <v>44045</v>
      </c>
      <c r="AG17" s="338" t="e">
        <f t="shared" si="12"/>
        <v>#N/A</v>
      </c>
      <c r="AH17" s="639" t="str">
        <f t="shared" si="13"/>
        <v>V-80Casco</v>
      </c>
      <c r="AL17" s="335"/>
    </row>
    <row r="18" spans="2:38" x14ac:dyDescent="0.35">
      <c r="B18" s="161" t="str">
        <f>'Tratamento de Dados'!B27</f>
        <v>V-8</v>
      </c>
      <c r="C18" s="161" t="str">
        <f>'Tratamento de Dados'!D27</f>
        <v>Casco</v>
      </c>
      <c r="D18" s="331">
        <f>'Tratamento de Dados'!X27</f>
        <v>43831</v>
      </c>
      <c r="E18" s="210">
        <f>'Tratamento de Dados'!Y27</f>
        <v>43832</v>
      </c>
      <c r="F18" s="331">
        <f>'Tratamento de Dados'!Z27</f>
        <v>43833</v>
      </c>
      <c r="G18" s="331">
        <f>'Tratamento de Dados'!AA27</f>
        <v>43834</v>
      </c>
      <c r="H18" s="331">
        <f>'Tratamento de Dados'!AB27</f>
        <v>43835</v>
      </c>
      <c r="I18" s="331">
        <f>'Tratamento de Dados'!AC27</f>
        <v>43836</v>
      </c>
      <c r="J18" s="161">
        <f>'Tratamento de Dados'!AD27</f>
        <v>7</v>
      </c>
      <c r="K18" s="161" t="str">
        <f>'Tratamento de Dados'!$B$3</f>
        <v>DF Target</v>
      </c>
      <c r="L18" s="333">
        <f>IF(OR('Tratamento de Dados'!$D$3="",'Tratamento de Dados'!$D$3=0),0,INDEX('Tratamento de Dados'!$D$3:$D$7,MATCH(Risk!U18,'Tratamento de Dados'!$C$3:$C$7,0)))</f>
        <v>0</v>
      </c>
      <c r="M18" s="333">
        <f>IF(OR('Tratamento de Dados'!$E$3="",'Tratamento de Dados'!$E$3=0),0,INDEX('Tratamento de Dados'!$E$3:$E$7,MATCH(Risk!U18,'Tratamento de Dados'!$C$3:$C$7,0)))</f>
        <v>0</v>
      </c>
      <c r="N18" s="334" t="e">
        <f t="shared" si="6"/>
        <v>#N/A</v>
      </c>
      <c r="O18" s="285">
        <f t="shared" si="0"/>
        <v>100</v>
      </c>
      <c r="P18" s="285">
        <f>IF(B18="","",POF!AN18)</f>
        <v>0</v>
      </c>
      <c r="Q18" s="285">
        <f t="shared" si="1"/>
        <v>1</v>
      </c>
      <c r="R18" s="285" t="e">
        <f>IF(B18="","",POF!AO18)</f>
        <v>#N/A</v>
      </c>
      <c r="S18" s="285" t="e">
        <f t="shared" si="2"/>
        <v>#N/A</v>
      </c>
      <c r="T18" s="285">
        <f>IF(B18="","",COF!MZ22)</f>
        <v>0</v>
      </c>
      <c r="U18" s="285" t="str">
        <f t="shared" si="3"/>
        <v>A</v>
      </c>
      <c r="V18" s="285" t="e">
        <f t="shared" si="7"/>
        <v>#N/A</v>
      </c>
      <c r="W18" s="285" t="e">
        <f t="shared" si="4"/>
        <v>#N/A</v>
      </c>
      <c r="X18" s="285" t="e">
        <f t="shared" si="8"/>
        <v>#N/A</v>
      </c>
      <c r="Y18" s="238" t="e">
        <f t="shared" si="9"/>
        <v>#N/A</v>
      </c>
      <c r="Z18" s="238">
        <f t="shared" si="10"/>
        <v>0</v>
      </c>
      <c r="AA18" s="238" t="s">
        <v>1050</v>
      </c>
      <c r="AB18" s="238">
        <v>100.00000099772811</v>
      </c>
      <c r="AC18" s="338"/>
      <c r="AD18" s="338">
        <v>165.34473067512761</v>
      </c>
      <c r="AE18" s="338">
        <f t="shared" si="11"/>
        <v>43833</v>
      </c>
      <c r="AF18" s="337">
        <f t="shared" si="5"/>
        <v>44045</v>
      </c>
      <c r="AG18" s="338" t="e">
        <f t="shared" si="12"/>
        <v>#N/A</v>
      </c>
      <c r="AH18" s="639" t="str">
        <f t="shared" si="13"/>
        <v>V-8Casco</v>
      </c>
    </row>
    <row r="19" spans="2:38" x14ac:dyDescent="0.35">
      <c r="B19" s="161" t="str">
        <f>'Tratamento de Dados'!B28</f>
        <v>V-90</v>
      </c>
      <c r="C19" s="161" t="str">
        <f>'Tratamento de Dados'!D28</f>
        <v>Casco</v>
      </c>
      <c r="D19" s="331">
        <f>'Tratamento de Dados'!X28</f>
        <v>43831</v>
      </c>
      <c r="E19" s="210">
        <f>'Tratamento de Dados'!Y28</f>
        <v>43832</v>
      </c>
      <c r="F19" s="331">
        <f>'Tratamento de Dados'!Z28</f>
        <v>43833</v>
      </c>
      <c r="G19" s="331">
        <f>'Tratamento de Dados'!AA28</f>
        <v>43834</v>
      </c>
      <c r="H19" s="331">
        <f>'Tratamento de Dados'!AB28</f>
        <v>43835</v>
      </c>
      <c r="I19" s="331">
        <f>'Tratamento de Dados'!AC28</f>
        <v>43836</v>
      </c>
      <c r="J19" s="161">
        <f>'Tratamento de Dados'!AD28</f>
        <v>7</v>
      </c>
      <c r="K19" s="161" t="str">
        <f>'Tratamento de Dados'!$B$3</f>
        <v>DF Target</v>
      </c>
      <c r="L19" s="333">
        <f>IF(OR('Tratamento de Dados'!$D$3="",'Tratamento de Dados'!$D$3=0),0,INDEX('Tratamento de Dados'!$D$3:$D$7,MATCH(Risk!U19,'Tratamento de Dados'!$C$3:$C$7,0)))</f>
        <v>0</v>
      </c>
      <c r="M19" s="333">
        <f>IF(OR('Tratamento de Dados'!$E$3="",'Tratamento de Dados'!$E$3=0),0,INDEX('Tratamento de Dados'!$E$3:$E$7,MATCH(Risk!U19,'Tratamento de Dados'!$C$3:$C$7,0)))</f>
        <v>0</v>
      </c>
      <c r="N19" s="334" t="e">
        <f t="shared" si="6"/>
        <v>#N/A</v>
      </c>
      <c r="O19" s="285">
        <f t="shared" si="0"/>
        <v>100</v>
      </c>
      <c r="P19" s="285">
        <f>IF(B19="","",POF!AN19)</f>
        <v>0</v>
      </c>
      <c r="Q19" s="285">
        <f t="shared" si="1"/>
        <v>1</v>
      </c>
      <c r="R19" s="285" t="e">
        <f>IF(B19="","",POF!AO19)</f>
        <v>#N/A</v>
      </c>
      <c r="S19" s="285" t="e">
        <f t="shared" si="2"/>
        <v>#N/A</v>
      </c>
      <c r="T19" s="285">
        <f>IF(B19="","",COF!MZ23)</f>
        <v>0</v>
      </c>
      <c r="U19" s="285" t="str">
        <f t="shared" si="3"/>
        <v>A</v>
      </c>
      <c r="V19" s="285" t="e">
        <f t="shared" si="7"/>
        <v>#N/A</v>
      </c>
      <c r="W19" s="285" t="e">
        <f t="shared" si="4"/>
        <v>#N/A</v>
      </c>
      <c r="X19" s="285" t="e">
        <f t="shared" si="8"/>
        <v>#N/A</v>
      </c>
      <c r="Y19" s="238" t="e">
        <f t="shared" si="9"/>
        <v>#N/A</v>
      </c>
      <c r="Z19" s="238">
        <f t="shared" si="10"/>
        <v>0</v>
      </c>
      <c r="AA19" s="238" t="s">
        <v>1050</v>
      </c>
      <c r="AB19" s="238">
        <v>100.00000099772811</v>
      </c>
      <c r="AC19" s="338"/>
      <c r="AD19" s="338">
        <v>165.34473067512761</v>
      </c>
      <c r="AE19" s="338">
        <f t="shared" si="11"/>
        <v>43833</v>
      </c>
      <c r="AF19" s="337">
        <f t="shared" si="5"/>
        <v>44045</v>
      </c>
      <c r="AG19" s="338" t="e">
        <f t="shared" si="12"/>
        <v>#N/A</v>
      </c>
      <c r="AH19" s="639" t="str">
        <f t="shared" si="13"/>
        <v>V-90Casco</v>
      </c>
    </row>
    <row r="20" spans="2:38" x14ac:dyDescent="0.35">
      <c r="B20" s="161" t="str">
        <f>'Tratamento de Dados'!B29</f>
        <v>V-9</v>
      </c>
      <c r="C20" s="161" t="str">
        <f>'Tratamento de Dados'!D29</f>
        <v>Casco</v>
      </c>
      <c r="D20" s="331">
        <f>'Tratamento de Dados'!X29</f>
        <v>43831</v>
      </c>
      <c r="E20" s="210">
        <f>'Tratamento de Dados'!Y29</f>
        <v>43832</v>
      </c>
      <c r="F20" s="331">
        <f>'Tratamento de Dados'!Z29</f>
        <v>43833</v>
      </c>
      <c r="G20" s="331">
        <f>'Tratamento de Dados'!AA29</f>
        <v>43834</v>
      </c>
      <c r="H20" s="331">
        <f>'Tratamento de Dados'!AB29</f>
        <v>43835</v>
      </c>
      <c r="I20" s="331">
        <f>'Tratamento de Dados'!AC29</f>
        <v>43836</v>
      </c>
      <c r="J20" s="161">
        <f>'Tratamento de Dados'!AD29</f>
        <v>7</v>
      </c>
      <c r="K20" s="161" t="str">
        <f>'Tratamento de Dados'!$B$3</f>
        <v>DF Target</v>
      </c>
      <c r="L20" s="333">
        <f>IF(OR('Tratamento de Dados'!$D$3="",'Tratamento de Dados'!$D$3=0),0,INDEX('Tratamento de Dados'!$D$3:$D$7,MATCH(Risk!U20,'Tratamento de Dados'!$C$3:$C$7,0)))</f>
        <v>0</v>
      </c>
      <c r="M20" s="333">
        <f>IF(OR('Tratamento de Dados'!$E$3="",'Tratamento de Dados'!$E$3=0),0,INDEX('Tratamento de Dados'!$E$3:$E$7,MATCH(Risk!U20,'Tratamento de Dados'!$C$3:$C$7,0)))</f>
        <v>0</v>
      </c>
      <c r="N20" s="334" t="e">
        <f t="shared" si="6"/>
        <v>#N/A</v>
      </c>
      <c r="O20" s="285">
        <f t="shared" si="0"/>
        <v>100</v>
      </c>
      <c r="P20" s="285">
        <f>IF(B20="","",POF!AN20)</f>
        <v>0</v>
      </c>
      <c r="Q20" s="285">
        <f t="shared" si="1"/>
        <v>1</v>
      </c>
      <c r="R20" s="285" t="e">
        <f>IF(B20="","",POF!AO20)</f>
        <v>#N/A</v>
      </c>
      <c r="S20" s="285" t="e">
        <f t="shared" si="2"/>
        <v>#N/A</v>
      </c>
      <c r="T20" s="285">
        <f>IF(B20="","",COF!MZ24)</f>
        <v>0</v>
      </c>
      <c r="U20" s="285" t="str">
        <f t="shared" si="3"/>
        <v>A</v>
      </c>
      <c r="V20" s="285" t="e">
        <f t="shared" si="7"/>
        <v>#N/A</v>
      </c>
      <c r="W20" s="285" t="e">
        <f t="shared" si="4"/>
        <v>#N/A</v>
      </c>
      <c r="X20" s="285" t="e">
        <f t="shared" si="8"/>
        <v>#N/A</v>
      </c>
      <c r="Y20" s="238" t="e">
        <f t="shared" si="9"/>
        <v>#N/A</v>
      </c>
      <c r="Z20" s="238">
        <f t="shared" si="10"/>
        <v>0</v>
      </c>
      <c r="AA20" s="238" t="s">
        <v>1050</v>
      </c>
      <c r="AB20" s="238">
        <v>0</v>
      </c>
      <c r="AC20" s="338"/>
      <c r="AD20" s="338">
        <v>-335544.32000000001</v>
      </c>
      <c r="AE20" s="338">
        <f t="shared" si="11"/>
        <v>43833</v>
      </c>
      <c r="AF20" s="337">
        <f t="shared" si="5"/>
        <v>44045</v>
      </c>
      <c r="AG20" s="338" t="e">
        <f t="shared" si="12"/>
        <v>#N/A</v>
      </c>
      <c r="AH20" s="639" t="str">
        <f t="shared" si="13"/>
        <v>V-9Casco</v>
      </c>
    </row>
    <row r="23" spans="2:38" x14ac:dyDescent="0.35">
      <c r="P23" s="381"/>
      <c r="T23" s="381"/>
      <c r="AA23" s="381"/>
      <c r="AB23" s="381"/>
      <c r="AC23" s="381"/>
    </row>
    <row r="24" spans="2:38" x14ac:dyDescent="0.35">
      <c r="P24" s="381"/>
      <c r="T24" s="381"/>
      <c r="AA24" s="381"/>
      <c r="AB24" s="381"/>
      <c r="AC24" s="381"/>
    </row>
    <row r="25" spans="2:38" x14ac:dyDescent="0.35">
      <c r="P25" s="381"/>
      <c r="T25" s="381"/>
      <c r="AA25" s="381"/>
      <c r="AB25" s="381"/>
      <c r="AC25" s="381"/>
    </row>
    <row r="26" spans="2:38" x14ac:dyDescent="0.35">
      <c r="P26" s="381"/>
      <c r="T26" s="381"/>
      <c r="AA26" s="381"/>
      <c r="AB26" s="381"/>
      <c r="AC26" s="381"/>
    </row>
    <row r="27" spans="2:38" x14ac:dyDescent="0.35">
      <c r="P27" s="381"/>
      <c r="T27" s="381"/>
      <c r="AA27" s="381"/>
      <c r="AB27" s="381"/>
      <c r="AC27" s="381"/>
    </row>
  </sheetData>
  <mergeCells count="4">
    <mergeCell ref="AM2:AN2"/>
    <mergeCell ref="AQ2:AR2"/>
    <mergeCell ref="AV2:AW2"/>
    <mergeCell ref="AO2:AP2"/>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7"/>
  <dimension ref="B1:BC23"/>
  <sheetViews>
    <sheetView zoomScaleNormal="100" workbookViewId="0"/>
  </sheetViews>
  <sheetFormatPr defaultRowHeight="14.5" x14ac:dyDescent="0.35"/>
  <cols>
    <col min="1" max="1" width="1" customWidth="1"/>
    <col min="2" max="3" width="16.453125" customWidth="1"/>
    <col min="4" max="4" width="11.81640625" customWidth="1"/>
    <col min="5" max="5" width="11.54296875" customWidth="1"/>
    <col min="6" max="6" width="13" customWidth="1"/>
    <col min="7" max="7" width="16.7265625" bestFit="1" customWidth="1"/>
    <col min="8" max="8" width="12.26953125" bestFit="1" customWidth="1"/>
    <col min="9" max="9" width="17.7265625" bestFit="1" customWidth="1"/>
    <col min="10" max="10" width="18.1796875" bestFit="1" customWidth="1"/>
    <col min="11" max="11" width="18.1796875" customWidth="1"/>
    <col min="12" max="14" width="16.7265625" customWidth="1"/>
    <col min="15" max="15" width="21.26953125" bestFit="1" customWidth="1"/>
    <col min="16" max="16" width="20.54296875" bestFit="1" customWidth="1"/>
    <col min="17" max="17" width="21.54296875" bestFit="1" customWidth="1"/>
    <col min="18" max="18" width="19.1796875" bestFit="1" customWidth="1"/>
    <col min="19" max="19" width="29.1796875" bestFit="1" customWidth="1"/>
    <col min="20" max="20" width="25.54296875" bestFit="1" customWidth="1"/>
    <col min="21" max="21" width="16.7265625" customWidth="1"/>
    <col min="22" max="22" width="23.453125" bestFit="1" customWidth="1"/>
    <col min="23" max="23" width="16.7265625" customWidth="1"/>
    <col min="24" max="24" width="20.54296875" bestFit="1" customWidth="1"/>
    <col min="25" max="25" width="16.7265625" customWidth="1"/>
    <col min="26" max="26" width="21.453125" bestFit="1" customWidth="1"/>
    <col min="27" max="27" width="22" bestFit="1" customWidth="1"/>
    <col min="28" max="33" width="16.7265625" customWidth="1"/>
    <col min="34" max="34" width="13" customWidth="1"/>
    <col min="35" max="35" width="12" customWidth="1"/>
    <col min="36" max="36" width="13" customWidth="1"/>
    <col min="37" max="37" width="9.26953125" customWidth="1"/>
    <col min="38" max="38" width="12.453125" customWidth="1"/>
    <col min="40" max="40" width="11.7265625" customWidth="1"/>
    <col min="55" max="55" width="14.54296875" customWidth="1"/>
  </cols>
  <sheetData>
    <row r="1" spans="2:55" ht="5.25" customHeight="1" x14ac:dyDescent="0.35"/>
    <row r="2" spans="2:55" x14ac:dyDescent="0.35">
      <c r="B2" s="134" t="s">
        <v>968</v>
      </c>
      <c r="C2" s="134" t="s">
        <v>969</v>
      </c>
      <c r="D2" s="134" t="s">
        <v>955</v>
      </c>
      <c r="E2" s="134" t="s">
        <v>954</v>
      </c>
      <c r="F2" s="134" t="s">
        <v>964</v>
      </c>
      <c r="G2" s="346" t="s">
        <v>1318</v>
      </c>
      <c r="H2" s="346" t="s">
        <v>1294</v>
      </c>
      <c r="I2" s="346" t="s">
        <v>1319</v>
      </c>
      <c r="J2" s="346" t="s">
        <v>1317</v>
      </c>
      <c r="K2" s="346" t="s">
        <v>1323</v>
      </c>
      <c r="L2" s="134" t="s">
        <v>1292</v>
      </c>
      <c r="M2" s="346" t="s">
        <v>816</v>
      </c>
      <c r="N2" s="346" t="s">
        <v>1088</v>
      </c>
      <c r="O2" s="346" t="s">
        <v>1184</v>
      </c>
      <c r="P2" s="346" t="s">
        <v>1192</v>
      </c>
      <c r="Q2" s="346" t="s">
        <v>1118</v>
      </c>
      <c r="R2" s="346" t="s">
        <v>872</v>
      </c>
      <c r="S2" s="346" t="s">
        <v>1136</v>
      </c>
      <c r="T2" s="346" t="s">
        <v>1158</v>
      </c>
      <c r="U2" s="346" t="s">
        <v>1182</v>
      </c>
      <c r="V2" s="346" t="s">
        <v>1199</v>
      </c>
      <c r="W2" s="346" t="s">
        <v>1211</v>
      </c>
      <c r="X2" s="346" t="s">
        <v>934</v>
      </c>
      <c r="Y2" s="346" t="s">
        <v>1255</v>
      </c>
      <c r="Z2" s="346" t="s">
        <v>1302</v>
      </c>
      <c r="AA2" s="346" t="s">
        <v>1316</v>
      </c>
      <c r="AB2" s="346"/>
      <c r="AC2" s="346"/>
      <c r="AD2" s="346"/>
      <c r="AE2" s="346"/>
      <c r="AF2" s="346"/>
      <c r="AG2" s="346"/>
      <c r="AH2" s="141" t="s">
        <v>958</v>
      </c>
      <c r="AI2" s="134" t="s">
        <v>960</v>
      </c>
      <c r="AJ2" s="134" t="s">
        <v>959</v>
      </c>
      <c r="AK2" s="134" t="s">
        <v>961</v>
      </c>
      <c r="AL2" s="134" t="s">
        <v>962</v>
      </c>
      <c r="AM2" s="134" t="s">
        <v>963</v>
      </c>
      <c r="AN2" s="141" t="s">
        <v>956</v>
      </c>
      <c r="AO2" s="141" t="s">
        <v>957</v>
      </c>
      <c r="BC2" t="s">
        <v>953</v>
      </c>
    </row>
    <row r="3" spans="2:55" x14ac:dyDescent="0.35">
      <c r="B3" s="161" t="str">
        <f>'Tratamento de Dados'!B12</f>
        <v>V-90</v>
      </c>
      <c r="C3" s="161" t="str">
        <f>'Tratamento de Dados'!D12</f>
        <v>Casco</v>
      </c>
      <c r="D3" s="161">
        <f>'Tratamento de Dados'!W12</f>
        <v>8</v>
      </c>
      <c r="E3" s="283">
        <f>IF(COF!BU7="",0,COF!BU7)</f>
        <v>3.0600000000000005E-5</v>
      </c>
      <c r="F3" s="284" t="str">
        <f>Thinning!D5</f>
        <v>Generalizada</v>
      </c>
      <c r="G3" s="503">
        <f>IF(AJ3=X3,Ext_Corr_Ferritic!G4,"")</f>
        <v>0</v>
      </c>
      <c r="H3" s="503">
        <f>IF(AJ3=Y3,CUI_Ferritic!D4,"")</f>
        <v>0</v>
      </c>
      <c r="I3" s="503" t="str">
        <f>IF(AJ3=Z3,Ext_SCC_Chloride!G4,"")</f>
        <v>Generalizada</v>
      </c>
      <c r="J3" s="503" t="str">
        <f>IF(AJ3=AA3,CUI_SCC_Chloride!G4,"")</f>
        <v>Generalizada</v>
      </c>
      <c r="K3" s="284" t="str">
        <f>CONCATENATE(G3,H3,I3,J3)</f>
        <v>00GeneralizadaGeneralizada</v>
      </c>
      <c r="L3" s="284" t="str">
        <f>IF(OR(K3=$BC$3,K3=$BC$4,K3=$BC$5,K3=$BC$6),$BC$3,$BC$2)</f>
        <v>Generalizada</v>
      </c>
      <c r="M3" s="284">
        <f>Thinning!BO5</f>
        <v>6409.4964263855954</v>
      </c>
      <c r="N3" s="284">
        <f>IF('Tratamento de Dados'!AF12=COF!$TH$10,Lining!M4,0)</f>
        <v>0</v>
      </c>
      <c r="O3" s="284">
        <f>IF('Tratamento de Dados'!AG12=COF!$TH$10,Caustic_Cracking!BS4,0)</f>
        <v>0</v>
      </c>
      <c r="P3" s="284">
        <f>IF('Tratamento de Dados'!AH12=COF!$TH$10,Amine_Cracking!BT4,0)</f>
        <v>0</v>
      </c>
      <c r="Q3" s="284">
        <f>IF('Tratamento de Dados'!AI12=COF!$TH$10,'SCC_Sulfide (SSC)'!BS4,0)</f>
        <v>0</v>
      </c>
      <c r="R3" s="284">
        <f>IF('Tratamento de Dados'!AJ12=COF!$TH$10,'HIC-SOHIC-H2S'!BX4,0)</f>
        <v>0</v>
      </c>
      <c r="S3" s="284">
        <f>IF('Tratamento de Dados'!AK12=COF!$TH$10,SCC_Alkaline_Carbonate!BP4,0)</f>
        <v>0</v>
      </c>
      <c r="T3" s="284">
        <f>IF('Tratamento de Dados'!AL12=COF!$TH$10,SCC_Polythionic_Acid!BS4,0)</f>
        <v>0</v>
      </c>
      <c r="U3" s="284">
        <f>IF('Tratamento de Dados'!AM12=COF!$TH$10,SCC_Chloride!BS4,0)</f>
        <v>0</v>
      </c>
      <c r="V3" s="284">
        <f>IF('Tratamento de Dados'!AN12=COF!$TH$10,HSC_Hydrofluoric_Acid!BQ4,0)</f>
        <v>0</v>
      </c>
      <c r="W3" s="284">
        <f>IF('Tratamento de Dados'!AO12=COF!$TH$10,'HIC-SOHIC-HF'!BS4,0)</f>
        <v>0</v>
      </c>
      <c r="X3" s="284">
        <f>IF('Tratamento de Dados'!AP12=COF!$TH$10,Ext_Corr_Ferritic!BR4,0)</f>
        <v>0</v>
      </c>
      <c r="Y3" s="284">
        <f>IF('Tratamento de Dados'!AQ12=COF!$TH$10,CUI_Ferritic!BT4,0)</f>
        <v>0</v>
      </c>
      <c r="Z3" s="284">
        <f>IF('Tratamento de Dados'!AR12=COF!$TH$10,Ext_SCC_Chloride!BZ4,0)</f>
        <v>0</v>
      </c>
      <c r="AA3" s="284">
        <f>IF('Tratamento de Dados'!AS12=COF!$TH$10,CUI_SCC_Chloride!CJ4,0)</f>
        <v>0</v>
      </c>
      <c r="AB3" s="284"/>
      <c r="AC3" s="284"/>
      <c r="AD3" s="284"/>
      <c r="AE3" s="284"/>
      <c r="AF3" s="284"/>
      <c r="AG3" s="284"/>
      <c r="AH3" s="284">
        <f t="shared" ref="AH3:AH20" si="0">IF(N3=0,M3,MIN(M3,N3))</f>
        <v>6409.4964263855954</v>
      </c>
      <c r="AI3" s="284">
        <f>MAX(O3:W3)</f>
        <v>0</v>
      </c>
      <c r="AJ3" s="284">
        <f>MAX(X3:AA3)</f>
        <v>0</v>
      </c>
      <c r="AK3" s="443"/>
      <c r="AL3" s="443"/>
      <c r="AM3" s="443"/>
      <c r="AN3" s="484">
        <f>IF(AND(L3=$BC$3,F3=$BC$3),SUM(MAX(AH3,AJ3),AI3,AK3,AL3,AM3),SUM(AH3:AM3))</f>
        <v>6409.4964263855954</v>
      </c>
      <c r="AO3" s="285">
        <f t="shared" ref="AO3:AO20" si="1">E3*D3*AN3</f>
        <v>1.5690447251791941</v>
      </c>
      <c r="AS3">
        <f>IF(L3=BC3,0,1)</f>
        <v>1</v>
      </c>
      <c r="BC3" t="s">
        <v>952</v>
      </c>
    </row>
    <row r="4" spans="2:55" x14ac:dyDescent="0.35">
      <c r="B4" s="161" t="str">
        <f>'Tratamento de Dados'!B13</f>
        <v>V-07</v>
      </c>
      <c r="C4" s="161" t="str">
        <f>'Tratamento de Dados'!D13</f>
        <v>Tampo_Sul</v>
      </c>
      <c r="D4" s="161">
        <f>'Tratamento de Dados'!W13</f>
        <v>1</v>
      </c>
      <c r="E4" s="283">
        <f>IF(COF!BU8="",0,COF!BU8)</f>
        <v>3.0600000000000005E-5</v>
      </c>
      <c r="F4" s="284" t="str">
        <f>Thinning!D6</f>
        <v>Generalizada</v>
      </c>
      <c r="G4" s="503" t="str">
        <f>IF(AJ4=X4,Ext_Corr_Ferritic!G5,"")</f>
        <v>Generalizada</v>
      </c>
      <c r="H4" s="503" t="str">
        <f>IF(AJ4=Y4,CUI_Ferritic!D5,"")</f>
        <v>Generalizada</v>
      </c>
      <c r="I4" s="503" t="str">
        <f>IF(AJ4=Z4,Ext_SCC_Chloride!G5,"")</f>
        <v>Generalizada</v>
      </c>
      <c r="J4" s="503" t="str">
        <f>IF(AJ4=AA4,CUI_SCC_Chloride!G5,"")</f>
        <v>Generalizada</v>
      </c>
      <c r="K4" s="284" t="str">
        <f t="shared" ref="K4:K20" si="2">CONCATENATE(G4,H4,I4,J4)</f>
        <v>GeneralizadaGeneralizadaGeneralizadaGeneralizada</v>
      </c>
      <c r="L4" s="284" t="str">
        <f t="shared" ref="L4:L20" si="3">IF(OR(K4=$BC$3,K4=$BC$4,K4=$BC$5,K4=$BC$6),$BC$3,$BC$2)</f>
        <v>Generalizada</v>
      </c>
      <c r="M4" s="284">
        <f>Thinning!BO6</f>
        <v>20.345719261669462</v>
      </c>
      <c r="N4" s="284">
        <f>IF('Tratamento de Dados'!AF13=COF!$TH$10,Lining!M5,0)</f>
        <v>0</v>
      </c>
      <c r="O4" s="284">
        <f>IF('Tratamento de Dados'!AG13=COF!$TH$10,Caustic_Cracking!BS5,0)</f>
        <v>0</v>
      </c>
      <c r="P4" s="284">
        <f>IF('Tratamento de Dados'!AH13=COF!$TH$10,Amine_Cracking!BT5,0)</f>
        <v>0</v>
      </c>
      <c r="Q4" s="284">
        <f>IF('Tratamento de Dados'!AI13=COF!$TH$10,'SCC_Sulfide (SSC)'!BS5,0)</f>
        <v>0</v>
      </c>
      <c r="R4" s="284">
        <f>IF('Tratamento de Dados'!AJ13=COF!$TH$10,'HIC-SOHIC-H2S'!BX5,0)</f>
        <v>0</v>
      </c>
      <c r="S4" s="284">
        <f>IF('Tratamento de Dados'!AK13=COF!$TH$10,SCC_Alkaline_Carbonate!BP5,0)</f>
        <v>0</v>
      </c>
      <c r="T4" s="284">
        <f>IF('Tratamento de Dados'!AL13=COF!$TH$10,SCC_Polythionic_Acid!BS5,0)</f>
        <v>0</v>
      </c>
      <c r="U4" s="284">
        <f>IF('Tratamento de Dados'!AM13=COF!$TH$10,SCC_Chloride!BS5,0)</f>
        <v>0</v>
      </c>
      <c r="V4" s="284">
        <f>IF('Tratamento de Dados'!AN13=COF!$TH$10,HSC_Hydrofluoric_Acid!BQ5,0)</f>
        <v>0</v>
      </c>
      <c r="W4" s="284">
        <f>IF('Tratamento de Dados'!AO13=COF!$TH$10,'HIC-SOHIC-HF'!BS5,0)</f>
        <v>0</v>
      </c>
      <c r="X4" s="284">
        <f>IF('Tratamento de Dados'!AP13=COF!$TH$10,Ext_Corr_Ferritic!BR5,0)</f>
        <v>0</v>
      </c>
      <c r="Y4" s="284">
        <f>IF('Tratamento de Dados'!AQ13=COF!$TH$10,CUI_Ferritic!BT5,0)</f>
        <v>0</v>
      </c>
      <c r="Z4" s="284">
        <f>IF('Tratamento de Dados'!AR13=COF!$TH$10,Ext_SCC_Chloride!BZ5,0)</f>
        <v>0</v>
      </c>
      <c r="AA4" s="284">
        <f>IF('Tratamento de Dados'!AS13=COF!$TH$10,CUI_SCC_Chloride!CJ5,0)</f>
        <v>0</v>
      </c>
      <c r="AB4" s="284"/>
      <c r="AC4" s="284"/>
      <c r="AD4" s="284"/>
      <c r="AE4" s="284"/>
      <c r="AF4" s="284"/>
      <c r="AG4" s="284"/>
      <c r="AH4" s="284">
        <f t="shared" si="0"/>
        <v>20.345719261669462</v>
      </c>
      <c r="AI4" s="284">
        <f t="shared" ref="AI4:AI20" si="4">MAX(O4:W4)</f>
        <v>0</v>
      </c>
      <c r="AJ4" s="284">
        <f t="shared" ref="AJ4:AJ20" si="5">MAX(X4:AA4)</f>
        <v>0</v>
      </c>
      <c r="AK4" s="443"/>
      <c r="AL4" s="443"/>
      <c r="AM4" s="443"/>
      <c r="AN4" s="484">
        <f t="shared" ref="AN4:AN20" si="6">IF(AND(L4=$BC$3,F4=$BC$3),SUM(MAX(AH4,AJ4),AI4,AK4,AL4,AM4),SUM(AH4:AM4))</f>
        <v>20.345719261669462</v>
      </c>
      <c r="AO4" s="285">
        <f t="shared" si="1"/>
        <v>6.2257900940708563E-4</v>
      </c>
      <c r="BC4" t="s">
        <v>1320</v>
      </c>
    </row>
    <row r="5" spans="2:55" x14ac:dyDescent="0.35">
      <c r="B5" s="161" t="str">
        <f>'Tratamento de Dados'!B14</f>
        <v>V-10</v>
      </c>
      <c r="C5" s="161" t="str">
        <f>'Tratamento de Dados'!D14</f>
        <v>Casco</v>
      </c>
      <c r="D5" s="161">
        <f>'Tratamento de Dados'!W14</f>
        <v>8</v>
      </c>
      <c r="E5" s="283" t="e">
        <f>IF(COF!BU9="",0,COF!BU9)</f>
        <v>#N/A</v>
      </c>
      <c r="F5" s="284" t="str">
        <f>Thinning!D7</f>
        <v>Generalizada</v>
      </c>
      <c r="G5" s="503">
        <f>IF(AJ5=X5,Ext_Corr_Ferritic!G6,"")</f>
        <v>0</v>
      </c>
      <c r="H5" s="503">
        <f>IF(AJ5=Y5,CUI_Ferritic!D6,"")</f>
        <v>0</v>
      </c>
      <c r="I5" s="503" t="str">
        <f>IF(AJ5=Z5,Ext_SCC_Chloride!G6,"")</f>
        <v>Generalizada</v>
      </c>
      <c r="J5" s="503" t="str">
        <f>IF(AJ5=AA5,CUI_SCC_Chloride!G6,"")</f>
        <v>Generalizada</v>
      </c>
      <c r="K5" s="284" t="str">
        <f t="shared" si="2"/>
        <v>00GeneralizadaGeneralizada</v>
      </c>
      <c r="L5" s="284" t="str">
        <f t="shared" si="3"/>
        <v>Generalizada</v>
      </c>
      <c r="M5" s="284">
        <f>Thinning!BO7</f>
        <v>0</v>
      </c>
      <c r="N5" s="284">
        <f>IF('Tratamento de Dados'!AF14=COF!$TH$10,Lining!M6,0)</f>
        <v>0</v>
      </c>
      <c r="O5" s="284">
        <f>IF('Tratamento de Dados'!AG14=COF!$TH$10,Caustic_Cracking!BS6,0)</f>
        <v>0</v>
      </c>
      <c r="P5" s="284">
        <f>IF('Tratamento de Dados'!AH14=COF!$TH$10,Amine_Cracking!BT6,0)</f>
        <v>0</v>
      </c>
      <c r="Q5" s="284">
        <f>IF('Tratamento de Dados'!AI14=COF!$TH$10,'SCC_Sulfide (SSC)'!BS6,0)</f>
        <v>0</v>
      </c>
      <c r="R5" s="284">
        <f>IF('Tratamento de Dados'!AJ14=COF!$TH$10,'HIC-SOHIC-H2S'!BX6,0)</f>
        <v>0</v>
      </c>
      <c r="S5" s="284">
        <f>IF('Tratamento de Dados'!AK14=COF!$TH$10,SCC_Alkaline_Carbonate!BP6,0)</f>
        <v>0</v>
      </c>
      <c r="T5" s="284">
        <f>IF('Tratamento de Dados'!AL14=COF!$TH$10,SCC_Polythionic_Acid!BS6,0)</f>
        <v>0</v>
      </c>
      <c r="U5" s="284">
        <f>IF('Tratamento de Dados'!AM14=COF!$TH$10,SCC_Chloride!BS6,0)</f>
        <v>0</v>
      </c>
      <c r="V5" s="284">
        <f>IF('Tratamento de Dados'!AN14=COF!$TH$10,HSC_Hydrofluoric_Acid!BQ6,0)</f>
        <v>0</v>
      </c>
      <c r="W5" s="284">
        <f>IF('Tratamento de Dados'!AO14=COF!$TH$10,'HIC-SOHIC-HF'!BS6,0)</f>
        <v>0</v>
      </c>
      <c r="X5" s="284">
        <f>IF('Tratamento de Dados'!AP14=COF!$TH$10,Ext_Corr_Ferritic!BR6,0)</f>
        <v>0</v>
      </c>
      <c r="Y5" s="284">
        <f>IF('Tratamento de Dados'!AQ14=COF!$TH$10,CUI_Ferritic!BT6,0)</f>
        <v>0</v>
      </c>
      <c r="Z5" s="284">
        <f>IF('Tratamento de Dados'!AR14=COF!$TH$10,Ext_SCC_Chloride!BZ6,0)</f>
        <v>0</v>
      </c>
      <c r="AA5" s="284">
        <f>IF('Tratamento de Dados'!AS14=COF!$TH$10,CUI_SCC_Chloride!CJ6,0)</f>
        <v>0</v>
      </c>
      <c r="AB5" s="284"/>
      <c r="AC5" s="284"/>
      <c r="AD5" s="284"/>
      <c r="AE5" s="284"/>
      <c r="AF5" s="284"/>
      <c r="AG5" s="284"/>
      <c r="AH5" s="284">
        <f t="shared" si="0"/>
        <v>0</v>
      </c>
      <c r="AI5" s="284">
        <f t="shared" si="4"/>
        <v>0</v>
      </c>
      <c r="AJ5" s="284">
        <f t="shared" si="5"/>
        <v>0</v>
      </c>
      <c r="AK5" s="443"/>
      <c r="AL5" s="443"/>
      <c r="AM5" s="443"/>
      <c r="AN5" s="484">
        <f t="shared" si="6"/>
        <v>0</v>
      </c>
      <c r="AO5" s="285" t="e">
        <f t="shared" si="1"/>
        <v>#N/A</v>
      </c>
      <c r="BC5" t="s">
        <v>1321</v>
      </c>
    </row>
    <row r="6" spans="2:55" x14ac:dyDescent="0.35">
      <c r="B6" s="161" t="str">
        <f>'Tratamento de Dados'!B15</f>
        <v>V-11</v>
      </c>
      <c r="C6" s="161" t="str">
        <f>'Tratamento de Dados'!D15</f>
        <v>Casco</v>
      </c>
      <c r="D6" s="161">
        <f>'Tratamento de Dados'!W15</f>
        <v>8</v>
      </c>
      <c r="E6" s="283" t="e">
        <f>IF(COF!BU10="",0,COF!BU10)</f>
        <v>#N/A</v>
      </c>
      <c r="F6" s="284" t="str">
        <f>Thinning!D8</f>
        <v>Generalizada</v>
      </c>
      <c r="G6" s="503">
        <f>IF(AJ6=X6,Ext_Corr_Ferritic!G7,"")</f>
        <v>0</v>
      </c>
      <c r="H6" s="503">
        <f>IF(AJ6=Y6,CUI_Ferritic!D7,"")</f>
        <v>0</v>
      </c>
      <c r="I6" s="503" t="str">
        <f>IF(AJ6=Z6,Ext_SCC_Chloride!G7,"")</f>
        <v>Generalizada</v>
      </c>
      <c r="J6" s="503" t="str">
        <f>IF(AJ6=AA6,CUI_SCC_Chloride!G7,"")</f>
        <v>Generalizada</v>
      </c>
      <c r="K6" s="284" t="str">
        <f t="shared" si="2"/>
        <v>00GeneralizadaGeneralizada</v>
      </c>
      <c r="L6" s="284" t="str">
        <f t="shared" si="3"/>
        <v>Generalizada</v>
      </c>
      <c r="M6" s="284">
        <f>Thinning!BO8</f>
        <v>0</v>
      </c>
      <c r="N6" s="284">
        <f>IF('Tratamento de Dados'!AF15=COF!$TH$10,Lining!M7,0)</f>
        <v>0</v>
      </c>
      <c r="O6" s="284">
        <f>IF('Tratamento de Dados'!AG15=COF!$TH$10,Caustic_Cracking!BS7,0)</f>
        <v>0</v>
      </c>
      <c r="P6" s="284">
        <f>IF('Tratamento de Dados'!AH15=COF!$TH$10,Amine_Cracking!BT7,0)</f>
        <v>0</v>
      </c>
      <c r="Q6" s="284">
        <f>IF('Tratamento de Dados'!AI15=COF!$TH$10,'SCC_Sulfide (SSC)'!BS7,0)</f>
        <v>0</v>
      </c>
      <c r="R6" s="284">
        <f>IF('Tratamento de Dados'!AJ15=COF!$TH$10,'HIC-SOHIC-H2S'!BX7,0)</f>
        <v>0</v>
      </c>
      <c r="S6" s="284">
        <f>IF('Tratamento de Dados'!AK15=COF!$TH$10,SCC_Alkaline_Carbonate!BP7,0)</f>
        <v>0</v>
      </c>
      <c r="T6" s="284">
        <f>IF('Tratamento de Dados'!AL15=COF!$TH$10,SCC_Polythionic_Acid!BS7,0)</f>
        <v>0</v>
      </c>
      <c r="U6" s="284">
        <f>IF('Tratamento de Dados'!AM15=COF!$TH$10,SCC_Chloride!BS7,0)</f>
        <v>0</v>
      </c>
      <c r="V6" s="284">
        <f>IF('Tratamento de Dados'!AN15=COF!$TH$10,HSC_Hydrofluoric_Acid!BQ7,0)</f>
        <v>0</v>
      </c>
      <c r="W6" s="284">
        <f>IF('Tratamento de Dados'!AO15=COF!$TH$10,'HIC-SOHIC-HF'!BS7,0)</f>
        <v>0</v>
      </c>
      <c r="X6" s="284">
        <f>IF('Tratamento de Dados'!AP15=COF!$TH$10,Ext_Corr_Ferritic!BR7,0)</f>
        <v>0</v>
      </c>
      <c r="Y6" s="284">
        <f>IF('Tratamento de Dados'!AQ15=COF!$TH$10,CUI_Ferritic!BT7,0)</f>
        <v>0</v>
      </c>
      <c r="Z6" s="284">
        <f>IF('Tratamento de Dados'!AR15=COF!$TH$10,Ext_SCC_Chloride!BZ7,0)</f>
        <v>0</v>
      </c>
      <c r="AA6" s="284">
        <f>IF('Tratamento de Dados'!AS15=COF!$TH$10,CUI_SCC_Chloride!CJ7,0)</f>
        <v>0</v>
      </c>
      <c r="AB6" s="284"/>
      <c r="AC6" s="284"/>
      <c r="AD6" s="284"/>
      <c r="AE6" s="284"/>
      <c r="AF6" s="284"/>
      <c r="AG6" s="284"/>
      <c r="AH6" s="284">
        <f t="shared" si="0"/>
        <v>0</v>
      </c>
      <c r="AI6" s="284">
        <f t="shared" si="4"/>
        <v>0</v>
      </c>
      <c r="AJ6" s="284">
        <f t="shared" si="5"/>
        <v>0</v>
      </c>
      <c r="AK6" s="443"/>
      <c r="AL6" s="443"/>
      <c r="AM6" s="443"/>
      <c r="AN6" s="484">
        <f t="shared" si="6"/>
        <v>0</v>
      </c>
      <c r="AO6" s="285" t="e">
        <f t="shared" si="1"/>
        <v>#N/A</v>
      </c>
      <c r="BC6" t="s">
        <v>1322</v>
      </c>
    </row>
    <row r="7" spans="2:55" x14ac:dyDescent="0.35">
      <c r="B7" s="161" t="str">
        <f>'Tratamento de Dados'!B16</f>
        <v>V-13</v>
      </c>
      <c r="C7" s="161" t="str">
        <f>'Tratamento de Dados'!D16</f>
        <v>Casco</v>
      </c>
      <c r="D7" s="161">
        <f>'Tratamento de Dados'!W16</f>
        <v>8</v>
      </c>
      <c r="E7" s="283" t="e">
        <f>IF(COF!BU11="",0,COF!BU11)</f>
        <v>#N/A</v>
      </c>
      <c r="F7" s="284" t="str">
        <f>Thinning!D9</f>
        <v>Generalizada</v>
      </c>
      <c r="G7" s="503">
        <f>IF(AJ7=X7,Ext_Corr_Ferritic!G8,"")</f>
        <v>0</v>
      </c>
      <c r="H7" s="503">
        <f>IF(AJ7=Y7,CUI_Ferritic!D8,"")</f>
        <v>0</v>
      </c>
      <c r="I7" s="503" t="str">
        <f>IF(AJ7=Z7,Ext_SCC_Chloride!G8,"")</f>
        <v>Generalizada</v>
      </c>
      <c r="J7" s="503" t="str">
        <f>IF(AJ7=AA7,CUI_SCC_Chloride!G8,"")</f>
        <v>Generalizada</v>
      </c>
      <c r="K7" s="284" t="str">
        <f t="shared" si="2"/>
        <v>00GeneralizadaGeneralizada</v>
      </c>
      <c r="L7" s="284" t="str">
        <f t="shared" si="3"/>
        <v>Generalizada</v>
      </c>
      <c r="M7" s="284">
        <f>Thinning!BO9</f>
        <v>0</v>
      </c>
      <c r="N7" s="284">
        <f>IF('Tratamento de Dados'!AF16=COF!$TH$10,Lining!M8,0)</f>
        <v>0</v>
      </c>
      <c r="O7" s="284">
        <f>IF('Tratamento de Dados'!AG16=COF!$TH$10,Caustic_Cracking!BS8,0)</f>
        <v>0</v>
      </c>
      <c r="P7" s="284">
        <f>IF('Tratamento de Dados'!AH16=COF!$TH$10,Amine_Cracking!BT8,0)</f>
        <v>0</v>
      </c>
      <c r="Q7" s="284">
        <f>IF('Tratamento de Dados'!AI16=COF!$TH$10,'SCC_Sulfide (SSC)'!BS8,0)</f>
        <v>0</v>
      </c>
      <c r="R7" s="284">
        <f>IF('Tratamento de Dados'!AJ16=COF!$TH$10,'HIC-SOHIC-H2S'!BX8,0)</f>
        <v>0</v>
      </c>
      <c r="S7" s="284">
        <f>IF('Tratamento de Dados'!AK16=COF!$TH$10,SCC_Alkaline_Carbonate!BP8,0)</f>
        <v>0</v>
      </c>
      <c r="T7" s="284">
        <f>IF('Tratamento de Dados'!AL16=COF!$TH$10,SCC_Polythionic_Acid!BS8,0)</f>
        <v>0</v>
      </c>
      <c r="U7" s="284">
        <f>IF('Tratamento de Dados'!AM16=COF!$TH$10,SCC_Chloride!BS8,0)</f>
        <v>0</v>
      </c>
      <c r="V7" s="284">
        <f>IF('Tratamento de Dados'!AN16=COF!$TH$10,HSC_Hydrofluoric_Acid!BQ8,0)</f>
        <v>0</v>
      </c>
      <c r="W7" s="284">
        <f>IF('Tratamento de Dados'!AO16=COF!$TH$10,'HIC-SOHIC-HF'!BS8,0)</f>
        <v>0</v>
      </c>
      <c r="X7" s="284">
        <f>IF('Tratamento de Dados'!AP16=COF!$TH$10,Ext_Corr_Ferritic!BR8,0)</f>
        <v>0</v>
      </c>
      <c r="Y7" s="284">
        <f>IF('Tratamento de Dados'!AQ16=COF!$TH$10,CUI_Ferritic!BT8,0)</f>
        <v>0</v>
      </c>
      <c r="Z7" s="284">
        <f>IF('Tratamento de Dados'!AR16=COF!$TH$10,Ext_SCC_Chloride!BZ8,0)</f>
        <v>0</v>
      </c>
      <c r="AA7" s="284">
        <f>IF('Tratamento de Dados'!AS16=COF!$TH$10,CUI_SCC_Chloride!CJ8,0)</f>
        <v>0</v>
      </c>
      <c r="AB7" s="284"/>
      <c r="AC7" s="284"/>
      <c r="AD7" s="284"/>
      <c r="AE7" s="284"/>
      <c r="AF7" s="284"/>
      <c r="AG7" s="284"/>
      <c r="AH7" s="284">
        <f t="shared" si="0"/>
        <v>0</v>
      </c>
      <c r="AI7" s="284">
        <f t="shared" si="4"/>
        <v>0</v>
      </c>
      <c r="AJ7" s="284">
        <f t="shared" si="5"/>
        <v>0</v>
      </c>
      <c r="AK7" s="443"/>
      <c r="AL7" s="443"/>
      <c r="AM7" s="443"/>
      <c r="AN7" s="484">
        <f t="shared" si="6"/>
        <v>0</v>
      </c>
      <c r="AO7" s="285" t="e">
        <f t="shared" si="1"/>
        <v>#N/A</v>
      </c>
    </row>
    <row r="8" spans="2:55" x14ac:dyDescent="0.35">
      <c r="B8" s="161" t="str">
        <f>'Tratamento de Dados'!B17</f>
        <v>V-14</v>
      </c>
      <c r="C8" s="161" t="str">
        <f>'Tratamento de Dados'!D17</f>
        <v>Casco</v>
      </c>
      <c r="D8" s="161">
        <f>'Tratamento de Dados'!W17</f>
        <v>8</v>
      </c>
      <c r="E8" s="283" t="e">
        <f>IF(COF!BU12="",0,COF!BU12)</f>
        <v>#N/A</v>
      </c>
      <c r="F8" s="284" t="str">
        <f>Thinning!D10</f>
        <v>Generalizada</v>
      </c>
      <c r="G8" s="503">
        <f>IF(AJ8=X8,Ext_Corr_Ferritic!G9,"")</f>
        <v>0</v>
      </c>
      <c r="H8" s="503">
        <f>IF(AJ8=Y8,CUI_Ferritic!D9,"")</f>
        <v>0</v>
      </c>
      <c r="I8" s="503" t="str">
        <f>IF(AJ8=Z8,Ext_SCC_Chloride!G9,"")</f>
        <v>Generalizada</v>
      </c>
      <c r="J8" s="503" t="str">
        <f>IF(AJ8=AA8,CUI_SCC_Chloride!G9,"")</f>
        <v>Generalizada</v>
      </c>
      <c r="K8" s="284" t="str">
        <f t="shared" si="2"/>
        <v>00GeneralizadaGeneralizada</v>
      </c>
      <c r="L8" s="284" t="str">
        <f t="shared" si="3"/>
        <v>Generalizada</v>
      </c>
      <c r="M8" s="284">
        <f>Thinning!BO10</f>
        <v>0</v>
      </c>
      <c r="N8" s="284">
        <f>IF('Tratamento de Dados'!AF17=COF!$TH$10,Lining!M9,0)</f>
        <v>0</v>
      </c>
      <c r="O8" s="284">
        <f>IF('Tratamento de Dados'!AG17=COF!$TH$10,Caustic_Cracking!BS9,0)</f>
        <v>0</v>
      </c>
      <c r="P8" s="284">
        <f>IF('Tratamento de Dados'!AH17=COF!$TH$10,Amine_Cracking!BT9,0)</f>
        <v>0</v>
      </c>
      <c r="Q8" s="284">
        <f>IF('Tratamento de Dados'!AI17=COF!$TH$10,'SCC_Sulfide (SSC)'!BS9,0)</f>
        <v>0</v>
      </c>
      <c r="R8" s="284">
        <f>IF('Tratamento de Dados'!AJ17=COF!$TH$10,'HIC-SOHIC-H2S'!BX9,0)</f>
        <v>0</v>
      </c>
      <c r="S8" s="284">
        <f>IF('Tratamento de Dados'!AK17=COF!$TH$10,SCC_Alkaline_Carbonate!BP9,0)</f>
        <v>0</v>
      </c>
      <c r="T8" s="284">
        <f>IF('Tratamento de Dados'!AL17=COF!$TH$10,SCC_Polythionic_Acid!BS9,0)</f>
        <v>0</v>
      </c>
      <c r="U8" s="284">
        <f>IF('Tratamento de Dados'!AM17=COF!$TH$10,SCC_Chloride!BS9,0)</f>
        <v>0</v>
      </c>
      <c r="V8" s="284">
        <f>IF('Tratamento de Dados'!AN17=COF!$TH$10,HSC_Hydrofluoric_Acid!BQ9,0)</f>
        <v>0</v>
      </c>
      <c r="W8" s="284">
        <f>IF('Tratamento de Dados'!AO17=COF!$TH$10,'HIC-SOHIC-HF'!BS9,0)</f>
        <v>0</v>
      </c>
      <c r="X8" s="284">
        <f>IF('Tratamento de Dados'!AP17=COF!$TH$10,Ext_Corr_Ferritic!BR9,0)</f>
        <v>0</v>
      </c>
      <c r="Y8" s="284">
        <f>IF('Tratamento de Dados'!AQ17=COF!$TH$10,CUI_Ferritic!BT9,0)</f>
        <v>0</v>
      </c>
      <c r="Z8" s="284">
        <f>IF('Tratamento de Dados'!AR17=COF!$TH$10,Ext_SCC_Chloride!BZ9,0)</f>
        <v>0</v>
      </c>
      <c r="AA8" s="284">
        <f>IF('Tratamento de Dados'!AS17=COF!$TH$10,CUI_SCC_Chloride!CJ9,0)</f>
        <v>0</v>
      </c>
      <c r="AB8" s="284"/>
      <c r="AC8" s="284"/>
      <c r="AD8" s="284"/>
      <c r="AE8" s="284"/>
      <c r="AF8" s="284"/>
      <c r="AG8" s="284"/>
      <c r="AH8" s="284">
        <f t="shared" si="0"/>
        <v>0</v>
      </c>
      <c r="AI8" s="284">
        <f t="shared" si="4"/>
        <v>0</v>
      </c>
      <c r="AJ8" s="284">
        <f t="shared" si="5"/>
        <v>0</v>
      </c>
      <c r="AK8" s="443"/>
      <c r="AL8" s="443"/>
      <c r="AM8" s="443"/>
      <c r="AN8" s="484">
        <f t="shared" si="6"/>
        <v>0</v>
      </c>
      <c r="AO8" s="285" t="e">
        <f t="shared" si="1"/>
        <v>#N/A</v>
      </c>
    </row>
    <row r="9" spans="2:55" x14ac:dyDescent="0.35">
      <c r="B9" s="161" t="str">
        <f>'Tratamento de Dados'!B18</f>
        <v>V-1</v>
      </c>
      <c r="C9" s="161" t="str">
        <f>'Tratamento de Dados'!D18</f>
        <v>Casco</v>
      </c>
      <c r="D9" s="161">
        <f>'Tratamento de Dados'!W18</f>
        <v>8</v>
      </c>
      <c r="E9" s="283" t="e">
        <f>IF(COF!BU13="",0,COF!BU13)</f>
        <v>#N/A</v>
      </c>
      <c r="F9" s="284" t="str">
        <f>Thinning!D11</f>
        <v>Generalizada</v>
      </c>
      <c r="G9" s="503">
        <f>IF(AJ9=X9,Ext_Corr_Ferritic!G10,"")</f>
        <v>0</v>
      </c>
      <c r="H9" s="503">
        <f>IF(AJ9=Y9,CUI_Ferritic!D10,"")</f>
        <v>0</v>
      </c>
      <c r="I9" s="503" t="str">
        <f>IF(AJ9=Z9,Ext_SCC_Chloride!G10,"")</f>
        <v>Generalizada</v>
      </c>
      <c r="J9" s="503" t="str">
        <f>IF(AJ9=AA9,CUI_SCC_Chloride!G10,"")</f>
        <v>Generalizada</v>
      </c>
      <c r="K9" s="284" t="str">
        <f t="shared" si="2"/>
        <v>00GeneralizadaGeneralizada</v>
      </c>
      <c r="L9" s="284" t="str">
        <f t="shared" si="3"/>
        <v>Generalizada</v>
      </c>
      <c r="M9" s="284">
        <f>Thinning!BO11</f>
        <v>0</v>
      </c>
      <c r="N9" s="284">
        <f>IF('Tratamento de Dados'!AF18=COF!$TH$10,Lining!M10,0)</f>
        <v>0</v>
      </c>
      <c r="O9" s="284">
        <f>IF('Tratamento de Dados'!AG18=COF!$TH$10,Caustic_Cracking!BS10,0)</f>
        <v>0</v>
      </c>
      <c r="P9" s="284">
        <f>IF('Tratamento de Dados'!AH18=COF!$TH$10,Amine_Cracking!BT10,0)</f>
        <v>0</v>
      </c>
      <c r="Q9" s="284">
        <f>IF('Tratamento de Dados'!AI18=COF!$TH$10,'SCC_Sulfide (SSC)'!BS10,0)</f>
        <v>0</v>
      </c>
      <c r="R9" s="284">
        <f>IF('Tratamento de Dados'!AJ18=COF!$TH$10,'HIC-SOHIC-H2S'!BX10,0)</f>
        <v>0</v>
      </c>
      <c r="S9" s="284">
        <f>IF('Tratamento de Dados'!AK18=COF!$TH$10,SCC_Alkaline_Carbonate!BP10,0)</f>
        <v>0</v>
      </c>
      <c r="T9" s="284">
        <f>IF('Tratamento de Dados'!AL18=COF!$TH$10,SCC_Polythionic_Acid!BS10,0)</f>
        <v>0</v>
      </c>
      <c r="U9" s="284">
        <f>IF('Tratamento de Dados'!AM18=COF!$TH$10,SCC_Chloride!BS10,0)</f>
        <v>0</v>
      </c>
      <c r="V9" s="284">
        <f>IF('Tratamento de Dados'!AN18=COF!$TH$10,HSC_Hydrofluoric_Acid!BQ10,0)</f>
        <v>0</v>
      </c>
      <c r="W9" s="284">
        <f>IF('Tratamento de Dados'!AO18=COF!$TH$10,'HIC-SOHIC-HF'!BS10,0)</f>
        <v>0</v>
      </c>
      <c r="X9" s="284">
        <f>IF('Tratamento de Dados'!AP18=COF!$TH$10,Ext_Corr_Ferritic!BR10,0)</f>
        <v>0</v>
      </c>
      <c r="Y9" s="284">
        <f>IF('Tratamento de Dados'!AQ18=COF!$TH$10,CUI_Ferritic!BT10,0)</f>
        <v>0</v>
      </c>
      <c r="Z9" s="284">
        <f>IF('Tratamento de Dados'!AR18=COF!$TH$10,Ext_SCC_Chloride!BZ10,0)</f>
        <v>0</v>
      </c>
      <c r="AA9" s="284">
        <f>IF('Tratamento de Dados'!AS18=COF!$TH$10,CUI_SCC_Chloride!CJ10,0)</f>
        <v>0</v>
      </c>
      <c r="AB9" s="284"/>
      <c r="AC9" s="284"/>
      <c r="AD9" s="284"/>
      <c r="AE9" s="284"/>
      <c r="AF9" s="284"/>
      <c r="AG9" s="284"/>
      <c r="AH9" s="284">
        <f t="shared" si="0"/>
        <v>0</v>
      </c>
      <c r="AI9" s="284">
        <f t="shared" si="4"/>
        <v>0</v>
      </c>
      <c r="AJ9" s="284">
        <f t="shared" si="5"/>
        <v>0</v>
      </c>
      <c r="AK9" s="443"/>
      <c r="AL9" s="443"/>
      <c r="AM9" s="443"/>
      <c r="AN9" s="484">
        <f t="shared" si="6"/>
        <v>0</v>
      </c>
      <c r="AO9" s="285" t="e">
        <f t="shared" si="1"/>
        <v>#N/A</v>
      </c>
      <c r="BC9" t="s">
        <v>278</v>
      </c>
    </row>
    <row r="10" spans="2:55" x14ac:dyDescent="0.35">
      <c r="B10" s="161" t="str">
        <f>'Tratamento de Dados'!B19</f>
        <v>V-2</v>
      </c>
      <c r="C10" s="161" t="str">
        <f>'Tratamento de Dados'!D19</f>
        <v>Casco</v>
      </c>
      <c r="D10" s="161">
        <f>'Tratamento de Dados'!W19</f>
        <v>8</v>
      </c>
      <c r="E10" s="283" t="e">
        <f>IF(COF!BU14="",0,COF!BU14)</f>
        <v>#N/A</v>
      </c>
      <c r="F10" s="284" t="str">
        <f>Thinning!D12</f>
        <v>Generalizada</v>
      </c>
      <c r="G10" s="503">
        <f>IF(AJ10=X10,Ext_Corr_Ferritic!G11,"")</f>
        <v>0</v>
      </c>
      <c r="H10" s="503">
        <f>IF(AJ10=Y10,CUI_Ferritic!D11,"")</f>
        <v>0</v>
      </c>
      <c r="I10" s="503" t="str">
        <f>IF(AJ10=Z10,Ext_SCC_Chloride!G11,"")</f>
        <v>Generalizada</v>
      </c>
      <c r="J10" s="503" t="str">
        <f>IF(AJ10=AA10,CUI_SCC_Chloride!G11,"")</f>
        <v>Generalizada</v>
      </c>
      <c r="K10" s="284" t="str">
        <f t="shared" si="2"/>
        <v>00GeneralizadaGeneralizada</v>
      </c>
      <c r="L10" s="284" t="str">
        <f t="shared" si="3"/>
        <v>Generalizada</v>
      </c>
      <c r="M10" s="284">
        <f>Thinning!BO12</f>
        <v>0</v>
      </c>
      <c r="N10" s="284">
        <f>IF('Tratamento de Dados'!AF19=COF!$TH$10,Lining!M11,0)</f>
        <v>0</v>
      </c>
      <c r="O10" s="284">
        <f>IF('Tratamento de Dados'!AG19=COF!$TH$10,Caustic_Cracking!BS11,0)</f>
        <v>0</v>
      </c>
      <c r="P10" s="284">
        <f>IF('Tratamento de Dados'!AH19=COF!$TH$10,Amine_Cracking!BT11,0)</f>
        <v>0</v>
      </c>
      <c r="Q10" s="284">
        <f>IF('Tratamento de Dados'!AI19=COF!$TH$10,'SCC_Sulfide (SSC)'!BS11,0)</f>
        <v>0</v>
      </c>
      <c r="R10" s="284">
        <f>IF('Tratamento de Dados'!AJ19=COF!$TH$10,'HIC-SOHIC-H2S'!BX11,0)</f>
        <v>0</v>
      </c>
      <c r="S10" s="284">
        <f>IF('Tratamento de Dados'!AK19=COF!$TH$10,SCC_Alkaline_Carbonate!BP11,0)</f>
        <v>0</v>
      </c>
      <c r="T10" s="284">
        <f>IF('Tratamento de Dados'!AL19=COF!$TH$10,SCC_Polythionic_Acid!BS11,0)</f>
        <v>0</v>
      </c>
      <c r="U10" s="284">
        <f>IF('Tratamento de Dados'!AM19=COF!$TH$10,SCC_Chloride!BS11,0)</f>
        <v>0</v>
      </c>
      <c r="V10" s="284">
        <f>IF('Tratamento de Dados'!AN19=COF!$TH$10,HSC_Hydrofluoric_Acid!BQ11,0)</f>
        <v>0</v>
      </c>
      <c r="W10" s="284">
        <f>IF('Tratamento de Dados'!AO19=COF!$TH$10,'HIC-SOHIC-HF'!BS11,0)</f>
        <v>0</v>
      </c>
      <c r="X10" s="284">
        <f>IF('Tratamento de Dados'!AP19=COF!$TH$10,Ext_Corr_Ferritic!BR11,0)</f>
        <v>0</v>
      </c>
      <c r="Y10" s="284">
        <f>IF('Tratamento de Dados'!AQ19=COF!$TH$10,CUI_Ferritic!BT11,0)</f>
        <v>0</v>
      </c>
      <c r="Z10" s="284">
        <f>IF('Tratamento de Dados'!AR19=COF!$TH$10,Ext_SCC_Chloride!BZ11,0)</f>
        <v>0</v>
      </c>
      <c r="AA10" s="284">
        <f>IF('Tratamento de Dados'!AS19=COF!$TH$10,CUI_SCC_Chloride!CJ11,0)</f>
        <v>0</v>
      </c>
      <c r="AB10" s="284"/>
      <c r="AC10" s="284"/>
      <c r="AD10" s="284"/>
      <c r="AE10" s="284"/>
      <c r="AF10" s="284"/>
      <c r="AG10" s="284"/>
      <c r="AH10" s="284">
        <f t="shared" si="0"/>
        <v>0</v>
      </c>
      <c r="AI10" s="284">
        <f t="shared" si="4"/>
        <v>0</v>
      </c>
      <c r="AJ10" s="284">
        <f t="shared" si="5"/>
        <v>0</v>
      </c>
      <c r="AK10" s="443"/>
      <c r="AL10" s="443"/>
      <c r="AM10" s="443"/>
      <c r="AN10" s="484">
        <f t="shared" si="6"/>
        <v>0</v>
      </c>
      <c r="AO10" s="285" t="e">
        <f t="shared" si="1"/>
        <v>#N/A</v>
      </c>
      <c r="BC10" t="s">
        <v>279</v>
      </c>
    </row>
    <row r="11" spans="2:55" x14ac:dyDescent="0.35">
      <c r="B11" s="161" t="str">
        <f>'Tratamento de Dados'!B20</f>
        <v>V-3</v>
      </c>
      <c r="C11" s="161" t="str">
        <f>'Tratamento de Dados'!D20</f>
        <v>Casco</v>
      </c>
      <c r="D11" s="161">
        <f>'Tratamento de Dados'!W20</f>
        <v>8</v>
      </c>
      <c r="E11" s="283" t="e">
        <f>IF(COF!BU15="",0,COF!BU15)</f>
        <v>#N/A</v>
      </c>
      <c r="F11" s="284" t="str">
        <f>Thinning!D13</f>
        <v>Generalizada</v>
      </c>
      <c r="G11" s="503">
        <f>IF(AJ11=X11,Ext_Corr_Ferritic!G12,"")</f>
        <v>0</v>
      </c>
      <c r="H11" s="503">
        <f>IF(AJ11=Y11,CUI_Ferritic!D12,"")</f>
        <v>0</v>
      </c>
      <c r="I11" s="503" t="str">
        <f>IF(AJ11=Z11,Ext_SCC_Chloride!G12,"")</f>
        <v>Generalizada</v>
      </c>
      <c r="J11" s="503" t="str">
        <f>IF(AJ11=AA11,CUI_SCC_Chloride!G12,"")</f>
        <v>Generalizada</v>
      </c>
      <c r="K11" s="284" t="str">
        <f t="shared" si="2"/>
        <v>00GeneralizadaGeneralizada</v>
      </c>
      <c r="L11" s="284" t="str">
        <f t="shared" si="3"/>
        <v>Generalizada</v>
      </c>
      <c r="M11" s="284">
        <f>Thinning!BO13</f>
        <v>0</v>
      </c>
      <c r="N11" s="284">
        <f>IF('Tratamento de Dados'!AF20=COF!$TH$10,Lining!M12,0)</f>
        <v>0</v>
      </c>
      <c r="O11" s="284">
        <f>IF('Tratamento de Dados'!AG20=COF!$TH$10,Caustic_Cracking!BS12,0)</f>
        <v>0</v>
      </c>
      <c r="P11" s="284">
        <f>IF('Tratamento de Dados'!AH20=COF!$TH$10,Amine_Cracking!BT12,0)</f>
        <v>0</v>
      </c>
      <c r="Q11" s="284">
        <f>IF('Tratamento de Dados'!AI20=COF!$TH$10,'SCC_Sulfide (SSC)'!BS12,0)</f>
        <v>0</v>
      </c>
      <c r="R11" s="284">
        <f>IF('Tratamento de Dados'!AJ20=COF!$TH$10,'HIC-SOHIC-H2S'!BX12,0)</f>
        <v>0</v>
      </c>
      <c r="S11" s="284">
        <f>IF('Tratamento de Dados'!AK20=COF!$TH$10,SCC_Alkaline_Carbonate!BP12,0)</f>
        <v>0</v>
      </c>
      <c r="T11" s="284">
        <f>IF('Tratamento de Dados'!AL20=COF!$TH$10,SCC_Polythionic_Acid!BS12,0)</f>
        <v>0</v>
      </c>
      <c r="U11" s="284">
        <f>IF('Tratamento de Dados'!AM20=COF!$TH$10,SCC_Chloride!BS12,0)</f>
        <v>0</v>
      </c>
      <c r="V11" s="284">
        <f>IF('Tratamento de Dados'!AN20=COF!$TH$10,HSC_Hydrofluoric_Acid!BQ12,0)</f>
        <v>0</v>
      </c>
      <c r="W11" s="284">
        <f>IF('Tratamento de Dados'!AO20=COF!$TH$10,'HIC-SOHIC-HF'!BS12,0)</f>
        <v>0</v>
      </c>
      <c r="X11" s="284">
        <f>IF('Tratamento de Dados'!AP20=COF!$TH$10,Ext_Corr_Ferritic!BR12,0)</f>
        <v>0</v>
      </c>
      <c r="Y11" s="284">
        <f>IF('Tratamento de Dados'!AQ20=COF!$TH$10,CUI_Ferritic!BT12,0)</f>
        <v>0</v>
      </c>
      <c r="Z11" s="284">
        <f>IF('Tratamento de Dados'!AR20=COF!$TH$10,Ext_SCC_Chloride!BZ12,0)</f>
        <v>0</v>
      </c>
      <c r="AA11" s="284">
        <f>IF('Tratamento de Dados'!AS20=COF!$TH$10,CUI_SCC_Chloride!CJ12,0)</f>
        <v>0</v>
      </c>
      <c r="AB11" s="284"/>
      <c r="AC11" s="284"/>
      <c r="AD11" s="284"/>
      <c r="AE11" s="284"/>
      <c r="AF11" s="284"/>
      <c r="AG11" s="284"/>
      <c r="AH11" s="284">
        <f t="shared" si="0"/>
        <v>0</v>
      </c>
      <c r="AI11" s="284">
        <f t="shared" si="4"/>
        <v>0</v>
      </c>
      <c r="AJ11" s="284">
        <f t="shared" si="5"/>
        <v>0</v>
      </c>
      <c r="AK11" s="443"/>
      <c r="AL11" s="443"/>
      <c r="AM11" s="443"/>
      <c r="AN11" s="484">
        <f t="shared" si="6"/>
        <v>0</v>
      </c>
      <c r="AO11" s="285" t="e">
        <f t="shared" si="1"/>
        <v>#N/A</v>
      </c>
      <c r="BC11" t="s">
        <v>280</v>
      </c>
    </row>
    <row r="12" spans="2:55" x14ac:dyDescent="0.35">
      <c r="B12" s="161" t="str">
        <f>'Tratamento de Dados'!B21</f>
        <v>V-4</v>
      </c>
      <c r="C12" s="161" t="str">
        <f>'Tratamento de Dados'!D21</f>
        <v>Casco</v>
      </c>
      <c r="D12" s="161">
        <f>'Tratamento de Dados'!W21</f>
        <v>8</v>
      </c>
      <c r="E12" s="283" t="e">
        <f>IF(COF!BU16="",0,COF!BU16)</f>
        <v>#N/A</v>
      </c>
      <c r="F12" s="284" t="str">
        <f>Thinning!D14</f>
        <v>Generalizada</v>
      </c>
      <c r="G12" s="503">
        <f>IF(AJ12=X12,Ext_Corr_Ferritic!G13,"")</f>
        <v>0</v>
      </c>
      <c r="H12" s="503">
        <f>IF(AJ12=Y12,CUI_Ferritic!D13,"")</f>
        <v>0</v>
      </c>
      <c r="I12" s="503" t="str">
        <f>IF(AJ12=Z12,Ext_SCC_Chloride!G13,"")</f>
        <v>Generalizada</v>
      </c>
      <c r="J12" s="503" t="str">
        <f>IF(AJ12=AA12,CUI_SCC_Chloride!G13,"")</f>
        <v>Generalizada</v>
      </c>
      <c r="K12" s="284" t="str">
        <f t="shared" si="2"/>
        <v>00GeneralizadaGeneralizada</v>
      </c>
      <c r="L12" s="284" t="str">
        <f t="shared" si="3"/>
        <v>Generalizada</v>
      </c>
      <c r="M12" s="284">
        <f>Thinning!BO14</f>
        <v>0</v>
      </c>
      <c r="N12" s="284">
        <f>IF('Tratamento de Dados'!AF21=COF!$TH$10,Lining!M13,0)</f>
        <v>0</v>
      </c>
      <c r="O12" s="284">
        <f>IF('Tratamento de Dados'!AG21=COF!$TH$10,Caustic_Cracking!BS13,0)</f>
        <v>0</v>
      </c>
      <c r="P12" s="284">
        <f>IF('Tratamento de Dados'!AH21=COF!$TH$10,Amine_Cracking!BT13,0)</f>
        <v>0</v>
      </c>
      <c r="Q12" s="284">
        <f>IF('Tratamento de Dados'!AI21=COF!$TH$10,'SCC_Sulfide (SSC)'!BS13,0)</f>
        <v>0</v>
      </c>
      <c r="R12" s="284">
        <f>IF('Tratamento de Dados'!AJ21=COF!$TH$10,'HIC-SOHIC-H2S'!BX13,0)</f>
        <v>0</v>
      </c>
      <c r="S12" s="284">
        <f>IF('Tratamento de Dados'!AK21=COF!$TH$10,SCC_Alkaline_Carbonate!BP13,0)</f>
        <v>0</v>
      </c>
      <c r="T12" s="284">
        <f>IF('Tratamento de Dados'!AL21=COF!$TH$10,SCC_Polythionic_Acid!BS13,0)</f>
        <v>0</v>
      </c>
      <c r="U12" s="284">
        <f>IF('Tratamento de Dados'!AM21=COF!$TH$10,SCC_Chloride!BS13,0)</f>
        <v>0</v>
      </c>
      <c r="V12" s="284">
        <f>IF('Tratamento de Dados'!AN21=COF!$TH$10,HSC_Hydrofluoric_Acid!BQ13,0)</f>
        <v>0</v>
      </c>
      <c r="W12" s="284">
        <f>IF('Tratamento de Dados'!AO21=COF!$TH$10,'HIC-SOHIC-HF'!BS13,0)</f>
        <v>0</v>
      </c>
      <c r="X12" s="284">
        <f>IF('Tratamento de Dados'!AP21=COF!$TH$10,Ext_Corr_Ferritic!BR13,0)</f>
        <v>0</v>
      </c>
      <c r="Y12" s="284">
        <f>IF('Tratamento de Dados'!AQ21=COF!$TH$10,CUI_Ferritic!BT13,0)</f>
        <v>0</v>
      </c>
      <c r="Z12" s="284">
        <f>IF('Tratamento de Dados'!AR21=COF!$TH$10,Ext_SCC_Chloride!BZ13,0)</f>
        <v>0</v>
      </c>
      <c r="AA12" s="284">
        <f>IF('Tratamento de Dados'!AS21=COF!$TH$10,CUI_SCC_Chloride!CJ13,0)</f>
        <v>0</v>
      </c>
      <c r="AB12" s="284"/>
      <c r="AC12" s="284"/>
      <c r="AD12" s="284"/>
      <c r="AE12" s="284"/>
      <c r="AF12" s="284"/>
      <c r="AG12" s="284"/>
      <c r="AH12" s="284">
        <f t="shared" si="0"/>
        <v>0</v>
      </c>
      <c r="AI12" s="284">
        <f t="shared" si="4"/>
        <v>0</v>
      </c>
      <c r="AJ12" s="284">
        <f t="shared" si="5"/>
        <v>0</v>
      </c>
      <c r="AK12" s="443"/>
      <c r="AL12" s="443"/>
      <c r="AM12" s="443"/>
      <c r="AN12" s="484">
        <f t="shared" si="6"/>
        <v>0</v>
      </c>
      <c r="AO12" s="285" t="e">
        <f t="shared" si="1"/>
        <v>#N/A</v>
      </c>
      <c r="BC12" t="s">
        <v>274</v>
      </c>
    </row>
    <row r="13" spans="2:55" x14ac:dyDescent="0.35">
      <c r="B13" s="161" t="str">
        <f>'Tratamento de Dados'!B22</f>
        <v>V-50</v>
      </c>
      <c r="C13" s="161" t="str">
        <f>'Tratamento de Dados'!D22</f>
        <v>Casco</v>
      </c>
      <c r="D13" s="161">
        <f>'Tratamento de Dados'!W22</f>
        <v>8</v>
      </c>
      <c r="E13" s="283" t="e">
        <f>IF(COF!BU17="",0,COF!BU17)</f>
        <v>#N/A</v>
      </c>
      <c r="F13" s="284" t="str">
        <f>Thinning!D15</f>
        <v>Generalizada</v>
      </c>
      <c r="G13" s="503">
        <f>IF(AJ13=X13,Ext_Corr_Ferritic!G14,"")</f>
        <v>0</v>
      </c>
      <c r="H13" s="503">
        <f>IF(AJ13=Y13,CUI_Ferritic!D14,"")</f>
        <v>0</v>
      </c>
      <c r="I13" s="503" t="str">
        <f>IF(AJ13=Z13,Ext_SCC_Chloride!G14,"")</f>
        <v>Generalizada</v>
      </c>
      <c r="J13" s="503" t="str">
        <f>IF(AJ13=AA13,CUI_SCC_Chloride!G14,"")</f>
        <v>Generalizada</v>
      </c>
      <c r="K13" s="284" t="str">
        <f t="shared" si="2"/>
        <v>00GeneralizadaGeneralizada</v>
      </c>
      <c r="L13" s="284" t="str">
        <f t="shared" si="3"/>
        <v>Generalizada</v>
      </c>
      <c r="M13" s="284">
        <f>Thinning!BO15</f>
        <v>0</v>
      </c>
      <c r="N13" s="284">
        <f>IF('Tratamento de Dados'!AF22=COF!$TH$10,Lining!M14,0)</f>
        <v>0</v>
      </c>
      <c r="O13" s="284">
        <f>IF('Tratamento de Dados'!AG22=COF!$TH$10,Caustic_Cracking!BS14,0)</f>
        <v>0</v>
      </c>
      <c r="P13" s="284">
        <f>IF('Tratamento de Dados'!AH22=COF!$TH$10,Amine_Cracking!BT14,0)</f>
        <v>0</v>
      </c>
      <c r="Q13" s="284">
        <f>IF('Tratamento de Dados'!AI22=COF!$TH$10,'SCC_Sulfide (SSC)'!BS14,0)</f>
        <v>0</v>
      </c>
      <c r="R13" s="284">
        <f>IF('Tratamento de Dados'!AJ22=COF!$TH$10,'HIC-SOHIC-H2S'!BX14,0)</f>
        <v>0</v>
      </c>
      <c r="S13" s="284">
        <f>IF('Tratamento de Dados'!AK22=COF!$TH$10,SCC_Alkaline_Carbonate!BP14,0)</f>
        <v>0</v>
      </c>
      <c r="T13" s="284">
        <f>IF('Tratamento de Dados'!AL22=COF!$TH$10,SCC_Polythionic_Acid!BS14,0)</f>
        <v>0</v>
      </c>
      <c r="U13" s="284">
        <f>IF('Tratamento de Dados'!AM22=COF!$TH$10,SCC_Chloride!BS14,0)</f>
        <v>0</v>
      </c>
      <c r="V13" s="284">
        <f>IF('Tratamento de Dados'!AN22=COF!$TH$10,HSC_Hydrofluoric_Acid!BQ14,0)</f>
        <v>0</v>
      </c>
      <c r="W13" s="284">
        <f>IF('Tratamento de Dados'!AO22=COF!$TH$10,'HIC-SOHIC-HF'!BS14,0)</f>
        <v>0</v>
      </c>
      <c r="X13" s="284">
        <f>IF('Tratamento de Dados'!AP22=COF!$TH$10,Ext_Corr_Ferritic!BR14,0)</f>
        <v>0</v>
      </c>
      <c r="Y13" s="284">
        <f>IF('Tratamento de Dados'!AQ22=COF!$TH$10,CUI_Ferritic!BT14,0)</f>
        <v>0</v>
      </c>
      <c r="Z13" s="284">
        <f>IF('Tratamento de Dados'!AR22=COF!$TH$10,Ext_SCC_Chloride!BZ14,0)</f>
        <v>0</v>
      </c>
      <c r="AA13" s="284">
        <f>IF('Tratamento de Dados'!AS22=COF!$TH$10,CUI_SCC_Chloride!CJ14,0)</f>
        <v>0</v>
      </c>
      <c r="AB13" s="284"/>
      <c r="AC13" s="284"/>
      <c r="AD13" s="284"/>
      <c r="AE13" s="284"/>
      <c r="AF13" s="284"/>
      <c r="AG13" s="284"/>
      <c r="AH13" s="284">
        <f t="shared" si="0"/>
        <v>0</v>
      </c>
      <c r="AI13" s="284">
        <f t="shared" si="4"/>
        <v>0</v>
      </c>
      <c r="AJ13" s="284">
        <f t="shared" si="5"/>
        <v>0</v>
      </c>
      <c r="AK13" s="443"/>
      <c r="AL13" s="443"/>
      <c r="AM13" s="443"/>
      <c r="AN13" s="484">
        <f t="shared" si="6"/>
        <v>0</v>
      </c>
      <c r="AO13" s="285" t="e">
        <f t="shared" si="1"/>
        <v>#N/A</v>
      </c>
      <c r="BC13" t="s">
        <v>281</v>
      </c>
    </row>
    <row r="14" spans="2:55" x14ac:dyDescent="0.35">
      <c r="B14" s="161" t="str">
        <f>'Tratamento de Dados'!B23</f>
        <v>V-5</v>
      </c>
      <c r="C14" s="161" t="str">
        <f>'Tratamento de Dados'!D23</f>
        <v>Casco</v>
      </c>
      <c r="D14" s="161">
        <f>'Tratamento de Dados'!W23</f>
        <v>8</v>
      </c>
      <c r="E14" s="283" t="e">
        <f>IF(COF!BU18="",0,COF!BU18)</f>
        <v>#N/A</v>
      </c>
      <c r="F14" s="284" t="str">
        <f>Thinning!D16</f>
        <v>Generalizada</v>
      </c>
      <c r="G14" s="503">
        <f>IF(AJ14=X14,Ext_Corr_Ferritic!G15,"")</f>
        <v>0</v>
      </c>
      <c r="H14" s="503">
        <f>IF(AJ14=Y14,CUI_Ferritic!D15,"")</f>
        <v>0</v>
      </c>
      <c r="I14" s="503" t="str">
        <f>IF(AJ14=Z14,Ext_SCC_Chloride!G15,"")</f>
        <v>Generalizada</v>
      </c>
      <c r="J14" s="503" t="str">
        <f>IF(AJ14=AA14,CUI_SCC_Chloride!G15,"")</f>
        <v>Generalizada</v>
      </c>
      <c r="K14" s="284" t="str">
        <f t="shared" si="2"/>
        <v>00GeneralizadaGeneralizada</v>
      </c>
      <c r="L14" s="284" t="str">
        <f t="shared" si="3"/>
        <v>Generalizada</v>
      </c>
      <c r="M14" s="284">
        <f>Thinning!BO16</f>
        <v>0</v>
      </c>
      <c r="N14" s="284">
        <f>IF('Tratamento de Dados'!AF23=COF!$TH$10,Lining!M15,0)</f>
        <v>0</v>
      </c>
      <c r="O14" s="284">
        <f>IF('Tratamento de Dados'!AG23=COF!$TH$10,Caustic_Cracking!BS15,0)</f>
        <v>0</v>
      </c>
      <c r="P14" s="284">
        <f>IF('Tratamento de Dados'!AH23=COF!$TH$10,Amine_Cracking!BT15,0)</f>
        <v>0</v>
      </c>
      <c r="Q14" s="284">
        <f>IF('Tratamento de Dados'!AI23=COF!$TH$10,'SCC_Sulfide (SSC)'!BS15,0)</f>
        <v>0</v>
      </c>
      <c r="R14" s="284">
        <f>IF('Tratamento de Dados'!AJ23=COF!$TH$10,'HIC-SOHIC-H2S'!BX15,0)</f>
        <v>0</v>
      </c>
      <c r="S14" s="284">
        <f>IF('Tratamento de Dados'!AK23=COF!$TH$10,SCC_Alkaline_Carbonate!BP15,0)</f>
        <v>0</v>
      </c>
      <c r="T14" s="284">
        <f>IF('Tratamento de Dados'!AL23=COF!$TH$10,SCC_Polythionic_Acid!BS15,0)</f>
        <v>0</v>
      </c>
      <c r="U14" s="284">
        <f>IF('Tratamento de Dados'!AM23=COF!$TH$10,SCC_Chloride!BS15,0)</f>
        <v>0</v>
      </c>
      <c r="V14" s="284">
        <f>IF('Tratamento de Dados'!AN23=COF!$TH$10,HSC_Hydrofluoric_Acid!BQ15,0)</f>
        <v>0</v>
      </c>
      <c r="W14" s="284">
        <f>IF('Tratamento de Dados'!AO23=COF!$TH$10,'HIC-SOHIC-HF'!BS15,0)</f>
        <v>0</v>
      </c>
      <c r="X14" s="284">
        <f>IF('Tratamento de Dados'!AP23=COF!$TH$10,Ext_Corr_Ferritic!BR15,0)</f>
        <v>0</v>
      </c>
      <c r="Y14" s="284">
        <f>IF('Tratamento de Dados'!AQ23=COF!$TH$10,CUI_Ferritic!BT15,0)</f>
        <v>0</v>
      </c>
      <c r="Z14" s="284">
        <f>IF('Tratamento de Dados'!AR23=COF!$TH$10,Ext_SCC_Chloride!BZ15,0)</f>
        <v>0</v>
      </c>
      <c r="AA14" s="284">
        <f>IF('Tratamento de Dados'!AS23=COF!$TH$10,CUI_SCC_Chloride!CJ15,0)</f>
        <v>0</v>
      </c>
      <c r="AB14" s="284"/>
      <c r="AC14" s="284"/>
      <c r="AD14" s="284"/>
      <c r="AE14" s="284"/>
      <c r="AF14" s="284"/>
      <c r="AG14" s="284"/>
      <c r="AH14" s="284">
        <f t="shared" si="0"/>
        <v>0</v>
      </c>
      <c r="AI14" s="284">
        <f t="shared" si="4"/>
        <v>0</v>
      </c>
      <c r="AJ14" s="284">
        <f t="shared" si="5"/>
        <v>0</v>
      </c>
      <c r="AK14" s="443"/>
      <c r="AL14" s="443"/>
      <c r="AM14" s="443"/>
      <c r="AN14" s="484">
        <f t="shared" si="6"/>
        <v>0</v>
      </c>
      <c r="AO14" s="285" t="e">
        <f t="shared" si="1"/>
        <v>#N/A</v>
      </c>
    </row>
    <row r="15" spans="2:55" x14ac:dyDescent="0.35">
      <c r="B15" s="161" t="str">
        <f>'Tratamento de Dados'!B24</f>
        <v>V-6</v>
      </c>
      <c r="C15" s="161" t="str">
        <f>'Tratamento de Dados'!D24</f>
        <v>Casco</v>
      </c>
      <c r="D15" s="161">
        <f>'Tratamento de Dados'!W24</f>
        <v>8</v>
      </c>
      <c r="E15" s="283" t="e">
        <f>IF(COF!BU19="",0,COF!BU19)</f>
        <v>#N/A</v>
      </c>
      <c r="F15" s="284" t="str">
        <f>Thinning!D17</f>
        <v>Generalizada</v>
      </c>
      <c r="G15" s="503">
        <f>IF(AJ15=X15,Ext_Corr_Ferritic!G16,"")</f>
        <v>0</v>
      </c>
      <c r="H15" s="503">
        <f>IF(AJ15=Y15,CUI_Ferritic!D16,"")</f>
        <v>0</v>
      </c>
      <c r="I15" s="503" t="str">
        <f>IF(AJ15=Z15,Ext_SCC_Chloride!G16,"")</f>
        <v>Generalizada</v>
      </c>
      <c r="J15" s="503" t="str">
        <f>IF(AJ15=AA15,CUI_SCC_Chloride!G16,"")</f>
        <v>Generalizada</v>
      </c>
      <c r="K15" s="284" t="str">
        <f t="shared" si="2"/>
        <v>00GeneralizadaGeneralizada</v>
      </c>
      <c r="L15" s="284" t="str">
        <f t="shared" si="3"/>
        <v>Generalizada</v>
      </c>
      <c r="M15" s="284">
        <f>Thinning!BO17</f>
        <v>0</v>
      </c>
      <c r="N15" s="284">
        <f>IF('Tratamento de Dados'!AF24=COF!$TH$10,Lining!M16,0)</f>
        <v>0</v>
      </c>
      <c r="O15" s="284">
        <f>IF('Tratamento de Dados'!AG24=COF!$TH$10,Caustic_Cracking!BS16,0)</f>
        <v>0</v>
      </c>
      <c r="P15" s="284">
        <f>IF('Tratamento de Dados'!AH24=COF!$TH$10,Amine_Cracking!BT16,0)</f>
        <v>0</v>
      </c>
      <c r="Q15" s="284">
        <f>IF('Tratamento de Dados'!AI24=COF!$TH$10,'SCC_Sulfide (SSC)'!BS16,0)</f>
        <v>0</v>
      </c>
      <c r="R15" s="284">
        <f>IF('Tratamento de Dados'!AJ24=COF!$TH$10,'HIC-SOHIC-H2S'!BX16,0)</f>
        <v>0</v>
      </c>
      <c r="S15" s="284">
        <f>IF('Tratamento de Dados'!AK24=COF!$TH$10,SCC_Alkaline_Carbonate!BP16,0)</f>
        <v>0</v>
      </c>
      <c r="T15" s="284">
        <f>IF('Tratamento de Dados'!AL24=COF!$TH$10,SCC_Polythionic_Acid!BS16,0)</f>
        <v>0</v>
      </c>
      <c r="U15" s="284">
        <f>IF('Tratamento de Dados'!AM24=COF!$TH$10,SCC_Chloride!BS16,0)</f>
        <v>0</v>
      </c>
      <c r="V15" s="284">
        <f>IF('Tratamento de Dados'!AN24=COF!$TH$10,HSC_Hydrofluoric_Acid!BQ16,0)</f>
        <v>0</v>
      </c>
      <c r="W15" s="284">
        <f>IF('Tratamento de Dados'!AO24=COF!$TH$10,'HIC-SOHIC-HF'!BS16,0)</f>
        <v>0</v>
      </c>
      <c r="X15" s="284">
        <f>IF('Tratamento de Dados'!AP24=COF!$TH$10,Ext_Corr_Ferritic!BR16,0)</f>
        <v>0</v>
      </c>
      <c r="Y15" s="284">
        <f>IF('Tratamento de Dados'!AQ24=COF!$TH$10,CUI_Ferritic!BT16,0)</f>
        <v>0</v>
      </c>
      <c r="Z15" s="284">
        <f>IF('Tratamento de Dados'!AR24=COF!$TH$10,Ext_SCC_Chloride!BZ16,0)</f>
        <v>0</v>
      </c>
      <c r="AA15" s="284">
        <f>IF('Tratamento de Dados'!AS24=COF!$TH$10,CUI_SCC_Chloride!CJ16,0)</f>
        <v>0</v>
      </c>
      <c r="AB15" s="284"/>
      <c r="AC15" s="284"/>
      <c r="AD15" s="284"/>
      <c r="AE15" s="284"/>
      <c r="AF15" s="284"/>
      <c r="AG15" s="284"/>
      <c r="AH15" s="284">
        <f t="shared" si="0"/>
        <v>0</v>
      </c>
      <c r="AI15" s="284">
        <f t="shared" si="4"/>
        <v>0</v>
      </c>
      <c r="AJ15" s="284">
        <f t="shared" si="5"/>
        <v>0</v>
      </c>
      <c r="AK15" s="443"/>
      <c r="AL15" s="443"/>
      <c r="AM15" s="443"/>
      <c r="AN15" s="484">
        <f t="shared" si="6"/>
        <v>0</v>
      </c>
      <c r="AO15" s="285" t="e">
        <f t="shared" si="1"/>
        <v>#N/A</v>
      </c>
    </row>
    <row r="16" spans="2:55" x14ac:dyDescent="0.35">
      <c r="B16" s="161" t="str">
        <f>'Tratamento de Dados'!B25</f>
        <v>V-7</v>
      </c>
      <c r="C16" s="161" t="str">
        <f>'Tratamento de Dados'!D25</f>
        <v>Casco</v>
      </c>
      <c r="D16" s="161">
        <f>'Tratamento de Dados'!W25</f>
        <v>8</v>
      </c>
      <c r="E16" s="283" t="e">
        <f>IF(COF!BU20="",0,COF!BU20)</f>
        <v>#N/A</v>
      </c>
      <c r="F16" s="284" t="str">
        <f>Thinning!D18</f>
        <v>Generalizada</v>
      </c>
      <c r="G16" s="503">
        <f>IF(AJ16=X16,Ext_Corr_Ferritic!G17,"")</f>
        <v>0</v>
      </c>
      <c r="H16" s="503">
        <f>IF(AJ16=Y16,CUI_Ferritic!D17,"")</f>
        <v>0</v>
      </c>
      <c r="I16" s="503" t="str">
        <f>IF(AJ16=Z16,Ext_SCC_Chloride!G17,"")</f>
        <v>Generalizada</v>
      </c>
      <c r="J16" s="503" t="str">
        <f>IF(AJ16=AA16,CUI_SCC_Chloride!G17,"")</f>
        <v>Generalizada</v>
      </c>
      <c r="K16" s="284" t="str">
        <f t="shared" si="2"/>
        <v>00GeneralizadaGeneralizada</v>
      </c>
      <c r="L16" s="284" t="str">
        <f t="shared" si="3"/>
        <v>Generalizada</v>
      </c>
      <c r="M16" s="284">
        <f>Thinning!BO18</f>
        <v>0</v>
      </c>
      <c r="N16" s="284">
        <f>IF('Tratamento de Dados'!AF25=COF!$TH$10,Lining!M17,0)</f>
        <v>0</v>
      </c>
      <c r="O16" s="284">
        <f>IF('Tratamento de Dados'!AG25=COF!$TH$10,Caustic_Cracking!BS17,0)</f>
        <v>0</v>
      </c>
      <c r="P16" s="284">
        <f>IF('Tratamento de Dados'!AH25=COF!$TH$10,Amine_Cracking!BT17,0)</f>
        <v>0</v>
      </c>
      <c r="Q16" s="284">
        <f>IF('Tratamento de Dados'!AI25=COF!$TH$10,'SCC_Sulfide (SSC)'!BS17,0)</f>
        <v>0</v>
      </c>
      <c r="R16" s="284">
        <f>IF('Tratamento de Dados'!AJ25=COF!$TH$10,'HIC-SOHIC-H2S'!BX17,0)</f>
        <v>0</v>
      </c>
      <c r="S16" s="284">
        <f>IF('Tratamento de Dados'!AK25=COF!$TH$10,SCC_Alkaline_Carbonate!BP17,0)</f>
        <v>0</v>
      </c>
      <c r="T16" s="284">
        <f>IF('Tratamento de Dados'!AL25=COF!$TH$10,SCC_Polythionic_Acid!BS17,0)</f>
        <v>0</v>
      </c>
      <c r="U16" s="284">
        <f>IF('Tratamento de Dados'!AM25=COF!$TH$10,SCC_Chloride!BS17,0)</f>
        <v>0</v>
      </c>
      <c r="V16" s="284">
        <f>IF('Tratamento de Dados'!AN25=COF!$TH$10,HSC_Hydrofluoric_Acid!BQ17,0)</f>
        <v>0</v>
      </c>
      <c r="W16" s="284">
        <f>IF('Tratamento de Dados'!AO25=COF!$TH$10,'HIC-SOHIC-HF'!BS17,0)</f>
        <v>0</v>
      </c>
      <c r="X16" s="284">
        <f>IF('Tratamento de Dados'!AP25=COF!$TH$10,Ext_Corr_Ferritic!BR17,0)</f>
        <v>0</v>
      </c>
      <c r="Y16" s="284">
        <f>IF('Tratamento de Dados'!AQ25=COF!$TH$10,CUI_Ferritic!BT17,0)</f>
        <v>0</v>
      </c>
      <c r="Z16" s="284">
        <f>IF('Tratamento de Dados'!AR25=COF!$TH$10,Ext_SCC_Chloride!BZ17,0)</f>
        <v>0</v>
      </c>
      <c r="AA16" s="284">
        <f>IF('Tratamento de Dados'!AS25=COF!$TH$10,CUI_SCC_Chloride!CJ17,0)</f>
        <v>0</v>
      </c>
      <c r="AB16" s="284"/>
      <c r="AC16" s="284"/>
      <c r="AD16" s="284"/>
      <c r="AE16" s="284"/>
      <c r="AF16" s="284"/>
      <c r="AG16" s="284"/>
      <c r="AH16" s="284">
        <f t="shared" si="0"/>
        <v>0</v>
      </c>
      <c r="AI16" s="284">
        <f t="shared" si="4"/>
        <v>0</v>
      </c>
      <c r="AJ16" s="284">
        <f t="shared" si="5"/>
        <v>0</v>
      </c>
      <c r="AK16" s="443"/>
      <c r="AL16" s="443"/>
      <c r="AM16" s="443"/>
      <c r="AN16" s="484">
        <f t="shared" si="6"/>
        <v>0</v>
      </c>
      <c r="AO16" s="285" t="e">
        <f t="shared" si="1"/>
        <v>#N/A</v>
      </c>
    </row>
    <row r="17" spans="2:41" x14ac:dyDescent="0.35">
      <c r="B17" s="161" t="str">
        <f>'Tratamento de Dados'!B26</f>
        <v>V-80</v>
      </c>
      <c r="C17" s="161" t="str">
        <f>'Tratamento de Dados'!D26</f>
        <v>Casco</v>
      </c>
      <c r="D17" s="161">
        <f>'Tratamento de Dados'!W26</f>
        <v>8</v>
      </c>
      <c r="E17" s="283" t="e">
        <f>IF(COF!BU21="",0,COF!BU21)</f>
        <v>#N/A</v>
      </c>
      <c r="F17" s="284" t="str">
        <f>Thinning!D19</f>
        <v>Generalizada</v>
      </c>
      <c r="G17" s="503">
        <f>IF(AJ17=X17,Ext_Corr_Ferritic!G18,"")</f>
        <v>0</v>
      </c>
      <c r="H17" s="503">
        <f>IF(AJ17=Y17,CUI_Ferritic!D18,"")</f>
        <v>0</v>
      </c>
      <c r="I17" s="503" t="str">
        <f>IF(AJ17=Z17,Ext_SCC_Chloride!G18,"")</f>
        <v>Generalizada</v>
      </c>
      <c r="J17" s="503" t="str">
        <f>IF(AJ17=AA17,CUI_SCC_Chloride!G18,"")</f>
        <v>Generalizada</v>
      </c>
      <c r="K17" s="284" t="str">
        <f t="shared" si="2"/>
        <v>00GeneralizadaGeneralizada</v>
      </c>
      <c r="L17" s="284" t="str">
        <f t="shared" si="3"/>
        <v>Generalizada</v>
      </c>
      <c r="M17" s="284">
        <f>Thinning!BO19</f>
        <v>0</v>
      </c>
      <c r="N17" s="284">
        <f>IF('Tratamento de Dados'!AF26=COF!$TH$10,Lining!M18,0)</f>
        <v>0</v>
      </c>
      <c r="O17" s="284">
        <f>IF('Tratamento de Dados'!AG26=COF!$TH$10,Caustic_Cracking!BS18,0)</f>
        <v>0</v>
      </c>
      <c r="P17" s="284">
        <f>IF('Tratamento de Dados'!AH26=COF!$TH$10,Amine_Cracking!BT18,0)</f>
        <v>0</v>
      </c>
      <c r="Q17" s="284">
        <f>IF('Tratamento de Dados'!AI26=COF!$TH$10,'SCC_Sulfide (SSC)'!BS18,0)</f>
        <v>0</v>
      </c>
      <c r="R17" s="284">
        <f>IF('Tratamento de Dados'!AJ26=COF!$TH$10,'HIC-SOHIC-H2S'!BX18,0)</f>
        <v>0</v>
      </c>
      <c r="S17" s="284">
        <f>IF('Tratamento de Dados'!AK26=COF!$TH$10,SCC_Alkaline_Carbonate!BP18,0)</f>
        <v>0</v>
      </c>
      <c r="T17" s="284">
        <f>IF('Tratamento de Dados'!AL26=COF!$TH$10,SCC_Polythionic_Acid!BS18,0)</f>
        <v>0</v>
      </c>
      <c r="U17" s="284">
        <f>IF('Tratamento de Dados'!AM26=COF!$TH$10,SCC_Chloride!BS18,0)</f>
        <v>0</v>
      </c>
      <c r="V17" s="284">
        <f>IF('Tratamento de Dados'!AN26=COF!$TH$10,HSC_Hydrofluoric_Acid!BQ18,0)</f>
        <v>0</v>
      </c>
      <c r="W17" s="284">
        <f>IF('Tratamento de Dados'!AO26=COF!$TH$10,'HIC-SOHIC-HF'!BS18,0)</f>
        <v>0</v>
      </c>
      <c r="X17" s="284">
        <f>IF('Tratamento de Dados'!AP26=COF!$TH$10,Ext_Corr_Ferritic!BR18,0)</f>
        <v>0</v>
      </c>
      <c r="Y17" s="284">
        <f>IF('Tratamento de Dados'!AQ26=COF!$TH$10,CUI_Ferritic!BT18,0)</f>
        <v>0</v>
      </c>
      <c r="Z17" s="284">
        <f>IF('Tratamento de Dados'!AR26=COF!$TH$10,Ext_SCC_Chloride!BZ18,0)</f>
        <v>0</v>
      </c>
      <c r="AA17" s="284">
        <f>IF('Tratamento de Dados'!AS26=COF!$TH$10,CUI_SCC_Chloride!CJ18,0)</f>
        <v>0</v>
      </c>
      <c r="AB17" s="284"/>
      <c r="AC17" s="284"/>
      <c r="AD17" s="284"/>
      <c r="AE17" s="284"/>
      <c r="AF17" s="284"/>
      <c r="AG17" s="284"/>
      <c r="AH17" s="284">
        <f t="shared" si="0"/>
        <v>0</v>
      </c>
      <c r="AI17" s="284">
        <f t="shared" si="4"/>
        <v>0</v>
      </c>
      <c r="AJ17" s="284">
        <f t="shared" si="5"/>
        <v>0</v>
      </c>
      <c r="AK17" s="443"/>
      <c r="AL17" s="443"/>
      <c r="AM17" s="443"/>
      <c r="AN17" s="484">
        <f t="shared" si="6"/>
        <v>0</v>
      </c>
      <c r="AO17" s="285" t="e">
        <f t="shared" si="1"/>
        <v>#N/A</v>
      </c>
    </row>
    <row r="18" spans="2:41" x14ac:dyDescent="0.35">
      <c r="B18" s="161" t="str">
        <f>'Tratamento de Dados'!B27</f>
        <v>V-8</v>
      </c>
      <c r="C18" s="161" t="str">
        <f>'Tratamento de Dados'!D27</f>
        <v>Casco</v>
      </c>
      <c r="D18" s="161">
        <f>'Tratamento de Dados'!W27</f>
        <v>8</v>
      </c>
      <c r="E18" s="283" t="e">
        <f>IF(COF!BU22="",0,COF!BU22)</f>
        <v>#N/A</v>
      </c>
      <c r="F18" s="284" t="str">
        <f>Thinning!D20</f>
        <v>Generalizada</v>
      </c>
      <c r="G18" s="503">
        <f>IF(AJ18=X18,Ext_Corr_Ferritic!G19,"")</f>
        <v>0</v>
      </c>
      <c r="H18" s="503">
        <f>IF(AJ18=Y18,CUI_Ferritic!D19,"")</f>
        <v>0</v>
      </c>
      <c r="I18" s="503" t="str">
        <f>IF(AJ18=Z18,Ext_SCC_Chloride!G19,"")</f>
        <v>Generalizada</v>
      </c>
      <c r="J18" s="503" t="str">
        <f>IF(AJ18=AA18,CUI_SCC_Chloride!G19,"")</f>
        <v>Generalizada</v>
      </c>
      <c r="K18" s="284" t="str">
        <f t="shared" si="2"/>
        <v>00GeneralizadaGeneralizada</v>
      </c>
      <c r="L18" s="284" t="str">
        <f t="shared" si="3"/>
        <v>Generalizada</v>
      </c>
      <c r="M18" s="284">
        <f>Thinning!BO20</f>
        <v>0</v>
      </c>
      <c r="N18" s="284">
        <f>IF('Tratamento de Dados'!AF27=COF!$TH$10,Lining!M19,0)</f>
        <v>0</v>
      </c>
      <c r="O18" s="284">
        <f>IF('Tratamento de Dados'!AG27=COF!$TH$10,Caustic_Cracking!BS19,0)</f>
        <v>0</v>
      </c>
      <c r="P18" s="284">
        <f>IF('Tratamento de Dados'!AH27=COF!$TH$10,Amine_Cracking!BT19,0)</f>
        <v>0</v>
      </c>
      <c r="Q18" s="284">
        <f>IF('Tratamento de Dados'!AI27=COF!$TH$10,'SCC_Sulfide (SSC)'!BS19,0)</f>
        <v>0</v>
      </c>
      <c r="R18" s="284">
        <f>IF('Tratamento de Dados'!AJ27=COF!$TH$10,'HIC-SOHIC-H2S'!BX19,0)</f>
        <v>0</v>
      </c>
      <c r="S18" s="284">
        <f>IF('Tratamento de Dados'!AK27=COF!$TH$10,SCC_Alkaline_Carbonate!BP19,0)</f>
        <v>0</v>
      </c>
      <c r="T18" s="284">
        <f>IF('Tratamento de Dados'!AL27=COF!$TH$10,SCC_Polythionic_Acid!BS19,0)</f>
        <v>0</v>
      </c>
      <c r="U18" s="284">
        <f>IF('Tratamento de Dados'!AM27=COF!$TH$10,SCC_Chloride!BS19,0)</f>
        <v>0</v>
      </c>
      <c r="V18" s="284">
        <f>IF('Tratamento de Dados'!AN27=COF!$TH$10,HSC_Hydrofluoric_Acid!BQ19,0)</f>
        <v>0</v>
      </c>
      <c r="W18" s="284">
        <f>IF('Tratamento de Dados'!AO27=COF!$TH$10,'HIC-SOHIC-HF'!BS19,0)</f>
        <v>0</v>
      </c>
      <c r="X18" s="284">
        <f>IF('Tratamento de Dados'!AP27=COF!$TH$10,Ext_Corr_Ferritic!BR19,0)</f>
        <v>0</v>
      </c>
      <c r="Y18" s="284">
        <f>IF('Tratamento de Dados'!AQ27=COF!$TH$10,CUI_Ferritic!BT19,0)</f>
        <v>0</v>
      </c>
      <c r="Z18" s="284">
        <f>IF('Tratamento de Dados'!AR27=COF!$TH$10,Ext_SCC_Chloride!BZ19,0)</f>
        <v>0</v>
      </c>
      <c r="AA18" s="284">
        <f>IF('Tratamento de Dados'!AS27=COF!$TH$10,CUI_SCC_Chloride!CJ19,0)</f>
        <v>0</v>
      </c>
      <c r="AB18" s="284"/>
      <c r="AC18" s="284"/>
      <c r="AD18" s="284"/>
      <c r="AE18" s="284"/>
      <c r="AF18" s="284"/>
      <c r="AG18" s="284"/>
      <c r="AH18" s="284">
        <f t="shared" si="0"/>
        <v>0</v>
      </c>
      <c r="AI18" s="284">
        <f t="shared" si="4"/>
        <v>0</v>
      </c>
      <c r="AJ18" s="284">
        <f t="shared" si="5"/>
        <v>0</v>
      </c>
      <c r="AK18" s="443"/>
      <c r="AL18" s="443"/>
      <c r="AM18" s="443"/>
      <c r="AN18" s="484">
        <f t="shared" si="6"/>
        <v>0</v>
      </c>
      <c r="AO18" s="285" t="e">
        <f t="shared" si="1"/>
        <v>#N/A</v>
      </c>
    </row>
    <row r="19" spans="2:41" x14ac:dyDescent="0.35">
      <c r="B19" s="161" t="str">
        <f>'Tratamento de Dados'!B28</f>
        <v>V-90</v>
      </c>
      <c r="C19" s="161" t="str">
        <f>'Tratamento de Dados'!D28</f>
        <v>Casco</v>
      </c>
      <c r="D19" s="161">
        <f>'Tratamento de Dados'!W28</f>
        <v>8</v>
      </c>
      <c r="E19" s="283" t="e">
        <f>IF(COF!BU23="",0,COF!BU23)</f>
        <v>#N/A</v>
      </c>
      <c r="F19" s="284" t="str">
        <f>Thinning!D21</f>
        <v>Generalizada</v>
      </c>
      <c r="G19" s="503">
        <f>IF(AJ19=X19,Ext_Corr_Ferritic!G20,"")</f>
        <v>0</v>
      </c>
      <c r="H19" s="503">
        <f>IF(AJ19=Y19,CUI_Ferritic!D20,"")</f>
        <v>0</v>
      </c>
      <c r="I19" s="503" t="str">
        <f>IF(AJ19=Z19,Ext_SCC_Chloride!G20,"")</f>
        <v>Generalizada</v>
      </c>
      <c r="J19" s="503" t="str">
        <f>IF(AJ19=AA19,CUI_SCC_Chloride!G20,"")</f>
        <v>Generalizada</v>
      </c>
      <c r="K19" s="284" t="str">
        <f t="shared" si="2"/>
        <v>00GeneralizadaGeneralizada</v>
      </c>
      <c r="L19" s="284" t="str">
        <f t="shared" si="3"/>
        <v>Generalizada</v>
      </c>
      <c r="M19" s="284">
        <f>Thinning!BO21</f>
        <v>0</v>
      </c>
      <c r="N19" s="284">
        <f>IF('Tratamento de Dados'!AF28=COF!$TH$10,Lining!M20,0)</f>
        <v>0</v>
      </c>
      <c r="O19" s="284">
        <f>IF('Tratamento de Dados'!AG28=COF!$TH$10,Caustic_Cracking!BS20,0)</f>
        <v>0</v>
      </c>
      <c r="P19" s="284">
        <f>IF('Tratamento de Dados'!AH28=COF!$TH$10,Amine_Cracking!BT20,0)</f>
        <v>0</v>
      </c>
      <c r="Q19" s="284">
        <f>IF('Tratamento de Dados'!AI28=COF!$TH$10,'SCC_Sulfide (SSC)'!BS20,0)</f>
        <v>0</v>
      </c>
      <c r="R19" s="284">
        <f>IF('Tratamento de Dados'!AJ28=COF!$TH$10,'HIC-SOHIC-H2S'!BX20,0)</f>
        <v>0</v>
      </c>
      <c r="S19" s="284">
        <f>IF('Tratamento de Dados'!AK28=COF!$TH$10,SCC_Alkaline_Carbonate!BP20,0)</f>
        <v>0</v>
      </c>
      <c r="T19" s="284">
        <f>IF('Tratamento de Dados'!AL28=COF!$TH$10,SCC_Polythionic_Acid!BS20,0)</f>
        <v>0</v>
      </c>
      <c r="U19" s="284">
        <f>IF('Tratamento de Dados'!AM28=COF!$TH$10,SCC_Chloride!BS20,0)</f>
        <v>0</v>
      </c>
      <c r="V19" s="284">
        <f>IF('Tratamento de Dados'!AN28=COF!$TH$10,HSC_Hydrofluoric_Acid!BQ20,0)</f>
        <v>0</v>
      </c>
      <c r="W19" s="284">
        <f>IF('Tratamento de Dados'!AO28=COF!$TH$10,'HIC-SOHIC-HF'!BS20,0)</f>
        <v>0</v>
      </c>
      <c r="X19" s="284">
        <f>IF('Tratamento de Dados'!AP28=COF!$TH$10,Ext_Corr_Ferritic!BR20,0)</f>
        <v>0</v>
      </c>
      <c r="Y19" s="284">
        <f>IF('Tratamento de Dados'!AQ28=COF!$TH$10,CUI_Ferritic!BT20,0)</f>
        <v>0</v>
      </c>
      <c r="Z19" s="284">
        <f>IF('Tratamento de Dados'!AR28=COF!$TH$10,Ext_SCC_Chloride!BZ20,0)</f>
        <v>0</v>
      </c>
      <c r="AA19" s="284">
        <f>IF('Tratamento de Dados'!AS28=COF!$TH$10,CUI_SCC_Chloride!CJ20,0)</f>
        <v>0</v>
      </c>
      <c r="AB19" s="284"/>
      <c r="AC19" s="284"/>
      <c r="AD19" s="284"/>
      <c r="AE19" s="284"/>
      <c r="AF19" s="284"/>
      <c r="AG19" s="284"/>
      <c r="AH19" s="284">
        <f t="shared" si="0"/>
        <v>0</v>
      </c>
      <c r="AI19" s="284">
        <f t="shared" si="4"/>
        <v>0</v>
      </c>
      <c r="AJ19" s="284">
        <f t="shared" si="5"/>
        <v>0</v>
      </c>
      <c r="AK19" s="443"/>
      <c r="AL19" s="443"/>
      <c r="AM19" s="443"/>
      <c r="AN19" s="484">
        <f t="shared" si="6"/>
        <v>0</v>
      </c>
      <c r="AO19" s="285" t="e">
        <f t="shared" si="1"/>
        <v>#N/A</v>
      </c>
    </row>
    <row r="20" spans="2:41" x14ac:dyDescent="0.35">
      <c r="B20" s="161" t="str">
        <f>'Tratamento de Dados'!B29</f>
        <v>V-9</v>
      </c>
      <c r="C20" s="161" t="str">
        <f>'Tratamento de Dados'!D29</f>
        <v>Casco</v>
      </c>
      <c r="D20" s="161">
        <f>'Tratamento de Dados'!W29</f>
        <v>8</v>
      </c>
      <c r="E20" s="283" t="e">
        <f>IF(COF!BU24="",0,COF!BU24)</f>
        <v>#N/A</v>
      </c>
      <c r="F20" s="284" t="str">
        <f>Thinning!D22</f>
        <v>Generalizada</v>
      </c>
      <c r="G20" s="503">
        <f>IF(AJ20=X20,Ext_Corr_Ferritic!G21,"")</f>
        <v>0</v>
      </c>
      <c r="H20" s="503">
        <f>IF(AJ20=Y20,CUI_Ferritic!D21,"")</f>
        <v>0</v>
      </c>
      <c r="I20" s="503" t="str">
        <f>IF(AJ20=Z20,Ext_SCC_Chloride!G21,"")</f>
        <v>Generalizada</v>
      </c>
      <c r="J20" s="503" t="str">
        <f>IF(AJ20=AA20,CUI_SCC_Chloride!G21,"")</f>
        <v>Generalizada</v>
      </c>
      <c r="K20" s="284" t="str">
        <f t="shared" si="2"/>
        <v>00GeneralizadaGeneralizada</v>
      </c>
      <c r="L20" s="284" t="str">
        <f t="shared" si="3"/>
        <v>Generalizada</v>
      </c>
      <c r="M20" s="284">
        <f>Thinning!BO22</f>
        <v>0</v>
      </c>
      <c r="N20" s="284">
        <f>IF('Tratamento de Dados'!AF29=COF!$TH$10,Lining!M21,0)</f>
        <v>0</v>
      </c>
      <c r="O20" s="284">
        <f>IF('Tratamento de Dados'!AG29=COF!$TH$10,Caustic_Cracking!BS21,0)</f>
        <v>0</v>
      </c>
      <c r="P20" s="284">
        <f>IF('Tratamento de Dados'!AH29=COF!$TH$10,Amine_Cracking!BT21,0)</f>
        <v>0</v>
      </c>
      <c r="Q20" s="284">
        <f>IF('Tratamento de Dados'!AI29=COF!$TH$10,'SCC_Sulfide (SSC)'!BS21,0)</f>
        <v>0</v>
      </c>
      <c r="R20" s="284">
        <f>IF('Tratamento de Dados'!AJ29=COF!$TH$10,'HIC-SOHIC-H2S'!BX21,0)</f>
        <v>0</v>
      </c>
      <c r="S20" s="284">
        <f>IF('Tratamento de Dados'!AK29=COF!$TH$10,SCC_Alkaline_Carbonate!BP21,0)</f>
        <v>0</v>
      </c>
      <c r="T20" s="284">
        <f>IF('Tratamento de Dados'!AL29=COF!$TH$10,SCC_Polythionic_Acid!BS21,0)</f>
        <v>0</v>
      </c>
      <c r="U20" s="284">
        <f>IF('Tratamento de Dados'!AM29=COF!$TH$10,SCC_Chloride!BS21,0)</f>
        <v>0</v>
      </c>
      <c r="V20" s="284">
        <f>IF('Tratamento de Dados'!AN29=COF!$TH$10,HSC_Hydrofluoric_Acid!BQ21,0)</f>
        <v>0</v>
      </c>
      <c r="W20" s="284">
        <f>IF('Tratamento de Dados'!AO29=COF!$TH$10,'HIC-SOHIC-HF'!BS21,0)</f>
        <v>0</v>
      </c>
      <c r="X20" s="284">
        <f>IF('Tratamento de Dados'!AP29=COF!$TH$10,Ext_Corr_Ferritic!BR21,0)</f>
        <v>0</v>
      </c>
      <c r="Y20" s="284">
        <f>IF('Tratamento de Dados'!AQ29=COF!$TH$10,CUI_Ferritic!BT21,0)</f>
        <v>0</v>
      </c>
      <c r="Z20" s="284">
        <f>IF('Tratamento de Dados'!AR29=COF!$TH$10,Ext_SCC_Chloride!BZ21,0)</f>
        <v>0</v>
      </c>
      <c r="AA20" s="284">
        <f>IF('Tratamento de Dados'!AS29=COF!$TH$10,CUI_SCC_Chloride!CJ21,0)</f>
        <v>0</v>
      </c>
      <c r="AB20" s="284"/>
      <c r="AC20" s="284"/>
      <c r="AD20" s="284"/>
      <c r="AE20" s="284"/>
      <c r="AF20" s="284"/>
      <c r="AG20" s="284"/>
      <c r="AH20" s="284">
        <f t="shared" si="0"/>
        <v>0</v>
      </c>
      <c r="AI20" s="284">
        <f t="shared" si="4"/>
        <v>0</v>
      </c>
      <c r="AJ20" s="284">
        <f t="shared" si="5"/>
        <v>0</v>
      </c>
      <c r="AK20" s="443"/>
      <c r="AL20" s="443"/>
      <c r="AM20" s="443"/>
      <c r="AN20" s="484">
        <f t="shared" si="6"/>
        <v>0</v>
      </c>
      <c r="AO20" s="285" t="e">
        <f t="shared" si="1"/>
        <v>#N/A</v>
      </c>
    </row>
    <row r="21" spans="2:41" x14ac:dyDescent="0.35">
      <c r="G21" s="504"/>
      <c r="H21" s="504"/>
      <c r="I21" s="504"/>
      <c r="J21" s="504"/>
      <c r="K21" s="504"/>
    </row>
    <row r="22" spans="2:41" x14ac:dyDescent="0.35">
      <c r="B22" s="335"/>
      <c r="L22" s="332"/>
      <c r="M22" s="332"/>
      <c r="N22" s="332"/>
      <c r="O22" s="332"/>
      <c r="P22" s="332"/>
      <c r="Q22" s="332"/>
      <c r="R22" s="332"/>
      <c r="S22" s="332"/>
      <c r="T22" s="332"/>
      <c r="U22" s="332"/>
      <c r="V22" s="332"/>
      <c r="W22" s="332"/>
      <c r="X22" s="332"/>
      <c r="Y22" s="332"/>
      <c r="Z22" s="332"/>
      <c r="AA22" s="332"/>
      <c r="AB22" s="332"/>
      <c r="AC22" s="332"/>
      <c r="AD22" s="332"/>
      <c r="AE22" s="332"/>
      <c r="AF22" s="332"/>
      <c r="AG22" s="332"/>
    </row>
    <row r="23" spans="2:41" x14ac:dyDescent="0.35">
      <c r="B23" s="335"/>
      <c r="L23" s="332"/>
      <c r="M23" s="332"/>
      <c r="N23" s="332"/>
      <c r="O23" s="332"/>
      <c r="P23" s="332"/>
      <c r="Q23" s="332"/>
      <c r="R23" s="332"/>
      <c r="S23" s="332"/>
      <c r="T23" s="332"/>
      <c r="U23" s="332"/>
      <c r="V23" s="332"/>
      <c r="W23" s="332"/>
      <c r="X23" s="332"/>
      <c r="Y23" s="332"/>
      <c r="Z23" s="332"/>
      <c r="AA23" s="332"/>
      <c r="AB23" s="332"/>
      <c r="AC23" s="332"/>
      <c r="AD23" s="332"/>
      <c r="AE23" s="332"/>
      <c r="AF23" s="332"/>
      <c r="AG23" s="332"/>
    </row>
  </sheetData>
  <pageMargins left="0.511811024" right="0.511811024" top="0.78740157499999996" bottom="0.78740157499999996" header="0.31496062000000002" footer="0.31496062000000002"/>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8">
    <tabColor rgb="FFFFFF00"/>
  </sheetPr>
  <dimension ref="B1:CD22"/>
  <sheetViews>
    <sheetView zoomScale="85" zoomScaleNormal="85" workbookViewId="0">
      <selection activeCell="N5" sqref="N5"/>
    </sheetView>
  </sheetViews>
  <sheetFormatPr defaultRowHeight="14.5" x14ac:dyDescent="0.35"/>
  <cols>
    <col min="1" max="1" width="1.26953125" customWidth="1"/>
    <col min="2" max="3" width="15.453125" customWidth="1"/>
    <col min="4" max="4" width="16.7265625" customWidth="1"/>
    <col min="5" max="5" width="12.7265625" customWidth="1"/>
    <col min="6" max="6" width="19" customWidth="1"/>
    <col min="7" max="8" width="11" customWidth="1"/>
    <col min="9" max="9" width="11.26953125" customWidth="1"/>
    <col min="10" max="10" width="11.7265625" customWidth="1"/>
    <col min="11" max="11" width="12.54296875" customWidth="1"/>
    <col min="12" max="12" width="18.7265625" customWidth="1"/>
    <col min="13" max="15" width="10.7265625" customWidth="1"/>
    <col min="16" max="16" width="18" customWidth="1"/>
    <col min="17" max="17" width="20" customWidth="1"/>
    <col min="18" max="19" width="14.453125" customWidth="1"/>
    <col min="20" max="20" width="22" customWidth="1"/>
    <col min="21" max="21" width="9.7265625" customWidth="1"/>
    <col min="22" max="23" width="9.453125" customWidth="1"/>
    <col min="24" max="24" width="9.54296875" customWidth="1"/>
    <col min="25" max="25" width="21.26953125" bestFit="1" customWidth="1"/>
    <col min="26" max="31" width="11.54296875" customWidth="1"/>
    <col min="32" max="32" width="10" customWidth="1"/>
    <col min="33" max="33" width="10.453125" customWidth="1"/>
    <col min="34" max="34" width="13.1796875" customWidth="1"/>
    <col min="35" max="35" width="12.7265625" customWidth="1"/>
    <col min="36" max="36" width="9.1796875" customWidth="1"/>
    <col min="37" max="38" width="11.81640625" customWidth="1"/>
    <col min="39" max="39" width="14.7265625" customWidth="1"/>
    <col min="40" max="40" width="11.81640625" customWidth="1"/>
    <col min="41" max="41" width="10.1796875" customWidth="1"/>
    <col min="42" max="44" width="10.81640625" customWidth="1"/>
    <col min="45" max="45" width="12.54296875" customWidth="1"/>
    <col min="46" max="47" width="12.453125" customWidth="1"/>
    <col min="48" max="49" width="12.54296875" customWidth="1"/>
    <col min="50" max="51" width="12.453125" customWidth="1"/>
    <col min="52" max="53" width="12.54296875" customWidth="1"/>
    <col min="54" max="55" width="12.453125" customWidth="1"/>
    <col min="56" max="56" width="12.54296875" customWidth="1"/>
    <col min="57" max="59" width="10.1796875" customWidth="1"/>
    <col min="60" max="67" width="11.54296875" customWidth="1"/>
    <col min="130" max="130" width="9.1796875" customWidth="1"/>
  </cols>
  <sheetData>
    <row r="1" spans="2:82" ht="5.25" customHeight="1" x14ac:dyDescent="0.35"/>
    <row r="2" spans="2:82" x14ac:dyDescent="0.35">
      <c r="AC2" s="601" t="s">
        <v>1470</v>
      </c>
      <c r="AD2" s="601"/>
      <c r="AE2" s="601"/>
    </row>
    <row r="3" spans="2:82" x14ac:dyDescent="0.35">
      <c r="E3" s="696" t="s">
        <v>762</v>
      </c>
      <c r="F3" s="696"/>
      <c r="G3" s="696"/>
      <c r="H3" s="696"/>
      <c r="I3" s="696"/>
      <c r="J3" s="697" t="s">
        <v>760</v>
      </c>
      <c r="K3" s="699"/>
      <c r="L3" s="697" t="s">
        <v>764</v>
      </c>
      <c r="M3" s="699"/>
      <c r="N3" s="697" t="s">
        <v>771</v>
      </c>
      <c r="O3" s="699"/>
      <c r="P3" s="697" t="s">
        <v>779</v>
      </c>
      <c r="Q3" s="698"/>
      <c r="R3" s="699"/>
      <c r="S3" s="697" t="s">
        <v>784</v>
      </c>
      <c r="T3" s="699"/>
      <c r="U3" s="697" t="s">
        <v>791</v>
      </c>
      <c r="V3" s="698"/>
      <c r="W3" s="698"/>
      <c r="X3" s="699"/>
      <c r="Y3" s="214" t="s">
        <v>809</v>
      </c>
      <c r="Z3" s="697" t="s">
        <v>817</v>
      </c>
      <c r="AA3" s="698"/>
      <c r="AB3" s="698"/>
      <c r="AC3" s="698"/>
      <c r="AD3" s="698"/>
      <c r="AE3" s="699"/>
      <c r="AF3" s="213" t="s">
        <v>761</v>
      </c>
      <c r="AG3" s="697" t="s">
        <v>765</v>
      </c>
      <c r="AH3" s="699"/>
      <c r="AI3" s="207" t="s">
        <v>769</v>
      </c>
      <c r="AJ3" s="214" t="s">
        <v>773</v>
      </c>
      <c r="AK3" s="214" t="s">
        <v>778</v>
      </c>
      <c r="AL3" s="697" t="s">
        <v>783</v>
      </c>
      <c r="AM3" s="698"/>
      <c r="AN3" s="698"/>
      <c r="AO3" s="699"/>
      <c r="AP3" s="696" t="s">
        <v>811</v>
      </c>
      <c r="AQ3" s="696"/>
      <c r="AR3" s="696"/>
      <c r="AS3" s="696"/>
      <c r="AT3" s="696"/>
      <c r="AU3" s="696"/>
      <c r="AV3" s="696"/>
      <c r="AW3" s="696"/>
      <c r="AX3" s="696"/>
      <c r="AY3" s="696"/>
      <c r="AZ3" s="696"/>
      <c r="BA3" s="696"/>
      <c r="BB3" s="696"/>
      <c r="BC3" s="696"/>
      <c r="BD3" s="696"/>
      <c r="BE3" s="696"/>
      <c r="BF3" s="696"/>
      <c r="BG3" s="696"/>
      <c r="BH3" s="696" t="s">
        <v>812</v>
      </c>
      <c r="BI3" s="696"/>
      <c r="BJ3" s="696"/>
      <c r="BK3" s="696" t="s">
        <v>813</v>
      </c>
      <c r="BL3" s="696"/>
      <c r="BM3" s="696"/>
      <c r="BN3" s="212" t="s">
        <v>814</v>
      </c>
      <c r="BO3" s="495" t="s">
        <v>1458</v>
      </c>
      <c r="BU3" t="s">
        <v>788</v>
      </c>
      <c r="BV3">
        <v>2</v>
      </c>
      <c r="BX3" s="208" t="s">
        <v>738</v>
      </c>
      <c r="BY3">
        <v>0.2</v>
      </c>
      <c r="BZ3" s="208" t="s">
        <v>741</v>
      </c>
      <c r="CA3" s="208" t="s">
        <v>742</v>
      </c>
      <c r="CB3" s="208" t="s">
        <v>743</v>
      </c>
      <c r="CD3" s="208" t="s">
        <v>824</v>
      </c>
    </row>
    <row r="4" spans="2:82" x14ac:dyDescent="0.35">
      <c r="B4" s="134" t="s">
        <v>968</v>
      </c>
      <c r="C4" s="134" t="s">
        <v>969</v>
      </c>
      <c r="D4" s="134" t="s">
        <v>951</v>
      </c>
      <c r="E4" s="134" t="s">
        <v>755</v>
      </c>
      <c r="F4" s="134" t="s">
        <v>920</v>
      </c>
      <c r="G4" s="134" t="s">
        <v>754</v>
      </c>
      <c r="H4" s="134" t="s">
        <v>768</v>
      </c>
      <c r="I4" s="134" t="s">
        <v>757</v>
      </c>
      <c r="J4" s="134" t="s">
        <v>758</v>
      </c>
      <c r="K4" s="134" t="s">
        <v>759</v>
      </c>
      <c r="L4" s="134" t="s">
        <v>763</v>
      </c>
      <c r="M4" s="134" t="s">
        <v>766</v>
      </c>
      <c r="N4" s="134" t="s">
        <v>772</v>
      </c>
      <c r="O4" s="134" t="s">
        <v>786</v>
      </c>
      <c r="P4" s="134" t="s">
        <v>775</v>
      </c>
      <c r="Q4" s="134" t="s">
        <v>776</v>
      </c>
      <c r="R4" s="134" t="s">
        <v>774</v>
      </c>
      <c r="S4" s="134" t="s">
        <v>785</v>
      </c>
      <c r="T4" s="134" t="s">
        <v>787</v>
      </c>
      <c r="U4" s="134" t="s">
        <v>713</v>
      </c>
      <c r="V4" s="134" t="s">
        <v>714</v>
      </c>
      <c r="W4" s="134" t="s">
        <v>715</v>
      </c>
      <c r="X4" s="134" t="s">
        <v>716</v>
      </c>
      <c r="Y4" s="134" t="s">
        <v>810</v>
      </c>
      <c r="Z4" s="134" t="s">
        <v>748</v>
      </c>
      <c r="AA4" s="134" t="s">
        <v>749</v>
      </c>
      <c r="AB4" s="134" t="s">
        <v>750</v>
      </c>
      <c r="AC4" s="134" t="s">
        <v>751</v>
      </c>
      <c r="AD4" s="134" t="s">
        <v>752</v>
      </c>
      <c r="AE4" s="134" t="s">
        <v>753</v>
      </c>
      <c r="AF4" s="134" t="s">
        <v>756</v>
      </c>
      <c r="AG4" s="134" t="s">
        <v>766</v>
      </c>
      <c r="AH4" s="134" t="s">
        <v>767</v>
      </c>
      <c r="AI4" s="134" t="s">
        <v>770</v>
      </c>
      <c r="AJ4" s="134" t="s">
        <v>712</v>
      </c>
      <c r="AK4" s="134" t="s">
        <v>777</v>
      </c>
      <c r="AL4" s="134" t="s">
        <v>781</v>
      </c>
      <c r="AM4" s="134" t="s">
        <v>105</v>
      </c>
      <c r="AN4" s="217" t="s">
        <v>782</v>
      </c>
      <c r="AO4" s="134" t="s">
        <v>780</v>
      </c>
      <c r="AP4" s="134" t="s">
        <v>717</v>
      </c>
      <c r="AQ4" s="134" t="s">
        <v>718</v>
      </c>
      <c r="AR4" s="134" t="s">
        <v>719</v>
      </c>
      <c r="AS4" s="134" t="s">
        <v>720</v>
      </c>
      <c r="AT4" s="134" t="s">
        <v>721</v>
      </c>
      <c r="AU4" s="134" t="s">
        <v>722</v>
      </c>
      <c r="AV4" s="134" t="s">
        <v>723</v>
      </c>
      <c r="AW4" s="134" t="s">
        <v>724</v>
      </c>
      <c r="AX4" s="134" t="s">
        <v>725</v>
      </c>
      <c r="AY4" s="134" t="s">
        <v>726</v>
      </c>
      <c r="AZ4" s="134" t="s">
        <v>727</v>
      </c>
      <c r="BA4" s="134" t="s">
        <v>728</v>
      </c>
      <c r="BB4" s="134" t="s">
        <v>729</v>
      </c>
      <c r="BC4" s="134" t="s">
        <v>730</v>
      </c>
      <c r="BD4" s="134" t="s">
        <v>731</v>
      </c>
      <c r="BE4" s="134" t="s">
        <v>732</v>
      </c>
      <c r="BF4" s="134" t="s">
        <v>733</v>
      </c>
      <c r="BG4" s="134" t="s">
        <v>734</v>
      </c>
      <c r="BH4" s="134" t="s">
        <v>735</v>
      </c>
      <c r="BI4" s="134" t="s">
        <v>736</v>
      </c>
      <c r="BJ4" s="134" t="s">
        <v>737</v>
      </c>
      <c r="BK4" s="134" t="s">
        <v>744</v>
      </c>
      <c r="BL4" s="134" t="s">
        <v>745</v>
      </c>
      <c r="BM4" s="134" t="s">
        <v>746</v>
      </c>
      <c r="BN4" s="134" t="s">
        <v>747</v>
      </c>
      <c r="BO4" s="244" t="s">
        <v>816</v>
      </c>
      <c r="BQ4">
        <v>1</v>
      </c>
      <c r="BR4" s="208" t="s">
        <v>710</v>
      </c>
      <c r="BS4">
        <v>14.2233</v>
      </c>
      <c r="BT4" s="208" t="s">
        <v>711</v>
      </c>
      <c r="BU4" t="s">
        <v>789</v>
      </c>
      <c r="BV4">
        <v>4</v>
      </c>
      <c r="BX4" s="208" t="s">
        <v>739</v>
      </c>
      <c r="BY4">
        <v>0.2</v>
      </c>
      <c r="BZ4">
        <v>1</v>
      </c>
      <c r="CA4">
        <v>2</v>
      </c>
      <c r="CB4">
        <v>4</v>
      </c>
      <c r="CD4">
        <v>1</v>
      </c>
    </row>
    <row r="5" spans="2:82" x14ac:dyDescent="0.35">
      <c r="B5" s="161" t="str">
        <f>'Tratamento de Dados'!B12</f>
        <v>V-90</v>
      </c>
      <c r="C5" s="161" t="str">
        <f>'Tratamento de Dados'!D12</f>
        <v>Casco</v>
      </c>
      <c r="D5" s="209" t="str">
        <f>'Tratamento de Dados'!AZ12</f>
        <v>Generalizada</v>
      </c>
      <c r="E5" s="209">
        <f>'Tratamento de Dados'!BA12</f>
        <v>10</v>
      </c>
      <c r="F5" s="210">
        <f>'Tratamento de Dados'!X12</f>
        <v>43831</v>
      </c>
      <c r="G5" s="210">
        <f>'Tratamento de Dados'!Z12</f>
        <v>43833</v>
      </c>
      <c r="H5" s="209" t="str">
        <f>'Tratamento de Dados'!BB12</f>
        <v>Não</v>
      </c>
      <c r="I5" s="209">
        <f>'Tratamento de Dados'!BC12</f>
        <v>0</v>
      </c>
      <c r="J5" s="209">
        <f>'Tratamento de Dados'!BD12</f>
        <v>3</v>
      </c>
      <c r="K5" s="209">
        <f>'Tratamento de Dados'!BE12</f>
        <v>4</v>
      </c>
      <c r="L5" s="210">
        <f>'Tratamento de Dados'!BF12</f>
        <v>1</v>
      </c>
      <c r="M5" s="209">
        <f>'Tratamento de Dados'!BG12</f>
        <v>2</v>
      </c>
      <c r="N5" s="209">
        <f>'Tratamento de Dados'!BH12</f>
        <v>2</v>
      </c>
      <c r="O5" s="218">
        <f>'Tratamento de Dados'!BI12</f>
        <v>0</v>
      </c>
      <c r="P5" s="209">
        <f>'Tratamento de Dados'!BJ12</f>
        <v>10</v>
      </c>
      <c r="Q5" s="209">
        <f>'Tratamento de Dados'!BK12</f>
        <v>20</v>
      </c>
      <c r="R5" s="209">
        <f>'Tratamento de Dados'!BL12</f>
        <v>1</v>
      </c>
      <c r="S5" s="209" t="str">
        <f>'Tratamento de Dados'!BM12</f>
        <v>Head</v>
      </c>
      <c r="T5" s="218">
        <f>'Tratamento de Dados'!BN12</f>
        <v>0</v>
      </c>
      <c r="U5" s="219">
        <f>'Tratamento de Dados'!BO12</f>
        <v>1</v>
      </c>
      <c r="V5" s="219">
        <f>'Tratamento de Dados'!BP12</f>
        <v>2</v>
      </c>
      <c r="W5" s="219">
        <f>'Tratamento de Dados'!BQ12</f>
        <v>3</v>
      </c>
      <c r="X5" s="219">
        <f>'Tratamento de Dados'!BR12</f>
        <v>0</v>
      </c>
      <c r="Y5" s="219" t="str">
        <f>'Tratamento de Dados'!BS12</f>
        <v>High Confidence Data</v>
      </c>
      <c r="Z5" s="568">
        <f>'Tratamento de Dados'!BT12</f>
        <v>1</v>
      </c>
      <c r="AA5" s="568">
        <f>'Tratamento de Dados'!BU12</f>
        <v>1</v>
      </c>
      <c r="AB5" s="568">
        <f>'Tratamento de Dados'!BV12</f>
        <v>1</v>
      </c>
      <c r="AC5" s="281">
        <v>1</v>
      </c>
      <c r="AD5" s="281">
        <v>1</v>
      </c>
      <c r="AE5" s="281">
        <v>1</v>
      </c>
      <c r="AF5" s="211">
        <f t="shared" ref="AF5:AF22" si="0">(G5-F5)/365.25</f>
        <v>5.4757015742642025E-3</v>
      </c>
      <c r="AG5" s="211">
        <f t="shared" ref="AG5:AG22" si="1">IF(M5=0,E5,M5)</f>
        <v>2</v>
      </c>
      <c r="AH5" s="211">
        <f t="shared" ref="AH5:AH22" si="2">IF(AG5=E5,AF5,(G5-L5)/365.25)</f>
        <v>120.00547570157427</v>
      </c>
      <c r="AI5" s="215">
        <f>IF(H5=COF!$TH$10,MAX(I5/K5,0),0)</f>
        <v>0</v>
      </c>
      <c r="AJ5" s="215">
        <f t="shared" ref="AJ5:AJ22" si="3">MAX(J5*(AH5-AI5)/AG5,0)</f>
        <v>180.00821355236141</v>
      </c>
      <c r="AK5" s="215">
        <f t="shared" ref="AK5:AK22" si="4">((P5+Q5)/2)*R5*1.1</f>
        <v>16.5</v>
      </c>
      <c r="AL5" s="215">
        <f>COF!R7*Thinning!$BS$4/1000</f>
        <v>0.142233</v>
      </c>
      <c r="AM5" s="215">
        <f>COF!O7</f>
        <v>2000</v>
      </c>
      <c r="AN5" s="215">
        <f t="shared" ref="AN5:AN22" si="5">INDEX($BV$3:$BV$5,MATCH(S5,$BU$3:$BU$5,0))</f>
        <v>1.1299999999999999</v>
      </c>
      <c r="AO5" s="215">
        <f>IF(OR(O5=0,T5=0),(AL5*AM5)/(AN5*AK5*AG5),(T5*R5*MAX(N5,O5))/(AK5*AG5))</f>
        <v>7.628479485116654</v>
      </c>
      <c r="AP5" s="215">
        <f>INDEX('Tables - Part 2'!$K$4:$M$4,,MATCH(Thinning!$Y5,'Tables - Part 2'!$K$3:$M$3,0))</f>
        <v>0.8</v>
      </c>
      <c r="AQ5" s="215">
        <f>INDEX('Tables - Part 2'!$K$5:$M$5,,MATCH(Thinning!$Y5,'Tables - Part 2'!$K$3:$M$3,0))</f>
        <v>0.15</v>
      </c>
      <c r="AR5" s="215">
        <f>INDEX('Tables - Part 2'!$K$6:$M$6,,MATCH(Thinning!$Y5,'Tables - Part 2'!$K$3:$M$3,0))</f>
        <v>0.05</v>
      </c>
      <c r="AS5" s="215">
        <v>0.9</v>
      </c>
      <c r="AT5" s="215">
        <v>0.7</v>
      </c>
      <c r="AU5" s="215">
        <v>0.5</v>
      </c>
      <c r="AV5" s="215">
        <v>0.4</v>
      </c>
      <c r="AW5" s="215">
        <v>0.09</v>
      </c>
      <c r="AX5" s="215">
        <v>0.2</v>
      </c>
      <c r="AY5" s="215">
        <v>0.3</v>
      </c>
      <c r="AZ5" s="215">
        <v>0.33</v>
      </c>
      <c r="BA5" s="215">
        <v>0.01</v>
      </c>
      <c r="BB5" s="215">
        <v>0.1</v>
      </c>
      <c r="BC5" s="215">
        <v>0.2</v>
      </c>
      <c r="BD5" s="215">
        <v>0.27</v>
      </c>
      <c r="BE5" s="215">
        <f t="shared" ref="BE5:BE22" si="6">$AP5*POWER($AS5,$U5)*POWER($AT5,$V5)*POWER($AU5,$W5)*POWER($AV5,$X5)</f>
        <v>4.41E-2</v>
      </c>
      <c r="BF5" s="215">
        <f t="shared" ref="BF5:BF22" si="7">$AQ5*POWER($AW5,$U5)*POWER($AX5,$V5)*POWER($AY5,$W5)*POWER($AZ5,$X5)</f>
        <v>1.4580000000000003E-5</v>
      </c>
      <c r="BG5" s="275">
        <f t="shared" ref="BG5:BG22" si="8">$AR5*POWER($BA5,$U5)*POWER($BB5,$V5)*POWER($BC5,$W5)*POWER($BD5,$X5)</f>
        <v>4.0000000000000021E-8</v>
      </c>
      <c r="BH5" s="215">
        <f>BE5/($BE5+$BF5+$BG5)</f>
        <v>0.9996685905942293</v>
      </c>
      <c r="BI5" s="215">
        <f>BF5/($BE5+$BF5+$BG5)</f>
        <v>3.3050267689033712E-4</v>
      </c>
      <c r="BJ5" s="215">
        <f>BG5/($BE5+$BF5+$BG5)</f>
        <v>9.0672888035757812E-7</v>
      </c>
      <c r="BK5" s="215">
        <f t="shared" ref="BK5:BK22" si="9">(1-BZ$4*$AJ5-$AO5)/SQRT(POWER(BZ$4*$AJ5*$BY$3,2)+POWER(1-BZ$4*$AJ5,2)*POWER($BY$4,2)+POWER($AO5*$BY$5,2))</f>
        <v>-3.6758160786865299</v>
      </c>
      <c r="BL5" s="215">
        <f t="shared" ref="BL5:BL22" si="10">(1-CA$4*$AJ5-$AO5)/SQRT(POWER(CA$4*$AJ5*$BY$3,2)+POWER(1-CA$4*$AJ5,2)*POWER($BY$4,2)+POWER($AO5*$BY$5,2))</f>
        <v>-3.6056074999339862</v>
      </c>
      <c r="BM5" s="215">
        <f t="shared" ref="BM5:BM22" si="11">(1-CB$4*$AJ5-$AO5)/SQRT(POWER(CB$4*$AJ5*$BY$3,2)+POWER(1-CB$4*$AJ5,2)*POWER($BY$4,2)+POWER($AO5*$BY$5,2))</f>
        <v>-3.5705536390302761</v>
      </c>
      <c r="BN5" s="215">
        <f>(BH5*NORMSDIST(-BK5)+BI5*NORMSDIST(-BL5)+BJ5*NORMSDIST(-BM5))/0.000156</f>
        <v>6409.4964263855954</v>
      </c>
      <c r="BO5" s="215">
        <f>IF(OR(COF!C7=COF!$TJ$6,COF!C7=COF!$TJ$8,COF!C7=COF!$TJ$9,COF!C7=COF!$TJ$11,COF!E7=COF!$TM$18),MAX(BN5*AA5*AB5*AC5*AD5*AE5/Z5,0.1),0)</f>
        <v>6409.4964263855954</v>
      </c>
      <c r="BU5" t="s">
        <v>790</v>
      </c>
      <c r="BV5">
        <v>1.1299999999999999</v>
      </c>
      <c r="BX5" s="208" t="s">
        <v>740</v>
      </c>
      <c r="BY5">
        <v>0.05</v>
      </c>
      <c r="CD5">
        <v>3</v>
      </c>
    </row>
    <row r="6" spans="2:82" x14ac:dyDescent="0.35">
      <c r="B6" s="161" t="str">
        <f>'Tratamento de Dados'!B13</f>
        <v>V-07</v>
      </c>
      <c r="C6" s="161" t="str">
        <f>'Tratamento de Dados'!D13</f>
        <v>Tampo_Sul</v>
      </c>
      <c r="D6" s="209" t="str">
        <f>'Tratamento de Dados'!AZ13</f>
        <v>Generalizada</v>
      </c>
      <c r="E6" s="209">
        <f>'Tratamento de Dados'!BA13</f>
        <v>12.5</v>
      </c>
      <c r="F6" s="210">
        <f>'Tratamento de Dados'!X13</f>
        <v>35234</v>
      </c>
      <c r="G6" s="210">
        <f>'Tratamento de Dados'!Z13</f>
        <v>43983</v>
      </c>
      <c r="H6" s="209" t="str">
        <f>'Tratamento de Dados'!BB13</f>
        <v>Não</v>
      </c>
      <c r="I6" s="209">
        <f>'Tratamento de Dados'!BC13</f>
        <v>0</v>
      </c>
      <c r="J6" s="209">
        <f>'Tratamento de Dados'!BD13</f>
        <v>9.9000000000000005E-2</v>
      </c>
      <c r="K6" s="209">
        <f>'Tratamento de Dados'!BE13</f>
        <v>0</v>
      </c>
      <c r="L6" s="210">
        <f>'Tratamento de Dados'!BF13</f>
        <v>43350</v>
      </c>
      <c r="M6" s="209">
        <f>'Tratamento de Dados'!BG13</f>
        <v>11.2</v>
      </c>
      <c r="N6" s="209">
        <f>'Tratamento de Dados'!BH13</f>
        <v>6.5</v>
      </c>
      <c r="O6" s="218">
        <f>'Tratamento de Dados'!BI13</f>
        <v>0</v>
      </c>
      <c r="P6" s="209">
        <f>'Tratamento de Dados'!BJ13</f>
        <v>31.908300000000001</v>
      </c>
      <c r="Q6" s="209">
        <f>'Tratamento de Dados'!BK13</f>
        <v>60.1907</v>
      </c>
      <c r="R6" s="209">
        <f>'Tratamento de Dados'!BL13</f>
        <v>1</v>
      </c>
      <c r="S6" s="209" t="str">
        <f>'Tratamento de Dados'!BM13</f>
        <v>Head</v>
      </c>
      <c r="T6" s="218">
        <f>'Tratamento de Dados'!BN13</f>
        <v>0</v>
      </c>
      <c r="U6" s="219">
        <f>'Tratamento de Dados'!BO13</f>
        <v>0</v>
      </c>
      <c r="V6" s="219">
        <f>'Tratamento de Dados'!BP13</f>
        <v>6</v>
      </c>
      <c r="W6" s="219">
        <f>'Tratamento de Dados'!BQ13</f>
        <v>0</v>
      </c>
      <c r="X6" s="219">
        <f>'Tratamento de Dados'!BR13</f>
        <v>0</v>
      </c>
      <c r="Y6" s="219" t="str">
        <f>'Tratamento de Dados'!BS13</f>
        <v>High Confidence Data</v>
      </c>
      <c r="Z6" s="568">
        <f>'Tratamento de Dados'!BT13</f>
        <v>1</v>
      </c>
      <c r="AA6" s="568">
        <f>'Tratamento de Dados'!BU13</f>
        <v>1</v>
      </c>
      <c r="AB6" s="568">
        <f>'Tratamento de Dados'!BV13</f>
        <v>1</v>
      </c>
      <c r="AC6" s="281">
        <v>1</v>
      </c>
      <c r="AD6" s="281">
        <v>1</v>
      </c>
      <c r="AE6" s="281">
        <v>1</v>
      </c>
      <c r="AF6" s="211">
        <f t="shared" si="0"/>
        <v>23.953456536618756</v>
      </c>
      <c r="AG6" s="211">
        <f t="shared" si="1"/>
        <v>11.2</v>
      </c>
      <c r="AH6" s="211">
        <f t="shared" si="2"/>
        <v>1.7330595482546201</v>
      </c>
      <c r="AI6" s="215">
        <f>IF(H6=COF!$TH$10,MAX(I6/K6,0),0)</f>
        <v>0</v>
      </c>
      <c r="AJ6" s="215">
        <f t="shared" si="3"/>
        <v>1.5319008506893519E-2</v>
      </c>
      <c r="AK6" s="215">
        <f t="shared" si="4"/>
        <v>50.654450000000004</v>
      </c>
      <c r="AL6" s="215">
        <f>COF!R8*Thinning!$BS$4/1000</f>
        <v>0.142233</v>
      </c>
      <c r="AM6" s="215">
        <f>COF!O8</f>
        <v>2000</v>
      </c>
      <c r="AN6" s="215">
        <f t="shared" si="5"/>
        <v>1.1299999999999999</v>
      </c>
      <c r="AO6" s="215">
        <f t="shared" ref="AO6:AO22" si="12">IF(OR(O6=0,T6=0),(AL6*AM6)/(AN6*AK6*AG6),(T6*R6*MAX(N6,O6))/(AK6*AG6))</f>
        <v>0.443727449641728</v>
      </c>
      <c r="AP6" s="215">
        <f>INDEX('Tables - Part 2'!$K$4:$M$4,,MATCH(Thinning!$Y6,'Tables - Part 2'!$K$3:$M$3,0))</f>
        <v>0.8</v>
      </c>
      <c r="AQ6" s="215">
        <f>INDEX('Tables - Part 2'!$K$5:$M$5,,MATCH(Thinning!$Y6,'Tables - Part 2'!$K$3:$M$3,0))</f>
        <v>0.15</v>
      </c>
      <c r="AR6" s="215">
        <f>INDEX('Tables - Part 2'!$K$6:$M$6,,MATCH(Thinning!$Y6,'Tables - Part 2'!$K$3:$M$3,0))</f>
        <v>0.05</v>
      </c>
      <c r="AS6" s="215">
        <v>0.9</v>
      </c>
      <c r="AT6" s="215">
        <v>0.7</v>
      </c>
      <c r="AU6" s="215">
        <v>0.5</v>
      </c>
      <c r="AV6" s="215">
        <v>0.4</v>
      </c>
      <c r="AW6" s="215">
        <v>0.09</v>
      </c>
      <c r="AX6" s="215">
        <v>0.2</v>
      </c>
      <c r="AY6" s="215">
        <v>0.3</v>
      </c>
      <c r="AZ6" s="215">
        <v>0.33</v>
      </c>
      <c r="BA6" s="215">
        <v>0.01</v>
      </c>
      <c r="BB6" s="215">
        <v>0.1</v>
      </c>
      <c r="BC6" s="215">
        <v>0.2</v>
      </c>
      <c r="BD6" s="215">
        <v>0.27</v>
      </c>
      <c r="BE6" s="215">
        <f t="shared" si="6"/>
        <v>9.4119199999999958E-2</v>
      </c>
      <c r="BF6" s="215">
        <f t="shared" si="7"/>
        <v>9.6000000000000046E-6</v>
      </c>
      <c r="BG6" s="215">
        <f t="shared" si="8"/>
        <v>5.0000000000000031E-8</v>
      </c>
      <c r="BH6" s="215">
        <f t="shared" ref="BH6:BH21" si="13">BE6/($BE6+$BF6+$BG6)</f>
        <v>0.99989748095297026</v>
      </c>
      <c r="BI6" s="215">
        <f t="shared" ref="BI6:BI21" si="14">BF6/($BE6+$BF6+$BG6)</f>
        <v>1.0198786025750882E-4</v>
      </c>
      <c r="BJ6" s="215">
        <f t="shared" ref="BJ6:BJ21" si="15">BG6/($BE6+$BF6+$BG6)</f>
        <v>5.3118677217452518E-7</v>
      </c>
      <c r="BK6" s="215">
        <f t="shared" si="9"/>
        <v>2.7292535971553895</v>
      </c>
      <c r="BL6" s="215">
        <f t="shared" si="10"/>
        <v>2.6923318287166831</v>
      </c>
      <c r="BM6" s="215">
        <f t="shared" si="11"/>
        <v>2.6128362393480535</v>
      </c>
      <c r="BN6" s="215">
        <f t="shared" ref="BN6:BN21" si="16">(BH6*NORMSDIST(-BK6)+BI6*NORMSDIST(-BL6)+BJ6*NORMSDIST(-BM6))/0.000156</f>
        <v>20.345719261669462</v>
      </c>
      <c r="BO6" s="215">
        <f>IF(OR(COF!C8=COF!$TJ$6,COF!C8=COF!$TJ$8,COF!C8=COF!$TJ$9,COF!C8=COF!$TJ$11,COF!E8=COF!$TM$18),MAX(BN6*AA6*AB6*AC6*AD6*AE6/Z6,0.1),0)</f>
        <v>20.345719261669462</v>
      </c>
    </row>
    <row r="7" spans="2:82" x14ac:dyDescent="0.35">
      <c r="B7" s="161" t="str">
        <f>'Tratamento de Dados'!B14</f>
        <v>V-10</v>
      </c>
      <c r="C7" s="161" t="str">
        <f>'Tratamento de Dados'!D14</f>
        <v>Casco</v>
      </c>
      <c r="D7" s="209" t="str">
        <f>'Tratamento de Dados'!AZ14</f>
        <v>Generalizada</v>
      </c>
      <c r="E7" s="209">
        <f>'Tratamento de Dados'!BA14</f>
        <v>10</v>
      </c>
      <c r="F7" s="210">
        <f>'Tratamento de Dados'!X14</f>
        <v>43831</v>
      </c>
      <c r="G7" s="210">
        <f>'Tratamento de Dados'!Z14</f>
        <v>43833</v>
      </c>
      <c r="H7" s="209" t="str">
        <f>'Tratamento de Dados'!BB14</f>
        <v>Não</v>
      </c>
      <c r="I7" s="209">
        <f>'Tratamento de Dados'!BC14</f>
        <v>0</v>
      </c>
      <c r="J7" s="209">
        <f>'Tratamento de Dados'!BD14</f>
        <v>3</v>
      </c>
      <c r="K7" s="209">
        <f>'Tratamento de Dados'!BE14</f>
        <v>4</v>
      </c>
      <c r="L7" s="210">
        <f>'Tratamento de Dados'!BF14</f>
        <v>1</v>
      </c>
      <c r="M7" s="209">
        <f>'Tratamento de Dados'!BG14</f>
        <v>2</v>
      </c>
      <c r="N7" s="209">
        <f>'Tratamento de Dados'!BH14</f>
        <v>2</v>
      </c>
      <c r="O7" s="218">
        <f>'Tratamento de Dados'!BI14</f>
        <v>0</v>
      </c>
      <c r="P7" s="209">
        <f>'Tratamento de Dados'!BJ14</f>
        <v>10</v>
      </c>
      <c r="Q7" s="209">
        <f>'Tratamento de Dados'!BK14</f>
        <v>20</v>
      </c>
      <c r="R7" s="209">
        <f>'Tratamento de Dados'!BL14</f>
        <v>1</v>
      </c>
      <c r="S7" s="209" t="str">
        <f>'Tratamento de Dados'!BM14</f>
        <v>Head</v>
      </c>
      <c r="T7" s="218">
        <f>'Tratamento de Dados'!BN14</f>
        <v>0</v>
      </c>
      <c r="U7" s="219">
        <f>'Tratamento de Dados'!BO14</f>
        <v>1</v>
      </c>
      <c r="V7" s="219">
        <f>'Tratamento de Dados'!BP14</f>
        <v>2</v>
      </c>
      <c r="W7" s="219">
        <f>'Tratamento de Dados'!BQ14</f>
        <v>3</v>
      </c>
      <c r="X7" s="219">
        <f>'Tratamento de Dados'!BR14</f>
        <v>0</v>
      </c>
      <c r="Y7" s="219" t="str">
        <f>'Tratamento de Dados'!BS14</f>
        <v>High Confidence Data</v>
      </c>
      <c r="Z7" s="568">
        <f>'Tratamento de Dados'!BT14</f>
        <v>1</v>
      </c>
      <c r="AA7" s="568">
        <f>'Tratamento de Dados'!BU14</f>
        <v>1</v>
      </c>
      <c r="AB7" s="568">
        <f>'Tratamento de Dados'!BV14</f>
        <v>1</v>
      </c>
      <c r="AC7" s="281">
        <v>1</v>
      </c>
      <c r="AD7" s="281">
        <v>1</v>
      </c>
      <c r="AE7" s="281">
        <v>1</v>
      </c>
      <c r="AF7" s="211">
        <f t="shared" si="0"/>
        <v>5.4757015742642025E-3</v>
      </c>
      <c r="AG7" s="211">
        <f t="shared" si="1"/>
        <v>2</v>
      </c>
      <c r="AH7" s="211">
        <f t="shared" si="2"/>
        <v>120.00547570157427</v>
      </c>
      <c r="AI7" s="215">
        <f>IF(H7=COF!$TH$10,MAX(I7/K7,0),0)</f>
        <v>0</v>
      </c>
      <c r="AJ7" s="215">
        <f t="shared" si="3"/>
        <v>180.00821355236141</v>
      </c>
      <c r="AK7" s="215">
        <f t="shared" si="4"/>
        <v>16.5</v>
      </c>
      <c r="AL7" s="215">
        <f>COF!R9*Thinning!$BS$4/1000</f>
        <v>0</v>
      </c>
      <c r="AM7" s="215">
        <f>COF!O9</f>
        <v>0</v>
      </c>
      <c r="AN7" s="215">
        <f t="shared" si="5"/>
        <v>1.1299999999999999</v>
      </c>
      <c r="AO7" s="215">
        <f t="shared" si="12"/>
        <v>0</v>
      </c>
      <c r="AP7" s="215">
        <f>INDEX('Tables - Part 2'!$K$4:$M$4,,MATCH(Thinning!$Y7,'Tables - Part 2'!$K$3:$M$3,0))</f>
        <v>0.8</v>
      </c>
      <c r="AQ7" s="215">
        <f>INDEX('Tables - Part 2'!$K$5:$M$5,,MATCH(Thinning!$Y7,'Tables - Part 2'!$K$3:$M$3,0))</f>
        <v>0.15</v>
      </c>
      <c r="AR7" s="215">
        <f>INDEX('Tables - Part 2'!$K$6:$M$6,,MATCH(Thinning!$Y7,'Tables - Part 2'!$K$3:$M$3,0))</f>
        <v>0.05</v>
      </c>
      <c r="AS7" s="215">
        <v>0.9</v>
      </c>
      <c r="AT7" s="215">
        <v>0.7</v>
      </c>
      <c r="AU7" s="215">
        <v>0.5</v>
      </c>
      <c r="AV7" s="215">
        <v>0.4</v>
      </c>
      <c r="AW7" s="215">
        <v>0.09</v>
      </c>
      <c r="AX7" s="215">
        <v>0.2</v>
      </c>
      <c r="AY7" s="215">
        <v>0.3</v>
      </c>
      <c r="AZ7" s="215">
        <v>0.33</v>
      </c>
      <c r="BA7" s="215">
        <v>0.01</v>
      </c>
      <c r="BB7" s="215">
        <v>0.1</v>
      </c>
      <c r="BC7" s="215">
        <v>0.2</v>
      </c>
      <c r="BD7" s="215">
        <v>0.27</v>
      </c>
      <c r="BE7" s="215">
        <f t="shared" si="6"/>
        <v>4.41E-2</v>
      </c>
      <c r="BF7" s="215">
        <f t="shared" si="7"/>
        <v>1.4580000000000003E-5</v>
      </c>
      <c r="BG7" s="215">
        <f t="shared" si="8"/>
        <v>4.0000000000000021E-8</v>
      </c>
      <c r="BH7" s="215">
        <f t="shared" si="13"/>
        <v>0.9996685905942293</v>
      </c>
      <c r="BI7" s="215">
        <f t="shared" si="14"/>
        <v>3.3050267689033712E-4</v>
      </c>
      <c r="BJ7" s="215">
        <f t="shared" si="15"/>
        <v>9.0672888035757812E-7</v>
      </c>
      <c r="BK7" s="215">
        <f t="shared" si="9"/>
        <v>-3.5256723959524909</v>
      </c>
      <c r="BL7" s="215">
        <f t="shared" si="10"/>
        <v>-3.5306134228188442</v>
      </c>
      <c r="BM7" s="215">
        <f t="shared" si="11"/>
        <v>-3.5330762270066614</v>
      </c>
      <c r="BN7" s="215">
        <f t="shared" si="16"/>
        <v>6408.9025430933179</v>
      </c>
      <c r="BO7" s="215">
        <f>IF(OR(COF!C9=COF!$TJ$6,COF!C9=COF!$TJ$8,COF!C9=COF!$TJ$9,COF!C9=COF!$TJ$11,COF!E9=COF!$TM$18),MAX(BN7*AA7*AB7*AC7*AD7*AE7/Z7,0.1),0)</f>
        <v>0</v>
      </c>
    </row>
    <row r="8" spans="2:82" x14ac:dyDescent="0.35">
      <c r="B8" s="161" t="str">
        <f>'Tratamento de Dados'!B15</f>
        <v>V-11</v>
      </c>
      <c r="C8" s="161" t="str">
        <f>'Tratamento de Dados'!D15</f>
        <v>Casco</v>
      </c>
      <c r="D8" s="209" t="str">
        <f>'Tratamento de Dados'!AZ15</f>
        <v>Generalizada</v>
      </c>
      <c r="E8" s="209">
        <f>'Tratamento de Dados'!BA15</f>
        <v>10</v>
      </c>
      <c r="F8" s="210">
        <f>'Tratamento de Dados'!X15</f>
        <v>43831</v>
      </c>
      <c r="G8" s="210">
        <f>'Tratamento de Dados'!Z15</f>
        <v>43833</v>
      </c>
      <c r="H8" s="209" t="str">
        <f>'Tratamento de Dados'!BB15</f>
        <v>Não</v>
      </c>
      <c r="I8" s="209">
        <f>'Tratamento de Dados'!BC15</f>
        <v>0</v>
      </c>
      <c r="J8" s="209">
        <f>'Tratamento de Dados'!BD15</f>
        <v>3</v>
      </c>
      <c r="K8" s="209">
        <f>'Tratamento de Dados'!BE15</f>
        <v>4</v>
      </c>
      <c r="L8" s="210">
        <f>'Tratamento de Dados'!BF15</f>
        <v>1</v>
      </c>
      <c r="M8" s="209">
        <f>'Tratamento de Dados'!BG15</f>
        <v>2</v>
      </c>
      <c r="N8" s="209">
        <f>'Tratamento de Dados'!BH15</f>
        <v>2</v>
      </c>
      <c r="O8" s="218">
        <f>'Tratamento de Dados'!BI15</f>
        <v>0</v>
      </c>
      <c r="P8" s="209">
        <f>'Tratamento de Dados'!BJ15</f>
        <v>10</v>
      </c>
      <c r="Q8" s="209">
        <f>'Tratamento de Dados'!BK15</f>
        <v>20</v>
      </c>
      <c r="R8" s="209">
        <f>'Tratamento de Dados'!BL15</f>
        <v>1</v>
      </c>
      <c r="S8" s="209" t="str">
        <f>'Tratamento de Dados'!BM15</f>
        <v>Head</v>
      </c>
      <c r="T8" s="218">
        <f>'Tratamento de Dados'!BN15</f>
        <v>0</v>
      </c>
      <c r="U8" s="219">
        <f>'Tratamento de Dados'!BO15</f>
        <v>1</v>
      </c>
      <c r="V8" s="219">
        <f>'Tratamento de Dados'!BP15</f>
        <v>2</v>
      </c>
      <c r="W8" s="219">
        <f>'Tratamento de Dados'!BQ15</f>
        <v>3</v>
      </c>
      <c r="X8" s="219">
        <f>'Tratamento de Dados'!BR15</f>
        <v>0</v>
      </c>
      <c r="Y8" s="219" t="str">
        <f>'Tratamento de Dados'!BS15</f>
        <v>High Confidence Data</v>
      </c>
      <c r="Z8" s="568">
        <f>'Tratamento de Dados'!BT15</f>
        <v>1</v>
      </c>
      <c r="AA8" s="568">
        <f>'Tratamento de Dados'!BU15</f>
        <v>1</v>
      </c>
      <c r="AB8" s="568">
        <f>'Tratamento de Dados'!BV15</f>
        <v>1</v>
      </c>
      <c r="AC8" s="281">
        <v>1</v>
      </c>
      <c r="AD8" s="281">
        <v>1</v>
      </c>
      <c r="AE8" s="281">
        <v>1</v>
      </c>
      <c r="AF8" s="211">
        <f t="shared" si="0"/>
        <v>5.4757015742642025E-3</v>
      </c>
      <c r="AG8" s="211">
        <f t="shared" si="1"/>
        <v>2</v>
      </c>
      <c r="AH8" s="211">
        <f t="shared" si="2"/>
        <v>120.00547570157427</v>
      </c>
      <c r="AI8" s="215">
        <f>IF(H8=COF!$TH$10,MAX(I8/K8,0),0)</f>
        <v>0</v>
      </c>
      <c r="AJ8" s="215">
        <f t="shared" si="3"/>
        <v>180.00821355236141</v>
      </c>
      <c r="AK8" s="215">
        <f t="shared" si="4"/>
        <v>16.5</v>
      </c>
      <c r="AL8" s="215">
        <f>COF!R10*Thinning!$BS$4/1000</f>
        <v>0</v>
      </c>
      <c r="AM8" s="215">
        <f>COF!O10</f>
        <v>0</v>
      </c>
      <c r="AN8" s="215">
        <f t="shared" si="5"/>
        <v>1.1299999999999999</v>
      </c>
      <c r="AO8" s="215">
        <f t="shared" si="12"/>
        <v>0</v>
      </c>
      <c r="AP8" s="215">
        <f>INDEX('Tables - Part 2'!$K$4:$M$4,,MATCH(Thinning!$Y8,'Tables - Part 2'!$K$3:$M$3,0))</f>
        <v>0.8</v>
      </c>
      <c r="AQ8" s="215">
        <f>INDEX('Tables - Part 2'!$K$5:$M$5,,MATCH(Thinning!$Y8,'Tables - Part 2'!$K$3:$M$3,0))</f>
        <v>0.15</v>
      </c>
      <c r="AR8" s="215">
        <f>INDEX('Tables - Part 2'!$K$6:$M$6,,MATCH(Thinning!$Y8,'Tables - Part 2'!$K$3:$M$3,0))</f>
        <v>0.05</v>
      </c>
      <c r="AS8" s="215">
        <v>0.9</v>
      </c>
      <c r="AT8" s="215">
        <v>0.7</v>
      </c>
      <c r="AU8" s="215">
        <v>0.5</v>
      </c>
      <c r="AV8" s="215">
        <v>0.4</v>
      </c>
      <c r="AW8" s="215">
        <v>0.09</v>
      </c>
      <c r="AX8" s="215">
        <v>0.2</v>
      </c>
      <c r="AY8" s="215">
        <v>0.3</v>
      </c>
      <c r="AZ8" s="215">
        <v>0.33</v>
      </c>
      <c r="BA8" s="215">
        <v>0.01</v>
      </c>
      <c r="BB8" s="215">
        <v>0.1</v>
      </c>
      <c r="BC8" s="215">
        <v>0.2</v>
      </c>
      <c r="BD8" s="215">
        <v>0.27</v>
      </c>
      <c r="BE8" s="215">
        <f t="shared" si="6"/>
        <v>4.41E-2</v>
      </c>
      <c r="BF8" s="215">
        <f t="shared" si="7"/>
        <v>1.4580000000000003E-5</v>
      </c>
      <c r="BG8" s="215">
        <f t="shared" si="8"/>
        <v>4.0000000000000021E-8</v>
      </c>
      <c r="BH8" s="215">
        <f t="shared" si="13"/>
        <v>0.9996685905942293</v>
      </c>
      <c r="BI8" s="215">
        <f t="shared" si="14"/>
        <v>3.3050267689033712E-4</v>
      </c>
      <c r="BJ8" s="215">
        <f t="shared" si="15"/>
        <v>9.0672888035757812E-7</v>
      </c>
      <c r="BK8" s="215">
        <f t="shared" si="9"/>
        <v>-3.5256723959524909</v>
      </c>
      <c r="BL8" s="215">
        <f t="shared" si="10"/>
        <v>-3.5306134228188442</v>
      </c>
      <c r="BM8" s="215">
        <f t="shared" si="11"/>
        <v>-3.5330762270066614</v>
      </c>
      <c r="BN8" s="215">
        <f t="shared" si="16"/>
        <v>6408.9025430933179</v>
      </c>
      <c r="BO8" s="215">
        <f>IF(OR(COF!C10=COF!$TJ$6,COF!C10=COF!$TJ$8,COF!C10=COF!$TJ$9,COF!C10=COF!$TJ$11,COF!E10=COF!$TM$18),MAX(BN8*AA8*AB8*AC8*AD8*AE8/Z8,0.1),0)</f>
        <v>0</v>
      </c>
    </row>
    <row r="9" spans="2:82" x14ac:dyDescent="0.35">
      <c r="B9" s="161" t="str">
        <f>'Tratamento de Dados'!B16</f>
        <v>V-13</v>
      </c>
      <c r="C9" s="161" t="str">
        <f>'Tratamento de Dados'!D16</f>
        <v>Casco</v>
      </c>
      <c r="D9" s="209" t="str">
        <f>'Tratamento de Dados'!AZ16</f>
        <v>Generalizada</v>
      </c>
      <c r="E9" s="209">
        <f>'Tratamento de Dados'!BA16</f>
        <v>10</v>
      </c>
      <c r="F9" s="210">
        <f>'Tratamento de Dados'!X16</f>
        <v>43831</v>
      </c>
      <c r="G9" s="210">
        <f>'Tratamento de Dados'!Z16</f>
        <v>43833</v>
      </c>
      <c r="H9" s="209" t="str">
        <f>'Tratamento de Dados'!BB16</f>
        <v>Não</v>
      </c>
      <c r="I9" s="209">
        <f>'Tratamento de Dados'!BC16</f>
        <v>0</v>
      </c>
      <c r="J9" s="209">
        <f>'Tratamento de Dados'!BD16</f>
        <v>3</v>
      </c>
      <c r="K9" s="209">
        <f>'Tratamento de Dados'!BE16</f>
        <v>4</v>
      </c>
      <c r="L9" s="210">
        <f>'Tratamento de Dados'!BF16</f>
        <v>1</v>
      </c>
      <c r="M9" s="209">
        <f>'Tratamento de Dados'!BG16</f>
        <v>2</v>
      </c>
      <c r="N9" s="209">
        <f>'Tratamento de Dados'!BH16</f>
        <v>2</v>
      </c>
      <c r="O9" s="218">
        <f>'Tratamento de Dados'!BI16</f>
        <v>0</v>
      </c>
      <c r="P9" s="209">
        <f>'Tratamento de Dados'!BJ16</f>
        <v>10</v>
      </c>
      <c r="Q9" s="209">
        <f>'Tratamento de Dados'!BK16</f>
        <v>20</v>
      </c>
      <c r="R9" s="209">
        <f>'Tratamento de Dados'!BL16</f>
        <v>1</v>
      </c>
      <c r="S9" s="209" t="str">
        <f>'Tratamento de Dados'!BM16</f>
        <v>Head</v>
      </c>
      <c r="T9" s="218">
        <f>'Tratamento de Dados'!BN16</f>
        <v>0</v>
      </c>
      <c r="U9" s="219">
        <f>'Tratamento de Dados'!BO16</f>
        <v>1</v>
      </c>
      <c r="V9" s="219">
        <f>'Tratamento de Dados'!BP16</f>
        <v>2</v>
      </c>
      <c r="W9" s="219">
        <f>'Tratamento de Dados'!BQ16</f>
        <v>3</v>
      </c>
      <c r="X9" s="219">
        <f>'Tratamento de Dados'!BR16</f>
        <v>0</v>
      </c>
      <c r="Y9" s="219" t="str">
        <f>'Tratamento de Dados'!BS16</f>
        <v>High Confidence Data</v>
      </c>
      <c r="Z9" s="568">
        <f>'Tratamento de Dados'!BT16</f>
        <v>1</v>
      </c>
      <c r="AA9" s="568">
        <f>'Tratamento de Dados'!BU16</f>
        <v>1</v>
      </c>
      <c r="AB9" s="568">
        <f>'Tratamento de Dados'!BV16</f>
        <v>1</v>
      </c>
      <c r="AC9" s="281">
        <v>1</v>
      </c>
      <c r="AD9" s="281">
        <v>1</v>
      </c>
      <c r="AE9" s="281">
        <v>1</v>
      </c>
      <c r="AF9" s="211">
        <f t="shared" si="0"/>
        <v>5.4757015742642025E-3</v>
      </c>
      <c r="AG9" s="211">
        <f t="shared" si="1"/>
        <v>2</v>
      </c>
      <c r="AH9" s="211">
        <f t="shared" si="2"/>
        <v>120.00547570157427</v>
      </c>
      <c r="AI9" s="215">
        <f>IF(H9=COF!$TH$10,MAX(I9/K9,0),0)</f>
        <v>0</v>
      </c>
      <c r="AJ9" s="215">
        <f t="shared" si="3"/>
        <v>180.00821355236141</v>
      </c>
      <c r="AK9" s="215">
        <f t="shared" si="4"/>
        <v>16.5</v>
      </c>
      <c r="AL9" s="215">
        <f>COF!R11*Thinning!$BS$4/1000</f>
        <v>0</v>
      </c>
      <c r="AM9" s="215">
        <f>COF!O11</f>
        <v>0</v>
      </c>
      <c r="AN9" s="215">
        <f t="shared" si="5"/>
        <v>1.1299999999999999</v>
      </c>
      <c r="AO9" s="215">
        <f t="shared" si="12"/>
        <v>0</v>
      </c>
      <c r="AP9" s="215">
        <f>INDEX('Tables - Part 2'!$K$4:$M$4,,MATCH(Thinning!$Y9,'Tables - Part 2'!$K$3:$M$3,0))</f>
        <v>0.8</v>
      </c>
      <c r="AQ9" s="215">
        <f>INDEX('Tables - Part 2'!$K$5:$M$5,,MATCH(Thinning!$Y9,'Tables - Part 2'!$K$3:$M$3,0))</f>
        <v>0.15</v>
      </c>
      <c r="AR9" s="215">
        <f>INDEX('Tables - Part 2'!$K$6:$M$6,,MATCH(Thinning!$Y9,'Tables - Part 2'!$K$3:$M$3,0))</f>
        <v>0.05</v>
      </c>
      <c r="AS9" s="215">
        <v>0.9</v>
      </c>
      <c r="AT9" s="215">
        <v>0.7</v>
      </c>
      <c r="AU9" s="215">
        <v>0.5</v>
      </c>
      <c r="AV9" s="215">
        <v>0.4</v>
      </c>
      <c r="AW9" s="215">
        <v>0.09</v>
      </c>
      <c r="AX9" s="215">
        <v>0.2</v>
      </c>
      <c r="AY9" s="215">
        <v>0.3</v>
      </c>
      <c r="AZ9" s="215">
        <v>0.33</v>
      </c>
      <c r="BA9" s="215">
        <v>0.01</v>
      </c>
      <c r="BB9" s="215">
        <v>0.1</v>
      </c>
      <c r="BC9" s="215">
        <v>0.2</v>
      </c>
      <c r="BD9" s="215">
        <v>0.27</v>
      </c>
      <c r="BE9" s="215">
        <f t="shared" si="6"/>
        <v>4.41E-2</v>
      </c>
      <c r="BF9" s="215">
        <f t="shared" si="7"/>
        <v>1.4580000000000003E-5</v>
      </c>
      <c r="BG9" s="215">
        <f t="shared" si="8"/>
        <v>4.0000000000000021E-8</v>
      </c>
      <c r="BH9" s="215">
        <f t="shared" si="13"/>
        <v>0.9996685905942293</v>
      </c>
      <c r="BI9" s="215">
        <f t="shared" si="14"/>
        <v>3.3050267689033712E-4</v>
      </c>
      <c r="BJ9" s="215">
        <f t="shared" si="15"/>
        <v>9.0672888035757812E-7</v>
      </c>
      <c r="BK9" s="215">
        <f t="shared" si="9"/>
        <v>-3.5256723959524909</v>
      </c>
      <c r="BL9" s="215">
        <f t="shared" si="10"/>
        <v>-3.5306134228188442</v>
      </c>
      <c r="BM9" s="215">
        <f t="shared" si="11"/>
        <v>-3.5330762270066614</v>
      </c>
      <c r="BN9" s="215">
        <f t="shared" si="16"/>
        <v>6408.9025430933179</v>
      </c>
      <c r="BO9" s="215">
        <f>IF(OR(COF!C11=COF!$TJ$6,COF!C11=COF!$TJ$8,COF!C11=COF!$TJ$9,COF!C11=COF!$TJ$11,COF!E11=COF!$TM$18),MAX(BN9*AA9*AB9*AC9*AD9*AE9/Z9,0.1),0)</f>
        <v>0</v>
      </c>
    </row>
    <row r="10" spans="2:82" x14ac:dyDescent="0.35">
      <c r="B10" s="161" t="str">
        <f>'Tratamento de Dados'!B17</f>
        <v>V-14</v>
      </c>
      <c r="C10" s="161" t="str">
        <f>'Tratamento de Dados'!D17</f>
        <v>Casco</v>
      </c>
      <c r="D10" s="209" t="str">
        <f>'Tratamento de Dados'!AZ17</f>
        <v>Generalizada</v>
      </c>
      <c r="E10" s="209">
        <f>'Tratamento de Dados'!BA17</f>
        <v>10</v>
      </c>
      <c r="F10" s="210">
        <f>'Tratamento de Dados'!X17</f>
        <v>43831</v>
      </c>
      <c r="G10" s="210">
        <f>'Tratamento de Dados'!Z17</f>
        <v>43833</v>
      </c>
      <c r="H10" s="209" t="str">
        <f>'Tratamento de Dados'!BB17</f>
        <v>Não</v>
      </c>
      <c r="I10" s="209">
        <f>'Tratamento de Dados'!BC17</f>
        <v>0</v>
      </c>
      <c r="J10" s="209">
        <f>'Tratamento de Dados'!BD17</f>
        <v>3</v>
      </c>
      <c r="K10" s="209">
        <f>'Tratamento de Dados'!BE17</f>
        <v>4</v>
      </c>
      <c r="L10" s="210">
        <f>'Tratamento de Dados'!BF17</f>
        <v>1</v>
      </c>
      <c r="M10" s="209">
        <f>'Tratamento de Dados'!BG17</f>
        <v>2</v>
      </c>
      <c r="N10" s="209">
        <f>'Tratamento de Dados'!BH17</f>
        <v>2</v>
      </c>
      <c r="O10" s="218">
        <f>'Tratamento de Dados'!BI17</f>
        <v>0</v>
      </c>
      <c r="P10" s="209">
        <f>'Tratamento de Dados'!BJ17</f>
        <v>10</v>
      </c>
      <c r="Q10" s="209">
        <f>'Tratamento de Dados'!BK17</f>
        <v>20</v>
      </c>
      <c r="R10" s="209">
        <f>'Tratamento de Dados'!BL17</f>
        <v>1</v>
      </c>
      <c r="S10" s="209" t="str">
        <f>'Tratamento de Dados'!BM17</f>
        <v>Head</v>
      </c>
      <c r="T10" s="218">
        <f>'Tratamento de Dados'!BN17</f>
        <v>0</v>
      </c>
      <c r="U10" s="219">
        <f>'Tratamento de Dados'!BO17</f>
        <v>1</v>
      </c>
      <c r="V10" s="219">
        <f>'Tratamento de Dados'!BP17</f>
        <v>2</v>
      </c>
      <c r="W10" s="219">
        <f>'Tratamento de Dados'!BQ17</f>
        <v>3</v>
      </c>
      <c r="X10" s="219">
        <f>'Tratamento de Dados'!BR17</f>
        <v>0</v>
      </c>
      <c r="Y10" s="219" t="str">
        <f>'Tratamento de Dados'!BS17</f>
        <v>High Confidence Data</v>
      </c>
      <c r="Z10" s="568">
        <f>'Tratamento de Dados'!BT17</f>
        <v>1</v>
      </c>
      <c r="AA10" s="568">
        <f>'Tratamento de Dados'!BU17</f>
        <v>1</v>
      </c>
      <c r="AB10" s="568">
        <f>'Tratamento de Dados'!BV17</f>
        <v>1</v>
      </c>
      <c r="AC10" s="281">
        <v>1</v>
      </c>
      <c r="AD10" s="281">
        <v>1</v>
      </c>
      <c r="AE10" s="281">
        <v>1</v>
      </c>
      <c r="AF10" s="211">
        <f t="shared" si="0"/>
        <v>5.4757015742642025E-3</v>
      </c>
      <c r="AG10" s="211">
        <f t="shared" si="1"/>
        <v>2</v>
      </c>
      <c r="AH10" s="211">
        <f t="shared" si="2"/>
        <v>120.00547570157427</v>
      </c>
      <c r="AI10" s="215">
        <f>IF(H10=COF!$TH$10,MAX(I10/K10,0),0)</f>
        <v>0</v>
      </c>
      <c r="AJ10" s="215">
        <f t="shared" si="3"/>
        <v>180.00821355236141</v>
      </c>
      <c r="AK10" s="215">
        <f t="shared" si="4"/>
        <v>16.5</v>
      </c>
      <c r="AL10" s="215">
        <f>COF!R12*Thinning!$BS$4/1000</f>
        <v>0</v>
      </c>
      <c r="AM10" s="215">
        <f>COF!O12</f>
        <v>0</v>
      </c>
      <c r="AN10" s="215">
        <f t="shared" si="5"/>
        <v>1.1299999999999999</v>
      </c>
      <c r="AO10" s="215">
        <f t="shared" si="12"/>
        <v>0</v>
      </c>
      <c r="AP10" s="215">
        <f>INDEX('Tables - Part 2'!$K$4:$M$4,,MATCH(Thinning!$Y10,'Tables - Part 2'!$K$3:$M$3,0))</f>
        <v>0.8</v>
      </c>
      <c r="AQ10" s="215">
        <f>INDEX('Tables - Part 2'!$K$5:$M$5,,MATCH(Thinning!$Y10,'Tables - Part 2'!$K$3:$M$3,0))</f>
        <v>0.15</v>
      </c>
      <c r="AR10" s="215">
        <f>INDEX('Tables - Part 2'!$K$6:$M$6,,MATCH(Thinning!$Y10,'Tables - Part 2'!$K$3:$M$3,0))</f>
        <v>0.05</v>
      </c>
      <c r="AS10" s="215">
        <v>0.9</v>
      </c>
      <c r="AT10" s="215">
        <v>0.7</v>
      </c>
      <c r="AU10" s="215">
        <v>0.5</v>
      </c>
      <c r="AV10" s="215">
        <v>0.4</v>
      </c>
      <c r="AW10" s="215">
        <v>0.09</v>
      </c>
      <c r="AX10" s="215">
        <v>0.2</v>
      </c>
      <c r="AY10" s="215">
        <v>0.3</v>
      </c>
      <c r="AZ10" s="215">
        <v>0.33</v>
      </c>
      <c r="BA10" s="215">
        <v>0.01</v>
      </c>
      <c r="BB10" s="215">
        <v>0.1</v>
      </c>
      <c r="BC10" s="215">
        <v>0.2</v>
      </c>
      <c r="BD10" s="215">
        <v>0.27</v>
      </c>
      <c r="BE10" s="215">
        <f t="shared" si="6"/>
        <v>4.41E-2</v>
      </c>
      <c r="BF10" s="215">
        <f t="shared" si="7"/>
        <v>1.4580000000000003E-5</v>
      </c>
      <c r="BG10" s="215">
        <f t="shared" si="8"/>
        <v>4.0000000000000021E-8</v>
      </c>
      <c r="BH10" s="215">
        <f t="shared" si="13"/>
        <v>0.9996685905942293</v>
      </c>
      <c r="BI10" s="215">
        <f t="shared" si="14"/>
        <v>3.3050267689033712E-4</v>
      </c>
      <c r="BJ10" s="215">
        <f t="shared" si="15"/>
        <v>9.0672888035757812E-7</v>
      </c>
      <c r="BK10" s="215">
        <f t="shared" si="9"/>
        <v>-3.5256723959524909</v>
      </c>
      <c r="BL10" s="215">
        <f t="shared" si="10"/>
        <v>-3.5306134228188442</v>
      </c>
      <c r="BM10" s="215">
        <f t="shared" si="11"/>
        <v>-3.5330762270066614</v>
      </c>
      <c r="BN10" s="215">
        <f t="shared" si="16"/>
        <v>6408.9025430933179</v>
      </c>
      <c r="BO10" s="215">
        <f>IF(OR(COF!C12=COF!$TJ$6,COF!C12=COF!$TJ$8,COF!C12=COF!$TJ$9,COF!C12=COF!$TJ$11,COF!E12=COF!$TM$18),MAX(BN10*AA10*AB10*AC10*AD10*AE10/Z10,0.1),0)</f>
        <v>0</v>
      </c>
    </row>
    <row r="11" spans="2:82" x14ac:dyDescent="0.35">
      <c r="B11" s="161" t="str">
        <f>'Tratamento de Dados'!B18</f>
        <v>V-1</v>
      </c>
      <c r="C11" s="161" t="str">
        <f>'Tratamento de Dados'!D18</f>
        <v>Casco</v>
      </c>
      <c r="D11" s="209" t="str">
        <f>'Tratamento de Dados'!AZ18</f>
        <v>Generalizada</v>
      </c>
      <c r="E11" s="209">
        <f>'Tratamento de Dados'!BA18</f>
        <v>10</v>
      </c>
      <c r="F11" s="210">
        <f>'Tratamento de Dados'!X18</f>
        <v>43831</v>
      </c>
      <c r="G11" s="210">
        <f>'Tratamento de Dados'!Z18</f>
        <v>43833</v>
      </c>
      <c r="H11" s="209" t="str">
        <f>'Tratamento de Dados'!BB18</f>
        <v>Não</v>
      </c>
      <c r="I11" s="209">
        <f>'Tratamento de Dados'!BC18</f>
        <v>0</v>
      </c>
      <c r="J11" s="209">
        <f>'Tratamento de Dados'!BD18</f>
        <v>3</v>
      </c>
      <c r="K11" s="209">
        <f>'Tratamento de Dados'!BE18</f>
        <v>4</v>
      </c>
      <c r="L11" s="210">
        <f>'Tratamento de Dados'!BF18</f>
        <v>1</v>
      </c>
      <c r="M11" s="209">
        <f>'Tratamento de Dados'!BG18</f>
        <v>2</v>
      </c>
      <c r="N11" s="209">
        <f>'Tratamento de Dados'!BH18</f>
        <v>2</v>
      </c>
      <c r="O11" s="218">
        <f>'Tratamento de Dados'!BI18</f>
        <v>0</v>
      </c>
      <c r="P11" s="209">
        <f>'Tratamento de Dados'!BJ18</f>
        <v>10</v>
      </c>
      <c r="Q11" s="209">
        <f>'Tratamento de Dados'!BK18</f>
        <v>20</v>
      </c>
      <c r="R11" s="209">
        <f>'Tratamento de Dados'!BL18</f>
        <v>1</v>
      </c>
      <c r="S11" s="209" t="str">
        <f>'Tratamento de Dados'!BM18</f>
        <v>Head</v>
      </c>
      <c r="T11" s="218">
        <f>'Tratamento de Dados'!BN18</f>
        <v>0</v>
      </c>
      <c r="U11" s="219">
        <f>'Tratamento de Dados'!BO18</f>
        <v>1</v>
      </c>
      <c r="V11" s="219">
        <f>'Tratamento de Dados'!BP18</f>
        <v>2</v>
      </c>
      <c r="W11" s="219">
        <f>'Tratamento de Dados'!BQ18</f>
        <v>3</v>
      </c>
      <c r="X11" s="219">
        <f>'Tratamento de Dados'!BR18</f>
        <v>0</v>
      </c>
      <c r="Y11" s="219" t="str">
        <f>'Tratamento de Dados'!BS18</f>
        <v>High Confidence Data</v>
      </c>
      <c r="Z11" s="568">
        <f>'Tratamento de Dados'!BT18</f>
        <v>1</v>
      </c>
      <c r="AA11" s="568">
        <f>'Tratamento de Dados'!BU18</f>
        <v>1</v>
      </c>
      <c r="AB11" s="568">
        <f>'Tratamento de Dados'!BV18</f>
        <v>1</v>
      </c>
      <c r="AC11" s="281">
        <v>1</v>
      </c>
      <c r="AD11" s="281">
        <v>1</v>
      </c>
      <c r="AE11" s="281">
        <v>1</v>
      </c>
      <c r="AF11" s="211">
        <f t="shared" si="0"/>
        <v>5.4757015742642025E-3</v>
      </c>
      <c r="AG11" s="211">
        <f t="shared" si="1"/>
        <v>2</v>
      </c>
      <c r="AH11" s="211">
        <f t="shared" si="2"/>
        <v>120.00547570157427</v>
      </c>
      <c r="AI11" s="215">
        <f>IF(H11=COF!$TH$10,MAX(I11/K11,0),0)</f>
        <v>0</v>
      </c>
      <c r="AJ11" s="215">
        <f t="shared" si="3"/>
        <v>180.00821355236141</v>
      </c>
      <c r="AK11" s="215">
        <f t="shared" si="4"/>
        <v>16.5</v>
      </c>
      <c r="AL11" s="215">
        <f>COF!R13*Thinning!$BS$4/1000</f>
        <v>0</v>
      </c>
      <c r="AM11" s="215">
        <f>COF!O13</f>
        <v>0</v>
      </c>
      <c r="AN11" s="215">
        <f t="shared" si="5"/>
        <v>1.1299999999999999</v>
      </c>
      <c r="AO11" s="215">
        <f t="shared" si="12"/>
        <v>0</v>
      </c>
      <c r="AP11" s="215">
        <f>INDEX('Tables - Part 2'!$K$4:$M$4,,MATCH(Thinning!$Y11,'Tables - Part 2'!$K$3:$M$3,0))</f>
        <v>0.8</v>
      </c>
      <c r="AQ11" s="215">
        <f>INDEX('Tables - Part 2'!$K$5:$M$5,,MATCH(Thinning!$Y11,'Tables - Part 2'!$K$3:$M$3,0))</f>
        <v>0.15</v>
      </c>
      <c r="AR11" s="215">
        <f>INDEX('Tables - Part 2'!$K$6:$M$6,,MATCH(Thinning!$Y11,'Tables - Part 2'!$K$3:$M$3,0))</f>
        <v>0.05</v>
      </c>
      <c r="AS11" s="215">
        <v>0.9</v>
      </c>
      <c r="AT11" s="215">
        <v>0.7</v>
      </c>
      <c r="AU11" s="215">
        <v>0.5</v>
      </c>
      <c r="AV11" s="215">
        <v>0.4</v>
      </c>
      <c r="AW11" s="215">
        <v>0.09</v>
      </c>
      <c r="AX11" s="215">
        <v>0.2</v>
      </c>
      <c r="AY11" s="215">
        <v>0.3</v>
      </c>
      <c r="AZ11" s="215">
        <v>0.33</v>
      </c>
      <c r="BA11" s="215">
        <v>0.01</v>
      </c>
      <c r="BB11" s="215">
        <v>0.1</v>
      </c>
      <c r="BC11" s="215">
        <v>0.2</v>
      </c>
      <c r="BD11" s="215">
        <v>0.27</v>
      </c>
      <c r="BE11" s="215">
        <f t="shared" si="6"/>
        <v>4.41E-2</v>
      </c>
      <c r="BF11" s="215">
        <f t="shared" si="7"/>
        <v>1.4580000000000003E-5</v>
      </c>
      <c r="BG11" s="215">
        <f t="shared" si="8"/>
        <v>4.0000000000000021E-8</v>
      </c>
      <c r="BH11" s="215">
        <f t="shared" si="13"/>
        <v>0.9996685905942293</v>
      </c>
      <c r="BI11" s="215">
        <f t="shared" si="14"/>
        <v>3.3050267689033712E-4</v>
      </c>
      <c r="BJ11" s="215">
        <f t="shared" si="15"/>
        <v>9.0672888035757812E-7</v>
      </c>
      <c r="BK11" s="215">
        <f t="shared" si="9"/>
        <v>-3.5256723959524909</v>
      </c>
      <c r="BL11" s="215">
        <f t="shared" si="10"/>
        <v>-3.5306134228188442</v>
      </c>
      <c r="BM11" s="215">
        <f t="shared" si="11"/>
        <v>-3.5330762270066614</v>
      </c>
      <c r="BN11" s="215">
        <f t="shared" si="16"/>
        <v>6408.9025430933179</v>
      </c>
      <c r="BO11" s="215">
        <f>IF(OR(COF!C13=COF!$TJ$6,COF!C13=COF!$TJ$8,COF!C13=COF!$TJ$9,COF!C13=COF!$TJ$11,COF!E13=COF!$TM$18),MAX(BN11*AA11*AB11*AC11*AD11*AE11/Z11,0.1),0)</f>
        <v>0</v>
      </c>
    </row>
    <row r="12" spans="2:82" x14ac:dyDescent="0.35">
      <c r="B12" s="161" t="str">
        <f>'Tratamento de Dados'!B19</f>
        <v>V-2</v>
      </c>
      <c r="C12" s="161" t="str">
        <f>'Tratamento de Dados'!D19</f>
        <v>Casco</v>
      </c>
      <c r="D12" s="209" t="str">
        <f>'Tratamento de Dados'!AZ19</f>
        <v>Generalizada</v>
      </c>
      <c r="E12" s="209">
        <f>'Tratamento de Dados'!BA19</f>
        <v>10</v>
      </c>
      <c r="F12" s="210">
        <f>'Tratamento de Dados'!X19</f>
        <v>43831</v>
      </c>
      <c r="G12" s="210">
        <f>'Tratamento de Dados'!Z19</f>
        <v>43833</v>
      </c>
      <c r="H12" s="209" t="str">
        <f>'Tratamento de Dados'!BB19</f>
        <v>Não</v>
      </c>
      <c r="I12" s="209">
        <f>'Tratamento de Dados'!BC19</f>
        <v>0</v>
      </c>
      <c r="J12" s="209">
        <f>'Tratamento de Dados'!BD19</f>
        <v>3</v>
      </c>
      <c r="K12" s="209">
        <f>'Tratamento de Dados'!BE19</f>
        <v>4</v>
      </c>
      <c r="L12" s="210">
        <f>'Tratamento de Dados'!BF19</f>
        <v>1</v>
      </c>
      <c r="M12" s="209">
        <f>'Tratamento de Dados'!BG19</f>
        <v>2</v>
      </c>
      <c r="N12" s="209">
        <f>'Tratamento de Dados'!BH19</f>
        <v>2</v>
      </c>
      <c r="O12" s="218">
        <f>'Tratamento de Dados'!BI19</f>
        <v>0</v>
      </c>
      <c r="P12" s="209">
        <f>'Tratamento de Dados'!BJ19</f>
        <v>10</v>
      </c>
      <c r="Q12" s="209">
        <f>'Tratamento de Dados'!BK19</f>
        <v>20</v>
      </c>
      <c r="R12" s="209">
        <f>'Tratamento de Dados'!BL19</f>
        <v>1</v>
      </c>
      <c r="S12" s="209" t="str">
        <f>'Tratamento de Dados'!BM19</f>
        <v>Head</v>
      </c>
      <c r="T12" s="218">
        <f>'Tratamento de Dados'!BN19</f>
        <v>0</v>
      </c>
      <c r="U12" s="219">
        <f>'Tratamento de Dados'!BO19</f>
        <v>1</v>
      </c>
      <c r="V12" s="219">
        <f>'Tratamento de Dados'!BP19</f>
        <v>2</v>
      </c>
      <c r="W12" s="219">
        <f>'Tratamento de Dados'!BQ19</f>
        <v>3</v>
      </c>
      <c r="X12" s="219">
        <f>'Tratamento de Dados'!BR19</f>
        <v>0</v>
      </c>
      <c r="Y12" s="219" t="str">
        <f>'Tratamento de Dados'!BS19</f>
        <v>High Confidence Data</v>
      </c>
      <c r="Z12" s="568">
        <f>'Tratamento de Dados'!BT19</f>
        <v>1</v>
      </c>
      <c r="AA12" s="568">
        <f>'Tratamento de Dados'!BU19</f>
        <v>1</v>
      </c>
      <c r="AB12" s="568">
        <f>'Tratamento de Dados'!BV19</f>
        <v>1</v>
      </c>
      <c r="AC12" s="281">
        <v>1</v>
      </c>
      <c r="AD12" s="281">
        <v>1</v>
      </c>
      <c r="AE12" s="281">
        <v>1</v>
      </c>
      <c r="AF12" s="211">
        <f t="shared" si="0"/>
        <v>5.4757015742642025E-3</v>
      </c>
      <c r="AG12" s="211">
        <f t="shared" si="1"/>
        <v>2</v>
      </c>
      <c r="AH12" s="211">
        <f t="shared" si="2"/>
        <v>120.00547570157427</v>
      </c>
      <c r="AI12" s="215">
        <f>IF(H12=COF!$TH$10,MAX(I12/K12,0),0)</f>
        <v>0</v>
      </c>
      <c r="AJ12" s="215">
        <f t="shared" si="3"/>
        <v>180.00821355236141</v>
      </c>
      <c r="AK12" s="215">
        <f t="shared" si="4"/>
        <v>16.5</v>
      </c>
      <c r="AL12" s="215">
        <f>COF!R14*Thinning!$BS$4/1000</f>
        <v>0</v>
      </c>
      <c r="AM12" s="215">
        <f>COF!O14</f>
        <v>0</v>
      </c>
      <c r="AN12" s="215">
        <f t="shared" si="5"/>
        <v>1.1299999999999999</v>
      </c>
      <c r="AO12" s="215">
        <f t="shared" si="12"/>
        <v>0</v>
      </c>
      <c r="AP12" s="215">
        <f>INDEX('Tables - Part 2'!$K$4:$M$4,,MATCH(Thinning!$Y12,'Tables - Part 2'!$K$3:$M$3,0))</f>
        <v>0.8</v>
      </c>
      <c r="AQ12" s="215">
        <f>INDEX('Tables - Part 2'!$K$5:$M$5,,MATCH(Thinning!$Y12,'Tables - Part 2'!$K$3:$M$3,0))</f>
        <v>0.15</v>
      </c>
      <c r="AR12" s="215">
        <f>INDEX('Tables - Part 2'!$K$6:$M$6,,MATCH(Thinning!$Y12,'Tables - Part 2'!$K$3:$M$3,0))</f>
        <v>0.05</v>
      </c>
      <c r="AS12" s="215">
        <v>0.9</v>
      </c>
      <c r="AT12" s="215">
        <v>0.7</v>
      </c>
      <c r="AU12" s="215">
        <v>0.5</v>
      </c>
      <c r="AV12" s="215">
        <v>0.4</v>
      </c>
      <c r="AW12" s="215">
        <v>0.09</v>
      </c>
      <c r="AX12" s="215">
        <v>0.2</v>
      </c>
      <c r="AY12" s="215">
        <v>0.3</v>
      </c>
      <c r="AZ12" s="215">
        <v>0.33</v>
      </c>
      <c r="BA12" s="215">
        <v>0.01</v>
      </c>
      <c r="BB12" s="215">
        <v>0.1</v>
      </c>
      <c r="BC12" s="215">
        <v>0.2</v>
      </c>
      <c r="BD12" s="215">
        <v>0.27</v>
      </c>
      <c r="BE12" s="215">
        <f t="shared" si="6"/>
        <v>4.41E-2</v>
      </c>
      <c r="BF12" s="215">
        <f t="shared" si="7"/>
        <v>1.4580000000000003E-5</v>
      </c>
      <c r="BG12" s="215">
        <f t="shared" si="8"/>
        <v>4.0000000000000021E-8</v>
      </c>
      <c r="BH12" s="215">
        <f t="shared" si="13"/>
        <v>0.9996685905942293</v>
      </c>
      <c r="BI12" s="215">
        <f t="shared" si="14"/>
        <v>3.3050267689033712E-4</v>
      </c>
      <c r="BJ12" s="215">
        <f t="shared" si="15"/>
        <v>9.0672888035757812E-7</v>
      </c>
      <c r="BK12" s="215">
        <f t="shared" si="9"/>
        <v>-3.5256723959524909</v>
      </c>
      <c r="BL12" s="215">
        <f t="shared" si="10"/>
        <v>-3.5306134228188442</v>
      </c>
      <c r="BM12" s="215">
        <f t="shared" si="11"/>
        <v>-3.5330762270066614</v>
      </c>
      <c r="BN12" s="215">
        <f t="shared" si="16"/>
        <v>6408.9025430933179</v>
      </c>
      <c r="BO12" s="215">
        <f>IF(OR(COF!C14=COF!$TJ$6,COF!C14=COF!$TJ$8,COF!C14=COF!$TJ$9,COF!C14=COF!$TJ$11,COF!E14=COF!$TM$18),MAX(BN12*AA12*AB12*AC12*AD12*AE12/Z12,0.1),0)</f>
        <v>0</v>
      </c>
    </row>
    <row r="13" spans="2:82" x14ac:dyDescent="0.35">
      <c r="B13" s="161" t="str">
        <f>'Tratamento de Dados'!B20</f>
        <v>V-3</v>
      </c>
      <c r="C13" s="161" t="str">
        <f>'Tratamento de Dados'!D20</f>
        <v>Casco</v>
      </c>
      <c r="D13" s="209" t="str">
        <f>'Tratamento de Dados'!AZ20</f>
        <v>Generalizada</v>
      </c>
      <c r="E13" s="209">
        <f>'Tratamento de Dados'!BA20</f>
        <v>10</v>
      </c>
      <c r="F13" s="210">
        <f>'Tratamento de Dados'!X20</f>
        <v>43831</v>
      </c>
      <c r="G13" s="210">
        <f>'Tratamento de Dados'!Z20</f>
        <v>43833</v>
      </c>
      <c r="H13" s="209" t="str">
        <f>'Tratamento de Dados'!BB20</f>
        <v>Não</v>
      </c>
      <c r="I13" s="209">
        <f>'Tratamento de Dados'!BC20</f>
        <v>0</v>
      </c>
      <c r="J13" s="209">
        <f>'Tratamento de Dados'!BD20</f>
        <v>3</v>
      </c>
      <c r="K13" s="209">
        <f>'Tratamento de Dados'!BE20</f>
        <v>4</v>
      </c>
      <c r="L13" s="210">
        <f>'Tratamento de Dados'!BF20</f>
        <v>1</v>
      </c>
      <c r="M13" s="209">
        <f>'Tratamento de Dados'!BG20</f>
        <v>2</v>
      </c>
      <c r="N13" s="209">
        <f>'Tratamento de Dados'!BH20</f>
        <v>2</v>
      </c>
      <c r="O13" s="218">
        <f>'Tratamento de Dados'!BI20</f>
        <v>0</v>
      </c>
      <c r="P13" s="209">
        <f>'Tratamento de Dados'!BJ20</f>
        <v>10</v>
      </c>
      <c r="Q13" s="209">
        <f>'Tratamento de Dados'!BK20</f>
        <v>20</v>
      </c>
      <c r="R13" s="209">
        <f>'Tratamento de Dados'!BL20</f>
        <v>1</v>
      </c>
      <c r="S13" s="209" t="str">
        <f>'Tratamento de Dados'!BM20</f>
        <v>Head</v>
      </c>
      <c r="T13" s="218">
        <f>'Tratamento de Dados'!BN20</f>
        <v>0</v>
      </c>
      <c r="U13" s="219">
        <f>'Tratamento de Dados'!BO20</f>
        <v>1</v>
      </c>
      <c r="V13" s="219">
        <f>'Tratamento de Dados'!BP20</f>
        <v>2</v>
      </c>
      <c r="W13" s="219">
        <f>'Tratamento de Dados'!BQ20</f>
        <v>3</v>
      </c>
      <c r="X13" s="219">
        <f>'Tratamento de Dados'!BR20</f>
        <v>0</v>
      </c>
      <c r="Y13" s="219" t="str">
        <f>'Tratamento de Dados'!BS20</f>
        <v>High Confidence Data</v>
      </c>
      <c r="Z13" s="568">
        <f>'Tratamento de Dados'!BT20</f>
        <v>1</v>
      </c>
      <c r="AA13" s="568">
        <f>'Tratamento de Dados'!BU20</f>
        <v>1</v>
      </c>
      <c r="AB13" s="568">
        <f>'Tratamento de Dados'!BV20</f>
        <v>1</v>
      </c>
      <c r="AC13" s="281">
        <v>1</v>
      </c>
      <c r="AD13" s="281">
        <v>1</v>
      </c>
      <c r="AE13" s="281">
        <v>1</v>
      </c>
      <c r="AF13" s="211">
        <f t="shared" si="0"/>
        <v>5.4757015742642025E-3</v>
      </c>
      <c r="AG13" s="211">
        <f t="shared" si="1"/>
        <v>2</v>
      </c>
      <c r="AH13" s="211">
        <f t="shared" si="2"/>
        <v>120.00547570157427</v>
      </c>
      <c r="AI13" s="215">
        <f>IF(H13=COF!$TH$10,MAX(I13/K13,0),0)</f>
        <v>0</v>
      </c>
      <c r="AJ13" s="215">
        <f t="shared" si="3"/>
        <v>180.00821355236141</v>
      </c>
      <c r="AK13" s="215">
        <f t="shared" si="4"/>
        <v>16.5</v>
      </c>
      <c r="AL13" s="215">
        <f>COF!R15*Thinning!$BS$4/1000</f>
        <v>0</v>
      </c>
      <c r="AM13" s="215">
        <f>COF!O15</f>
        <v>0</v>
      </c>
      <c r="AN13" s="215">
        <f t="shared" si="5"/>
        <v>1.1299999999999999</v>
      </c>
      <c r="AO13" s="215">
        <f t="shared" si="12"/>
        <v>0</v>
      </c>
      <c r="AP13" s="215">
        <f>INDEX('Tables - Part 2'!$K$4:$M$4,,MATCH(Thinning!$Y13,'Tables - Part 2'!$K$3:$M$3,0))</f>
        <v>0.8</v>
      </c>
      <c r="AQ13" s="215">
        <f>INDEX('Tables - Part 2'!$K$5:$M$5,,MATCH(Thinning!$Y13,'Tables - Part 2'!$K$3:$M$3,0))</f>
        <v>0.15</v>
      </c>
      <c r="AR13" s="215">
        <f>INDEX('Tables - Part 2'!$K$6:$M$6,,MATCH(Thinning!$Y13,'Tables - Part 2'!$K$3:$M$3,0))</f>
        <v>0.05</v>
      </c>
      <c r="AS13" s="215">
        <v>0.9</v>
      </c>
      <c r="AT13" s="215">
        <v>0.7</v>
      </c>
      <c r="AU13" s="215">
        <v>0.5</v>
      </c>
      <c r="AV13" s="215">
        <v>0.4</v>
      </c>
      <c r="AW13" s="215">
        <v>0.09</v>
      </c>
      <c r="AX13" s="215">
        <v>0.2</v>
      </c>
      <c r="AY13" s="215">
        <v>0.3</v>
      </c>
      <c r="AZ13" s="215">
        <v>0.33</v>
      </c>
      <c r="BA13" s="215">
        <v>0.01</v>
      </c>
      <c r="BB13" s="215">
        <v>0.1</v>
      </c>
      <c r="BC13" s="215">
        <v>0.2</v>
      </c>
      <c r="BD13" s="215">
        <v>0.27</v>
      </c>
      <c r="BE13" s="215">
        <f t="shared" si="6"/>
        <v>4.41E-2</v>
      </c>
      <c r="BF13" s="215">
        <f t="shared" si="7"/>
        <v>1.4580000000000003E-5</v>
      </c>
      <c r="BG13" s="215">
        <f t="shared" si="8"/>
        <v>4.0000000000000021E-8</v>
      </c>
      <c r="BH13" s="215">
        <f t="shared" si="13"/>
        <v>0.9996685905942293</v>
      </c>
      <c r="BI13" s="215">
        <f t="shared" si="14"/>
        <v>3.3050267689033712E-4</v>
      </c>
      <c r="BJ13" s="215">
        <f t="shared" si="15"/>
        <v>9.0672888035757812E-7</v>
      </c>
      <c r="BK13" s="215">
        <f t="shared" si="9"/>
        <v>-3.5256723959524909</v>
      </c>
      <c r="BL13" s="215">
        <f t="shared" si="10"/>
        <v>-3.5306134228188442</v>
      </c>
      <c r="BM13" s="215">
        <f t="shared" si="11"/>
        <v>-3.5330762270066614</v>
      </c>
      <c r="BN13" s="215">
        <f t="shared" si="16"/>
        <v>6408.9025430933179</v>
      </c>
      <c r="BO13" s="215">
        <f>IF(OR(COF!C15=COF!$TJ$6,COF!C15=COF!$TJ$8,COF!C15=COF!$TJ$9,COF!C15=COF!$TJ$11,COF!E15=COF!$TM$18),MAX(BN13*AA13*AB13*AC13*AD13*AE13/Z13,0.1),0)</f>
        <v>0</v>
      </c>
    </row>
    <row r="14" spans="2:82" x14ac:dyDescent="0.35">
      <c r="B14" s="161" t="str">
        <f>'Tratamento de Dados'!B21</f>
        <v>V-4</v>
      </c>
      <c r="C14" s="161" t="str">
        <f>'Tratamento de Dados'!D21</f>
        <v>Casco</v>
      </c>
      <c r="D14" s="209" t="str">
        <f>'Tratamento de Dados'!AZ21</f>
        <v>Generalizada</v>
      </c>
      <c r="E14" s="209">
        <f>'Tratamento de Dados'!BA21</f>
        <v>10</v>
      </c>
      <c r="F14" s="210">
        <f>'Tratamento de Dados'!X21</f>
        <v>43831</v>
      </c>
      <c r="G14" s="210">
        <f>'Tratamento de Dados'!Z21</f>
        <v>43833</v>
      </c>
      <c r="H14" s="209" t="str">
        <f>'Tratamento de Dados'!BB21</f>
        <v>Não</v>
      </c>
      <c r="I14" s="209">
        <f>'Tratamento de Dados'!BC21</f>
        <v>0</v>
      </c>
      <c r="J14" s="209">
        <f>'Tratamento de Dados'!BD21</f>
        <v>3</v>
      </c>
      <c r="K14" s="209">
        <f>'Tratamento de Dados'!BE21</f>
        <v>4</v>
      </c>
      <c r="L14" s="210">
        <f>'Tratamento de Dados'!BF21</f>
        <v>1</v>
      </c>
      <c r="M14" s="209">
        <f>'Tratamento de Dados'!BG21</f>
        <v>2</v>
      </c>
      <c r="N14" s="209">
        <f>'Tratamento de Dados'!BH21</f>
        <v>2</v>
      </c>
      <c r="O14" s="218">
        <f>'Tratamento de Dados'!BI21</f>
        <v>0</v>
      </c>
      <c r="P14" s="209">
        <f>'Tratamento de Dados'!BJ21</f>
        <v>10</v>
      </c>
      <c r="Q14" s="209">
        <f>'Tratamento de Dados'!BK21</f>
        <v>20</v>
      </c>
      <c r="R14" s="209">
        <f>'Tratamento de Dados'!BL21</f>
        <v>1</v>
      </c>
      <c r="S14" s="209" t="str">
        <f>'Tratamento de Dados'!BM21</f>
        <v>Head</v>
      </c>
      <c r="T14" s="218">
        <f>'Tratamento de Dados'!BN21</f>
        <v>0</v>
      </c>
      <c r="U14" s="219">
        <f>'Tratamento de Dados'!BO21</f>
        <v>1</v>
      </c>
      <c r="V14" s="219">
        <f>'Tratamento de Dados'!BP21</f>
        <v>2</v>
      </c>
      <c r="W14" s="219">
        <f>'Tratamento de Dados'!BQ21</f>
        <v>3</v>
      </c>
      <c r="X14" s="219">
        <f>'Tratamento de Dados'!BR21</f>
        <v>0</v>
      </c>
      <c r="Y14" s="219" t="str">
        <f>'Tratamento de Dados'!BS21</f>
        <v>High Confidence Data</v>
      </c>
      <c r="Z14" s="568">
        <f>'Tratamento de Dados'!BT21</f>
        <v>1</v>
      </c>
      <c r="AA14" s="568">
        <f>'Tratamento de Dados'!BU21</f>
        <v>1</v>
      </c>
      <c r="AB14" s="568">
        <f>'Tratamento de Dados'!BV21</f>
        <v>1</v>
      </c>
      <c r="AC14" s="281">
        <v>1</v>
      </c>
      <c r="AD14" s="281">
        <v>1</v>
      </c>
      <c r="AE14" s="281">
        <v>1</v>
      </c>
      <c r="AF14" s="211">
        <f t="shared" si="0"/>
        <v>5.4757015742642025E-3</v>
      </c>
      <c r="AG14" s="211">
        <f t="shared" si="1"/>
        <v>2</v>
      </c>
      <c r="AH14" s="211">
        <f t="shared" si="2"/>
        <v>120.00547570157427</v>
      </c>
      <c r="AI14" s="215">
        <f>IF(H14=COF!$TH$10,MAX(I14/K14,0),0)</f>
        <v>0</v>
      </c>
      <c r="AJ14" s="215">
        <f t="shared" si="3"/>
        <v>180.00821355236141</v>
      </c>
      <c r="AK14" s="215">
        <f t="shared" si="4"/>
        <v>16.5</v>
      </c>
      <c r="AL14" s="215">
        <f>COF!R16*Thinning!$BS$4/1000</f>
        <v>0</v>
      </c>
      <c r="AM14" s="215">
        <f>COF!O16</f>
        <v>0</v>
      </c>
      <c r="AN14" s="215">
        <f t="shared" si="5"/>
        <v>1.1299999999999999</v>
      </c>
      <c r="AO14" s="215">
        <f t="shared" si="12"/>
        <v>0</v>
      </c>
      <c r="AP14" s="215">
        <f>INDEX('Tables - Part 2'!$K$4:$M$4,,MATCH(Thinning!$Y14,'Tables - Part 2'!$K$3:$M$3,0))</f>
        <v>0.8</v>
      </c>
      <c r="AQ14" s="215">
        <f>INDEX('Tables - Part 2'!$K$5:$M$5,,MATCH(Thinning!$Y14,'Tables - Part 2'!$K$3:$M$3,0))</f>
        <v>0.15</v>
      </c>
      <c r="AR14" s="215">
        <f>INDEX('Tables - Part 2'!$K$6:$M$6,,MATCH(Thinning!$Y14,'Tables - Part 2'!$K$3:$M$3,0))</f>
        <v>0.05</v>
      </c>
      <c r="AS14" s="215">
        <v>0.9</v>
      </c>
      <c r="AT14" s="215">
        <v>0.7</v>
      </c>
      <c r="AU14" s="215">
        <v>0.5</v>
      </c>
      <c r="AV14" s="215">
        <v>0.4</v>
      </c>
      <c r="AW14" s="215">
        <v>0.09</v>
      </c>
      <c r="AX14" s="215">
        <v>0.2</v>
      </c>
      <c r="AY14" s="215">
        <v>0.3</v>
      </c>
      <c r="AZ14" s="215">
        <v>0.33</v>
      </c>
      <c r="BA14" s="215">
        <v>0.01</v>
      </c>
      <c r="BB14" s="215">
        <v>0.1</v>
      </c>
      <c r="BC14" s="215">
        <v>0.2</v>
      </c>
      <c r="BD14" s="215">
        <v>0.27</v>
      </c>
      <c r="BE14" s="215">
        <f t="shared" si="6"/>
        <v>4.41E-2</v>
      </c>
      <c r="BF14" s="215">
        <f t="shared" si="7"/>
        <v>1.4580000000000003E-5</v>
      </c>
      <c r="BG14" s="215">
        <f t="shared" si="8"/>
        <v>4.0000000000000021E-8</v>
      </c>
      <c r="BH14" s="215">
        <f t="shared" si="13"/>
        <v>0.9996685905942293</v>
      </c>
      <c r="BI14" s="215">
        <f t="shared" si="14"/>
        <v>3.3050267689033712E-4</v>
      </c>
      <c r="BJ14" s="215">
        <f t="shared" si="15"/>
        <v>9.0672888035757812E-7</v>
      </c>
      <c r="BK14" s="215">
        <f t="shared" si="9"/>
        <v>-3.5256723959524909</v>
      </c>
      <c r="BL14" s="215">
        <f t="shared" si="10"/>
        <v>-3.5306134228188442</v>
      </c>
      <c r="BM14" s="215">
        <f t="shared" si="11"/>
        <v>-3.5330762270066614</v>
      </c>
      <c r="BN14" s="215">
        <f t="shared" si="16"/>
        <v>6408.9025430933179</v>
      </c>
      <c r="BO14" s="215">
        <f>IF(OR(COF!C16=COF!$TJ$6,COF!C16=COF!$TJ$8,COF!C16=COF!$TJ$9,COF!C16=COF!$TJ$11,COF!E16=COF!$TM$18),MAX(BN14*AA14*AB14*AC14*AD14*AE14/Z14,0.1),0)</f>
        <v>0</v>
      </c>
    </row>
    <row r="15" spans="2:82" x14ac:dyDescent="0.35">
      <c r="B15" s="161" t="str">
        <f>'Tratamento de Dados'!B22</f>
        <v>V-50</v>
      </c>
      <c r="C15" s="161" t="str">
        <f>'Tratamento de Dados'!D22</f>
        <v>Casco</v>
      </c>
      <c r="D15" s="209" t="str">
        <f>'Tratamento de Dados'!AZ22</f>
        <v>Generalizada</v>
      </c>
      <c r="E15" s="209">
        <f>'Tratamento de Dados'!BA22</f>
        <v>10</v>
      </c>
      <c r="F15" s="210">
        <f>'Tratamento de Dados'!X22</f>
        <v>43831</v>
      </c>
      <c r="G15" s="210">
        <f>'Tratamento de Dados'!Z22</f>
        <v>43833</v>
      </c>
      <c r="H15" s="209" t="str">
        <f>'Tratamento de Dados'!BB22</f>
        <v>Não</v>
      </c>
      <c r="I15" s="209">
        <f>'Tratamento de Dados'!BC22</f>
        <v>0</v>
      </c>
      <c r="J15" s="209">
        <f>'Tratamento de Dados'!BD22</f>
        <v>3</v>
      </c>
      <c r="K15" s="209">
        <f>'Tratamento de Dados'!BE22</f>
        <v>4</v>
      </c>
      <c r="L15" s="210">
        <f>'Tratamento de Dados'!BF22</f>
        <v>1</v>
      </c>
      <c r="M15" s="209">
        <f>'Tratamento de Dados'!BG22</f>
        <v>2</v>
      </c>
      <c r="N15" s="209">
        <f>'Tratamento de Dados'!BH22</f>
        <v>2</v>
      </c>
      <c r="O15" s="218">
        <f>'Tratamento de Dados'!BI22</f>
        <v>0</v>
      </c>
      <c r="P15" s="209">
        <f>'Tratamento de Dados'!BJ22</f>
        <v>10</v>
      </c>
      <c r="Q15" s="209">
        <f>'Tratamento de Dados'!BK22</f>
        <v>20</v>
      </c>
      <c r="R15" s="209">
        <f>'Tratamento de Dados'!BL22</f>
        <v>1</v>
      </c>
      <c r="S15" s="209" t="str">
        <f>'Tratamento de Dados'!BM22</f>
        <v>Head</v>
      </c>
      <c r="T15" s="218">
        <f>'Tratamento de Dados'!BN22</f>
        <v>0</v>
      </c>
      <c r="U15" s="219">
        <f>'Tratamento de Dados'!BO22</f>
        <v>1</v>
      </c>
      <c r="V15" s="219">
        <f>'Tratamento de Dados'!BP22</f>
        <v>2</v>
      </c>
      <c r="W15" s="219">
        <f>'Tratamento de Dados'!BQ22</f>
        <v>3</v>
      </c>
      <c r="X15" s="219">
        <f>'Tratamento de Dados'!BR22</f>
        <v>0</v>
      </c>
      <c r="Y15" s="219" t="str">
        <f>'Tratamento de Dados'!BS22</f>
        <v>High Confidence Data</v>
      </c>
      <c r="Z15" s="568">
        <f>'Tratamento de Dados'!BT22</f>
        <v>1</v>
      </c>
      <c r="AA15" s="568">
        <f>'Tratamento de Dados'!BU22</f>
        <v>1</v>
      </c>
      <c r="AB15" s="568">
        <f>'Tratamento de Dados'!BV22</f>
        <v>1</v>
      </c>
      <c r="AC15" s="281">
        <v>1</v>
      </c>
      <c r="AD15" s="281">
        <v>1</v>
      </c>
      <c r="AE15" s="281">
        <v>1</v>
      </c>
      <c r="AF15" s="211">
        <f t="shared" si="0"/>
        <v>5.4757015742642025E-3</v>
      </c>
      <c r="AG15" s="211">
        <f t="shared" si="1"/>
        <v>2</v>
      </c>
      <c r="AH15" s="211">
        <f t="shared" si="2"/>
        <v>120.00547570157427</v>
      </c>
      <c r="AI15" s="215">
        <f>IF(H15=COF!$TH$10,MAX(I15/K15,0),0)</f>
        <v>0</v>
      </c>
      <c r="AJ15" s="215">
        <f t="shared" si="3"/>
        <v>180.00821355236141</v>
      </c>
      <c r="AK15" s="215">
        <f t="shared" si="4"/>
        <v>16.5</v>
      </c>
      <c r="AL15" s="215">
        <f>COF!R17*Thinning!$BS$4/1000</f>
        <v>0</v>
      </c>
      <c r="AM15" s="215">
        <f>COF!O17</f>
        <v>0</v>
      </c>
      <c r="AN15" s="215">
        <f t="shared" si="5"/>
        <v>1.1299999999999999</v>
      </c>
      <c r="AO15" s="215">
        <f t="shared" si="12"/>
        <v>0</v>
      </c>
      <c r="AP15" s="215">
        <f>INDEX('Tables - Part 2'!$K$4:$M$4,,MATCH(Thinning!$Y15,'Tables - Part 2'!$K$3:$M$3,0))</f>
        <v>0.8</v>
      </c>
      <c r="AQ15" s="215">
        <f>INDEX('Tables - Part 2'!$K$5:$M$5,,MATCH(Thinning!$Y15,'Tables - Part 2'!$K$3:$M$3,0))</f>
        <v>0.15</v>
      </c>
      <c r="AR15" s="215">
        <f>INDEX('Tables - Part 2'!$K$6:$M$6,,MATCH(Thinning!$Y15,'Tables - Part 2'!$K$3:$M$3,0))</f>
        <v>0.05</v>
      </c>
      <c r="AS15" s="215">
        <v>0.9</v>
      </c>
      <c r="AT15" s="215">
        <v>0.7</v>
      </c>
      <c r="AU15" s="215">
        <v>0.5</v>
      </c>
      <c r="AV15" s="215">
        <v>0.4</v>
      </c>
      <c r="AW15" s="215">
        <v>0.09</v>
      </c>
      <c r="AX15" s="215">
        <v>0.2</v>
      </c>
      <c r="AY15" s="215">
        <v>0.3</v>
      </c>
      <c r="AZ15" s="215">
        <v>0.33</v>
      </c>
      <c r="BA15" s="215">
        <v>0.01</v>
      </c>
      <c r="BB15" s="215">
        <v>0.1</v>
      </c>
      <c r="BC15" s="215">
        <v>0.2</v>
      </c>
      <c r="BD15" s="215">
        <v>0.27</v>
      </c>
      <c r="BE15" s="215">
        <f t="shared" si="6"/>
        <v>4.41E-2</v>
      </c>
      <c r="BF15" s="215">
        <f t="shared" si="7"/>
        <v>1.4580000000000003E-5</v>
      </c>
      <c r="BG15" s="215">
        <f t="shared" si="8"/>
        <v>4.0000000000000021E-8</v>
      </c>
      <c r="BH15" s="215">
        <f t="shared" si="13"/>
        <v>0.9996685905942293</v>
      </c>
      <c r="BI15" s="215">
        <f t="shared" si="14"/>
        <v>3.3050267689033712E-4</v>
      </c>
      <c r="BJ15" s="215">
        <f t="shared" si="15"/>
        <v>9.0672888035757812E-7</v>
      </c>
      <c r="BK15" s="215">
        <f t="shared" si="9"/>
        <v>-3.5256723959524909</v>
      </c>
      <c r="BL15" s="215">
        <f t="shared" si="10"/>
        <v>-3.5306134228188442</v>
      </c>
      <c r="BM15" s="215">
        <f t="shared" si="11"/>
        <v>-3.5330762270066614</v>
      </c>
      <c r="BN15" s="215">
        <f t="shared" si="16"/>
        <v>6408.9025430933179</v>
      </c>
      <c r="BO15" s="215">
        <f>IF(OR(COF!C17=COF!$TJ$6,COF!C17=COF!$TJ$8,COF!C17=COF!$TJ$9,COF!C17=COF!$TJ$11,COF!E17=COF!$TM$18),MAX(BN15*AA15*AB15*AC15*AD15*AE15/Z15,0.1),0)</f>
        <v>0</v>
      </c>
    </row>
    <row r="16" spans="2:82" x14ac:dyDescent="0.35">
      <c r="B16" s="161" t="str">
        <f>'Tratamento de Dados'!B23</f>
        <v>V-5</v>
      </c>
      <c r="C16" s="161" t="str">
        <f>'Tratamento de Dados'!D23</f>
        <v>Casco</v>
      </c>
      <c r="D16" s="209" t="str">
        <f>'Tratamento de Dados'!AZ23</f>
        <v>Generalizada</v>
      </c>
      <c r="E16" s="209">
        <f>'Tratamento de Dados'!BA23</f>
        <v>10</v>
      </c>
      <c r="F16" s="210">
        <f>'Tratamento de Dados'!X23</f>
        <v>43831</v>
      </c>
      <c r="G16" s="210">
        <f>'Tratamento de Dados'!Z23</f>
        <v>43833</v>
      </c>
      <c r="H16" s="209" t="str">
        <f>'Tratamento de Dados'!BB23</f>
        <v>Não</v>
      </c>
      <c r="I16" s="209">
        <f>'Tratamento de Dados'!BC23</f>
        <v>0</v>
      </c>
      <c r="J16" s="209">
        <f>'Tratamento de Dados'!BD23</f>
        <v>3</v>
      </c>
      <c r="K16" s="209">
        <f>'Tratamento de Dados'!BE23</f>
        <v>4</v>
      </c>
      <c r="L16" s="210">
        <f>'Tratamento de Dados'!BF23</f>
        <v>1</v>
      </c>
      <c r="M16" s="209">
        <f>'Tratamento de Dados'!BG23</f>
        <v>2</v>
      </c>
      <c r="N16" s="209">
        <f>'Tratamento de Dados'!BH23</f>
        <v>2</v>
      </c>
      <c r="O16" s="218">
        <f>'Tratamento de Dados'!BI23</f>
        <v>0</v>
      </c>
      <c r="P16" s="209">
        <f>'Tratamento de Dados'!BJ23</f>
        <v>10</v>
      </c>
      <c r="Q16" s="209">
        <f>'Tratamento de Dados'!BK23</f>
        <v>20</v>
      </c>
      <c r="R16" s="209">
        <f>'Tratamento de Dados'!BL23</f>
        <v>1</v>
      </c>
      <c r="S16" s="209" t="str">
        <f>'Tratamento de Dados'!BM23</f>
        <v>Head</v>
      </c>
      <c r="T16" s="218">
        <f>'Tratamento de Dados'!BN23</f>
        <v>0</v>
      </c>
      <c r="U16" s="219">
        <f>'Tratamento de Dados'!BO23</f>
        <v>1</v>
      </c>
      <c r="V16" s="219">
        <f>'Tratamento de Dados'!BP23</f>
        <v>2</v>
      </c>
      <c r="W16" s="219">
        <f>'Tratamento de Dados'!BQ23</f>
        <v>3</v>
      </c>
      <c r="X16" s="219">
        <f>'Tratamento de Dados'!BR23</f>
        <v>0</v>
      </c>
      <c r="Y16" s="219" t="str">
        <f>'Tratamento de Dados'!BS23</f>
        <v>High Confidence Data</v>
      </c>
      <c r="Z16" s="568">
        <f>'Tratamento de Dados'!BT23</f>
        <v>1</v>
      </c>
      <c r="AA16" s="568">
        <f>'Tratamento de Dados'!BU23</f>
        <v>1</v>
      </c>
      <c r="AB16" s="568">
        <f>'Tratamento de Dados'!BV23</f>
        <v>1</v>
      </c>
      <c r="AC16" s="281">
        <v>1</v>
      </c>
      <c r="AD16" s="281">
        <v>1</v>
      </c>
      <c r="AE16" s="281">
        <v>1</v>
      </c>
      <c r="AF16" s="211">
        <f t="shared" si="0"/>
        <v>5.4757015742642025E-3</v>
      </c>
      <c r="AG16" s="211">
        <f t="shared" si="1"/>
        <v>2</v>
      </c>
      <c r="AH16" s="211">
        <f t="shared" si="2"/>
        <v>120.00547570157427</v>
      </c>
      <c r="AI16" s="215">
        <f>IF(H16=COF!$TH$10,MAX(I16/K16,0),0)</f>
        <v>0</v>
      </c>
      <c r="AJ16" s="215">
        <f t="shared" si="3"/>
        <v>180.00821355236141</v>
      </c>
      <c r="AK16" s="215">
        <f t="shared" si="4"/>
        <v>16.5</v>
      </c>
      <c r="AL16" s="215">
        <f>COF!R18*Thinning!$BS$4/1000</f>
        <v>0</v>
      </c>
      <c r="AM16" s="215">
        <f>COF!O18</f>
        <v>0</v>
      </c>
      <c r="AN16" s="215">
        <f t="shared" si="5"/>
        <v>1.1299999999999999</v>
      </c>
      <c r="AO16" s="215">
        <f t="shared" si="12"/>
        <v>0</v>
      </c>
      <c r="AP16" s="215">
        <f>INDEX('Tables - Part 2'!$K$4:$M$4,,MATCH(Thinning!$Y16,'Tables - Part 2'!$K$3:$M$3,0))</f>
        <v>0.8</v>
      </c>
      <c r="AQ16" s="215">
        <f>INDEX('Tables - Part 2'!$K$5:$M$5,,MATCH(Thinning!$Y16,'Tables - Part 2'!$K$3:$M$3,0))</f>
        <v>0.15</v>
      </c>
      <c r="AR16" s="215">
        <f>INDEX('Tables - Part 2'!$K$6:$M$6,,MATCH(Thinning!$Y16,'Tables - Part 2'!$K$3:$M$3,0))</f>
        <v>0.05</v>
      </c>
      <c r="AS16" s="215">
        <v>0.9</v>
      </c>
      <c r="AT16" s="215">
        <v>0.7</v>
      </c>
      <c r="AU16" s="215">
        <v>0.5</v>
      </c>
      <c r="AV16" s="215">
        <v>0.4</v>
      </c>
      <c r="AW16" s="215">
        <v>0.09</v>
      </c>
      <c r="AX16" s="215">
        <v>0.2</v>
      </c>
      <c r="AY16" s="215">
        <v>0.3</v>
      </c>
      <c r="AZ16" s="215">
        <v>0.33</v>
      </c>
      <c r="BA16" s="215">
        <v>0.01</v>
      </c>
      <c r="BB16" s="215">
        <v>0.1</v>
      </c>
      <c r="BC16" s="215">
        <v>0.2</v>
      </c>
      <c r="BD16" s="215">
        <v>0.27</v>
      </c>
      <c r="BE16" s="215">
        <f t="shared" si="6"/>
        <v>4.41E-2</v>
      </c>
      <c r="BF16" s="215">
        <f t="shared" si="7"/>
        <v>1.4580000000000003E-5</v>
      </c>
      <c r="BG16" s="215">
        <f t="shared" si="8"/>
        <v>4.0000000000000021E-8</v>
      </c>
      <c r="BH16" s="215">
        <f t="shared" si="13"/>
        <v>0.9996685905942293</v>
      </c>
      <c r="BI16" s="215">
        <f t="shared" si="14"/>
        <v>3.3050267689033712E-4</v>
      </c>
      <c r="BJ16" s="215">
        <f t="shared" si="15"/>
        <v>9.0672888035757812E-7</v>
      </c>
      <c r="BK16" s="215">
        <f t="shared" si="9"/>
        <v>-3.5256723959524909</v>
      </c>
      <c r="BL16" s="215">
        <f t="shared" si="10"/>
        <v>-3.5306134228188442</v>
      </c>
      <c r="BM16" s="215">
        <f t="shared" si="11"/>
        <v>-3.5330762270066614</v>
      </c>
      <c r="BN16" s="215">
        <f t="shared" si="16"/>
        <v>6408.9025430933179</v>
      </c>
      <c r="BO16" s="215">
        <f>IF(OR(COF!C18=COF!$TJ$6,COF!C18=COF!$TJ$8,COF!C18=COF!$TJ$9,COF!C18=COF!$TJ$11,COF!E18=COF!$TM$18),MAX(BN16*AA16*AB16*AC16*AD16*AE16/Z16,0.1),0)</f>
        <v>0</v>
      </c>
    </row>
    <row r="17" spans="2:67" x14ac:dyDescent="0.35">
      <c r="B17" s="161" t="str">
        <f>'Tratamento de Dados'!B24</f>
        <v>V-6</v>
      </c>
      <c r="C17" s="161" t="str">
        <f>'Tratamento de Dados'!D24</f>
        <v>Casco</v>
      </c>
      <c r="D17" s="209" t="str">
        <f>'Tratamento de Dados'!AZ24</f>
        <v>Generalizada</v>
      </c>
      <c r="E17" s="209">
        <f>'Tratamento de Dados'!BA24</f>
        <v>10</v>
      </c>
      <c r="F17" s="210">
        <f>'Tratamento de Dados'!X24</f>
        <v>43831</v>
      </c>
      <c r="G17" s="210">
        <f>'Tratamento de Dados'!Z24</f>
        <v>43833</v>
      </c>
      <c r="H17" s="209" t="str">
        <f>'Tratamento de Dados'!BB24</f>
        <v>Não</v>
      </c>
      <c r="I17" s="209">
        <f>'Tratamento de Dados'!BC24</f>
        <v>0</v>
      </c>
      <c r="J17" s="209">
        <f>'Tratamento de Dados'!BD24</f>
        <v>3</v>
      </c>
      <c r="K17" s="209">
        <f>'Tratamento de Dados'!BE24</f>
        <v>4</v>
      </c>
      <c r="L17" s="210">
        <f>'Tratamento de Dados'!BF24</f>
        <v>1</v>
      </c>
      <c r="M17" s="209">
        <f>'Tratamento de Dados'!BG24</f>
        <v>2</v>
      </c>
      <c r="N17" s="209">
        <f>'Tratamento de Dados'!BH24</f>
        <v>2</v>
      </c>
      <c r="O17" s="218">
        <f>'Tratamento de Dados'!BI24</f>
        <v>0</v>
      </c>
      <c r="P17" s="209">
        <f>'Tratamento de Dados'!BJ24</f>
        <v>10</v>
      </c>
      <c r="Q17" s="209">
        <f>'Tratamento de Dados'!BK24</f>
        <v>20</v>
      </c>
      <c r="R17" s="209">
        <f>'Tratamento de Dados'!BL24</f>
        <v>1</v>
      </c>
      <c r="S17" s="209" t="str">
        <f>'Tratamento de Dados'!BM24</f>
        <v>Head</v>
      </c>
      <c r="T17" s="218">
        <f>'Tratamento de Dados'!BN24</f>
        <v>0</v>
      </c>
      <c r="U17" s="219">
        <f>'Tratamento de Dados'!BO24</f>
        <v>1</v>
      </c>
      <c r="V17" s="219">
        <f>'Tratamento de Dados'!BP24</f>
        <v>2</v>
      </c>
      <c r="W17" s="219">
        <f>'Tratamento de Dados'!BQ24</f>
        <v>3</v>
      </c>
      <c r="X17" s="219">
        <f>'Tratamento de Dados'!BR24</f>
        <v>0</v>
      </c>
      <c r="Y17" s="219" t="str">
        <f>'Tratamento de Dados'!BS24</f>
        <v>High Confidence Data</v>
      </c>
      <c r="Z17" s="568">
        <f>'Tratamento de Dados'!BT24</f>
        <v>1</v>
      </c>
      <c r="AA17" s="568">
        <f>'Tratamento de Dados'!BU24</f>
        <v>1</v>
      </c>
      <c r="AB17" s="568">
        <f>'Tratamento de Dados'!BV24</f>
        <v>1</v>
      </c>
      <c r="AC17" s="281">
        <v>1</v>
      </c>
      <c r="AD17" s="281">
        <v>1</v>
      </c>
      <c r="AE17" s="281">
        <v>1</v>
      </c>
      <c r="AF17" s="211">
        <f t="shared" si="0"/>
        <v>5.4757015742642025E-3</v>
      </c>
      <c r="AG17" s="211">
        <f t="shared" si="1"/>
        <v>2</v>
      </c>
      <c r="AH17" s="211">
        <f t="shared" si="2"/>
        <v>120.00547570157427</v>
      </c>
      <c r="AI17" s="215">
        <f>IF(H17=COF!$TH$10,MAX(I17/K17,0),0)</f>
        <v>0</v>
      </c>
      <c r="AJ17" s="215">
        <f t="shared" si="3"/>
        <v>180.00821355236141</v>
      </c>
      <c r="AK17" s="215">
        <f t="shared" si="4"/>
        <v>16.5</v>
      </c>
      <c r="AL17" s="215">
        <f>COF!R19*Thinning!$BS$4/1000</f>
        <v>0</v>
      </c>
      <c r="AM17" s="215">
        <f>COF!O19</f>
        <v>0</v>
      </c>
      <c r="AN17" s="215">
        <f t="shared" si="5"/>
        <v>1.1299999999999999</v>
      </c>
      <c r="AO17" s="215">
        <f t="shared" si="12"/>
        <v>0</v>
      </c>
      <c r="AP17" s="215">
        <f>INDEX('Tables - Part 2'!$K$4:$M$4,,MATCH(Thinning!$Y17,'Tables - Part 2'!$K$3:$M$3,0))</f>
        <v>0.8</v>
      </c>
      <c r="AQ17" s="215">
        <f>INDEX('Tables - Part 2'!$K$5:$M$5,,MATCH(Thinning!$Y17,'Tables - Part 2'!$K$3:$M$3,0))</f>
        <v>0.15</v>
      </c>
      <c r="AR17" s="215">
        <f>INDEX('Tables - Part 2'!$K$6:$M$6,,MATCH(Thinning!$Y17,'Tables - Part 2'!$K$3:$M$3,0))</f>
        <v>0.05</v>
      </c>
      <c r="AS17" s="215">
        <v>0.9</v>
      </c>
      <c r="AT17" s="215">
        <v>0.7</v>
      </c>
      <c r="AU17" s="215">
        <v>0.5</v>
      </c>
      <c r="AV17" s="215">
        <v>0.4</v>
      </c>
      <c r="AW17" s="215">
        <v>0.09</v>
      </c>
      <c r="AX17" s="215">
        <v>0.2</v>
      </c>
      <c r="AY17" s="215">
        <v>0.3</v>
      </c>
      <c r="AZ17" s="215">
        <v>0.33</v>
      </c>
      <c r="BA17" s="215">
        <v>0.01</v>
      </c>
      <c r="BB17" s="215">
        <v>0.1</v>
      </c>
      <c r="BC17" s="215">
        <v>0.2</v>
      </c>
      <c r="BD17" s="215">
        <v>0.27</v>
      </c>
      <c r="BE17" s="215">
        <f t="shared" si="6"/>
        <v>4.41E-2</v>
      </c>
      <c r="BF17" s="215">
        <f t="shared" si="7"/>
        <v>1.4580000000000003E-5</v>
      </c>
      <c r="BG17" s="215">
        <f t="shared" si="8"/>
        <v>4.0000000000000021E-8</v>
      </c>
      <c r="BH17" s="215">
        <f t="shared" si="13"/>
        <v>0.9996685905942293</v>
      </c>
      <c r="BI17" s="215">
        <f t="shared" si="14"/>
        <v>3.3050267689033712E-4</v>
      </c>
      <c r="BJ17" s="215">
        <f t="shared" si="15"/>
        <v>9.0672888035757812E-7</v>
      </c>
      <c r="BK17" s="215">
        <f t="shared" si="9"/>
        <v>-3.5256723959524909</v>
      </c>
      <c r="BL17" s="215">
        <f t="shared" si="10"/>
        <v>-3.5306134228188442</v>
      </c>
      <c r="BM17" s="215">
        <f t="shared" si="11"/>
        <v>-3.5330762270066614</v>
      </c>
      <c r="BN17" s="215">
        <f t="shared" si="16"/>
        <v>6408.9025430933179</v>
      </c>
      <c r="BO17" s="215">
        <f>IF(OR(COF!C19=COF!$TJ$6,COF!C19=COF!$TJ$8,COF!C19=COF!$TJ$9,COF!C19=COF!$TJ$11,COF!E19=COF!$TM$18),MAX(BN17*AA17*AB17*AC17*AD17*AE17/Z17,0.1),0)</f>
        <v>0</v>
      </c>
    </row>
    <row r="18" spans="2:67" x14ac:dyDescent="0.35">
      <c r="B18" s="161" t="str">
        <f>'Tratamento de Dados'!B25</f>
        <v>V-7</v>
      </c>
      <c r="C18" s="161" t="str">
        <f>'Tratamento de Dados'!D25</f>
        <v>Casco</v>
      </c>
      <c r="D18" s="209" t="str">
        <f>'Tratamento de Dados'!AZ25</f>
        <v>Generalizada</v>
      </c>
      <c r="E18" s="209">
        <f>'Tratamento de Dados'!BA25</f>
        <v>10</v>
      </c>
      <c r="F18" s="210">
        <f>'Tratamento de Dados'!X25</f>
        <v>43831</v>
      </c>
      <c r="G18" s="210">
        <f>'Tratamento de Dados'!Z25</f>
        <v>43833</v>
      </c>
      <c r="H18" s="209" t="str">
        <f>'Tratamento de Dados'!BB25</f>
        <v>Não</v>
      </c>
      <c r="I18" s="209">
        <f>'Tratamento de Dados'!BC25</f>
        <v>0</v>
      </c>
      <c r="J18" s="209">
        <f>'Tratamento de Dados'!BD25</f>
        <v>3</v>
      </c>
      <c r="K18" s="209">
        <f>'Tratamento de Dados'!BE25</f>
        <v>4</v>
      </c>
      <c r="L18" s="210">
        <f>'Tratamento de Dados'!BF25</f>
        <v>1</v>
      </c>
      <c r="M18" s="209">
        <f>'Tratamento de Dados'!BG25</f>
        <v>2</v>
      </c>
      <c r="N18" s="209">
        <f>'Tratamento de Dados'!BH25</f>
        <v>2</v>
      </c>
      <c r="O18" s="218">
        <f>'Tratamento de Dados'!BI25</f>
        <v>0</v>
      </c>
      <c r="P18" s="209">
        <f>'Tratamento de Dados'!BJ25</f>
        <v>10</v>
      </c>
      <c r="Q18" s="209">
        <f>'Tratamento de Dados'!BK25</f>
        <v>20</v>
      </c>
      <c r="R18" s="209">
        <f>'Tratamento de Dados'!BL25</f>
        <v>1</v>
      </c>
      <c r="S18" s="209" t="str">
        <f>'Tratamento de Dados'!BM25</f>
        <v>Head</v>
      </c>
      <c r="T18" s="218">
        <f>'Tratamento de Dados'!BN25</f>
        <v>0</v>
      </c>
      <c r="U18" s="219">
        <f>'Tratamento de Dados'!BO25</f>
        <v>1</v>
      </c>
      <c r="V18" s="219">
        <f>'Tratamento de Dados'!BP25</f>
        <v>2</v>
      </c>
      <c r="W18" s="219">
        <f>'Tratamento de Dados'!BQ25</f>
        <v>3</v>
      </c>
      <c r="X18" s="219">
        <f>'Tratamento de Dados'!BR25</f>
        <v>0</v>
      </c>
      <c r="Y18" s="219" t="str">
        <f>'Tratamento de Dados'!BS25</f>
        <v>High Confidence Data</v>
      </c>
      <c r="Z18" s="568">
        <f>'Tratamento de Dados'!BT25</f>
        <v>1</v>
      </c>
      <c r="AA18" s="568">
        <f>'Tratamento de Dados'!BU25</f>
        <v>1</v>
      </c>
      <c r="AB18" s="568">
        <f>'Tratamento de Dados'!BV25</f>
        <v>1</v>
      </c>
      <c r="AC18" s="281">
        <v>1</v>
      </c>
      <c r="AD18" s="281">
        <v>1</v>
      </c>
      <c r="AE18" s="281">
        <v>1</v>
      </c>
      <c r="AF18" s="211">
        <f t="shared" si="0"/>
        <v>5.4757015742642025E-3</v>
      </c>
      <c r="AG18" s="211">
        <f t="shared" si="1"/>
        <v>2</v>
      </c>
      <c r="AH18" s="211">
        <f t="shared" si="2"/>
        <v>120.00547570157427</v>
      </c>
      <c r="AI18" s="215">
        <f>IF(H18=COF!$TH$10,MAX(I18/K18,0),0)</f>
        <v>0</v>
      </c>
      <c r="AJ18" s="215">
        <f t="shared" si="3"/>
        <v>180.00821355236141</v>
      </c>
      <c r="AK18" s="215">
        <f t="shared" si="4"/>
        <v>16.5</v>
      </c>
      <c r="AL18" s="215">
        <f>COF!R20*Thinning!$BS$4/1000</f>
        <v>0</v>
      </c>
      <c r="AM18" s="215">
        <f>COF!O20</f>
        <v>0</v>
      </c>
      <c r="AN18" s="215">
        <f t="shared" si="5"/>
        <v>1.1299999999999999</v>
      </c>
      <c r="AO18" s="215">
        <f t="shared" si="12"/>
        <v>0</v>
      </c>
      <c r="AP18" s="215">
        <f>INDEX('Tables - Part 2'!$K$4:$M$4,,MATCH(Thinning!$Y18,'Tables - Part 2'!$K$3:$M$3,0))</f>
        <v>0.8</v>
      </c>
      <c r="AQ18" s="215">
        <f>INDEX('Tables - Part 2'!$K$5:$M$5,,MATCH(Thinning!$Y18,'Tables - Part 2'!$K$3:$M$3,0))</f>
        <v>0.15</v>
      </c>
      <c r="AR18" s="215">
        <f>INDEX('Tables - Part 2'!$K$6:$M$6,,MATCH(Thinning!$Y18,'Tables - Part 2'!$K$3:$M$3,0))</f>
        <v>0.05</v>
      </c>
      <c r="AS18" s="215">
        <v>0.9</v>
      </c>
      <c r="AT18" s="215">
        <v>0.7</v>
      </c>
      <c r="AU18" s="215">
        <v>0.5</v>
      </c>
      <c r="AV18" s="215">
        <v>0.4</v>
      </c>
      <c r="AW18" s="215">
        <v>0.09</v>
      </c>
      <c r="AX18" s="215">
        <v>0.2</v>
      </c>
      <c r="AY18" s="215">
        <v>0.3</v>
      </c>
      <c r="AZ18" s="215">
        <v>0.33</v>
      </c>
      <c r="BA18" s="215">
        <v>0.01</v>
      </c>
      <c r="BB18" s="215">
        <v>0.1</v>
      </c>
      <c r="BC18" s="215">
        <v>0.2</v>
      </c>
      <c r="BD18" s="215">
        <v>0.27</v>
      </c>
      <c r="BE18" s="215">
        <f t="shared" si="6"/>
        <v>4.41E-2</v>
      </c>
      <c r="BF18" s="215">
        <f t="shared" si="7"/>
        <v>1.4580000000000003E-5</v>
      </c>
      <c r="BG18" s="215">
        <f t="shared" si="8"/>
        <v>4.0000000000000021E-8</v>
      </c>
      <c r="BH18" s="215">
        <f t="shared" si="13"/>
        <v>0.9996685905942293</v>
      </c>
      <c r="BI18" s="215">
        <f t="shared" si="14"/>
        <v>3.3050267689033712E-4</v>
      </c>
      <c r="BJ18" s="215">
        <f t="shared" si="15"/>
        <v>9.0672888035757812E-7</v>
      </c>
      <c r="BK18" s="215">
        <f t="shared" si="9"/>
        <v>-3.5256723959524909</v>
      </c>
      <c r="BL18" s="215">
        <f t="shared" si="10"/>
        <v>-3.5306134228188442</v>
      </c>
      <c r="BM18" s="215">
        <f t="shared" si="11"/>
        <v>-3.5330762270066614</v>
      </c>
      <c r="BN18" s="215">
        <f t="shared" si="16"/>
        <v>6408.9025430933179</v>
      </c>
      <c r="BO18" s="215">
        <f>IF(OR(COF!C20=COF!$TJ$6,COF!C20=COF!$TJ$8,COF!C20=COF!$TJ$9,COF!C20=COF!$TJ$11,COF!E20=COF!$TM$18),MAX(BN18*AA18*AB18*AC18*AD18*AE18/Z18,0.1),0)</f>
        <v>0</v>
      </c>
    </row>
    <row r="19" spans="2:67" x14ac:dyDescent="0.35">
      <c r="B19" s="161" t="str">
        <f>'Tratamento de Dados'!B26</f>
        <v>V-80</v>
      </c>
      <c r="C19" s="161" t="str">
        <f>'Tratamento de Dados'!D26</f>
        <v>Casco</v>
      </c>
      <c r="D19" s="209" t="str">
        <f>'Tratamento de Dados'!AZ26</f>
        <v>Generalizada</v>
      </c>
      <c r="E19" s="209">
        <f>'Tratamento de Dados'!BA26</f>
        <v>10</v>
      </c>
      <c r="F19" s="210">
        <f>'Tratamento de Dados'!X26</f>
        <v>43831</v>
      </c>
      <c r="G19" s="210">
        <f>'Tratamento de Dados'!Z26</f>
        <v>43833</v>
      </c>
      <c r="H19" s="209" t="str">
        <f>'Tratamento de Dados'!BB26</f>
        <v>Não</v>
      </c>
      <c r="I19" s="209">
        <f>'Tratamento de Dados'!BC26</f>
        <v>0</v>
      </c>
      <c r="J19" s="209">
        <f>'Tratamento de Dados'!BD26</f>
        <v>3</v>
      </c>
      <c r="K19" s="209">
        <f>'Tratamento de Dados'!BE26</f>
        <v>4</v>
      </c>
      <c r="L19" s="210">
        <f>'Tratamento de Dados'!BF26</f>
        <v>1</v>
      </c>
      <c r="M19" s="209">
        <f>'Tratamento de Dados'!BG26</f>
        <v>2</v>
      </c>
      <c r="N19" s="209">
        <f>'Tratamento de Dados'!BH26</f>
        <v>2</v>
      </c>
      <c r="O19" s="218">
        <f>'Tratamento de Dados'!BI26</f>
        <v>0</v>
      </c>
      <c r="P19" s="209">
        <f>'Tratamento de Dados'!BJ26</f>
        <v>10</v>
      </c>
      <c r="Q19" s="209">
        <f>'Tratamento de Dados'!BK26</f>
        <v>20</v>
      </c>
      <c r="R19" s="209">
        <f>'Tratamento de Dados'!BL26</f>
        <v>1</v>
      </c>
      <c r="S19" s="209" t="str">
        <f>'Tratamento de Dados'!BM26</f>
        <v>Head</v>
      </c>
      <c r="T19" s="218">
        <f>'Tratamento de Dados'!BN26</f>
        <v>0</v>
      </c>
      <c r="U19" s="219">
        <f>'Tratamento de Dados'!BO26</f>
        <v>1</v>
      </c>
      <c r="V19" s="219">
        <f>'Tratamento de Dados'!BP26</f>
        <v>2</v>
      </c>
      <c r="W19" s="219">
        <f>'Tratamento de Dados'!BQ26</f>
        <v>3</v>
      </c>
      <c r="X19" s="219">
        <f>'Tratamento de Dados'!BR26</f>
        <v>0</v>
      </c>
      <c r="Y19" s="219" t="str">
        <f>'Tratamento de Dados'!BS26</f>
        <v>High Confidence Data</v>
      </c>
      <c r="Z19" s="568">
        <f>'Tratamento de Dados'!BT26</f>
        <v>1</v>
      </c>
      <c r="AA19" s="568">
        <f>'Tratamento de Dados'!BU26</f>
        <v>1</v>
      </c>
      <c r="AB19" s="568">
        <f>'Tratamento de Dados'!BV26</f>
        <v>1</v>
      </c>
      <c r="AC19" s="281">
        <v>1</v>
      </c>
      <c r="AD19" s="281">
        <v>1</v>
      </c>
      <c r="AE19" s="281">
        <v>1</v>
      </c>
      <c r="AF19" s="211">
        <f t="shared" si="0"/>
        <v>5.4757015742642025E-3</v>
      </c>
      <c r="AG19" s="211">
        <f t="shared" si="1"/>
        <v>2</v>
      </c>
      <c r="AH19" s="211">
        <f t="shared" si="2"/>
        <v>120.00547570157427</v>
      </c>
      <c r="AI19" s="215">
        <f>IF(H19=COF!$TH$10,MAX(I19/K19,0),0)</f>
        <v>0</v>
      </c>
      <c r="AJ19" s="215">
        <f t="shared" si="3"/>
        <v>180.00821355236141</v>
      </c>
      <c r="AK19" s="215">
        <f t="shared" si="4"/>
        <v>16.5</v>
      </c>
      <c r="AL19" s="215">
        <f>COF!R21*Thinning!$BS$4/1000</f>
        <v>0</v>
      </c>
      <c r="AM19" s="215">
        <f>COF!O21</f>
        <v>0</v>
      </c>
      <c r="AN19" s="215">
        <f t="shared" si="5"/>
        <v>1.1299999999999999</v>
      </c>
      <c r="AO19" s="215">
        <f t="shared" si="12"/>
        <v>0</v>
      </c>
      <c r="AP19" s="215">
        <f>INDEX('Tables - Part 2'!$K$4:$M$4,,MATCH(Thinning!$Y19,'Tables - Part 2'!$K$3:$M$3,0))</f>
        <v>0.8</v>
      </c>
      <c r="AQ19" s="215">
        <f>INDEX('Tables - Part 2'!$K$5:$M$5,,MATCH(Thinning!$Y19,'Tables - Part 2'!$K$3:$M$3,0))</f>
        <v>0.15</v>
      </c>
      <c r="AR19" s="215">
        <f>INDEX('Tables - Part 2'!$K$6:$M$6,,MATCH(Thinning!$Y19,'Tables - Part 2'!$K$3:$M$3,0))</f>
        <v>0.05</v>
      </c>
      <c r="AS19" s="215">
        <v>0.9</v>
      </c>
      <c r="AT19" s="215">
        <v>0.7</v>
      </c>
      <c r="AU19" s="215">
        <v>0.5</v>
      </c>
      <c r="AV19" s="215">
        <v>0.4</v>
      </c>
      <c r="AW19" s="215">
        <v>0.09</v>
      </c>
      <c r="AX19" s="215">
        <v>0.2</v>
      </c>
      <c r="AY19" s="215">
        <v>0.3</v>
      </c>
      <c r="AZ19" s="215">
        <v>0.33</v>
      </c>
      <c r="BA19" s="215">
        <v>0.01</v>
      </c>
      <c r="BB19" s="215">
        <v>0.1</v>
      </c>
      <c r="BC19" s="215">
        <v>0.2</v>
      </c>
      <c r="BD19" s="215">
        <v>0.27</v>
      </c>
      <c r="BE19" s="215">
        <f t="shared" si="6"/>
        <v>4.41E-2</v>
      </c>
      <c r="BF19" s="215">
        <f t="shared" si="7"/>
        <v>1.4580000000000003E-5</v>
      </c>
      <c r="BG19" s="215">
        <f t="shared" si="8"/>
        <v>4.0000000000000021E-8</v>
      </c>
      <c r="BH19" s="215">
        <f t="shared" si="13"/>
        <v>0.9996685905942293</v>
      </c>
      <c r="BI19" s="215">
        <f t="shared" si="14"/>
        <v>3.3050267689033712E-4</v>
      </c>
      <c r="BJ19" s="215">
        <f t="shared" si="15"/>
        <v>9.0672888035757812E-7</v>
      </c>
      <c r="BK19" s="215">
        <f t="shared" si="9"/>
        <v>-3.5256723959524909</v>
      </c>
      <c r="BL19" s="215">
        <f t="shared" si="10"/>
        <v>-3.5306134228188442</v>
      </c>
      <c r="BM19" s="215">
        <f t="shared" si="11"/>
        <v>-3.5330762270066614</v>
      </c>
      <c r="BN19" s="215">
        <f t="shared" si="16"/>
        <v>6408.9025430933179</v>
      </c>
      <c r="BO19" s="215">
        <f>IF(OR(COF!C21=COF!$TJ$6,COF!C21=COF!$TJ$8,COF!C21=COF!$TJ$9,COF!C21=COF!$TJ$11,COF!E21=COF!$TM$18),MAX(BN19*AA19*AB19*AC19*AD19*AE19/Z19,0.1),0)</f>
        <v>0</v>
      </c>
    </row>
    <row r="20" spans="2:67" x14ac:dyDescent="0.35">
      <c r="B20" s="161" t="str">
        <f>'Tratamento de Dados'!B27</f>
        <v>V-8</v>
      </c>
      <c r="C20" s="161" t="str">
        <f>'Tratamento de Dados'!D27</f>
        <v>Casco</v>
      </c>
      <c r="D20" s="209" t="str">
        <f>'Tratamento de Dados'!AZ27</f>
        <v>Generalizada</v>
      </c>
      <c r="E20" s="209">
        <f>'Tratamento de Dados'!BA27</f>
        <v>10</v>
      </c>
      <c r="F20" s="210">
        <f>'Tratamento de Dados'!X27</f>
        <v>43831</v>
      </c>
      <c r="G20" s="210">
        <f>'Tratamento de Dados'!Z27</f>
        <v>43833</v>
      </c>
      <c r="H20" s="209" t="str">
        <f>'Tratamento de Dados'!BB27</f>
        <v>Não</v>
      </c>
      <c r="I20" s="209">
        <f>'Tratamento de Dados'!BC27</f>
        <v>0</v>
      </c>
      <c r="J20" s="209">
        <f>'Tratamento de Dados'!BD27</f>
        <v>3</v>
      </c>
      <c r="K20" s="209">
        <f>'Tratamento de Dados'!BE27</f>
        <v>4</v>
      </c>
      <c r="L20" s="210">
        <f>'Tratamento de Dados'!BF27</f>
        <v>1</v>
      </c>
      <c r="M20" s="209">
        <f>'Tratamento de Dados'!BG27</f>
        <v>2</v>
      </c>
      <c r="N20" s="209">
        <f>'Tratamento de Dados'!BH27</f>
        <v>2</v>
      </c>
      <c r="O20" s="218">
        <f>'Tratamento de Dados'!BI27</f>
        <v>0</v>
      </c>
      <c r="P20" s="209">
        <f>'Tratamento de Dados'!BJ27</f>
        <v>10</v>
      </c>
      <c r="Q20" s="209">
        <f>'Tratamento de Dados'!BK27</f>
        <v>20</v>
      </c>
      <c r="R20" s="209">
        <f>'Tratamento de Dados'!BL27</f>
        <v>1</v>
      </c>
      <c r="S20" s="209" t="str">
        <f>'Tratamento de Dados'!BM27</f>
        <v>Head</v>
      </c>
      <c r="T20" s="218">
        <f>'Tratamento de Dados'!BN27</f>
        <v>0</v>
      </c>
      <c r="U20" s="219">
        <f>'Tratamento de Dados'!BO27</f>
        <v>1</v>
      </c>
      <c r="V20" s="219">
        <f>'Tratamento de Dados'!BP27</f>
        <v>2</v>
      </c>
      <c r="W20" s="219">
        <f>'Tratamento de Dados'!BQ27</f>
        <v>3</v>
      </c>
      <c r="X20" s="219">
        <f>'Tratamento de Dados'!BR27</f>
        <v>0</v>
      </c>
      <c r="Y20" s="219" t="str">
        <f>'Tratamento de Dados'!BS27</f>
        <v>High Confidence Data</v>
      </c>
      <c r="Z20" s="568">
        <f>'Tratamento de Dados'!BT27</f>
        <v>1</v>
      </c>
      <c r="AA20" s="568">
        <f>'Tratamento de Dados'!BU27</f>
        <v>1</v>
      </c>
      <c r="AB20" s="568">
        <f>'Tratamento de Dados'!BV27</f>
        <v>1</v>
      </c>
      <c r="AC20" s="281">
        <v>1</v>
      </c>
      <c r="AD20" s="281">
        <v>1</v>
      </c>
      <c r="AE20" s="281">
        <v>1</v>
      </c>
      <c r="AF20" s="211">
        <f t="shared" si="0"/>
        <v>5.4757015742642025E-3</v>
      </c>
      <c r="AG20" s="211">
        <f t="shared" si="1"/>
        <v>2</v>
      </c>
      <c r="AH20" s="211">
        <f t="shared" si="2"/>
        <v>120.00547570157427</v>
      </c>
      <c r="AI20" s="215">
        <f>IF(H20=COF!$TH$10,MAX(I20/K20,0),0)</f>
        <v>0</v>
      </c>
      <c r="AJ20" s="215">
        <f t="shared" si="3"/>
        <v>180.00821355236141</v>
      </c>
      <c r="AK20" s="215">
        <f t="shared" si="4"/>
        <v>16.5</v>
      </c>
      <c r="AL20" s="215">
        <f>COF!R22*Thinning!$BS$4/1000</f>
        <v>0</v>
      </c>
      <c r="AM20" s="215">
        <f>COF!O22</f>
        <v>0</v>
      </c>
      <c r="AN20" s="215">
        <f t="shared" si="5"/>
        <v>1.1299999999999999</v>
      </c>
      <c r="AO20" s="215">
        <f t="shared" si="12"/>
        <v>0</v>
      </c>
      <c r="AP20" s="215">
        <f>INDEX('Tables - Part 2'!$K$4:$M$4,,MATCH(Thinning!$Y20,'Tables - Part 2'!$K$3:$M$3,0))</f>
        <v>0.8</v>
      </c>
      <c r="AQ20" s="215">
        <f>INDEX('Tables - Part 2'!$K$5:$M$5,,MATCH(Thinning!$Y20,'Tables - Part 2'!$K$3:$M$3,0))</f>
        <v>0.15</v>
      </c>
      <c r="AR20" s="215">
        <f>INDEX('Tables - Part 2'!$K$6:$M$6,,MATCH(Thinning!$Y20,'Tables - Part 2'!$K$3:$M$3,0))</f>
        <v>0.05</v>
      </c>
      <c r="AS20" s="215">
        <v>0.9</v>
      </c>
      <c r="AT20" s="215">
        <v>0.7</v>
      </c>
      <c r="AU20" s="215">
        <v>0.5</v>
      </c>
      <c r="AV20" s="215">
        <v>0.4</v>
      </c>
      <c r="AW20" s="215">
        <v>0.09</v>
      </c>
      <c r="AX20" s="215">
        <v>0.2</v>
      </c>
      <c r="AY20" s="215">
        <v>0.3</v>
      </c>
      <c r="AZ20" s="215">
        <v>0.33</v>
      </c>
      <c r="BA20" s="215">
        <v>0.01</v>
      </c>
      <c r="BB20" s="215">
        <v>0.1</v>
      </c>
      <c r="BC20" s="215">
        <v>0.2</v>
      </c>
      <c r="BD20" s="215">
        <v>0.27</v>
      </c>
      <c r="BE20" s="215">
        <f t="shared" si="6"/>
        <v>4.41E-2</v>
      </c>
      <c r="BF20" s="215">
        <f t="shared" si="7"/>
        <v>1.4580000000000003E-5</v>
      </c>
      <c r="BG20" s="215">
        <f t="shared" si="8"/>
        <v>4.0000000000000021E-8</v>
      </c>
      <c r="BH20" s="215">
        <f t="shared" si="13"/>
        <v>0.9996685905942293</v>
      </c>
      <c r="BI20" s="215">
        <f t="shared" si="14"/>
        <v>3.3050267689033712E-4</v>
      </c>
      <c r="BJ20" s="215">
        <f t="shared" si="15"/>
        <v>9.0672888035757812E-7</v>
      </c>
      <c r="BK20" s="215">
        <f t="shared" si="9"/>
        <v>-3.5256723959524909</v>
      </c>
      <c r="BL20" s="215">
        <f t="shared" si="10"/>
        <v>-3.5306134228188442</v>
      </c>
      <c r="BM20" s="215">
        <f t="shared" si="11"/>
        <v>-3.5330762270066614</v>
      </c>
      <c r="BN20" s="215">
        <f t="shared" si="16"/>
        <v>6408.9025430933179</v>
      </c>
      <c r="BO20" s="215">
        <f>IF(OR(COF!C22=COF!$TJ$6,COF!C22=COF!$TJ$8,COF!C22=COF!$TJ$9,COF!C22=COF!$TJ$11,COF!E22=COF!$TM$18),MAX(BN20*AA20*AB20*AC20*AD20*AE20/Z20,0.1),0)</f>
        <v>0</v>
      </c>
    </row>
    <row r="21" spans="2:67" x14ac:dyDescent="0.35">
      <c r="B21" s="161" t="str">
        <f>'Tratamento de Dados'!B28</f>
        <v>V-90</v>
      </c>
      <c r="C21" s="161" t="str">
        <f>'Tratamento de Dados'!D28</f>
        <v>Casco</v>
      </c>
      <c r="D21" s="209" t="str">
        <f>'Tratamento de Dados'!AZ28</f>
        <v>Generalizada</v>
      </c>
      <c r="E21" s="209">
        <f>'Tratamento de Dados'!BA28</f>
        <v>10</v>
      </c>
      <c r="F21" s="210">
        <f>'Tratamento de Dados'!X28</f>
        <v>43831</v>
      </c>
      <c r="G21" s="210">
        <f>'Tratamento de Dados'!Z28</f>
        <v>43833</v>
      </c>
      <c r="H21" s="209" t="str">
        <f>'Tratamento de Dados'!BB28</f>
        <v>Não</v>
      </c>
      <c r="I21" s="209">
        <f>'Tratamento de Dados'!BC28</f>
        <v>0</v>
      </c>
      <c r="J21" s="209">
        <f>'Tratamento de Dados'!BD28</f>
        <v>3</v>
      </c>
      <c r="K21" s="209">
        <f>'Tratamento de Dados'!BE28</f>
        <v>4</v>
      </c>
      <c r="L21" s="210">
        <f>'Tratamento de Dados'!BF28</f>
        <v>1</v>
      </c>
      <c r="M21" s="209">
        <f>'Tratamento de Dados'!BG28</f>
        <v>2</v>
      </c>
      <c r="N21" s="209">
        <f>'Tratamento de Dados'!BH28</f>
        <v>2</v>
      </c>
      <c r="O21" s="218">
        <f>'Tratamento de Dados'!BI28</f>
        <v>0</v>
      </c>
      <c r="P21" s="209">
        <f>'Tratamento de Dados'!BJ28</f>
        <v>10</v>
      </c>
      <c r="Q21" s="209">
        <f>'Tratamento de Dados'!BK28</f>
        <v>20</v>
      </c>
      <c r="R21" s="209">
        <f>'Tratamento de Dados'!BL28</f>
        <v>1</v>
      </c>
      <c r="S21" s="209" t="str">
        <f>'Tratamento de Dados'!BM28</f>
        <v>Head</v>
      </c>
      <c r="T21" s="218">
        <f>'Tratamento de Dados'!BN28</f>
        <v>0</v>
      </c>
      <c r="U21" s="219">
        <f>'Tratamento de Dados'!BO28</f>
        <v>1</v>
      </c>
      <c r="V21" s="219">
        <f>'Tratamento de Dados'!BP28</f>
        <v>2</v>
      </c>
      <c r="W21" s="219">
        <f>'Tratamento de Dados'!BQ28</f>
        <v>3</v>
      </c>
      <c r="X21" s="219">
        <f>'Tratamento de Dados'!BR28</f>
        <v>0</v>
      </c>
      <c r="Y21" s="219" t="str">
        <f>'Tratamento de Dados'!BS28</f>
        <v>High Confidence Data</v>
      </c>
      <c r="Z21" s="568">
        <f>'Tratamento de Dados'!BT28</f>
        <v>1</v>
      </c>
      <c r="AA21" s="568">
        <f>'Tratamento de Dados'!BU28</f>
        <v>1</v>
      </c>
      <c r="AB21" s="568">
        <f>'Tratamento de Dados'!BV28</f>
        <v>1</v>
      </c>
      <c r="AC21" s="281">
        <v>1</v>
      </c>
      <c r="AD21" s="281">
        <v>1</v>
      </c>
      <c r="AE21" s="281">
        <v>1</v>
      </c>
      <c r="AF21" s="211">
        <f t="shared" si="0"/>
        <v>5.4757015742642025E-3</v>
      </c>
      <c r="AG21" s="211">
        <f t="shared" si="1"/>
        <v>2</v>
      </c>
      <c r="AH21" s="211">
        <f t="shared" si="2"/>
        <v>120.00547570157427</v>
      </c>
      <c r="AI21" s="215">
        <f>IF(H21=COF!$TH$10,MAX(I21/K21,0),0)</f>
        <v>0</v>
      </c>
      <c r="AJ21" s="215">
        <f t="shared" si="3"/>
        <v>180.00821355236141</v>
      </c>
      <c r="AK21" s="215">
        <f t="shared" si="4"/>
        <v>16.5</v>
      </c>
      <c r="AL21" s="215">
        <f>COF!R23*Thinning!$BS$4/1000</f>
        <v>0</v>
      </c>
      <c r="AM21" s="215">
        <f>COF!O23</f>
        <v>0</v>
      </c>
      <c r="AN21" s="215">
        <f t="shared" si="5"/>
        <v>1.1299999999999999</v>
      </c>
      <c r="AO21" s="215">
        <f t="shared" si="12"/>
        <v>0</v>
      </c>
      <c r="AP21" s="215">
        <f>INDEX('Tables - Part 2'!$K$4:$M$4,,MATCH(Thinning!$Y21,'Tables - Part 2'!$K$3:$M$3,0))</f>
        <v>0.8</v>
      </c>
      <c r="AQ21" s="215">
        <f>INDEX('Tables - Part 2'!$K$5:$M$5,,MATCH(Thinning!$Y21,'Tables - Part 2'!$K$3:$M$3,0))</f>
        <v>0.15</v>
      </c>
      <c r="AR21" s="215">
        <f>INDEX('Tables - Part 2'!$K$6:$M$6,,MATCH(Thinning!$Y21,'Tables - Part 2'!$K$3:$M$3,0))</f>
        <v>0.05</v>
      </c>
      <c r="AS21" s="215">
        <v>0.9</v>
      </c>
      <c r="AT21" s="215">
        <v>0.7</v>
      </c>
      <c r="AU21" s="215">
        <v>0.5</v>
      </c>
      <c r="AV21" s="215">
        <v>0.4</v>
      </c>
      <c r="AW21" s="215">
        <v>0.09</v>
      </c>
      <c r="AX21" s="215">
        <v>0.2</v>
      </c>
      <c r="AY21" s="215">
        <v>0.3</v>
      </c>
      <c r="AZ21" s="215">
        <v>0.33</v>
      </c>
      <c r="BA21" s="215">
        <v>0.01</v>
      </c>
      <c r="BB21" s="215">
        <v>0.1</v>
      </c>
      <c r="BC21" s="215">
        <v>0.2</v>
      </c>
      <c r="BD21" s="215">
        <v>0.27</v>
      </c>
      <c r="BE21" s="215">
        <f t="shared" si="6"/>
        <v>4.41E-2</v>
      </c>
      <c r="BF21" s="215">
        <f t="shared" si="7"/>
        <v>1.4580000000000003E-5</v>
      </c>
      <c r="BG21" s="215">
        <f t="shared" si="8"/>
        <v>4.0000000000000021E-8</v>
      </c>
      <c r="BH21" s="215">
        <f t="shared" si="13"/>
        <v>0.9996685905942293</v>
      </c>
      <c r="BI21" s="215">
        <f t="shared" si="14"/>
        <v>3.3050267689033712E-4</v>
      </c>
      <c r="BJ21" s="215">
        <f t="shared" si="15"/>
        <v>9.0672888035757812E-7</v>
      </c>
      <c r="BK21" s="215">
        <f t="shared" si="9"/>
        <v>-3.5256723959524909</v>
      </c>
      <c r="BL21" s="215">
        <f t="shared" si="10"/>
        <v>-3.5306134228188442</v>
      </c>
      <c r="BM21" s="215">
        <f t="shared" si="11"/>
        <v>-3.5330762270066614</v>
      </c>
      <c r="BN21" s="215">
        <f t="shared" si="16"/>
        <v>6408.9025430933179</v>
      </c>
      <c r="BO21" s="215">
        <f>IF(OR(COF!C23=COF!$TJ$6,COF!C23=COF!$TJ$8,COF!C23=COF!$TJ$9,COF!C23=COF!$TJ$11,COF!E23=COF!$TM$18),MAX(BN21*AA21*AB21*AC21*AD21*AE21/Z21,0.1),0)</f>
        <v>0</v>
      </c>
    </row>
    <row r="22" spans="2:67" x14ac:dyDescent="0.35">
      <c r="B22" s="161" t="str">
        <f>'Tratamento de Dados'!B29</f>
        <v>V-9</v>
      </c>
      <c r="C22" s="161" t="str">
        <f>'Tratamento de Dados'!D29</f>
        <v>Casco</v>
      </c>
      <c r="D22" s="209" t="str">
        <f>'Tratamento de Dados'!AZ29</f>
        <v>Generalizada</v>
      </c>
      <c r="E22" s="209">
        <f>'Tratamento de Dados'!BA29</f>
        <v>10</v>
      </c>
      <c r="F22" s="210">
        <f>'Tratamento de Dados'!X29</f>
        <v>43831</v>
      </c>
      <c r="G22" s="210">
        <f>'Tratamento de Dados'!Z29</f>
        <v>43833</v>
      </c>
      <c r="H22" s="209" t="str">
        <f>'Tratamento de Dados'!BB29</f>
        <v>Não</v>
      </c>
      <c r="I22" s="209">
        <f>'Tratamento de Dados'!BC29</f>
        <v>0</v>
      </c>
      <c r="J22" s="209">
        <f>'Tratamento de Dados'!BD29</f>
        <v>3</v>
      </c>
      <c r="K22" s="209">
        <f>'Tratamento de Dados'!BE29</f>
        <v>4</v>
      </c>
      <c r="L22" s="210">
        <f>'Tratamento de Dados'!BF29</f>
        <v>1</v>
      </c>
      <c r="M22" s="209">
        <f>'Tratamento de Dados'!BG29</f>
        <v>2</v>
      </c>
      <c r="N22" s="209">
        <f>'Tratamento de Dados'!BH29</f>
        <v>2</v>
      </c>
      <c r="O22" s="218">
        <f>'Tratamento de Dados'!BI29</f>
        <v>0</v>
      </c>
      <c r="P22" s="209">
        <f>'Tratamento de Dados'!BJ29</f>
        <v>10</v>
      </c>
      <c r="Q22" s="209">
        <f>'Tratamento de Dados'!BK29</f>
        <v>20</v>
      </c>
      <c r="R22" s="209">
        <f>'Tratamento de Dados'!BL29</f>
        <v>1</v>
      </c>
      <c r="S22" s="209" t="str">
        <f>'Tratamento de Dados'!BM29</f>
        <v>Head</v>
      </c>
      <c r="T22" s="218">
        <f>'Tratamento de Dados'!BN29</f>
        <v>0</v>
      </c>
      <c r="U22" s="219">
        <f>'Tratamento de Dados'!BO29</f>
        <v>1</v>
      </c>
      <c r="V22" s="219">
        <f>'Tratamento de Dados'!BP29</f>
        <v>2</v>
      </c>
      <c r="W22" s="219">
        <f>'Tratamento de Dados'!BQ29</f>
        <v>3</v>
      </c>
      <c r="X22" s="219">
        <f>'Tratamento de Dados'!BR29</f>
        <v>0</v>
      </c>
      <c r="Y22" s="219" t="str">
        <f>'Tratamento de Dados'!BS29</f>
        <v>High Confidence Data</v>
      </c>
      <c r="Z22" s="568">
        <f>'Tratamento de Dados'!BT29</f>
        <v>1</v>
      </c>
      <c r="AA22" s="568">
        <f>'Tratamento de Dados'!BU29</f>
        <v>1</v>
      </c>
      <c r="AB22" s="568">
        <f>'Tratamento de Dados'!BV29</f>
        <v>1</v>
      </c>
      <c r="AC22" s="281">
        <v>1</v>
      </c>
      <c r="AD22" s="281">
        <v>1</v>
      </c>
      <c r="AE22" s="281">
        <v>1</v>
      </c>
      <c r="AF22" s="211">
        <f t="shared" si="0"/>
        <v>5.4757015742642025E-3</v>
      </c>
      <c r="AG22" s="211">
        <f t="shared" si="1"/>
        <v>2</v>
      </c>
      <c r="AH22" s="211">
        <f t="shared" si="2"/>
        <v>120.00547570157427</v>
      </c>
      <c r="AI22" s="215">
        <f>IF(H22=COF!$TH$10,MAX(I22/K22,0),0)</f>
        <v>0</v>
      </c>
      <c r="AJ22" s="215">
        <f t="shared" si="3"/>
        <v>180.00821355236141</v>
      </c>
      <c r="AK22" s="215">
        <f t="shared" si="4"/>
        <v>16.5</v>
      </c>
      <c r="AL22" s="215">
        <f>COF!R24*Thinning!$BS$4/1000</f>
        <v>0</v>
      </c>
      <c r="AM22" s="215">
        <f>COF!O24</f>
        <v>0</v>
      </c>
      <c r="AN22" s="215">
        <f t="shared" si="5"/>
        <v>1.1299999999999999</v>
      </c>
      <c r="AO22" s="215">
        <f t="shared" si="12"/>
        <v>0</v>
      </c>
      <c r="AP22" s="215">
        <f>INDEX('Tables - Part 2'!$K$4:$M$4,,MATCH(Thinning!$Y22,'Tables - Part 2'!$K$3:$M$3,0))</f>
        <v>0.8</v>
      </c>
      <c r="AQ22" s="215">
        <f>INDEX('Tables - Part 2'!$K$5:$M$5,,MATCH(Thinning!$Y22,'Tables - Part 2'!$K$3:$M$3,0))</f>
        <v>0.15</v>
      </c>
      <c r="AR22" s="215">
        <f>INDEX('Tables - Part 2'!$K$6:$M$6,,MATCH(Thinning!$Y22,'Tables - Part 2'!$K$3:$M$3,0))</f>
        <v>0.05</v>
      </c>
      <c r="AS22" s="215">
        <v>0.9</v>
      </c>
      <c r="AT22" s="215">
        <v>0.7</v>
      </c>
      <c r="AU22" s="215">
        <v>0.5</v>
      </c>
      <c r="AV22" s="215">
        <v>0.4</v>
      </c>
      <c r="AW22" s="215">
        <v>0.09</v>
      </c>
      <c r="AX22" s="215">
        <v>0.2</v>
      </c>
      <c r="AY22" s="215">
        <v>0.3</v>
      </c>
      <c r="AZ22" s="215">
        <v>0.33</v>
      </c>
      <c r="BA22" s="215">
        <v>0.01</v>
      </c>
      <c r="BB22" s="215">
        <v>0.1</v>
      </c>
      <c r="BC22" s="215">
        <v>0.2</v>
      </c>
      <c r="BD22" s="215">
        <v>0.27</v>
      </c>
      <c r="BE22" s="215">
        <f t="shared" si="6"/>
        <v>4.41E-2</v>
      </c>
      <c r="BF22" s="215">
        <f t="shared" si="7"/>
        <v>1.4580000000000003E-5</v>
      </c>
      <c r="BG22" s="215">
        <f t="shared" si="8"/>
        <v>4.0000000000000021E-8</v>
      </c>
      <c r="BH22" s="215">
        <f>BE22/($BE22+$BF22+$BG22)</f>
        <v>0.9996685905942293</v>
      </c>
      <c r="BI22" s="215">
        <f>BF22/($BE22+$BF22+$BG22)</f>
        <v>3.3050267689033712E-4</v>
      </c>
      <c r="BJ22" s="215">
        <f>BG22/($BE22+$BF22+$BG22)</f>
        <v>9.0672888035757812E-7</v>
      </c>
      <c r="BK22" s="215">
        <f t="shared" si="9"/>
        <v>-3.5256723959524909</v>
      </c>
      <c r="BL22" s="215">
        <f t="shared" si="10"/>
        <v>-3.5306134228188442</v>
      </c>
      <c r="BM22" s="215">
        <f t="shared" si="11"/>
        <v>-3.5330762270066614</v>
      </c>
      <c r="BN22" s="215">
        <f>(BH22*NORMSDIST(-BK22)+BI22*NORMSDIST(-BL22)+BJ22*NORMSDIST(-BM22))/0.000156</f>
        <v>6408.9025430933179</v>
      </c>
      <c r="BO22" s="215">
        <f>IF(OR(COF!C24=COF!$TJ$6,COF!C24=COF!$TJ$8,COF!C24=COF!$TJ$9,COF!C24=COF!$TJ$11,COF!E24=COF!$TM$18),MAX(BN22*AA22*AB22*AC22*AD22*AE22/Z22,0.1),0)</f>
        <v>0</v>
      </c>
    </row>
  </sheetData>
  <mergeCells count="13">
    <mergeCell ref="BK3:BM3"/>
    <mergeCell ref="AL3:AO3"/>
    <mergeCell ref="E3:I3"/>
    <mergeCell ref="J3:K3"/>
    <mergeCell ref="L3:M3"/>
    <mergeCell ref="AP3:BG3"/>
    <mergeCell ref="BH3:BJ3"/>
    <mergeCell ref="AG3:AH3"/>
    <mergeCell ref="P3:R3"/>
    <mergeCell ref="N3:O3"/>
    <mergeCell ref="S3:T3"/>
    <mergeCell ref="U3:X3"/>
    <mergeCell ref="Z3:AE3"/>
  </mergeCell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COF!$TH$10:$TH$11</xm:f>
          </x14:formula1>
          <xm:sqref>H5:H22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32">
    <tabColor rgb="FFFFFF00"/>
  </sheetPr>
  <dimension ref="B1:AQ22"/>
  <sheetViews>
    <sheetView topLeftCell="L1" zoomScale="85" zoomScaleNormal="85" workbookViewId="0">
      <selection activeCell="W17" sqref="W17"/>
    </sheetView>
  </sheetViews>
  <sheetFormatPr defaultRowHeight="14.5" x14ac:dyDescent="0.35"/>
  <cols>
    <col min="1" max="1" width="1.26953125" customWidth="1"/>
    <col min="2" max="3" width="15.453125" customWidth="1"/>
    <col min="4" max="4" width="16.7265625" customWidth="1"/>
    <col min="5" max="5" width="12.7265625" customWidth="1"/>
    <col min="6" max="6" width="19" customWidth="1"/>
    <col min="7" max="7" width="11" customWidth="1"/>
    <col min="8" max="8" width="11.7265625" customWidth="1"/>
    <col min="9" max="9" width="19.54296875" bestFit="1" customWidth="1"/>
    <col min="10" max="10" width="18.7265625" customWidth="1"/>
    <col min="11" max="12" width="10.7265625" customWidth="1"/>
    <col min="13" max="13" width="19.54296875" bestFit="1" customWidth="1"/>
    <col min="14" max="16" width="20.7265625" customWidth="1"/>
    <col min="17" max="17" width="10" customWidth="1"/>
    <col min="18" max="18" width="10.453125" customWidth="1"/>
    <col min="19" max="19" width="13.1796875" customWidth="1"/>
    <col min="20" max="22" width="11.54296875" customWidth="1"/>
    <col min="23" max="23" width="17.54296875" style="2" bestFit="1" customWidth="1"/>
    <col min="24" max="24" width="10.81640625" bestFit="1" customWidth="1"/>
    <col min="25" max="25" width="20.26953125" style="2" bestFit="1" customWidth="1"/>
    <col min="88" max="88" width="9.1796875" customWidth="1"/>
  </cols>
  <sheetData>
    <row r="1" spans="2:43" ht="5.25" customHeight="1" x14ac:dyDescent="0.35"/>
    <row r="2" spans="2:43" ht="15.5" x14ac:dyDescent="0.35">
      <c r="E2" s="543"/>
      <c r="F2" s="403"/>
      <c r="G2" s="403"/>
      <c r="H2" s="403"/>
      <c r="I2" s="403" t="s">
        <v>1443</v>
      </c>
      <c r="J2" s="403"/>
      <c r="K2" s="403"/>
      <c r="L2" s="403"/>
      <c r="M2" s="403" t="s">
        <v>1443</v>
      </c>
      <c r="N2" s="567" t="s">
        <v>1448</v>
      </c>
      <c r="O2" s="567" t="s">
        <v>1448</v>
      </c>
      <c r="P2" s="567" t="s">
        <v>1448</v>
      </c>
      <c r="Q2" s="403"/>
      <c r="R2" s="403"/>
      <c r="S2" s="403"/>
      <c r="W2" s="550" t="s">
        <v>1435</v>
      </c>
      <c r="X2" s="403"/>
      <c r="Y2" s="550"/>
    </row>
    <row r="3" spans="2:43" x14ac:dyDescent="0.35">
      <c r="E3" s="696"/>
      <c r="F3" s="696"/>
      <c r="G3" s="696"/>
      <c r="H3" s="522"/>
      <c r="I3" s="523" t="s">
        <v>1441</v>
      </c>
      <c r="J3" s="697"/>
      <c r="K3" s="699"/>
      <c r="L3" s="522"/>
      <c r="M3" s="523" t="s">
        <v>1445</v>
      </c>
      <c r="N3" s="698"/>
      <c r="O3" s="698"/>
      <c r="P3" s="541"/>
      <c r="Q3" s="213"/>
      <c r="R3" s="697"/>
      <c r="S3" s="699"/>
      <c r="T3" s="698"/>
      <c r="U3" s="698"/>
      <c r="V3" s="698"/>
      <c r="W3" s="521" t="s">
        <v>1440</v>
      </c>
      <c r="X3" s="521" t="s">
        <v>1447</v>
      </c>
      <c r="Y3" s="554" t="s">
        <v>1456</v>
      </c>
      <c r="AE3" t="s">
        <v>788</v>
      </c>
      <c r="AF3">
        <v>2</v>
      </c>
      <c r="AH3" s="208" t="s">
        <v>738</v>
      </c>
      <c r="AI3">
        <v>0.2</v>
      </c>
      <c r="AJ3" s="208" t="s">
        <v>741</v>
      </c>
      <c r="AK3" s="208" t="s">
        <v>742</v>
      </c>
      <c r="AL3" s="208" t="s">
        <v>743</v>
      </c>
      <c r="AN3" s="208" t="s">
        <v>824</v>
      </c>
      <c r="AO3" s="208" t="s">
        <v>1453</v>
      </c>
      <c r="AP3" s="208" t="s">
        <v>1454</v>
      </c>
      <c r="AQ3" s="208" t="s">
        <v>1455</v>
      </c>
    </row>
    <row r="4" spans="2:43" x14ac:dyDescent="0.35">
      <c r="B4" s="346" t="s">
        <v>968</v>
      </c>
      <c r="C4" s="346" t="s">
        <v>969</v>
      </c>
      <c r="D4" s="346" t="s">
        <v>951</v>
      </c>
      <c r="E4" s="346" t="s">
        <v>755</v>
      </c>
      <c r="F4" s="346" t="s">
        <v>920</v>
      </c>
      <c r="G4" s="346" t="s">
        <v>754</v>
      </c>
      <c r="H4" s="346" t="s">
        <v>758</v>
      </c>
      <c r="I4" s="361" t="s">
        <v>1442</v>
      </c>
      <c r="J4" s="346" t="s">
        <v>763</v>
      </c>
      <c r="K4" s="346" t="s">
        <v>766</v>
      </c>
      <c r="L4" s="346" t="s">
        <v>772</v>
      </c>
      <c r="M4" s="361" t="s">
        <v>1446</v>
      </c>
      <c r="N4" s="346" t="s">
        <v>751</v>
      </c>
      <c r="O4" s="346" t="s">
        <v>752</v>
      </c>
      <c r="P4" s="346" t="s">
        <v>753</v>
      </c>
      <c r="Q4" s="346" t="s">
        <v>756</v>
      </c>
      <c r="R4" s="346" t="s">
        <v>766</v>
      </c>
      <c r="S4" s="346" t="s">
        <v>767</v>
      </c>
      <c r="T4" s="346" t="s">
        <v>751</v>
      </c>
      <c r="U4" s="346" t="s">
        <v>752</v>
      </c>
      <c r="V4" s="346" t="s">
        <v>753</v>
      </c>
      <c r="W4" s="346" t="s">
        <v>1444</v>
      </c>
      <c r="X4" s="346" t="s">
        <v>747</v>
      </c>
      <c r="Y4" s="244" t="s">
        <v>1457</v>
      </c>
      <c r="AA4">
        <v>1</v>
      </c>
      <c r="AB4" s="208" t="s">
        <v>710</v>
      </c>
      <c r="AC4">
        <v>14.2233</v>
      </c>
      <c r="AD4" s="208" t="s">
        <v>711</v>
      </c>
      <c r="AE4" t="s">
        <v>789</v>
      </c>
      <c r="AF4">
        <v>4</v>
      </c>
      <c r="AH4" s="208" t="s">
        <v>739</v>
      </c>
      <c r="AI4">
        <v>0.2</v>
      </c>
      <c r="AJ4">
        <v>1</v>
      </c>
      <c r="AK4">
        <v>2</v>
      </c>
      <c r="AL4">
        <v>4</v>
      </c>
      <c r="AN4">
        <v>1</v>
      </c>
      <c r="AO4">
        <v>1</v>
      </c>
      <c r="AP4">
        <v>1</v>
      </c>
      <c r="AQ4">
        <v>1</v>
      </c>
    </row>
    <row r="5" spans="2:43" x14ac:dyDescent="0.35">
      <c r="B5" s="161" t="str">
        <f>'Tratamento de Dados'!B12</f>
        <v>V-90</v>
      </c>
      <c r="C5" s="161" t="str">
        <f>'Tratamento de Dados'!D12</f>
        <v>Casco</v>
      </c>
      <c r="D5" s="161" t="s">
        <v>952</v>
      </c>
      <c r="E5" s="209">
        <f>'Tratamento de Dados'!BA12</f>
        <v>10</v>
      </c>
      <c r="F5" s="210">
        <f>'Tratamento de Dados'!X12</f>
        <v>43831</v>
      </c>
      <c r="G5" s="210">
        <f>'Tratamento de Dados'!Z12</f>
        <v>43833</v>
      </c>
      <c r="H5" s="209">
        <f>'Tratamento de Dados'!BD12</f>
        <v>3</v>
      </c>
      <c r="I5" s="209">
        <v>3</v>
      </c>
      <c r="J5" s="210">
        <f>'Tratamento de Dados'!BF12</f>
        <v>1</v>
      </c>
      <c r="K5" s="209">
        <f>'Tratamento de Dados'!BG12</f>
        <v>2</v>
      </c>
      <c r="L5" s="209">
        <f>'Tratamento de Dados'!BH12</f>
        <v>2</v>
      </c>
      <c r="M5" s="209" t="s">
        <v>278</v>
      </c>
      <c r="N5" s="219">
        <v>10</v>
      </c>
      <c r="O5" s="219">
        <v>5</v>
      </c>
      <c r="P5" s="219">
        <v>2</v>
      </c>
      <c r="Q5" s="211">
        <f t="shared" ref="Q5:Q22" si="0">(G5-F5)/365.25</f>
        <v>5.4757015742642025E-3</v>
      </c>
      <c r="R5" s="211">
        <f t="shared" ref="R5:R22" si="1">IF(K5=0,E5,K5)</f>
        <v>2</v>
      </c>
      <c r="S5" s="211">
        <f t="shared" ref="S5:S22" si="2">IF(R5=E5,Q5,(G5-J5)/365.25)</f>
        <v>120.00547570157427</v>
      </c>
      <c r="T5" s="227">
        <f t="shared" ref="T5:T22" si="3">N5</f>
        <v>10</v>
      </c>
      <c r="U5" s="227">
        <f t="shared" ref="U5:U22" si="4">O5</f>
        <v>5</v>
      </c>
      <c r="V5" s="227">
        <f t="shared" ref="V5:V22" si="5">P5</f>
        <v>2</v>
      </c>
      <c r="W5" s="248">
        <f t="shared" ref="W5:W22" si="6">MROUND(MAX(1-(R5-(H5*S5))/(L5+I5),0),0.05)</f>
        <v>72.600000000000009</v>
      </c>
      <c r="X5" s="211" t="e">
        <f>INDEX('Tables - Part 5'!$H$6:$L$26,MATCH(Thinning_AST!W5,'Tables - Part 5'!$G$6:$G$26,0),MATCH(Thinning_AST!M5,'Tables - Part 5'!$H$5:$L$5,0))</f>
        <v>#N/A</v>
      </c>
      <c r="Y5" s="238">
        <f>IF(COF!E7=COF!$TM$17,MAX(X5*N5*O5*P5,0.1),0)</f>
        <v>0</v>
      </c>
      <c r="AE5" t="s">
        <v>790</v>
      </c>
      <c r="AF5">
        <v>1.1299999999999999</v>
      </c>
      <c r="AH5" s="208" t="s">
        <v>740</v>
      </c>
      <c r="AI5">
        <v>0.05</v>
      </c>
      <c r="AN5">
        <v>3</v>
      </c>
      <c r="AO5">
        <v>10</v>
      </c>
      <c r="AP5">
        <v>5</v>
      </c>
      <c r="AQ5">
        <v>1.5</v>
      </c>
    </row>
    <row r="6" spans="2:43" x14ac:dyDescent="0.35">
      <c r="B6" s="161" t="str">
        <f>'Tratamento de Dados'!B13</f>
        <v>V-07</v>
      </c>
      <c r="C6" s="161" t="str">
        <f>'Tratamento de Dados'!D13</f>
        <v>Tampo_Sul</v>
      </c>
      <c r="D6" s="161" t="s">
        <v>953</v>
      </c>
      <c r="E6" s="209">
        <f>'Tratamento de Dados'!BA13</f>
        <v>12.5</v>
      </c>
      <c r="F6" s="210">
        <f>'Tratamento de Dados'!X13</f>
        <v>35234</v>
      </c>
      <c r="G6" s="210">
        <f>'Tratamento de Dados'!Z13</f>
        <v>43983</v>
      </c>
      <c r="H6" s="209">
        <f>'Tratamento de Dados'!BD13</f>
        <v>9.9000000000000005E-2</v>
      </c>
      <c r="I6" s="209">
        <v>3</v>
      </c>
      <c r="J6" s="210">
        <f>'Tratamento de Dados'!BF13</f>
        <v>43350</v>
      </c>
      <c r="K6" s="209">
        <f>'Tratamento de Dados'!BG13</f>
        <v>11.2</v>
      </c>
      <c r="L6" s="209">
        <f>'Tratamento de Dados'!BH13</f>
        <v>6.5</v>
      </c>
      <c r="M6" s="209" t="s">
        <v>278</v>
      </c>
      <c r="N6" s="219">
        <v>10</v>
      </c>
      <c r="O6" s="219">
        <v>5</v>
      </c>
      <c r="P6" s="219">
        <v>2</v>
      </c>
      <c r="Q6" s="211">
        <f t="shared" si="0"/>
        <v>23.953456536618756</v>
      </c>
      <c r="R6" s="211">
        <f t="shared" si="1"/>
        <v>11.2</v>
      </c>
      <c r="S6" s="211">
        <f t="shared" si="2"/>
        <v>1.7330595482546201</v>
      </c>
      <c r="T6" s="227">
        <f t="shared" si="3"/>
        <v>10</v>
      </c>
      <c r="U6" s="227">
        <f t="shared" si="4"/>
        <v>5</v>
      </c>
      <c r="V6" s="227">
        <f t="shared" si="5"/>
        <v>2</v>
      </c>
      <c r="W6" s="248">
        <f t="shared" si="6"/>
        <v>0</v>
      </c>
      <c r="X6" s="211">
        <f>INDEX('Tables - Part 5'!$H$6:$L$26,MATCH(Thinning_AST!W6,'Tables - Part 5'!$G$6:$G$26,0),MATCH(Thinning_AST!M6,'Tables - Part 5'!$H$5:$L$5,0))</f>
        <v>0.1</v>
      </c>
      <c r="Y6" s="238">
        <f>IF(COF!E8=COF!$TM$17,MAX(X6*N6*O6*P6,0.1),0)</f>
        <v>0</v>
      </c>
      <c r="AQ6">
        <v>2</v>
      </c>
    </row>
    <row r="7" spans="2:43" x14ac:dyDescent="0.35">
      <c r="B7" s="161" t="str">
        <f>'Tratamento de Dados'!B14</f>
        <v>V-10</v>
      </c>
      <c r="C7" s="161" t="str">
        <f>'Tratamento de Dados'!D14</f>
        <v>Casco</v>
      </c>
      <c r="D7" s="161" t="str">
        <f>'Tratamento de Dados'!AZ14</f>
        <v>Generalizada</v>
      </c>
      <c r="E7" s="209">
        <f>'Tratamento de Dados'!BA14</f>
        <v>10</v>
      </c>
      <c r="F7" s="210">
        <f>'Tratamento de Dados'!X14</f>
        <v>43831</v>
      </c>
      <c r="G7" s="210">
        <f>'Tratamento de Dados'!Z14</f>
        <v>43833</v>
      </c>
      <c r="H7" s="209">
        <f>'Tratamento de Dados'!BD14</f>
        <v>3</v>
      </c>
      <c r="I7" s="209">
        <v>3</v>
      </c>
      <c r="J7" s="210">
        <f>'Tratamento de Dados'!BF14</f>
        <v>1</v>
      </c>
      <c r="K7" s="209">
        <f>'Tratamento de Dados'!BG14</f>
        <v>2</v>
      </c>
      <c r="L7" s="209">
        <f>'Tratamento de Dados'!BH14</f>
        <v>2</v>
      </c>
      <c r="M7" s="209" t="s">
        <v>278</v>
      </c>
      <c r="N7" s="219">
        <v>10</v>
      </c>
      <c r="O7" s="219">
        <v>5</v>
      </c>
      <c r="P7" s="219">
        <v>2</v>
      </c>
      <c r="Q7" s="211">
        <f t="shared" si="0"/>
        <v>5.4757015742642025E-3</v>
      </c>
      <c r="R7" s="211">
        <f t="shared" si="1"/>
        <v>2</v>
      </c>
      <c r="S7" s="211">
        <f t="shared" si="2"/>
        <v>120.00547570157427</v>
      </c>
      <c r="T7" s="227">
        <f t="shared" si="3"/>
        <v>10</v>
      </c>
      <c r="U7" s="227">
        <f t="shared" si="4"/>
        <v>5</v>
      </c>
      <c r="V7" s="227">
        <f t="shared" si="5"/>
        <v>2</v>
      </c>
      <c r="W7" s="248">
        <f t="shared" si="6"/>
        <v>72.600000000000009</v>
      </c>
      <c r="X7" s="211" t="e">
        <f>INDEX('Tables - Part 5'!$H$6:$L$26,MATCH(Thinning_AST!W7,'Tables - Part 5'!$G$6:$G$26,0),MATCH(Thinning_AST!M7,'Tables - Part 5'!$H$5:$L$5,0))</f>
        <v>#N/A</v>
      </c>
      <c r="Y7" s="238">
        <f>IF(COF!E9=COF!$TM$17,MAX(X7*N7*O7*P7,0.1),0)</f>
        <v>0</v>
      </c>
    </row>
    <row r="8" spans="2:43" x14ac:dyDescent="0.35">
      <c r="B8" s="161" t="str">
        <f>'Tratamento de Dados'!B15</f>
        <v>V-11</v>
      </c>
      <c r="C8" s="161" t="str">
        <f>'Tratamento de Dados'!D15</f>
        <v>Casco</v>
      </c>
      <c r="D8" s="161" t="str">
        <f>'Tratamento de Dados'!AZ15</f>
        <v>Generalizada</v>
      </c>
      <c r="E8" s="209">
        <f>'Tratamento de Dados'!BA15</f>
        <v>10</v>
      </c>
      <c r="F8" s="210">
        <f>'Tratamento de Dados'!X15</f>
        <v>43831</v>
      </c>
      <c r="G8" s="210">
        <f>'Tratamento de Dados'!Z15</f>
        <v>43833</v>
      </c>
      <c r="H8" s="209">
        <f>'Tratamento de Dados'!BD15</f>
        <v>3</v>
      </c>
      <c r="I8" s="209">
        <v>3</v>
      </c>
      <c r="J8" s="210">
        <f>'Tratamento de Dados'!BF15</f>
        <v>1</v>
      </c>
      <c r="K8" s="209">
        <f>'Tratamento de Dados'!BG15</f>
        <v>2</v>
      </c>
      <c r="L8" s="209">
        <f>'Tratamento de Dados'!BH15</f>
        <v>2</v>
      </c>
      <c r="M8" s="209" t="s">
        <v>278</v>
      </c>
      <c r="N8" s="219">
        <v>10</v>
      </c>
      <c r="O8" s="219">
        <v>5</v>
      </c>
      <c r="P8" s="219">
        <v>2</v>
      </c>
      <c r="Q8" s="211">
        <f t="shared" si="0"/>
        <v>5.4757015742642025E-3</v>
      </c>
      <c r="R8" s="211">
        <f t="shared" si="1"/>
        <v>2</v>
      </c>
      <c r="S8" s="211">
        <f t="shared" si="2"/>
        <v>120.00547570157427</v>
      </c>
      <c r="T8" s="227">
        <f t="shared" si="3"/>
        <v>10</v>
      </c>
      <c r="U8" s="227">
        <f t="shared" si="4"/>
        <v>5</v>
      </c>
      <c r="V8" s="227">
        <f t="shared" si="5"/>
        <v>2</v>
      </c>
      <c r="W8" s="248">
        <f t="shared" si="6"/>
        <v>72.600000000000009</v>
      </c>
      <c r="X8" s="211" t="e">
        <f>INDEX('Tables - Part 5'!$H$6:$L$26,MATCH(Thinning_AST!W8,'Tables - Part 5'!$G$6:$G$26,0),MATCH(Thinning_AST!M8,'Tables - Part 5'!$H$5:$L$5,0))</f>
        <v>#N/A</v>
      </c>
      <c r="Y8" s="238">
        <f>IF(COF!E10=COF!$TM$17,MAX(X8*N8*O8*P8,0.1),0)</f>
        <v>0</v>
      </c>
    </row>
    <row r="9" spans="2:43" x14ac:dyDescent="0.35">
      <c r="B9" s="161" t="str">
        <f>'Tratamento de Dados'!B16</f>
        <v>V-13</v>
      </c>
      <c r="C9" s="161" t="str">
        <f>'Tratamento de Dados'!D16</f>
        <v>Casco</v>
      </c>
      <c r="D9" s="161" t="str">
        <f>'Tratamento de Dados'!AZ16</f>
        <v>Generalizada</v>
      </c>
      <c r="E9" s="209">
        <f>'Tratamento de Dados'!BA16</f>
        <v>10</v>
      </c>
      <c r="F9" s="210">
        <f>'Tratamento de Dados'!X16</f>
        <v>43831</v>
      </c>
      <c r="G9" s="210">
        <f>'Tratamento de Dados'!Z16</f>
        <v>43833</v>
      </c>
      <c r="H9" s="209">
        <f>'Tratamento de Dados'!BD16</f>
        <v>3</v>
      </c>
      <c r="I9" s="209">
        <v>3</v>
      </c>
      <c r="J9" s="210">
        <f>'Tratamento de Dados'!BF16</f>
        <v>1</v>
      </c>
      <c r="K9" s="209">
        <f>'Tratamento de Dados'!BG16</f>
        <v>2</v>
      </c>
      <c r="L9" s="209">
        <f>'Tratamento de Dados'!BH16</f>
        <v>2</v>
      </c>
      <c r="M9" s="209" t="s">
        <v>278</v>
      </c>
      <c r="N9" s="219">
        <v>10</v>
      </c>
      <c r="O9" s="219">
        <v>5</v>
      </c>
      <c r="P9" s="219">
        <v>2</v>
      </c>
      <c r="Q9" s="211">
        <f t="shared" si="0"/>
        <v>5.4757015742642025E-3</v>
      </c>
      <c r="R9" s="211">
        <f t="shared" si="1"/>
        <v>2</v>
      </c>
      <c r="S9" s="211">
        <f t="shared" si="2"/>
        <v>120.00547570157427</v>
      </c>
      <c r="T9" s="227">
        <f t="shared" si="3"/>
        <v>10</v>
      </c>
      <c r="U9" s="227">
        <f t="shared" si="4"/>
        <v>5</v>
      </c>
      <c r="V9" s="227">
        <f t="shared" si="5"/>
        <v>2</v>
      </c>
      <c r="W9" s="248">
        <f t="shared" si="6"/>
        <v>72.600000000000009</v>
      </c>
      <c r="X9" s="211" t="e">
        <f>INDEX('Tables - Part 5'!$H$6:$L$26,MATCH(Thinning_AST!W9,'Tables - Part 5'!$G$6:$G$26,0),MATCH(Thinning_AST!M9,'Tables - Part 5'!$H$5:$L$5,0))</f>
        <v>#N/A</v>
      </c>
      <c r="Y9" s="238">
        <f>IF(COF!E11=COF!$TM$17,MAX(X9*N9*O9*P9,0.1),0)</f>
        <v>0</v>
      </c>
    </row>
    <row r="10" spans="2:43" x14ac:dyDescent="0.35">
      <c r="B10" s="161" t="str">
        <f>'Tratamento de Dados'!B17</f>
        <v>V-14</v>
      </c>
      <c r="C10" s="161" t="str">
        <f>'Tratamento de Dados'!D17</f>
        <v>Casco</v>
      </c>
      <c r="D10" s="161" t="str">
        <f>'Tratamento de Dados'!AZ17</f>
        <v>Generalizada</v>
      </c>
      <c r="E10" s="209">
        <f>'Tratamento de Dados'!BA17</f>
        <v>10</v>
      </c>
      <c r="F10" s="210">
        <f>'Tratamento de Dados'!X17</f>
        <v>43831</v>
      </c>
      <c r="G10" s="210">
        <f>'Tratamento de Dados'!Z17</f>
        <v>43833</v>
      </c>
      <c r="H10" s="209">
        <f>'Tratamento de Dados'!BD17</f>
        <v>3</v>
      </c>
      <c r="I10" s="209">
        <v>3</v>
      </c>
      <c r="J10" s="210">
        <f>'Tratamento de Dados'!BF17</f>
        <v>1</v>
      </c>
      <c r="K10" s="209">
        <f>'Tratamento de Dados'!BG17</f>
        <v>2</v>
      </c>
      <c r="L10" s="209">
        <f>'Tratamento de Dados'!BH17</f>
        <v>2</v>
      </c>
      <c r="M10" s="209" t="s">
        <v>278</v>
      </c>
      <c r="N10" s="219">
        <v>10</v>
      </c>
      <c r="O10" s="219">
        <v>5</v>
      </c>
      <c r="P10" s="219">
        <v>2</v>
      </c>
      <c r="Q10" s="211">
        <f t="shared" si="0"/>
        <v>5.4757015742642025E-3</v>
      </c>
      <c r="R10" s="211">
        <f t="shared" si="1"/>
        <v>2</v>
      </c>
      <c r="S10" s="211">
        <f t="shared" si="2"/>
        <v>120.00547570157427</v>
      </c>
      <c r="T10" s="227">
        <f t="shared" si="3"/>
        <v>10</v>
      </c>
      <c r="U10" s="227">
        <f t="shared" si="4"/>
        <v>5</v>
      </c>
      <c r="V10" s="227">
        <f t="shared" si="5"/>
        <v>2</v>
      </c>
      <c r="W10" s="248">
        <f t="shared" si="6"/>
        <v>72.600000000000009</v>
      </c>
      <c r="X10" s="211" t="e">
        <f>INDEX('Tables - Part 5'!$H$6:$L$26,MATCH(Thinning_AST!W10,'Tables - Part 5'!$G$6:$G$26,0),MATCH(Thinning_AST!M10,'Tables - Part 5'!$H$5:$L$5,0))</f>
        <v>#N/A</v>
      </c>
      <c r="Y10" s="238">
        <f>IF(COF!E12=COF!$TM$17,MAX(X10*N10*O10*P10,0.1),0)</f>
        <v>0</v>
      </c>
    </row>
    <row r="11" spans="2:43" x14ac:dyDescent="0.35">
      <c r="B11" s="161" t="str">
        <f>'Tratamento de Dados'!B18</f>
        <v>V-1</v>
      </c>
      <c r="C11" s="161" t="str">
        <f>'Tratamento de Dados'!D18</f>
        <v>Casco</v>
      </c>
      <c r="D11" s="161" t="str">
        <f>'Tratamento de Dados'!AZ18</f>
        <v>Generalizada</v>
      </c>
      <c r="E11" s="209">
        <f>'Tratamento de Dados'!BA18</f>
        <v>10</v>
      </c>
      <c r="F11" s="210">
        <f>'Tratamento de Dados'!X18</f>
        <v>43831</v>
      </c>
      <c r="G11" s="210">
        <f>'Tratamento de Dados'!Z18</f>
        <v>43833</v>
      </c>
      <c r="H11" s="209">
        <f>'Tratamento de Dados'!BD18</f>
        <v>3</v>
      </c>
      <c r="I11" s="209">
        <v>3</v>
      </c>
      <c r="J11" s="210">
        <f>'Tratamento de Dados'!BF18</f>
        <v>1</v>
      </c>
      <c r="K11" s="209">
        <f>'Tratamento de Dados'!BG18</f>
        <v>2</v>
      </c>
      <c r="L11" s="209">
        <f>'Tratamento de Dados'!BH18</f>
        <v>2</v>
      </c>
      <c r="M11" s="209" t="s">
        <v>278</v>
      </c>
      <c r="N11" s="219">
        <v>10</v>
      </c>
      <c r="O11" s="219">
        <v>5</v>
      </c>
      <c r="P11" s="219">
        <v>2</v>
      </c>
      <c r="Q11" s="211">
        <f t="shared" si="0"/>
        <v>5.4757015742642025E-3</v>
      </c>
      <c r="R11" s="211">
        <f t="shared" si="1"/>
        <v>2</v>
      </c>
      <c r="S11" s="211">
        <f t="shared" si="2"/>
        <v>120.00547570157427</v>
      </c>
      <c r="T11" s="227">
        <f t="shared" si="3"/>
        <v>10</v>
      </c>
      <c r="U11" s="227">
        <f t="shared" si="4"/>
        <v>5</v>
      </c>
      <c r="V11" s="227">
        <f t="shared" si="5"/>
        <v>2</v>
      </c>
      <c r="W11" s="248">
        <f t="shared" si="6"/>
        <v>72.600000000000009</v>
      </c>
      <c r="X11" s="211" t="e">
        <f>INDEX('Tables - Part 5'!$H$6:$L$26,MATCH(Thinning_AST!W11,'Tables - Part 5'!$G$6:$G$26,0),MATCH(Thinning_AST!M11,'Tables - Part 5'!$H$5:$L$5,0))</f>
        <v>#N/A</v>
      </c>
      <c r="Y11" s="238">
        <f>IF(COF!E13=COF!$TM$17,MAX(X11*N11*O11*P11,0.1),0)</f>
        <v>0</v>
      </c>
    </row>
    <row r="12" spans="2:43" x14ac:dyDescent="0.35">
      <c r="B12" s="161" t="str">
        <f>'Tratamento de Dados'!B19</f>
        <v>V-2</v>
      </c>
      <c r="C12" s="161" t="str">
        <f>'Tratamento de Dados'!D19</f>
        <v>Casco</v>
      </c>
      <c r="D12" s="161" t="str">
        <f>'Tratamento de Dados'!AZ19</f>
        <v>Generalizada</v>
      </c>
      <c r="E12" s="209">
        <f>'Tratamento de Dados'!BA19</f>
        <v>10</v>
      </c>
      <c r="F12" s="210">
        <f>'Tratamento de Dados'!X19</f>
        <v>43831</v>
      </c>
      <c r="G12" s="210">
        <f>'Tratamento de Dados'!Z19</f>
        <v>43833</v>
      </c>
      <c r="H12" s="209">
        <f>'Tratamento de Dados'!BD19</f>
        <v>3</v>
      </c>
      <c r="I12" s="209">
        <v>3</v>
      </c>
      <c r="J12" s="210">
        <f>'Tratamento de Dados'!BF19</f>
        <v>1</v>
      </c>
      <c r="K12" s="209">
        <f>'Tratamento de Dados'!BG19</f>
        <v>2</v>
      </c>
      <c r="L12" s="209">
        <f>'Tratamento de Dados'!BH19</f>
        <v>2</v>
      </c>
      <c r="M12" s="209" t="s">
        <v>278</v>
      </c>
      <c r="N12" s="219">
        <v>10</v>
      </c>
      <c r="O12" s="219">
        <v>5</v>
      </c>
      <c r="P12" s="219">
        <v>2</v>
      </c>
      <c r="Q12" s="211">
        <f t="shared" si="0"/>
        <v>5.4757015742642025E-3</v>
      </c>
      <c r="R12" s="211">
        <f t="shared" si="1"/>
        <v>2</v>
      </c>
      <c r="S12" s="211">
        <f t="shared" si="2"/>
        <v>120.00547570157427</v>
      </c>
      <c r="T12" s="227">
        <f t="shared" si="3"/>
        <v>10</v>
      </c>
      <c r="U12" s="227">
        <f t="shared" si="4"/>
        <v>5</v>
      </c>
      <c r="V12" s="227">
        <f t="shared" si="5"/>
        <v>2</v>
      </c>
      <c r="W12" s="248">
        <f t="shared" si="6"/>
        <v>72.600000000000009</v>
      </c>
      <c r="X12" s="211" t="e">
        <f>INDEX('Tables - Part 5'!$H$6:$L$26,MATCH(Thinning_AST!W12,'Tables - Part 5'!$G$6:$G$26,0),MATCH(Thinning_AST!M12,'Tables - Part 5'!$H$5:$L$5,0))</f>
        <v>#N/A</v>
      </c>
      <c r="Y12" s="238">
        <f>IF(COF!E14=COF!$TM$17,MAX(X12*N12*O12*P12,0.1),0)</f>
        <v>0</v>
      </c>
    </row>
    <row r="13" spans="2:43" x14ac:dyDescent="0.35">
      <c r="B13" s="161" t="str">
        <f>'Tratamento de Dados'!B20</f>
        <v>V-3</v>
      </c>
      <c r="C13" s="161" t="str">
        <f>'Tratamento de Dados'!D20</f>
        <v>Casco</v>
      </c>
      <c r="D13" s="161" t="str">
        <f>'Tratamento de Dados'!AZ20</f>
        <v>Generalizada</v>
      </c>
      <c r="E13" s="209">
        <f>'Tratamento de Dados'!BA20</f>
        <v>10</v>
      </c>
      <c r="F13" s="210">
        <f>'Tratamento de Dados'!X20</f>
        <v>43831</v>
      </c>
      <c r="G13" s="210">
        <f>'Tratamento de Dados'!Z20</f>
        <v>43833</v>
      </c>
      <c r="H13" s="209">
        <f>'Tratamento de Dados'!BD20</f>
        <v>3</v>
      </c>
      <c r="I13" s="209">
        <v>3</v>
      </c>
      <c r="J13" s="210">
        <f>'Tratamento de Dados'!BF20</f>
        <v>1</v>
      </c>
      <c r="K13" s="209">
        <f>'Tratamento de Dados'!BG20</f>
        <v>2</v>
      </c>
      <c r="L13" s="209">
        <f>'Tratamento de Dados'!BH20</f>
        <v>2</v>
      </c>
      <c r="M13" s="209" t="s">
        <v>278</v>
      </c>
      <c r="N13" s="219">
        <v>10</v>
      </c>
      <c r="O13" s="219">
        <v>5</v>
      </c>
      <c r="P13" s="219">
        <v>2</v>
      </c>
      <c r="Q13" s="211">
        <f t="shared" si="0"/>
        <v>5.4757015742642025E-3</v>
      </c>
      <c r="R13" s="211">
        <f t="shared" si="1"/>
        <v>2</v>
      </c>
      <c r="S13" s="211">
        <f t="shared" si="2"/>
        <v>120.00547570157427</v>
      </c>
      <c r="T13" s="227">
        <f t="shared" si="3"/>
        <v>10</v>
      </c>
      <c r="U13" s="227">
        <f t="shared" si="4"/>
        <v>5</v>
      </c>
      <c r="V13" s="227">
        <f t="shared" si="5"/>
        <v>2</v>
      </c>
      <c r="W13" s="248">
        <f t="shared" si="6"/>
        <v>72.600000000000009</v>
      </c>
      <c r="X13" s="211" t="e">
        <f>INDEX('Tables - Part 5'!$H$6:$L$26,MATCH(Thinning_AST!W13,'Tables - Part 5'!$G$6:$G$26,0),MATCH(Thinning_AST!M13,'Tables - Part 5'!$H$5:$L$5,0))</f>
        <v>#N/A</v>
      </c>
      <c r="Y13" s="238">
        <f>IF(COF!E15=COF!$TM$17,MAX(X13*N13*O13*P13,0.1),0)</f>
        <v>0</v>
      </c>
    </row>
    <row r="14" spans="2:43" x14ac:dyDescent="0.35">
      <c r="B14" s="161" t="str">
        <f>'Tratamento de Dados'!B21</f>
        <v>V-4</v>
      </c>
      <c r="C14" s="161" t="str">
        <f>'Tratamento de Dados'!D21</f>
        <v>Casco</v>
      </c>
      <c r="D14" s="161" t="str">
        <f>'Tratamento de Dados'!AZ21</f>
        <v>Generalizada</v>
      </c>
      <c r="E14" s="209">
        <f>'Tratamento de Dados'!BA21</f>
        <v>10</v>
      </c>
      <c r="F14" s="210">
        <f>'Tratamento de Dados'!X21</f>
        <v>43831</v>
      </c>
      <c r="G14" s="210">
        <f>'Tratamento de Dados'!Z21</f>
        <v>43833</v>
      </c>
      <c r="H14" s="209">
        <f>'Tratamento de Dados'!BD21</f>
        <v>3</v>
      </c>
      <c r="I14" s="209">
        <v>3</v>
      </c>
      <c r="J14" s="210">
        <f>'Tratamento de Dados'!BF21</f>
        <v>1</v>
      </c>
      <c r="K14" s="209">
        <f>'Tratamento de Dados'!BG21</f>
        <v>2</v>
      </c>
      <c r="L14" s="209">
        <f>'Tratamento de Dados'!BH21</f>
        <v>2</v>
      </c>
      <c r="M14" s="209" t="s">
        <v>278</v>
      </c>
      <c r="N14" s="219">
        <v>10</v>
      </c>
      <c r="O14" s="219">
        <v>5</v>
      </c>
      <c r="P14" s="219">
        <v>2</v>
      </c>
      <c r="Q14" s="211">
        <f t="shared" si="0"/>
        <v>5.4757015742642025E-3</v>
      </c>
      <c r="R14" s="211">
        <f t="shared" si="1"/>
        <v>2</v>
      </c>
      <c r="S14" s="211">
        <f t="shared" si="2"/>
        <v>120.00547570157427</v>
      </c>
      <c r="T14" s="227">
        <f t="shared" si="3"/>
        <v>10</v>
      </c>
      <c r="U14" s="227">
        <f t="shared" si="4"/>
        <v>5</v>
      </c>
      <c r="V14" s="227">
        <f t="shared" si="5"/>
        <v>2</v>
      </c>
      <c r="W14" s="248">
        <f t="shared" si="6"/>
        <v>72.600000000000009</v>
      </c>
      <c r="X14" s="211" t="e">
        <f>INDEX('Tables - Part 5'!$H$6:$L$26,MATCH(Thinning_AST!W14,'Tables - Part 5'!$G$6:$G$26,0),MATCH(Thinning_AST!M14,'Tables - Part 5'!$H$5:$L$5,0))</f>
        <v>#N/A</v>
      </c>
      <c r="Y14" s="238">
        <f>IF(COF!E16=COF!$TM$17,MAX(X14*N14*O14*P14,0.1),0)</f>
        <v>0</v>
      </c>
    </row>
    <row r="15" spans="2:43" x14ac:dyDescent="0.35">
      <c r="B15" s="161" t="str">
        <f>'Tratamento de Dados'!B22</f>
        <v>V-50</v>
      </c>
      <c r="C15" s="161" t="str">
        <f>'Tratamento de Dados'!D22</f>
        <v>Casco</v>
      </c>
      <c r="D15" s="161" t="str">
        <f>'Tratamento de Dados'!AZ22</f>
        <v>Generalizada</v>
      </c>
      <c r="E15" s="209">
        <f>'Tratamento de Dados'!BA22</f>
        <v>10</v>
      </c>
      <c r="F15" s="210">
        <f>'Tratamento de Dados'!X22</f>
        <v>43831</v>
      </c>
      <c r="G15" s="210">
        <f>'Tratamento de Dados'!Z22</f>
        <v>43833</v>
      </c>
      <c r="H15" s="209">
        <f>'Tratamento de Dados'!BD22</f>
        <v>3</v>
      </c>
      <c r="I15" s="209">
        <v>3</v>
      </c>
      <c r="J15" s="210">
        <f>'Tratamento de Dados'!BF22</f>
        <v>1</v>
      </c>
      <c r="K15" s="209">
        <f>'Tratamento de Dados'!BG22</f>
        <v>2</v>
      </c>
      <c r="L15" s="209">
        <f>'Tratamento de Dados'!BH22</f>
        <v>2</v>
      </c>
      <c r="M15" s="209" t="s">
        <v>278</v>
      </c>
      <c r="N15" s="219">
        <v>10</v>
      </c>
      <c r="O15" s="219">
        <v>5</v>
      </c>
      <c r="P15" s="219">
        <v>2</v>
      </c>
      <c r="Q15" s="211">
        <f t="shared" si="0"/>
        <v>5.4757015742642025E-3</v>
      </c>
      <c r="R15" s="211">
        <f t="shared" si="1"/>
        <v>2</v>
      </c>
      <c r="S15" s="211">
        <f t="shared" si="2"/>
        <v>120.00547570157427</v>
      </c>
      <c r="T15" s="227">
        <f t="shared" si="3"/>
        <v>10</v>
      </c>
      <c r="U15" s="227">
        <f t="shared" si="4"/>
        <v>5</v>
      </c>
      <c r="V15" s="227">
        <f t="shared" si="5"/>
        <v>2</v>
      </c>
      <c r="W15" s="248">
        <f t="shared" si="6"/>
        <v>72.600000000000009</v>
      </c>
      <c r="X15" s="211" t="e">
        <f>INDEX('Tables - Part 5'!$H$6:$L$26,MATCH(Thinning_AST!W15,'Tables - Part 5'!$G$6:$G$26,0),MATCH(Thinning_AST!M15,'Tables - Part 5'!$H$5:$L$5,0))</f>
        <v>#N/A</v>
      </c>
      <c r="Y15" s="238">
        <f>IF(COF!E17=COF!$TM$17,MAX(X15*N15*O15*P15,0.1),0)</f>
        <v>0</v>
      </c>
    </row>
    <row r="16" spans="2:43" x14ac:dyDescent="0.35">
      <c r="B16" s="161" t="str">
        <f>'Tratamento de Dados'!B23</f>
        <v>V-5</v>
      </c>
      <c r="C16" s="161" t="str">
        <f>'Tratamento de Dados'!D23</f>
        <v>Casco</v>
      </c>
      <c r="D16" s="161" t="str">
        <f>'Tratamento de Dados'!AZ23</f>
        <v>Generalizada</v>
      </c>
      <c r="E16" s="209">
        <f>'Tratamento de Dados'!BA23</f>
        <v>10</v>
      </c>
      <c r="F16" s="210">
        <f>'Tratamento de Dados'!X23</f>
        <v>43831</v>
      </c>
      <c r="G16" s="210">
        <f>'Tratamento de Dados'!Z23</f>
        <v>43833</v>
      </c>
      <c r="H16" s="209">
        <f>'Tratamento de Dados'!BD23</f>
        <v>3</v>
      </c>
      <c r="I16" s="209">
        <v>3</v>
      </c>
      <c r="J16" s="210">
        <f>'Tratamento de Dados'!BF23</f>
        <v>1</v>
      </c>
      <c r="K16" s="209">
        <f>'Tratamento de Dados'!BG23</f>
        <v>2</v>
      </c>
      <c r="L16" s="209">
        <f>'Tratamento de Dados'!BH23</f>
        <v>2</v>
      </c>
      <c r="M16" s="209" t="s">
        <v>278</v>
      </c>
      <c r="N16" s="219">
        <v>10</v>
      </c>
      <c r="O16" s="219">
        <v>5</v>
      </c>
      <c r="P16" s="219">
        <v>2</v>
      </c>
      <c r="Q16" s="211">
        <f t="shared" si="0"/>
        <v>5.4757015742642025E-3</v>
      </c>
      <c r="R16" s="211">
        <f t="shared" si="1"/>
        <v>2</v>
      </c>
      <c r="S16" s="211">
        <f t="shared" si="2"/>
        <v>120.00547570157427</v>
      </c>
      <c r="T16" s="227">
        <f t="shared" si="3"/>
        <v>10</v>
      </c>
      <c r="U16" s="227">
        <f t="shared" si="4"/>
        <v>5</v>
      </c>
      <c r="V16" s="227">
        <f t="shared" si="5"/>
        <v>2</v>
      </c>
      <c r="W16" s="248">
        <f t="shared" si="6"/>
        <v>72.600000000000009</v>
      </c>
      <c r="X16" s="211" t="e">
        <f>INDEX('Tables - Part 5'!$H$6:$L$26,MATCH(Thinning_AST!W16,'Tables - Part 5'!$G$6:$G$26,0),MATCH(Thinning_AST!M16,'Tables - Part 5'!$H$5:$L$5,0))</f>
        <v>#N/A</v>
      </c>
      <c r="Y16" s="238">
        <f>IF(COF!E18=COF!$TM$17,MAX(X16*N16*O16*P16,0.1),0)</f>
        <v>0</v>
      </c>
    </row>
    <row r="17" spans="2:25" x14ac:dyDescent="0.35">
      <c r="B17" s="161" t="str">
        <f>'Tratamento de Dados'!B24</f>
        <v>V-6</v>
      </c>
      <c r="C17" s="161" t="str">
        <f>'Tratamento de Dados'!D24</f>
        <v>Casco</v>
      </c>
      <c r="D17" s="161" t="str">
        <f>'Tratamento de Dados'!AZ24</f>
        <v>Generalizada</v>
      </c>
      <c r="E17" s="209">
        <f>'Tratamento de Dados'!BA24</f>
        <v>10</v>
      </c>
      <c r="F17" s="210">
        <f>'Tratamento de Dados'!X24</f>
        <v>43831</v>
      </c>
      <c r="G17" s="210">
        <f>'Tratamento de Dados'!Z24</f>
        <v>43833</v>
      </c>
      <c r="H17" s="209">
        <f>'Tratamento de Dados'!BD24</f>
        <v>3</v>
      </c>
      <c r="I17" s="209">
        <v>3</v>
      </c>
      <c r="J17" s="210">
        <f>'Tratamento de Dados'!BF24</f>
        <v>1</v>
      </c>
      <c r="K17" s="209">
        <f>'Tratamento de Dados'!BG24</f>
        <v>2</v>
      </c>
      <c r="L17" s="209">
        <f>'Tratamento de Dados'!BH24</f>
        <v>2</v>
      </c>
      <c r="M17" s="209" t="s">
        <v>278</v>
      </c>
      <c r="N17" s="219">
        <v>10</v>
      </c>
      <c r="O17" s="219">
        <v>5</v>
      </c>
      <c r="P17" s="219">
        <v>2</v>
      </c>
      <c r="Q17" s="211">
        <f t="shared" si="0"/>
        <v>5.4757015742642025E-3</v>
      </c>
      <c r="R17" s="211">
        <f t="shared" si="1"/>
        <v>2</v>
      </c>
      <c r="S17" s="211">
        <f t="shared" si="2"/>
        <v>120.00547570157427</v>
      </c>
      <c r="T17" s="227">
        <f t="shared" si="3"/>
        <v>10</v>
      </c>
      <c r="U17" s="227">
        <f t="shared" si="4"/>
        <v>5</v>
      </c>
      <c r="V17" s="227">
        <f t="shared" si="5"/>
        <v>2</v>
      </c>
      <c r="W17" s="248">
        <f t="shared" si="6"/>
        <v>72.600000000000009</v>
      </c>
      <c r="X17" s="211" t="e">
        <f>INDEX('Tables - Part 5'!$H$6:$L$26,MATCH(Thinning_AST!W17,'Tables - Part 5'!$G$6:$G$26,0),MATCH(Thinning_AST!M17,'Tables - Part 5'!$H$5:$L$5,0))</f>
        <v>#N/A</v>
      </c>
      <c r="Y17" s="238">
        <f>IF(COF!E19=COF!$TM$17,MAX(X17*N17*O17*P17,0.1),0)</f>
        <v>0</v>
      </c>
    </row>
    <row r="18" spans="2:25" x14ac:dyDescent="0.35">
      <c r="B18" s="161" t="str">
        <f>'Tratamento de Dados'!B25</f>
        <v>V-7</v>
      </c>
      <c r="C18" s="161" t="str">
        <f>'Tratamento de Dados'!D25</f>
        <v>Casco</v>
      </c>
      <c r="D18" s="161" t="str">
        <f>'Tratamento de Dados'!AZ25</f>
        <v>Generalizada</v>
      </c>
      <c r="E18" s="209">
        <f>'Tratamento de Dados'!BA25</f>
        <v>10</v>
      </c>
      <c r="F18" s="210">
        <f>'Tratamento de Dados'!X25</f>
        <v>43831</v>
      </c>
      <c r="G18" s="210">
        <f>'Tratamento de Dados'!Z25</f>
        <v>43833</v>
      </c>
      <c r="H18" s="209">
        <f>'Tratamento de Dados'!BD25</f>
        <v>3</v>
      </c>
      <c r="I18" s="209">
        <v>3</v>
      </c>
      <c r="J18" s="210">
        <f>'Tratamento de Dados'!BF25</f>
        <v>1</v>
      </c>
      <c r="K18" s="209">
        <f>'Tratamento de Dados'!BG25</f>
        <v>2</v>
      </c>
      <c r="L18" s="209">
        <f>'Tratamento de Dados'!BH25</f>
        <v>2</v>
      </c>
      <c r="M18" s="209" t="s">
        <v>278</v>
      </c>
      <c r="N18" s="219">
        <v>10</v>
      </c>
      <c r="O18" s="219">
        <v>5</v>
      </c>
      <c r="P18" s="219">
        <v>2</v>
      </c>
      <c r="Q18" s="211">
        <f t="shared" si="0"/>
        <v>5.4757015742642025E-3</v>
      </c>
      <c r="R18" s="211">
        <f t="shared" si="1"/>
        <v>2</v>
      </c>
      <c r="S18" s="211">
        <f t="shared" si="2"/>
        <v>120.00547570157427</v>
      </c>
      <c r="T18" s="227">
        <f t="shared" si="3"/>
        <v>10</v>
      </c>
      <c r="U18" s="227">
        <f t="shared" si="4"/>
        <v>5</v>
      </c>
      <c r="V18" s="227">
        <f t="shared" si="5"/>
        <v>2</v>
      </c>
      <c r="W18" s="248">
        <f t="shared" si="6"/>
        <v>72.600000000000009</v>
      </c>
      <c r="X18" s="211" t="e">
        <f>INDEX('Tables - Part 5'!$H$6:$L$26,MATCH(Thinning_AST!W18,'Tables - Part 5'!$G$6:$G$26,0),MATCH(Thinning_AST!M18,'Tables - Part 5'!$H$5:$L$5,0))</f>
        <v>#N/A</v>
      </c>
      <c r="Y18" s="238">
        <f>IF(COF!E20=COF!$TM$17,MAX(X18*N18*O18*P18,0.1),0)</f>
        <v>0</v>
      </c>
    </row>
    <row r="19" spans="2:25" x14ac:dyDescent="0.35">
      <c r="B19" s="161" t="str">
        <f>'Tratamento de Dados'!B26</f>
        <v>V-80</v>
      </c>
      <c r="C19" s="161" t="str">
        <f>'Tratamento de Dados'!D26</f>
        <v>Casco</v>
      </c>
      <c r="D19" s="161" t="str">
        <f>'Tratamento de Dados'!AZ26</f>
        <v>Generalizada</v>
      </c>
      <c r="E19" s="209">
        <f>'Tratamento de Dados'!BA26</f>
        <v>10</v>
      </c>
      <c r="F19" s="210">
        <f>'Tratamento de Dados'!X26</f>
        <v>43831</v>
      </c>
      <c r="G19" s="210">
        <f>'Tratamento de Dados'!Z26</f>
        <v>43833</v>
      </c>
      <c r="H19" s="209">
        <f>'Tratamento de Dados'!BD26</f>
        <v>3</v>
      </c>
      <c r="I19" s="209">
        <v>3</v>
      </c>
      <c r="J19" s="210">
        <f>'Tratamento de Dados'!BF26</f>
        <v>1</v>
      </c>
      <c r="K19" s="209">
        <f>'Tratamento de Dados'!BG26</f>
        <v>2</v>
      </c>
      <c r="L19" s="209">
        <f>'Tratamento de Dados'!BH26</f>
        <v>2</v>
      </c>
      <c r="M19" s="209" t="s">
        <v>278</v>
      </c>
      <c r="N19" s="219">
        <v>10</v>
      </c>
      <c r="O19" s="219">
        <v>5</v>
      </c>
      <c r="P19" s="219">
        <v>2</v>
      </c>
      <c r="Q19" s="211">
        <f t="shared" si="0"/>
        <v>5.4757015742642025E-3</v>
      </c>
      <c r="R19" s="211">
        <f t="shared" si="1"/>
        <v>2</v>
      </c>
      <c r="S19" s="211">
        <f t="shared" si="2"/>
        <v>120.00547570157427</v>
      </c>
      <c r="T19" s="227">
        <f t="shared" si="3"/>
        <v>10</v>
      </c>
      <c r="U19" s="227">
        <f t="shared" si="4"/>
        <v>5</v>
      </c>
      <c r="V19" s="227">
        <f t="shared" si="5"/>
        <v>2</v>
      </c>
      <c r="W19" s="248">
        <f t="shared" si="6"/>
        <v>72.600000000000009</v>
      </c>
      <c r="X19" s="211" t="e">
        <f>INDEX('Tables - Part 5'!$H$6:$L$26,MATCH(Thinning_AST!W19,'Tables - Part 5'!$G$6:$G$26,0),MATCH(Thinning_AST!M19,'Tables - Part 5'!$H$5:$L$5,0))</f>
        <v>#N/A</v>
      </c>
      <c r="Y19" s="238">
        <f>IF(COF!E21=COF!$TM$17,MAX(X19*N19*O19*P19,0.1),0)</f>
        <v>0</v>
      </c>
    </row>
    <row r="20" spans="2:25" x14ac:dyDescent="0.35">
      <c r="B20" s="161" t="str">
        <f>'Tratamento de Dados'!B27</f>
        <v>V-8</v>
      </c>
      <c r="C20" s="161" t="str">
        <f>'Tratamento de Dados'!D27</f>
        <v>Casco</v>
      </c>
      <c r="D20" s="161" t="str">
        <f>'Tratamento de Dados'!AZ27</f>
        <v>Generalizada</v>
      </c>
      <c r="E20" s="209">
        <f>'Tratamento de Dados'!BA27</f>
        <v>10</v>
      </c>
      <c r="F20" s="210">
        <f>'Tratamento de Dados'!X27</f>
        <v>43831</v>
      </c>
      <c r="G20" s="210">
        <f>'Tratamento de Dados'!Z27</f>
        <v>43833</v>
      </c>
      <c r="H20" s="209">
        <f>'Tratamento de Dados'!BD27</f>
        <v>3</v>
      </c>
      <c r="I20" s="209">
        <v>3</v>
      </c>
      <c r="J20" s="210">
        <f>'Tratamento de Dados'!BF27</f>
        <v>1</v>
      </c>
      <c r="K20" s="209">
        <f>'Tratamento de Dados'!BG27</f>
        <v>2</v>
      </c>
      <c r="L20" s="209">
        <f>'Tratamento de Dados'!BH27</f>
        <v>2</v>
      </c>
      <c r="M20" s="209" t="s">
        <v>278</v>
      </c>
      <c r="N20" s="219">
        <v>10</v>
      </c>
      <c r="O20" s="219">
        <v>5</v>
      </c>
      <c r="P20" s="219">
        <v>2</v>
      </c>
      <c r="Q20" s="211">
        <f t="shared" si="0"/>
        <v>5.4757015742642025E-3</v>
      </c>
      <c r="R20" s="211">
        <f t="shared" si="1"/>
        <v>2</v>
      </c>
      <c r="S20" s="211">
        <f t="shared" si="2"/>
        <v>120.00547570157427</v>
      </c>
      <c r="T20" s="227">
        <f t="shared" si="3"/>
        <v>10</v>
      </c>
      <c r="U20" s="227">
        <f t="shared" si="4"/>
        <v>5</v>
      </c>
      <c r="V20" s="227">
        <f t="shared" si="5"/>
        <v>2</v>
      </c>
      <c r="W20" s="248">
        <f t="shared" si="6"/>
        <v>72.600000000000009</v>
      </c>
      <c r="X20" s="211" t="e">
        <f>INDEX('Tables - Part 5'!$H$6:$L$26,MATCH(Thinning_AST!W20,'Tables - Part 5'!$G$6:$G$26,0),MATCH(Thinning_AST!M20,'Tables - Part 5'!$H$5:$L$5,0))</f>
        <v>#N/A</v>
      </c>
      <c r="Y20" s="238">
        <f>IF(COF!E22=COF!$TM$17,MAX(X20*N20*O20*P20,0.1),0)</f>
        <v>0</v>
      </c>
    </row>
    <row r="21" spans="2:25" x14ac:dyDescent="0.35">
      <c r="B21" s="161" t="str">
        <f>'Tratamento de Dados'!B28</f>
        <v>V-90</v>
      </c>
      <c r="C21" s="161" t="str">
        <f>'Tratamento de Dados'!D28</f>
        <v>Casco</v>
      </c>
      <c r="D21" s="161" t="str">
        <f>'Tratamento de Dados'!AZ28</f>
        <v>Generalizada</v>
      </c>
      <c r="E21" s="209">
        <f>'Tratamento de Dados'!BA28</f>
        <v>10</v>
      </c>
      <c r="F21" s="210">
        <f>'Tratamento de Dados'!X28</f>
        <v>43831</v>
      </c>
      <c r="G21" s="210">
        <f>'Tratamento de Dados'!Z28</f>
        <v>43833</v>
      </c>
      <c r="H21" s="209">
        <f>'Tratamento de Dados'!BD28</f>
        <v>3</v>
      </c>
      <c r="I21" s="209">
        <v>3</v>
      </c>
      <c r="J21" s="210">
        <f>'Tratamento de Dados'!BF28</f>
        <v>1</v>
      </c>
      <c r="K21" s="209">
        <f>'Tratamento de Dados'!BG28</f>
        <v>2</v>
      </c>
      <c r="L21" s="209">
        <f>'Tratamento de Dados'!BH28</f>
        <v>2</v>
      </c>
      <c r="M21" s="209" t="s">
        <v>278</v>
      </c>
      <c r="N21" s="219">
        <v>10</v>
      </c>
      <c r="O21" s="219">
        <v>5</v>
      </c>
      <c r="P21" s="219">
        <v>2</v>
      </c>
      <c r="Q21" s="211">
        <f t="shared" si="0"/>
        <v>5.4757015742642025E-3</v>
      </c>
      <c r="R21" s="211">
        <f t="shared" si="1"/>
        <v>2</v>
      </c>
      <c r="S21" s="211">
        <f t="shared" si="2"/>
        <v>120.00547570157427</v>
      </c>
      <c r="T21" s="227">
        <f t="shared" si="3"/>
        <v>10</v>
      </c>
      <c r="U21" s="227">
        <f t="shared" si="4"/>
        <v>5</v>
      </c>
      <c r="V21" s="227">
        <f t="shared" si="5"/>
        <v>2</v>
      </c>
      <c r="W21" s="248">
        <f t="shared" si="6"/>
        <v>72.600000000000009</v>
      </c>
      <c r="X21" s="211" t="e">
        <f>INDEX('Tables - Part 5'!$H$6:$L$26,MATCH(Thinning_AST!W21,'Tables - Part 5'!$G$6:$G$26,0),MATCH(Thinning_AST!M21,'Tables - Part 5'!$H$5:$L$5,0))</f>
        <v>#N/A</v>
      </c>
      <c r="Y21" s="238">
        <f>IF(COF!E23=COF!$TM$17,MAX(X21*N21*O21*P21,0.1),0)</f>
        <v>0</v>
      </c>
    </row>
    <row r="22" spans="2:25" x14ac:dyDescent="0.35">
      <c r="B22" s="161" t="str">
        <f>'Tratamento de Dados'!B29</f>
        <v>V-9</v>
      </c>
      <c r="C22" s="161" t="str">
        <f>'Tratamento de Dados'!D29</f>
        <v>Casco</v>
      </c>
      <c r="D22" s="161" t="str">
        <f>'Tratamento de Dados'!AZ29</f>
        <v>Generalizada</v>
      </c>
      <c r="E22" s="209">
        <f>'Tratamento de Dados'!BA29</f>
        <v>10</v>
      </c>
      <c r="F22" s="210">
        <f>'Tratamento de Dados'!X29</f>
        <v>43831</v>
      </c>
      <c r="G22" s="210">
        <f>'Tratamento de Dados'!Z29</f>
        <v>43833</v>
      </c>
      <c r="H22" s="209">
        <f>'Tratamento de Dados'!BD29</f>
        <v>3</v>
      </c>
      <c r="I22" s="209">
        <v>3</v>
      </c>
      <c r="J22" s="210">
        <f>'Tratamento de Dados'!BF29</f>
        <v>1</v>
      </c>
      <c r="K22" s="209">
        <f>'Tratamento de Dados'!BG29</f>
        <v>2</v>
      </c>
      <c r="L22" s="209">
        <f>'Tratamento de Dados'!BH29</f>
        <v>2</v>
      </c>
      <c r="M22" s="209" t="s">
        <v>278</v>
      </c>
      <c r="N22" s="219">
        <v>10</v>
      </c>
      <c r="O22" s="219">
        <v>5</v>
      </c>
      <c r="P22" s="219">
        <v>2</v>
      </c>
      <c r="Q22" s="211">
        <f t="shared" si="0"/>
        <v>5.4757015742642025E-3</v>
      </c>
      <c r="R22" s="211">
        <f t="shared" si="1"/>
        <v>2</v>
      </c>
      <c r="S22" s="211">
        <f t="shared" si="2"/>
        <v>120.00547570157427</v>
      </c>
      <c r="T22" s="227">
        <f t="shared" si="3"/>
        <v>10</v>
      </c>
      <c r="U22" s="227">
        <f t="shared" si="4"/>
        <v>5</v>
      </c>
      <c r="V22" s="227">
        <f t="shared" si="5"/>
        <v>2</v>
      </c>
      <c r="W22" s="248">
        <f t="shared" si="6"/>
        <v>72.600000000000009</v>
      </c>
      <c r="X22" s="211" t="e">
        <f>INDEX('Tables - Part 5'!$H$6:$L$26,MATCH(Thinning_AST!W22,'Tables - Part 5'!$G$6:$G$26,0),MATCH(Thinning_AST!M22,'Tables - Part 5'!$H$5:$L$5,0))</f>
        <v>#N/A</v>
      </c>
      <c r="Y22" s="238">
        <f>IF(COF!E24=COF!$TM$17,MAX(X22*N22*O22*P22,0.1),0)</f>
        <v>0</v>
      </c>
    </row>
  </sheetData>
  <mergeCells count="5">
    <mergeCell ref="T3:V3"/>
    <mergeCell ref="N3:O3"/>
    <mergeCell ref="R3:S3"/>
    <mergeCell ref="E3:G3"/>
    <mergeCell ref="J3:K3"/>
  </mergeCells>
  <dataValidations count="3">
    <dataValidation type="list" allowBlank="1" showInputMessage="1" showErrorMessage="1" sqref="N5:N22" xr:uid="{00000000-0002-0000-0D00-000000000000}">
      <formula1>$AO$4:$AO$5</formula1>
    </dataValidation>
    <dataValidation type="list" allowBlank="1" showInputMessage="1" showErrorMessage="1" sqref="O5:O22" xr:uid="{00000000-0002-0000-0D00-000001000000}">
      <formula1>$AP$4:$AP$5</formula1>
    </dataValidation>
    <dataValidation type="list" allowBlank="1" showInputMessage="1" showErrorMessage="1" sqref="P5:P22" xr:uid="{00000000-0002-0000-0D00-000002000000}">
      <formula1>$AQ$4:$AQ$6</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D00-000003000000}">
          <x14:formula1>
            <xm:f>POF!$BC$9:$BC$13</xm:f>
          </x14:formula1>
          <xm:sqref>M5:M22</xm:sqref>
        </x14:dataValidation>
        <x14:dataValidation type="list" allowBlank="1" showInputMessage="1" showErrorMessage="1" xr:uid="{00000000-0002-0000-0D00-000004000000}">
          <x14:formula1>
            <xm:f>POF!$BC$2:$BC$3</xm:f>
          </x14:formula1>
          <xm:sqref>D5:D22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20">
    <tabColor rgb="FFFF0000"/>
  </sheetPr>
  <dimension ref="B1:AD21"/>
  <sheetViews>
    <sheetView workbookViewId="0">
      <selection activeCell="G14" sqref="G14"/>
    </sheetView>
  </sheetViews>
  <sheetFormatPr defaultRowHeight="14.5" x14ac:dyDescent="0.35"/>
  <cols>
    <col min="1" max="1" width="1.26953125" customWidth="1"/>
    <col min="2" max="3" width="15.453125" customWidth="1"/>
    <col min="4" max="4" width="10.7265625" bestFit="1" customWidth="1"/>
    <col min="5" max="5" width="26" bestFit="1" customWidth="1"/>
    <col min="6" max="6" width="29.81640625" customWidth="1"/>
    <col min="7" max="7" width="26" bestFit="1" customWidth="1"/>
    <col min="8" max="8" width="15.54296875" bestFit="1" customWidth="1"/>
    <col min="10" max="12" width="12" style="434" customWidth="1"/>
    <col min="13" max="13" width="19.26953125" style="434" customWidth="1"/>
    <col min="14" max="15" width="12" style="434" customWidth="1"/>
    <col min="16" max="16" width="41.26953125" style="434" bestFit="1" customWidth="1"/>
    <col min="17" max="17" width="12" style="434" customWidth="1"/>
    <col min="18" max="18" width="19.26953125" style="434" customWidth="1"/>
    <col min="22" max="22" width="17.81640625" customWidth="1"/>
    <col min="23" max="23" width="18.7265625" customWidth="1"/>
    <col min="24" max="24" width="20.54296875" customWidth="1"/>
    <col min="25" max="25" width="22.81640625" customWidth="1"/>
    <col min="26" max="26" width="17.26953125" customWidth="1"/>
    <col min="27" max="27" width="15.453125" customWidth="1"/>
    <col min="28" max="28" width="32.7265625" bestFit="1" customWidth="1"/>
    <col min="29" max="29" width="38.81640625" customWidth="1"/>
    <col min="30" max="30" width="71.1796875" bestFit="1" customWidth="1"/>
  </cols>
  <sheetData>
    <row r="1" spans="2:30" ht="3.75" customHeight="1" x14ac:dyDescent="0.35">
      <c r="E1" s="403"/>
      <c r="F1" s="403"/>
      <c r="G1" s="403"/>
      <c r="H1" s="403"/>
      <c r="I1" s="403"/>
    </row>
    <row r="2" spans="2:30" x14ac:dyDescent="0.35">
      <c r="E2" s="700" t="s">
        <v>317</v>
      </c>
      <c r="F2" s="701"/>
      <c r="K2" s="435" t="s">
        <v>318</v>
      </c>
      <c r="M2" s="435" t="s">
        <v>1090</v>
      </c>
      <c r="N2" s="546" t="s">
        <v>1435</v>
      </c>
      <c r="O2" s="546" t="s">
        <v>1435</v>
      </c>
      <c r="P2" s="548" t="s">
        <v>1439</v>
      </c>
      <c r="Q2" s="546" t="s">
        <v>1435</v>
      </c>
      <c r="R2" s="547" t="s">
        <v>1439</v>
      </c>
    </row>
    <row r="3" spans="2:30" ht="29" x14ac:dyDescent="0.35">
      <c r="B3" s="346" t="s">
        <v>968</v>
      </c>
      <c r="C3" s="346" t="s">
        <v>969</v>
      </c>
      <c r="D3" s="346" t="s">
        <v>754</v>
      </c>
      <c r="E3" s="346" t="s">
        <v>1058</v>
      </c>
      <c r="F3" s="139" t="s">
        <v>1060</v>
      </c>
      <c r="G3" s="346" t="s">
        <v>1059</v>
      </c>
      <c r="H3" s="346" t="s">
        <v>1086</v>
      </c>
      <c r="I3" s="346" t="s">
        <v>873</v>
      </c>
      <c r="J3" s="346" t="s">
        <v>1061</v>
      </c>
      <c r="K3" s="346" t="s">
        <v>1087</v>
      </c>
      <c r="L3" s="346" t="s">
        <v>1089</v>
      </c>
      <c r="M3" s="244" t="s">
        <v>1088</v>
      </c>
      <c r="N3" s="346" t="s">
        <v>1438</v>
      </c>
      <c r="O3" s="346" t="s">
        <v>1433</v>
      </c>
      <c r="P3" s="346" t="s">
        <v>1434</v>
      </c>
      <c r="Q3" s="346" t="s">
        <v>1089</v>
      </c>
      <c r="R3" s="244" t="s">
        <v>1432</v>
      </c>
      <c r="T3">
        <v>0.1</v>
      </c>
      <c r="V3" t="s">
        <v>1070</v>
      </c>
      <c r="W3" t="s">
        <v>1069</v>
      </c>
      <c r="X3" t="s">
        <v>1064</v>
      </c>
      <c r="Y3" t="s">
        <v>1065</v>
      </c>
      <c r="Z3" t="s">
        <v>1066</v>
      </c>
      <c r="AA3" t="s">
        <v>1067</v>
      </c>
      <c r="AB3" t="s">
        <v>1072</v>
      </c>
      <c r="AC3" t="s">
        <v>1073</v>
      </c>
      <c r="AD3" t="s">
        <v>1074</v>
      </c>
    </row>
    <row r="4" spans="2:30" x14ac:dyDescent="0.35">
      <c r="B4" s="161" t="str">
        <f>'Tratamento de Dados'!B12</f>
        <v>V-90</v>
      </c>
      <c r="C4" s="161" t="str">
        <f>'Tratamento de Dados'!D12</f>
        <v>Casco</v>
      </c>
      <c r="D4" s="331">
        <f>'Tratamento de Dados'!Z12</f>
        <v>43833</v>
      </c>
      <c r="E4" s="331">
        <v>37288</v>
      </c>
      <c r="F4" s="404"/>
      <c r="G4" s="161" t="s">
        <v>1070</v>
      </c>
      <c r="H4" s="161" t="s">
        <v>1081</v>
      </c>
      <c r="I4" s="161">
        <v>1</v>
      </c>
      <c r="J4" s="436">
        <f>INT((D4-MAX(E4:F4))/365.25)</f>
        <v>17</v>
      </c>
      <c r="K4" s="437">
        <f>INDEX('Tables - Part 2'!$AB$5:$AL$29,MATCH(Lining!J4,'Tables - Part 2'!$AA$5:$AA$29,0),MATCH(Lining!G4,'Tables - Part 2'!$AB$4:$AL$4,0))</f>
        <v>69</v>
      </c>
      <c r="L4" s="437">
        <f>INDEX('Tables - Part 2'!$AP$4:$AP$6,MATCH(Lining!H4,'Tables - Part 2'!$AN$4:$AN$6,0))</f>
        <v>2</v>
      </c>
      <c r="M4" s="437">
        <f>IF(OR(B4=0,B4=""),0,K4*L4*I4)</f>
        <v>138</v>
      </c>
      <c r="N4" s="551">
        <v>1</v>
      </c>
      <c r="O4" s="549">
        <f>N4*I4/Q4</f>
        <v>0.5</v>
      </c>
      <c r="P4" s="549">
        <f>INDEX('Tables - Part 2'!$AB$5:$AL$29,MATCH(Lining!N4,'Tables - Part 2'!$AA$5:$AA$29,0),MATCH(Lining!G4,'Tables - Part 2'!$AB$4:$AL$4,0))</f>
        <v>0.3</v>
      </c>
      <c r="Q4" s="549">
        <f>INDEX('Tables - Part 2'!$AQ$4:$AQ$6,MATCH(Lining!H4,'Tables - Part 2'!$AN$4:$AN$6,0))</f>
        <v>2</v>
      </c>
      <c r="R4" s="549">
        <f>IF(OR(B4=0,B4=""),0,P4*Q4*I4)</f>
        <v>0.6</v>
      </c>
      <c r="T4">
        <v>1</v>
      </c>
      <c r="U4" t="s">
        <v>1436</v>
      </c>
      <c r="V4">
        <v>5</v>
      </c>
      <c r="W4">
        <v>1</v>
      </c>
      <c r="X4">
        <v>1</v>
      </c>
      <c r="Y4">
        <v>5</v>
      </c>
      <c r="Z4">
        <v>10</v>
      </c>
      <c r="AB4">
        <v>1</v>
      </c>
      <c r="AC4">
        <v>3</v>
      </c>
      <c r="AD4">
        <v>5</v>
      </c>
    </row>
    <row r="5" spans="2:30" x14ac:dyDescent="0.35">
      <c r="B5" s="161" t="str">
        <f>'Tratamento de Dados'!B13</f>
        <v>V-07</v>
      </c>
      <c r="C5" s="161" t="str">
        <f>'Tratamento de Dados'!D13</f>
        <v>Tampo_Sul</v>
      </c>
      <c r="D5" s="331">
        <f>'Tratamento de Dados'!Z13</f>
        <v>43983</v>
      </c>
      <c r="E5" s="331">
        <v>37288</v>
      </c>
      <c r="F5" s="404"/>
      <c r="G5" s="161" t="s">
        <v>1070</v>
      </c>
      <c r="H5" s="161" t="s">
        <v>1081</v>
      </c>
      <c r="I5" s="161">
        <v>1</v>
      </c>
      <c r="J5" s="436">
        <f t="shared" ref="J5:J21" si="0">INT((D5-MAX(E5:F5))/365.25)</f>
        <v>18</v>
      </c>
      <c r="K5" s="437">
        <f>INDEX('Tables - Part 2'!$AB$5:$AL$29,MATCH(Lining!J5,'Tables - Part 2'!$AA$5:$AA$29,0),MATCH(Lining!G5,'Tables - Part 2'!$AB$4:$AL$4,0))</f>
        <v>89</v>
      </c>
      <c r="L5" s="437">
        <f>INDEX('Tables - Part 2'!$AP$4:$AP$6,MATCH(Lining!H5,'Tables - Part 2'!$AN$4:$AN$6,0))</f>
        <v>2</v>
      </c>
      <c r="M5" s="437">
        <f t="shared" ref="M5:M21" si="1">IF(OR(B5=0,B5=""),0,K5*L5*I5)</f>
        <v>178</v>
      </c>
      <c r="N5" s="551">
        <f t="shared" ref="N5:N21" si="2">MAX(INDEX($V$5:$AD$5,1,MATCH(G5,$V$3:$AD$3,0))-J5,0)</f>
        <v>0</v>
      </c>
      <c r="O5" s="549">
        <f t="shared" ref="O5:O21" si="3">N5*I5/Q5</f>
        <v>0</v>
      </c>
      <c r="P5" s="549" t="e">
        <f>INDEX('Tables - Part 2'!$AB$5:$AL$29,MATCH(Lining!N5,'Tables - Part 2'!$AA$5:$AA$29,0),MATCH(Lining!G5,'Tables - Part 2'!$AB$4:$AL$4,0))</f>
        <v>#N/A</v>
      </c>
      <c r="Q5" s="549">
        <f>INDEX('Tables - Part 2'!$AQ$4:$AQ$6,MATCH(Lining!H5,'Tables - Part 2'!$AN$4:$AN$6,0))</f>
        <v>2</v>
      </c>
      <c r="R5" s="549" t="e">
        <f t="shared" ref="R5:R21" si="4">IF(OR(B5=0,B5=""),0,P5*Q5*I5)</f>
        <v>#N/A</v>
      </c>
      <c r="U5" t="s">
        <v>1437</v>
      </c>
      <c r="V5">
        <v>15</v>
      </c>
      <c r="W5">
        <v>5</v>
      </c>
      <c r="X5">
        <v>5</v>
      </c>
      <c r="Y5">
        <v>10</v>
      </c>
      <c r="Z5">
        <v>20</v>
      </c>
      <c r="AB5">
        <v>3</v>
      </c>
      <c r="AC5">
        <v>5</v>
      </c>
      <c r="AD5">
        <v>10</v>
      </c>
    </row>
    <row r="6" spans="2:30" x14ac:dyDescent="0.35">
      <c r="B6" s="161" t="str">
        <f>'Tratamento de Dados'!B14</f>
        <v>V-10</v>
      </c>
      <c r="C6" s="161" t="str">
        <f>'Tratamento de Dados'!D14</f>
        <v>Casco</v>
      </c>
      <c r="D6" s="331">
        <f>'Tratamento de Dados'!Z14</f>
        <v>43833</v>
      </c>
      <c r="E6" s="331">
        <v>37288</v>
      </c>
      <c r="F6" s="404"/>
      <c r="G6" s="161" t="s">
        <v>1070</v>
      </c>
      <c r="H6" s="161" t="s">
        <v>1081</v>
      </c>
      <c r="I6" s="161">
        <v>1</v>
      </c>
      <c r="J6" s="436">
        <f t="shared" si="0"/>
        <v>17</v>
      </c>
      <c r="K6" s="437">
        <f>INDEX('Tables - Part 2'!$AB$5:$AL$29,MATCH(Lining!J6,'Tables - Part 2'!$AA$5:$AA$29,0),MATCH(Lining!G6,'Tables - Part 2'!$AB$4:$AL$4,0))</f>
        <v>69</v>
      </c>
      <c r="L6" s="437">
        <f>INDEX('Tables - Part 2'!$AP$4:$AP$6,MATCH(Lining!H6,'Tables - Part 2'!$AN$4:$AN$6,0))</f>
        <v>2</v>
      </c>
      <c r="M6" s="437">
        <f>IF(OR(B6=0,B6=""),0,K6*L6*I6)</f>
        <v>138</v>
      </c>
      <c r="N6" s="551">
        <f t="shared" si="2"/>
        <v>0</v>
      </c>
      <c r="O6" s="549">
        <f t="shared" si="3"/>
        <v>0</v>
      </c>
      <c r="P6" s="549" t="e">
        <f>INDEX('Tables - Part 2'!$AB$5:$AL$29,MATCH(Lining!N6,'Tables - Part 2'!$AA$5:$AA$29,0),MATCH(Lining!G6,'Tables - Part 2'!$AB$4:$AL$4,0))</f>
        <v>#N/A</v>
      </c>
      <c r="Q6" s="549">
        <f>INDEX('Tables - Part 2'!$AQ$4:$AQ$6,MATCH(Lining!H6,'Tables - Part 2'!$AN$4:$AN$6,0))</f>
        <v>2</v>
      </c>
      <c r="R6" s="549" t="e">
        <f t="shared" si="4"/>
        <v>#N/A</v>
      </c>
    </row>
    <row r="7" spans="2:30" x14ac:dyDescent="0.35">
      <c r="B7" s="161" t="str">
        <f>'Tratamento de Dados'!B15</f>
        <v>V-11</v>
      </c>
      <c r="C7" s="161" t="str">
        <f>'Tratamento de Dados'!D15</f>
        <v>Casco</v>
      </c>
      <c r="D7" s="331">
        <f>'Tratamento de Dados'!Z15</f>
        <v>43833</v>
      </c>
      <c r="E7" s="331">
        <v>37288</v>
      </c>
      <c r="F7" s="404"/>
      <c r="G7" s="161" t="s">
        <v>1070</v>
      </c>
      <c r="H7" s="161" t="s">
        <v>1081</v>
      </c>
      <c r="I7" s="161">
        <v>1</v>
      </c>
      <c r="J7" s="436">
        <f t="shared" si="0"/>
        <v>17</v>
      </c>
      <c r="K7" s="437">
        <f>INDEX('Tables - Part 2'!$AB$5:$AL$29,MATCH(Lining!J7,'Tables - Part 2'!$AA$5:$AA$29,0),MATCH(Lining!G7,'Tables - Part 2'!$AB$4:$AL$4,0))</f>
        <v>69</v>
      </c>
      <c r="L7" s="437">
        <f>INDEX('Tables - Part 2'!$AP$4:$AP$6,MATCH(Lining!H7,'Tables - Part 2'!$AN$4:$AN$6,0))</f>
        <v>2</v>
      </c>
      <c r="M7" s="437">
        <f t="shared" si="1"/>
        <v>138</v>
      </c>
      <c r="N7" s="551">
        <f t="shared" si="2"/>
        <v>0</v>
      </c>
      <c r="O7" s="549">
        <f t="shared" si="3"/>
        <v>0</v>
      </c>
      <c r="P7" s="549" t="e">
        <f>INDEX('Tables - Part 2'!$AB$5:$AL$29,MATCH(Lining!N7,'Tables - Part 2'!$AA$5:$AA$29,0),MATCH(Lining!G7,'Tables - Part 2'!$AB$4:$AL$4,0))</f>
        <v>#N/A</v>
      </c>
      <c r="Q7" s="549">
        <f>INDEX('Tables - Part 2'!$AQ$4:$AQ$6,MATCH(Lining!H7,'Tables - Part 2'!$AN$4:$AN$6,0))</f>
        <v>2</v>
      </c>
      <c r="R7" s="549" t="e">
        <f t="shared" si="4"/>
        <v>#N/A</v>
      </c>
    </row>
    <row r="8" spans="2:30" x14ac:dyDescent="0.35">
      <c r="B8" s="161" t="str">
        <f>'Tratamento de Dados'!B16</f>
        <v>V-13</v>
      </c>
      <c r="C8" s="161" t="str">
        <f>'Tratamento de Dados'!D16</f>
        <v>Casco</v>
      </c>
      <c r="D8" s="331">
        <f>'Tratamento de Dados'!Z16</f>
        <v>43833</v>
      </c>
      <c r="E8" s="331">
        <v>37288</v>
      </c>
      <c r="F8" s="404"/>
      <c r="G8" s="161" t="s">
        <v>1070</v>
      </c>
      <c r="H8" s="161" t="s">
        <v>1081</v>
      </c>
      <c r="I8" s="161">
        <v>1</v>
      </c>
      <c r="J8" s="436">
        <f t="shared" si="0"/>
        <v>17</v>
      </c>
      <c r="K8" s="437">
        <f>INDEX('Tables - Part 2'!$AB$5:$AL$29,MATCH(Lining!J8,'Tables - Part 2'!$AA$5:$AA$29,0),MATCH(Lining!G8,'Tables - Part 2'!$AB$4:$AL$4,0))</f>
        <v>69</v>
      </c>
      <c r="L8" s="437">
        <f>INDEX('Tables - Part 2'!$AP$4:$AP$6,MATCH(Lining!H8,'Tables - Part 2'!$AN$4:$AN$6,0))</f>
        <v>2</v>
      </c>
      <c r="M8" s="437">
        <f t="shared" si="1"/>
        <v>138</v>
      </c>
      <c r="N8" s="551">
        <f t="shared" si="2"/>
        <v>0</v>
      </c>
      <c r="O8" s="549">
        <f t="shared" si="3"/>
        <v>0</v>
      </c>
      <c r="P8" s="549" t="e">
        <f>INDEX('Tables - Part 2'!$AB$5:$AL$29,MATCH(Lining!N8,'Tables - Part 2'!$AA$5:$AA$29,0),MATCH(Lining!G8,'Tables - Part 2'!$AB$4:$AL$4,0))</f>
        <v>#N/A</v>
      </c>
      <c r="Q8" s="549">
        <f>INDEX('Tables - Part 2'!$AQ$4:$AQ$6,MATCH(Lining!H8,'Tables - Part 2'!$AN$4:$AN$6,0))</f>
        <v>2</v>
      </c>
      <c r="R8" s="549" t="e">
        <f t="shared" si="4"/>
        <v>#N/A</v>
      </c>
    </row>
    <row r="9" spans="2:30" x14ac:dyDescent="0.35">
      <c r="B9" s="161" t="str">
        <f>'Tratamento de Dados'!B17</f>
        <v>V-14</v>
      </c>
      <c r="C9" s="161" t="str">
        <f>'Tratamento de Dados'!D17</f>
        <v>Casco</v>
      </c>
      <c r="D9" s="331">
        <f>'Tratamento de Dados'!Z17</f>
        <v>43833</v>
      </c>
      <c r="E9" s="331">
        <v>37288</v>
      </c>
      <c r="F9" s="404"/>
      <c r="G9" s="161" t="s">
        <v>1070</v>
      </c>
      <c r="H9" s="161" t="s">
        <v>1081</v>
      </c>
      <c r="I9" s="161">
        <v>1</v>
      </c>
      <c r="J9" s="436">
        <f t="shared" si="0"/>
        <v>17</v>
      </c>
      <c r="K9" s="437">
        <f>INDEX('Tables - Part 2'!$AB$5:$AL$29,MATCH(Lining!J9,'Tables - Part 2'!$AA$5:$AA$29,0),MATCH(Lining!G9,'Tables - Part 2'!$AB$4:$AL$4,0))</f>
        <v>69</v>
      </c>
      <c r="L9" s="437">
        <f>INDEX('Tables - Part 2'!$AP$4:$AP$6,MATCH(Lining!H9,'Tables - Part 2'!$AN$4:$AN$6,0))</f>
        <v>2</v>
      </c>
      <c r="M9" s="437">
        <f t="shared" si="1"/>
        <v>138</v>
      </c>
      <c r="N9" s="551">
        <f t="shared" si="2"/>
        <v>0</v>
      </c>
      <c r="O9" s="549">
        <f t="shared" si="3"/>
        <v>0</v>
      </c>
      <c r="P9" s="549" t="e">
        <f>INDEX('Tables - Part 2'!$AB$5:$AL$29,MATCH(Lining!N9,'Tables - Part 2'!$AA$5:$AA$29,0),MATCH(Lining!G9,'Tables - Part 2'!$AB$4:$AL$4,0))</f>
        <v>#N/A</v>
      </c>
      <c r="Q9" s="549">
        <f>INDEX('Tables - Part 2'!$AQ$4:$AQ$6,MATCH(Lining!H9,'Tables - Part 2'!$AN$4:$AN$6,0))</f>
        <v>2</v>
      </c>
      <c r="R9" s="549" t="e">
        <f t="shared" si="4"/>
        <v>#N/A</v>
      </c>
    </row>
    <row r="10" spans="2:30" x14ac:dyDescent="0.35">
      <c r="B10" s="161" t="str">
        <f>'Tratamento de Dados'!B18</f>
        <v>V-1</v>
      </c>
      <c r="C10" s="161" t="str">
        <f>'Tratamento de Dados'!D18</f>
        <v>Casco</v>
      </c>
      <c r="D10" s="331">
        <f>'Tratamento de Dados'!Z18</f>
        <v>43833</v>
      </c>
      <c r="E10" s="331">
        <v>37288</v>
      </c>
      <c r="F10" s="404"/>
      <c r="G10" s="161" t="s">
        <v>1070</v>
      </c>
      <c r="H10" s="161" t="s">
        <v>1081</v>
      </c>
      <c r="I10" s="161">
        <v>1</v>
      </c>
      <c r="J10" s="436">
        <f t="shared" si="0"/>
        <v>17</v>
      </c>
      <c r="K10" s="437">
        <f>INDEX('Tables - Part 2'!$AB$5:$AL$29,MATCH(Lining!J10,'Tables - Part 2'!$AA$5:$AA$29,0),MATCH(Lining!G10,'Tables - Part 2'!$AB$4:$AL$4,0))</f>
        <v>69</v>
      </c>
      <c r="L10" s="437">
        <f>INDEX('Tables - Part 2'!$AP$4:$AP$6,MATCH(Lining!H10,'Tables - Part 2'!$AN$4:$AN$6,0))</f>
        <v>2</v>
      </c>
      <c r="M10" s="437">
        <f t="shared" si="1"/>
        <v>138</v>
      </c>
      <c r="N10" s="551">
        <f t="shared" si="2"/>
        <v>0</v>
      </c>
      <c r="O10" s="549">
        <f t="shared" si="3"/>
        <v>0</v>
      </c>
      <c r="P10" s="549" t="e">
        <f>INDEX('Tables - Part 2'!$AB$5:$AL$29,MATCH(Lining!N10,'Tables - Part 2'!$AA$5:$AA$29,0),MATCH(Lining!G10,'Tables - Part 2'!$AB$4:$AL$4,0))</f>
        <v>#N/A</v>
      </c>
      <c r="Q10" s="549">
        <f>INDEX('Tables - Part 2'!$AQ$4:$AQ$6,MATCH(Lining!H10,'Tables - Part 2'!$AN$4:$AN$6,0))</f>
        <v>2</v>
      </c>
      <c r="R10" s="549" t="e">
        <f t="shared" si="4"/>
        <v>#N/A</v>
      </c>
    </row>
    <row r="11" spans="2:30" x14ac:dyDescent="0.35">
      <c r="B11" s="161" t="str">
        <f>'Tratamento de Dados'!B19</f>
        <v>V-2</v>
      </c>
      <c r="C11" s="161" t="str">
        <f>'Tratamento de Dados'!D19</f>
        <v>Casco</v>
      </c>
      <c r="D11" s="331">
        <f>'Tratamento de Dados'!Z19</f>
        <v>43833</v>
      </c>
      <c r="E11" s="331">
        <v>37288</v>
      </c>
      <c r="F11" s="404"/>
      <c r="G11" s="161" t="s">
        <v>1070</v>
      </c>
      <c r="H11" s="161" t="s">
        <v>1081</v>
      </c>
      <c r="I11" s="161">
        <v>1</v>
      </c>
      <c r="J11" s="436">
        <f t="shared" si="0"/>
        <v>17</v>
      </c>
      <c r="K11" s="437">
        <f>INDEX('Tables - Part 2'!$AB$5:$AL$29,MATCH(Lining!J11,'Tables - Part 2'!$AA$5:$AA$29,0),MATCH(Lining!G11,'Tables - Part 2'!$AB$4:$AL$4,0))</f>
        <v>69</v>
      </c>
      <c r="L11" s="437">
        <f>INDEX('Tables - Part 2'!$AP$4:$AP$6,MATCH(Lining!H11,'Tables - Part 2'!$AN$4:$AN$6,0))</f>
        <v>2</v>
      </c>
      <c r="M11" s="437">
        <f t="shared" si="1"/>
        <v>138</v>
      </c>
      <c r="N11" s="551">
        <f t="shared" si="2"/>
        <v>0</v>
      </c>
      <c r="O11" s="549">
        <f t="shared" si="3"/>
        <v>0</v>
      </c>
      <c r="P11" s="549" t="e">
        <f>INDEX('Tables - Part 2'!$AB$5:$AL$29,MATCH(Lining!N11,'Tables - Part 2'!$AA$5:$AA$29,0),MATCH(Lining!G11,'Tables - Part 2'!$AB$4:$AL$4,0))</f>
        <v>#N/A</v>
      </c>
      <c r="Q11" s="549">
        <f>INDEX('Tables - Part 2'!$AQ$4:$AQ$6,MATCH(Lining!H11,'Tables - Part 2'!$AN$4:$AN$6,0))</f>
        <v>2</v>
      </c>
      <c r="R11" s="549" t="e">
        <f t="shared" si="4"/>
        <v>#N/A</v>
      </c>
    </row>
    <row r="12" spans="2:30" x14ac:dyDescent="0.35">
      <c r="B12" s="161" t="str">
        <f>'Tratamento de Dados'!B20</f>
        <v>V-3</v>
      </c>
      <c r="C12" s="161" t="str">
        <f>'Tratamento de Dados'!D20</f>
        <v>Casco</v>
      </c>
      <c r="D12" s="331">
        <f>'Tratamento de Dados'!Z20</f>
        <v>43833</v>
      </c>
      <c r="E12" s="331">
        <v>37288</v>
      </c>
      <c r="F12" s="404"/>
      <c r="G12" s="161" t="s">
        <v>1070</v>
      </c>
      <c r="H12" s="161" t="s">
        <v>1081</v>
      </c>
      <c r="I12" s="161">
        <v>1</v>
      </c>
      <c r="J12" s="436">
        <f t="shared" si="0"/>
        <v>17</v>
      </c>
      <c r="K12" s="437">
        <f>INDEX('Tables - Part 2'!$AB$5:$AL$29,MATCH(Lining!J12,'Tables - Part 2'!$AA$5:$AA$29,0),MATCH(Lining!G12,'Tables - Part 2'!$AB$4:$AL$4,0))</f>
        <v>69</v>
      </c>
      <c r="L12" s="437">
        <f>INDEX('Tables - Part 2'!$AP$4:$AP$6,MATCH(Lining!H12,'Tables - Part 2'!$AN$4:$AN$6,0))</f>
        <v>2</v>
      </c>
      <c r="M12" s="437">
        <f t="shared" si="1"/>
        <v>138</v>
      </c>
      <c r="N12" s="551">
        <f t="shared" si="2"/>
        <v>0</v>
      </c>
      <c r="O12" s="549">
        <f t="shared" si="3"/>
        <v>0</v>
      </c>
      <c r="P12" s="549" t="e">
        <f>INDEX('Tables - Part 2'!$AB$5:$AL$29,MATCH(Lining!N12,'Tables - Part 2'!$AA$5:$AA$29,0),MATCH(Lining!G12,'Tables - Part 2'!$AB$4:$AL$4,0))</f>
        <v>#N/A</v>
      </c>
      <c r="Q12" s="549">
        <f>INDEX('Tables - Part 2'!$AQ$4:$AQ$6,MATCH(Lining!H12,'Tables - Part 2'!$AN$4:$AN$6,0))</f>
        <v>2</v>
      </c>
      <c r="R12" s="549" t="e">
        <f t="shared" si="4"/>
        <v>#N/A</v>
      </c>
    </row>
    <row r="13" spans="2:30" x14ac:dyDescent="0.35">
      <c r="B13" s="161" t="str">
        <f>'Tratamento de Dados'!B21</f>
        <v>V-4</v>
      </c>
      <c r="C13" s="161" t="str">
        <f>'Tratamento de Dados'!D21</f>
        <v>Casco</v>
      </c>
      <c r="D13" s="331">
        <f>'Tratamento de Dados'!Z21</f>
        <v>43833</v>
      </c>
      <c r="E13" s="331">
        <v>37288</v>
      </c>
      <c r="F13" s="404"/>
      <c r="G13" s="161" t="s">
        <v>1070</v>
      </c>
      <c r="H13" s="161" t="s">
        <v>1081</v>
      </c>
      <c r="I13" s="161">
        <v>1</v>
      </c>
      <c r="J13" s="436">
        <f t="shared" si="0"/>
        <v>17</v>
      </c>
      <c r="K13" s="437">
        <f>INDEX('Tables - Part 2'!$AB$5:$AL$29,MATCH(Lining!J13,'Tables - Part 2'!$AA$5:$AA$29,0),MATCH(Lining!G13,'Tables - Part 2'!$AB$4:$AL$4,0))</f>
        <v>69</v>
      </c>
      <c r="L13" s="437">
        <f>INDEX('Tables - Part 2'!$AP$4:$AP$6,MATCH(Lining!H13,'Tables - Part 2'!$AN$4:$AN$6,0))</f>
        <v>2</v>
      </c>
      <c r="M13" s="437">
        <f t="shared" si="1"/>
        <v>138</v>
      </c>
      <c r="N13" s="551">
        <f t="shared" si="2"/>
        <v>0</v>
      </c>
      <c r="O13" s="549">
        <f t="shared" si="3"/>
        <v>0</v>
      </c>
      <c r="P13" s="549" t="e">
        <f>INDEX('Tables - Part 2'!$AB$5:$AL$29,MATCH(Lining!N13,'Tables - Part 2'!$AA$5:$AA$29,0),MATCH(Lining!G13,'Tables - Part 2'!$AB$4:$AL$4,0))</f>
        <v>#N/A</v>
      </c>
      <c r="Q13" s="549">
        <f>INDEX('Tables - Part 2'!$AQ$4:$AQ$6,MATCH(Lining!H13,'Tables - Part 2'!$AN$4:$AN$6,0))</f>
        <v>2</v>
      </c>
      <c r="R13" s="549" t="e">
        <f t="shared" si="4"/>
        <v>#N/A</v>
      </c>
    </row>
    <row r="14" spans="2:30" x14ac:dyDescent="0.35">
      <c r="B14" s="161" t="str">
        <f>'Tratamento de Dados'!B22</f>
        <v>V-50</v>
      </c>
      <c r="C14" s="161" t="str">
        <f>'Tratamento de Dados'!D22</f>
        <v>Casco</v>
      </c>
      <c r="D14" s="331">
        <f>'Tratamento de Dados'!Z22</f>
        <v>43833</v>
      </c>
      <c r="E14" s="331">
        <v>37288</v>
      </c>
      <c r="F14" s="404"/>
      <c r="G14" s="161" t="s">
        <v>1070</v>
      </c>
      <c r="H14" s="161" t="s">
        <v>1081</v>
      </c>
      <c r="I14" s="161">
        <v>1</v>
      </c>
      <c r="J14" s="436">
        <f t="shared" si="0"/>
        <v>17</v>
      </c>
      <c r="K14" s="437">
        <f>INDEX('Tables - Part 2'!$AB$5:$AL$29,MATCH(Lining!J14,'Tables - Part 2'!$AA$5:$AA$29,0),MATCH(Lining!G14,'Tables - Part 2'!$AB$4:$AL$4,0))</f>
        <v>69</v>
      </c>
      <c r="L14" s="437">
        <f>INDEX('Tables - Part 2'!$AP$4:$AP$6,MATCH(Lining!H14,'Tables - Part 2'!$AN$4:$AN$6,0))</f>
        <v>2</v>
      </c>
      <c r="M14" s="437">
        <f t="shared" si="1"/>
        <v>138</v>
      </c>
      <c r="N14" s="551">
        <f t="shared" si="2"/>
        <v>0</v>
      </c>
      <c r="O14" s="549">
        <f t="shared" si="3"/>
        <v>0</v>
      </c>
      <c r="P14" s="549" t="e">
        <f>INDEX('Tables - Part 2'!$AB$5:$AL$29,MATCH(Lining!N14,'Tables - Part 2'!$AA$5:$AA$29,0),MATCH(Lining!G14,'Tables - Part 2'!$AB$4:$AL$4,0))</f>
        <v>#N/A</v>
      </c>
      <c r="Q14" s="549">
        <f>INDEX('Tables - Part 2'!$AQ$4:$AQ$6,MATCH(Lining!H14,'Tables - Part 2'!$AN$4:$AN$6,0))</f>
        <v>2</v>
      </c>
      <c r="R14" s="549" t="e">
        <f t="shared" si="4"/>
        <v>#N/A</v>
      </c>
    </row>
    <row r="15" spans="2:30" x14ac:dyDescent="0.35">
      <c r="B15" s="161" t="str">
        <f>'Tratamento de Dados'!B23</f>
        <v>V-5</v>
      </c>
      <c r="C15" s="161" t="str">
        <f>'Tratamento de Dados'!D23</f>
        <v>Casco</v>
      </c>
      <c r="D15" s="331">
        <f>'Tratamento de Dados'!Z23</f>
        <v>43833</v>
      </c>
      <c r="E15" s="331">
        <v>37288</v>
      </c>
      <c r="F15" s="404"/>
      <c r="G15" s="161" t="s">
        <v>1070</v>
      </c>
      <c r="H15" s="161" t="s">
        <v>1081</v>
      </c>
      <c r="I15" s="161">
        <v>1</v>
      </c>
      <c r="J15" s="436">
        <f t="shared" si="0"/>
        <v>17</v>
      </c>
      <c r="K15" s="437">
        <f>INDEX('Tables - Part 2'!$AB$5:$AL$29,MATCH(Lining!J15,'Tables - Part 2'!$AA$5:$AA$29,0),MATCH(Lining!G15,'Tables - Part 2'!$AB$4:$AL$4,0))</f>
        <v>69</v>
      </c>
      <c r="L15" s="437">
        <f>INDEX('Tables - Part 2'!$AP$4:$AP$6,MATCH(Lining!H15,'Tables - Part 2'!$AN$4:$AN$6,0))</f>
        <v>2</v>
      </c>
      <c r="M15" s="437">
        <f t="shared" si="1"/>
        <v>138</v>
      </c>
      <c r="N15" s="551">
        <f t="shared" si="2"/>
        <v>0</v>
      </c>
      <c r="O15" s="549">
        <f t="shared" si="3"/>
        <v>0</v>
      </c>
      <c r="P15" s="549" t="e">
        <f>INDEX('Tables - Part 2'!$AB$5:$AL$29,MATCH(Lining!N15,'Tables - Part 2'!$AA$5:$AA$29,0),MATCH(Lining!G15,'Tables - Part 2'!$AB$4:$AL$4,0))</f>
        <v>#N/A</v>
      </c>
      <c r="Q15" s="549">
        <f>INDEX('Tables - Part 2'!$AQ$4:$AQ$6,MATCH(Lining!H15,'Tables - Part 2'!$AN$4:$AN$6,0))</f>
        <v>2</v>
      </c>
      <c r="R15" s="549" t="e">
        <f t="shared" si="4"/>
        <v>#N/A</v>
      </c>
    </row>
    <row r="16" spans="2:30" x14ac:dyDescent="0.35">
      <c r="B16" s="161" t="str">
        <f>'Tratamento de Dados'!B24</f>
        <v>V-6</v>
      </c>
      <c r="C16" s="161" t="str">
        <f>'Tratamento de Dados'!D24</f>
        <v>Casco</v>
      </c>
      <c r="D16" s="331">
        <f>'Tratamento de Dados'!Z24</f>
        <v>43833</v>
      </c>
      <c r="E16" s="331">
        <v>37288</v>
      </c>
      <c r="F16" s="404"/>
      <c r="G16" s="161" t="s">
        <v>1070</v>
      </c>
      <c r="H16" s="161" t="s">
        <v>1081</v>
      </c>
      <c r="I16" s="161">
        <v>1</v>
      </c>
      <c r="J16" s="436">
        <f t="shared" si="0"/>
        <v>17</v>
      </c>
      <c r="K16" s="437">
        <f>INDEX('Tables - Part 2'!$AB$5:$AL$29,MATCH(Lining!J16,'Tables - Part 2'!$AA$5:$AA$29,0),MATCH(Lining!G16,'Tables - Part 2'!$AB$4:$AL$4,0))</f>
        <v>69</v>
      </c>
      <c r="L16" s="437">
        <f>INDEX('Tables - Part 2'!$AP$4:$AP$6,MATCH(Lining!H16,'Tables - Part 2'!$AN$4:$AN$6,0))</f>
        <v>2</v>
      </c>
      <c r="M16" s="437">
        <f t="shared" si="1"/>
        <v>138</v>
      </c>
      <c r="N16" s="551">
        <f t="shared" si="2"/>
        <v>0</v>
      </c>
      <c r="O16" s="549">
        <f t="shared" si="3"/>
        <v>0</v>
      </c>
      <c r="P16" s="549" t="e">
        <f>INDEX('Tables - Part 2'!$AB$5:$AL$29,MATCH(Lining!N16,'Tables - Part 2'!$AA$5:$AA$29,0),MATCH(Lining!G16,'Tables - Part 2'!$AB$4:$AL$4,0))</f>
        <v>#N/A</v>
      </c>
      <c r="Q16" s="549">
        <f>INDEX('Tables - Part 2'!$AQ$4:$AQ$6,MATCH(Lining!H16,'Tables - Part 2'!$AN$4:$AN$6,0))</f>
        <v>2</v>
      </c>
      <c r="R16" s="549" t="e">
        <f t="shared" si="4"/>
        <v>#N/A</v>
      </c>
    </row>
    <row r="17" spans="2:18" x14ac:dyDescent="0.35">
      <c r="B17" s="161" t="str">
        <f>'Tratamento de Dados'!B25</f>
        <v>V-7</v>
      </c>
      <c r="C17" s="161" t="str">
        <f>'Tratamento de Dados'!D25</f>
        <v>Casco</v>
      </c>
      <c r="D17" s="331">
        <f>'Tratamento de Dados'!Z25</f>
        <v>43833</v>
      </c>
      <c r="E17" s="331">
        <v>37288</v>
      </c>
      <c r="F17" s="404"/>
      <c r="G17" s="161" t="s">
        <v>1070</v>
      </c>
      <c r="H17" s="161" t="s">
        <v>1081</v>
      </c>
      <c r="I17" s="161">
        <v>1</v>
      </c>
      <c r="J17" s="436">
        <f t="shared" si="0"/>
        <v>17</v>
      </c>
      <c r="K17" s="437">
        <f>INDEX('Tables - Part 2'!$AB$5:$AL$29,MATCH(Lining!J17,'Tables - Part 2'!$AA$5:$AA$29,0),MATCH(Lining!G17,'Tables - Part 2'!$AB$4:$AL$4,0))</f>
        <v>69</v>
      </c>
      <c r="L17" s="437">
        <f>INDEX('Tables - Part 2'!$AP$4:$AP$6,MATCH(Lining!H17,'Tables - Part 2'!$AN$4:$AN$6,0))</f>
        <v>2</v>
      </c>
      <c r="M17" s="437">
        <f t="shared" si="1"/>
        <v>138</v>
      </c>
      <c r="N17" s="551">
        <f t="shared" si="2"/>
        <v>0</v>
      </c>
      <c r="O17" s="549">
        <f t="shared" si="3"/>
        <v>0</v>
      </c>
      <c r="P17" s="549" t="e">
        <f>INDEX('Tables - Part 2'!$AB$5:$AL$29,MATCH(Lining!N17,'Tables - Part 2'!$AA$5:$AA$29,0),MATCH(Lining!G17,'Tables - Part 2'!$AB$4:$AL$4,0))</f>
        <v>#N/A</v>
      </c>
      <c r="Q17" s="549">
        <f>INDEX('Tables - Part 2'!$AQ$4:$AQ$6,MATCH(Lining!H17,'Tables - Part 2'!$AN$4:$AN$6,0))</f>
        <v>2</v>
      </c>
      <c r="R17" s="549" t="e">
        <f t="shared" si="4"/>
        <v>#N/A</v>
      </c>
    </row>
    <row r="18" spans="2:18" x14ac:dyDescent="0.35">
      <c r="B18" s="161" t="str">
        <f>'Tratamento de Dados'!B26</f>
        <v>V-80</v>
      </c>
      <c r="C18" s="161" t="str">
        <f>'Tratamento de Dados'!D26</f>
        <v>Casco</v>
      </c>
      <c r="D18" s="331">
        <f>'Tratamento de Dados'!Z26</f>
        <v>43833</v>
      </c>
      <c r="E18" s="331">
        <v>37288</v>
      </c>
      <c r="F18" s="404"/>
      <c r="G18" s="161" t="s">
        <v>1070</v>
      </c>
      <c r="H18" s="161" t="s">
        <v>1081</v>
      </c>
      <c r="I18" s="161">
        <v>1</v>
      </c>
      <c r="J18" s="436">
        <f t="shared" si="0"/>
        <v>17</v>
      </c>
      <c r="K18" s="437">
        <f>INDEX('Tables - Part 2'!$AB$5:$AL$29,MATCH(Lining!J18,'Tables - Part 2'!$AA$5:$AA$29,0),MATCH(Lining!G18,'Tables - Part 2'!$AB$4:$AL$4,0))</f>
        <v>69</v>
      </c>
      <c r="L18" s="437">
        <f>INDEX('Tables - Part 2'!$AP$4:$AP$6,MATCH(Lining!H18,'Tables - Part 2'!$AN$4:$AN$6,0))</f>
        <v>2</v>
      </c>
      <c r="M18" s="437">
        <f t="shared" si="1"/>
        <v>138</v>
      </c>
      <c r="N18" s="551">
        <f t="shared" si="2"/>
        <v>0</v>
      </c>
      <c r="O18" s="549">
        <f t="shared" si="3"/>
        <v>0</v>
      </c>
      <c r="P18" s="549" t="e">
        <f>INDEX('Tables - Part 2'!$AB$5:$AL$29,MATCH(Lining!N18,'Tables - Part 2'!$AA$5:$AA$29,0),MATCH(Lining!G18,'Tables - Part 2'!$AB$4:$AL$4,0))</f>
        <v>#N/A</v>
      </c>
      <c r="Q18" s="549">
        <f>INDEX('Tables - Part 2'!$AQ$4:$AQ$6,MATCH(Lining!H18,'Tables - Part 2'!$AN$4:$AN$6,0))</f>
        <v>2</v>
      </c>
      <c r="R18" s="549" t="e">
        <f t="shared" si="4"/>
        <v>#N/A</v>
      </c>
    </row>
    <row r="19" spans="2:18" x14ac:dyDescent="0.35">
      <c r="B19" s="161" t="str">
        <f>'Tratamento de Dados'!B27</f>
        <v>V-8</v>
      </c>
      <c r="C19" s="161" t="str">
        <f>'Tratamento de Dados'!D27</f>
        <v>Casco</v>
      </c>
      <c r="D19" s="331">
        <f>'Tratamento de Dados'!Z27</f>
        <v>43833</v>
      </c>
      <c r="E19" s="331">
        <v>37288</v>
      </c>
      <c r="F19" s="404"/>
      <c r="G19" s="161" t="s">
        <v>1070</v>
      </c>
      <c r="H19" s="161" t="s">
        <v>1081</v>
      </c>
      <c r="I19" s="161">
        <v>1</v>
      </c>
      <c r="J19" s="436">
        <f t="shared" si="0"/>
        <v>17</v>
      </c>
      <c r="K19" s="437">
        <f>INDEX('Tables - Part 2'!$AB$5:$AL$29,MATCH(Lining!J19,'Tables - Part 2'!$AA$5:$AA$29,0),MATCH(Lining!G19,'Tables - Part 2'!$AB$4:$AL$4,0))</f>
        <v>69</v>
      </c>
      <c r="L19" s="437">
        <f>INDEX('Tables - Part 2'!$AP$4:$AP$6,MATCH(Lining!H19,'Tables - Part 2'!$AN$4:$AN$6,0))</f>
        <v>2</v>
      </c>
      <c r="M19" s="437">
        <f t="shared" si="1"/>
        <v>138</v>
      </c>
      <c r="N19" s="551">
        <f t="shared" si="2"/>
        <v>0</v>
      </c>
      <c r="O19" s="549">
        <f t="shared" si="3"/>
        <v>0</v>
      </c>
      <c r="P19" s="549" t="e">
        <f>INDEX('Tables - Part 2'!$AB$5:$AL$29,MATCH(Lining!N19,'Tables - Part 2'!$AA$5:$AA$29,0),MATCH(Lining!G19,'Tables - Part 2'!$AB$4:$AL$4,0))</f>
        <v>#N/A</v>
      </c>
      <c r="Q19" s="549">
        <f>INDEX('Tables - Part 2'!$AQ$4:$AQ$6,MATCH(Lining!H19,'Tables - Part 2'!$AN$4:$AN$6,0))</f>
        <v>2</v>
      </c>
      <c r="R19" s="549" t="e">
        <f t="shared" si="4"/>
        <v>#N/A</v>
      </c>
    </row>
    <row r="20" spans="2:18" x14ac:dyDescent="0.35">
      <c r="B20" s="161" t="str">
        <f>'Tratamento de Dados'!B28</f>
        <v>V-90</v>
      </c>
      <c r="C20" s="161" t="str">
        <f>'Tratamento de Dados'!D28</f>
        <v>Casco</v>
      </c>
      <c r="D20" s="331">
        <f>'Tratamento de Dados'!Z28</f>
        <v>43833</v>
      </c>
      <c r="E20" s="331">
        <v>37288</v>
      </c>
      <c r="F20" s="404"/>
      <c r="G20" s="161" t="s">
        <v>1070</v>
      </c>
      <c r="H20" s="161" t="s">
        <v>1081</v>
      </c>
      <c r="I20" s="161">
        <v>1</v>
      </c>
      <c r="J20" s="436">
        <f t="shared" si="0"/>
        <v>17</v>
      </c>
      <c r="K20" s="437">
        <f>INDEX('Tables - Part 2'!$AB$5:$AL$29,MATCH(Lining!J20,'Tables - Part 2'!$AA$5:$AA$29,0),MATCH(Lining!G20,'Tables - Part 2'!$AB$4:$AL$4,0))</f>
        <v>69</v>
      </c>
      <c r="L20" s="437">
        <f>INDEX('Tables - Part 2'!$AP$4:$AP$6,MATCH(Lining!H20,'Tables - Part 2'!$AN$4:$AN$6,0))</f>
        <v>2</v>
      </c>
      <c r="M20" s="437">
        <f t="shared" si="1"/>
        <v>138</v>
      </c>
      <c r="N20" s="551">
        <f t="shared" si="2"/>
        <v>0</v>
      </c>
      <c r="O20" s="549">
        <f t="shared" si="3"/>
        <v>0</v>
      </c>
      <c r="P20" s="549" t="e">
        <f>INDEX('Tables - Part 2'!$AB$5:$AL$29,MATCH(Lining!N20,'Tables - Part 2'!$AA$5:$AA$29,0),MATCH(Lining!G20,'Tables - Part 2'!$AB$4:$AL$4,0))</f>
        <v>#N/A</v>
      </c>
      <c r="Q20" s="549">
        <f>INDEX('Tables - Part 2'!$AQ$4:$AQ$6,MATCH(Lining!H20,'Tables - Part 2'!$AN$4:$AN$6,0))</f>
        <v>2</v>
      </c>
      <c r="R20" s="549" t="e">
        <f t="shared" si="4"/>
        <v>#N/A</v>
      </c>
    </row>
    <row r="21" spans="2:18" x14ac:dyDescent="0.35">
      <c r="B21" s="161" t="str">
        <f>'Tratamento de Dados'!B29</f>
        <v>V-9</v>
      </c>
      <c r="C21" s="161" t="str">
        <f>'Tratamento de Dados'!D29</f>
        <v>Casco</v>
      </c>
      <c r="D21" s="331">
        <f>'Tratamento de Dados'!Z29</f>
        <v>43833</v>
      </c>
      <c r="E21" s="331">
        <v>37288</v>
      </c>
      <c r="F21" s="404"/>
      <c r="G21" s="161" t="s">
        <v>1070</v>
      </c>
      <c r="H21" s="161" t="s">
        <v>1081</v>
      </c>
      <c r="I21" s="161">
        <v>1</v>
      </c>
      <c r="J21" s="436">
        <f t="shared" si="0"/>
        <v>17</v>
      </c>
      <c r="K21" s="437">
        <f>INDEX('Tables - Part 2'!$AB$5:$AL$29,MATCH(Lining!J21,'Tables - Part 2'!$AA$5:$AA$29,0),MATCH(Lining!G21,'Tables - Part 2'!$AB$4:$AL$4,0))</f>
        <v>69</v>
      </c>
      <c r="L21" s="437">
        <f>INDEX('Tables - Part 2'!$AP$4:$AP$6,MATCH(Lining!H21,'Tables - Part 2'!$AN$4:$AN$6,0))</f>
        <v>2</v>
      </c>
      <c r="M21" s="437">
        <f t="shared" si="1"/>
        <v>138</v>
      </c>
      <c r="N21" s="551">
        <f t="shared" si="2"/>
        <v>0</v>
      </c>
      <c r="O21" s="549">
        <f t="shared" si="3"/>
        <v>0</v>
      </c>
      <c r="P21" s="549" t="e">
        <f>INDEX('Tables - Part 2'!$AB$5:$AL$29,MATCH(Lining!N21,'Tables - Part 2'!$AA$5:$AA$29,0),MATCH(Lining!G21,'Tables - Part 2'!$AB$4:$AL$4,0))</f>
        <v>#N/A</v>
      </c>
      <c r="Q21" s="549">
        <f>INDEX('Tables - Part 2'!$AQ$4:$AQ$6,MATCH(Lining!H21,'Tables - Part 2'!$AN$4:$AN$6,0))</f>
        <v>2</v>
      </c>
      <c r="R21" s="549" t="e">
        <f t="shared" si="4"/>
        <v>#N/A</v>
      </c>
    </row>
  </sheetData>
  <mergeCells count="1">
    <mergeCell ref="E2:F2"/>
  </mergeCells>
  <dataValidations count="2">
    <dataValidation type="list" allowBlank="1" showInputMessage="1" showErrorMessage="1" sqref="G4:G21" xr:uid="{00000000-0002-0000-0E00-000000000000}">
      <formula1>$V$3:$AD$3</formula1>
    </dataValidation>
    <dataValidation type="list" allowBlank="1" showInputMessage="1" showErrorMessage="1" sqref="I4:I21" xr:uid="{00000000-0002-0000-0E00-000001000000}">
      <formula1>$T$3:$T$4</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2000000}">
          <x14:formula1>
            <xm:f>'Tables - Part 2'!$AN$4:$AN$6</xm:f>
          </x14:formula1>
          <xm:sqref>H4:H21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21">
    <tabColor rgb="FFFFFF00"/>
  </sheetPr>
  <dimension ref="B1:CF21"/>
  <sheetViews>
    <sheetView zoomScale="70" zoomScaleNormal="70" workbookViewId="0">
      <selection activeCell="F24" sqref="F24"/>
    </sheetView>
  </sheetViews>
  <sheetFormatPr defaultRowHeight="14.5" x14ac:dyDescent="0.35"/>
  <cols>
    <col min="1" max="1" width="1.26953125" customWidth="1"/>
    <col min="2" max="3" width="18.26953125" customWidth="1"/>
    <col min="4" max="5" width="21.26953125" customWidth="1"/>
    <col min="6" max="6" width="24.81640625" bestFit="1" customWidth="1"/>
    <col min="7" max="7" width="23.26953125" customWidth="1"/>
    <col min="8" max="8" width="21.7265625" customWidth="1"/>
    <col min="9" max="9" width="12.1796875" customWidth="1"/>
    <col min="10" max="10" width="15" bestFit="1" customWidth="1"/>
    <col min="11" max="11" width="7.26953125" customWidth="1"/>
    <col min="12" max="12" width="23.54296875" customWidth="1"/>
    <col min="13" max="13" width="13.453125" customWidth="1"/>
    <col min="14" max="16" width="12.81640625" customWidth="1"/>
    <col min="17" max="17" width="16.1796875" customWidth="1"/>
    <col min="18" max="18" width="12.81640625" customWidth="1"/>
    <col min="19" max="19" width="16.453125" customWidth="1"/>
    <col min="20" max="20" width="12.1796875" customWidth="1"/>
    <col min="21" max="21" width="25.26953125" bestFit="1" customWidth="1"/>
    <col min="22" max="22" width="11" customWidth="1"/>
    <col min="23" max="27" width="19.81640625" customWidth="1"/>
    <col min="28" max="28" width="6.7265625" customWidth="1"/>
    <col min="29" max="29" width="6" customWidth="1"/>
    <col min="30" max="30" width="5.54296875" customWidth="1"/>
    <col min="31" max="31" width="6.7265625" customWidth="1"/>
    <col min="32" max="32" width="6" customWidth="1"/>
    <col min="33" max="33" width="6.7265625" customWidth="1"/>
    <col min="34" max="34" width="5.54296875" customWidth="1"/>
    <col min="35" max="35" width="6" customWidth="1"/>
    <col min="36" max="36" width="4.81640625" customWidth="1"/>
    <col min="37" max="37" width="6.7265625" customWidth="1"/>
    <col min="38" max="38" width="6" customWidth="1"/>
    <col min="39" max="39" width="6.7265625" customWidth="1"/>
    <col min="40" max="40" width="5.7265625" bestFit="1" customWidth="1"/>
    <col min="41" max="41" width="6" customWidth="1"/>
    <col min="42" max="42" width="5.54296875" customWidth="1"/>
    <col min="43" max="43" width="6.7265625" customWidth="1"/>
    <col min="44" max="44" width="6" customWidth="1"/>
    <col min="45" max="45" width="6.7265625" customWidth="1"/>
    <col min="46" max="48" width="6" customWidth="1"/>
    <col min="49" max="49" width="6.7265625" customWidth="1"/>
    <col min="50" max="50" width="6" customWidth="1"/>
    <col min="51" max="51" width="6.7265625" customWidth="1"/>
    <col min="52" max="54" width="6" customWidth="1"/>
    <col min="55" max="55" width="6.7265625" customWidth="1"/>
    <col min="56" max="56" width="6" customWidth="1"/>
    <col min="57" max="57" width="6.7265625" customWidth="1"/>
    <col min="58" max="60" width="6" customWidth="1"/>
    <col min="61" max="61" width="6.7265625" customWidth="1"/>
    <col min="62" max="62" width="6" customWidth="1"/>
    <col min="63" max="63" width="6.7265625" customWidth="1"/>
    <col min="64" max="64" width="4.81640625" customWidth="1"/>
    <col min="65" max="65" width="6" customWidth="1"/>
    <col min="66" max="66" width="5.54296875" customWidth="1"/>
    <col min="67" max="67" width="6.7265625" customWidth="1"/>
    <col min="68" max="69" width="4.81640625" customWidth="1"/>
    <col min="70" max="70" width="19.81640625" customWidth="1"/>
    <col min="71" max="71" width="22.453125" bestFit="1" customWidth="1"/>
    <col min="72" max="73" width="9.1796875" customWidth="1"/>
    <col min="74" max="74" width="26.81640625" customWidth="1"/>
    <col min="75" max="75" width="23.54296875" customWidth="1"/>
    <col min="76" max="76" width="35.54296875" customWidth="1"/>
  </cols>
  <sheetData>
    <row r="1" spans="2:84" ht="3.75" customHeight="1" x14ac:dyDescent="0.35"/>
    <row r="2" spans="2:84" x14ac:dyDescent="0.35">
      <c r="X2" s="702" t="s">
        <v>897</v>
      </c>
      <c r="Y2" s="702"/>
      <c r="Z2" s="702"/>
      <c r="AA2" s="702"/>
      <c r="AB2" s="449"/>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1"/>
      <c r="BV2" s="237" t="s">
        <v>839</v>
      </c>
      <c r="BX2" s="158" t="s">
        <v>244</v>
      </c>
      <c r="CC2" s="208"/>
      <c r="CD2" s="208"/>
      <c r="CF2" s="208"/>
    </row>
    <row r="3" spans="2:84" ht="29.25" customHeight="1" x14ac:dyDescent="0.35">
      <c r="B3" s="346" t="s">
        <v>968</v>
      </c>
      <c r="C3" s="346" t="s">
        <v>969</v>
      </c>
      <c r="D3" s="139" t="s">
        <v>843</v>
      </c>
      <c r="E3" s="139" t="s">
        <v>860</v>
      </c>
      <c r="F3" s="139" t="s">
        <v>1093</v>
      </c>
      <c r="G3" s="139" t="s">
        <v>1092</v>
      </c>
      <c r="H3" s="139" t="s">
        <v>1094</v>
      </c>
      <c r="I3" s="139" t="s">
        <v>1096</v>
      </c>
      <c r="J3" s="346" t="s">
        <v>1097</v>
      </c>
      <c r="K3" s="346" t="s">
        <v>858</v>
      </c>
      <c r="L3" s="139" t="s">
        <v>867</v>
      </c>
      <c r="M3" s="139" t="s">
        <v>893</v>
      </c>
      <c r="N3" s="139" t="s">
        <v>894</v>
      </c>
      <c r="O3" s="139" t="s">
        <v>895</v>
      </c>
      <c r="P3" s="139" t="s">
        <v>896</v>
      </c>
      <c r="Q3" s="139" t="s">
        <v>882</v>
      </c>
      <c r="R3" s="139" t="s">
        <v>880</v>
      </c>
      <c r="S3" s="139" t="s">
        <v>882</v>
      </c>
      <c r="T3" s="139" t="s">
        <v>880</v>
      </c>
      <c r="U3" s="346" t="s">
        <v>1095</v>
      </c>
      <c r="V3" s="244" t="s">
        <v>861</v>
      </c>
      <c r="W3" s="346" t="s">
        <v>869</v>
      </c>
      <c r="X3" s="346" t="s">
        <v>278</v>
      </c>
      <c r="Y3" s="346" t="s">
        <v>279</v>
      </c>
      <c r="Z3" s="346" t="s">
        <v>280</v>
      </c>
      <c r="AA3" s="346" t="s">
        <v>274</v>
      </c>
      <c r="AB3" s="346">
        <v>1</v>
      </c>
      <c r="AC3" s="252">
        <v>1.125</v>
      </c>
      <c r="AD3" s="346">
        <v>1.25</v>
      </c>
      <c r="AE3" s="346">
        <v>1.375</v>
      </c>
      <c r="AF3" s="254">
        <v>1.5</v>
      </c>
      <c r="AG3" s="346">
        <v>1.625</v>
      </c>
      <c r="AH3" s="346">
        <v>1.75</v>
      </c>
      <c r="AI3" s="252">
        <v>1.875</v>
      </c>
      <c r="AJ3" s="346">
        <v>2</v>
      </c>
      <c r="AK3" s="346">
        <v>2.125</v>
      </c>
      <c r="AL3" s="252">
        <v>2.25</v>
      </c>
      <c r="AM3" s="346">
        <v>2.375</v>
      </c>
      <c r="AN3" s="346">
        <v>2.5</v>
      </c>
      <c r="AO3" s="252">
        <v>2.625</v>
      </c>
      <c r="AP3" s="346">
        <v>2.75</v>
      </c>
      <c r="AQ3" s="346">
        <v>2.875</v>
      </c>
      <c r="AR3" s="255">
        <v>3</v>
      </c>
      <c r="AS3" s="346">
        <v>3.125</v>
      </c>
      <c r="AT3" s="346">
        <v>3.25</v>
      </c>
      <c r="AU3" s="252">
        <v>3.375</v>
      </c>
      <c r="AV3" s="346">
        <v>3.5</v>
      </c>
      <c r="AW3" s="346">
        <v>3.625</v>
      </c>
      <c r="AX3" s="252">
        <v>3.75</v>
      </c>
      <c r="AY3" s="346">
        <v>3.875</v>
      </c>
      <c r="AZ3" s="346">
        <v>4</v>
      </c>
      <c r="BA3" s="252">
        <v>4.125</v>
      </c>
      <c r="BB3" s="346">
        <v>4.25</v>
      </c>
      <c r="BC3" s="346">
        <v>4.375</v>
      </c>
      <c r="BD3" s="254">
        <v>4.5</v>
      </c>
      <c r="BE3" s="346">
        <v>4.625</v>
      </c>
      <c r="BF3" s="346">
        <v>4.75</v>
      </c>
      <c r="BG3" s="252">
        <v>4.875</v>
      </c>
      <c r="BH3" s="346">
        <v>5</v>
      </c>
      <c r="BI3" s="346">
        <v>5.125</v>
      </c>
      <c r="BJ3" s="252">
        <v>5.25</v>
      </c>
      <c r="BK3" s="346">
        <v>5.375</v>
      </c>
      <c r="BL3" s="346">
        <v>5.5</v>
      </c>
      <c r="BM3" s="252">
        <v>5.625</v>
      </c>
      <c r="BN3" s="346">
        <v>5.75</v>
      </c>
      <c r="BO3" s="346">
        <v>5.875</v>
      </c>
      <c r="BP3" s="346">
        <v>6</v>
      </c>
      <c r="BQ3" s="346" t="s">
        <v>281</v>
      </c>
      <c r="BR3" s="346" t="s">
        <v>1183</v>
      </c>
      <c r="BS3" s="141" t="s">
        <v>1184</v>
      </c>
      <c r="BV3" s="237" t="s">
        <v>111</v>
      </c>
      <c r="BX3" s="158" t="s">
        <v>245</v>
      </c>
      <c r="CB3" s="208"/>
    </row>
    <row r="4" spans="2:84" x14ac:dyDescent="0.35">
      <c r="B4" s="161" t="str">
        <f>'Tratamento de Dados'!B12</f>
        <v>V-90</v>
      </c>
      <c r="C4" s="161" t="str">
        <f>'Tratamento de Dados'!D12</f>
        <v>Casco</v>
      </c>
      <c r="D4" s="209" t="s">
        <v>245</v>
      </c>
      <c r="E4" s="209" t="s">
        <v>245</v>
      </c>
      <c r="F4" s="439">
        <v>0.02</v>
      </c>
      <c r="G4" s="209">
        <v>150</v>
      </c>
      <c r="H4" s="209" t="s">
        <v>244</v>
      </c>
      <c r="I4" s="209" t="s">
        <v>245</v>
      </c>
      <c r="J4" s="209" t="s">
        <v>244</v>
      </c>
      <c r="K4" s="209" t="s">
        <v>245</v>
      </c>
      <c r="L4" s="210">
        <v>39092</v>
      </c>
      <c r="M4" s="209">
        <v>0</v>
      </c>
      <c r="N4" s="209">
        <v>1</v>
      </c>
      <c r="O4" s="209">
        <v>1</v>
      </c>
      <c r="P4" s="209">
        <v>4</v>
      </c>
      <c r="Q4" s="253">
        <f>'Tratamento de Dados'!DA12</f>
        <v>0</v>
      </c>
      <c r="R4" s="253">
        <f>'Tratamento de Dados'!DB12</f>
        <v>0</v>
      </c>
      <c r="S4" s="256">
        <f t="shared" ref="S4:S21" si="0">IF(Q4=0,IF(X4&gt;=1,X4,IF(Y4&gt;=1,Y4,IF(Z4&gt;=1,Z4,IF(AA4&gt;=1,AA4,0)))),Q4)</f>
        <v>2.5</v>
      </c>
      <c r="T4" s="246" t="str">
        <f t="shared" ref="T4:T21" si="1">IF(R4=0,IF(X4&gt;=1,$X$3,IF(Y4&gt;=1,$Y$3,IF(Z4&gt;=1,$Z$3,IF(AA4&gt;=1,$AA$3,"E")))),R4)</f>
        <v>B</v>
      </c>
      <c r="U4" s="238" t="str">
        <f t="shared" ref="U4:U21" si="2">IF(D4=$BX$2,$BV$4,IF(K4=$BX$2,$BV$5,IF(AND(H4=$BX$3,F4&gt;=5%),$BV$4,IF(AND(H4=$BX$3,F4&lt;5%),$BV$3,IF(F4&lt;5%,IF(I4=$BX$2,$BV$3,IF(J4=$BX$2,$BV$2,$BV$5)),IF(I4=$BX$2,$BV$4,IF(J4=$BX$2,$BV$3,$BV$5)))))))</f>
        <v>Low</v>
      </c>
      <c r="V4" s="238">
        <f>(IF(AND(D4=$BX$2,E4&lt;&gt;$BX$2),"Fitness-For-Service",INDEX('Tables - Part 2'!$AT$4:$AT$7,MATCH(Caustic_Cracking!U4,'Tables - Part 2'!$AS$4:$AS$7,0))))</f>
        <v>50</v>
      </c>
      <c r="W4" s="238">
        <f>IF(L4=0,(Thinning!G5-Thinning!F5)/365.25,(Thinning!G5-L4)/365.25)</f>
        <v>12.980150581793293</v>
      </c>
      <c r="X4" s="248">
        <f t="shared" ref="X4:X21" si="3">IF(M4=0,0,_xlfn.FLOOR.MATH((Y4/2)+M4,0.25))</f>
        <v>0</v>
      </c>
      <c r="Y4" s="248">
        <f t="shared" ref="Y4:Y21" si="4">IF(AND(M4=0,N4=0),0,_xlfn.FLOOR.MATH((Z4/2)+N4,0.25))</f>
        <v>2.5</v>
      </c>
      <c r="Z4" s="248">
        <f t="shared" ref="Z4:Z21" si="5">_xlfn.FLOOR.MATH((AA4/2)+O4,0.25)</f>
        <v>3</v>
      </c>
      <c r="AA4" s="247">
        <f t="shared" ref="AA4:AA21" si="6">P4</f>
        <v>4</v>
      </c>
      <c r="AB4" s="248">
        <f>IF($S4=$AB$3,INDEX('Tables - Part 2'!$AX$6:$BA$13,MATCH(V4,'Tables - Part 2'!$AV$6:$AV$13,0),MATCH(T4,'Tables - Part 2'!$AX$5:$BA$5,0)),0)</f>
        <v>0</v>
      </c>
      <c r="AC4" s="248">
        <f>IF($S4=$AC$3,(INDEX('Tables - Part 2'!$AX$6:$BA$13,MATCH(V4,'Tables - Part 2'!$AV$6:$AV$13,0),MATCH(T4,'Tables - Part 2'!$AX$5:$BA$5,0))+(INDEX('Tables - Part 2'!$AX$6:$BA$13,MATCH(V4,'Tables - Part 2'!$AV$6:$AV$13,0),MATCH(T4,'Tables - Part 2'!$AX$5:$BA$5,0))+((INDEX('Tables - Part 2'!$AX$6:$BA$13,MATCH(V4,'Tables - Part 2'!$AV$6:$AV$13,0),MATCH(T4,'Tables - Part 2'!$AX$5:$BA$5,0))+INDEX('Tables - Part 2'!$BB$6:$BE$13,MATCH(V4,'Tables - Part 2'!$AV$6:$AV$13,0),MATCH(T4,'Tables - Part 2'!$AX$5:$BA$5,0)))/2))/2)/2,0)</f>
        <v>0</v>
      </c>
      <c r="AD4" s="248">
        <f>IF($S4=$AD$3,(INDEX('Tables - Part 2'!$AX$6:$BA$13,MATCH(V4,'Tables - Part 2'!$AV$6:$AV$13,0),MATCH(T4,'Tables - Part 2'!$AX$5:$BA$5,0))+((INDEX('Tables - Part 2'!$AX$6:$BA$13,MATCH(V4,'Tables - Part 2'!$AV$6:$AV$13,0),MATCH(T4,'Tables - Part 2'!$AX$5:$BA$5,0))+INDEX('Tables - Part 2'!$BB$6:$BE$13,MATCH(V4,'Tables - Part 2'!$AV$6:$AV$13,0),MATCH(T4,'Tables - Part 2'!$AX$5:$BA$5,0)))/2))/2,0)</f>
        <v>0</v>
      </c>
      <c r="AE4" s="248">
        <f>IF($S4=$AE$3,(((INDEX('Tables - Part 2'!$AX$6:$BA$13,MATCH(V4,'Tables - Part 2'!$AV$6:$AV$13,0),MATCH(T4,'Tables - Part 2'!$AX$5:$BA$5,0))+((INDEX('Tables - Part 2'!$AX$6:$BA$13,MATCH(V4,'Tables - Part 2'!$AV$6:$AV$13,0),MATCH(T4,'Tables - Part 2'!$AX$5:$BA$5,0))+INDEX('Tables - Part 2'!$BB$6:$BE$13,MATCH(V4,'Tables - Part 2'!$AV$6:$AV$13,0),MATCH(T4,'Tables - Part 2'!$AX$5:$BA$5,0)))/2))/2)+(INDEX('Tables - Part 2'!$AX$6:$BA$13,MATCH(V4,'Tables - Part 2'!$AV$6:$AV$13,0),MATCH(T4,'Tables - Part 2'!$AX$5:$BA$5,0))+INDEX('Tables - Part 2'!$BB$6:$BE$13,MATCH(V4,'Tables - Part 2'!$AV$6:$AV$13,0),MATCH(T4,'Tables - Part 2'!$AX$5:$BA$5,0)))/2)/2,0)</f>
        <v>0</v>
      </c>
      <c r="AF4" s="248">
        <f>IF($S4=$AF$3,(INDEX('Tables - Part 2'!$AX$6:$BA$13,MATCH(V4,'Tables - Part 2'!$AV$6:$AV$13,0),MATCH(T4,'Tables - Part 2'!$AX$5:$BA$5,0))+INDEX('Tables - Part 2'!$BB$6:$BE$13,MATCH(V4,'Tables - Part 2'!$AV$6:$AV$13,0),MATCH(T4,'Tables - Part 2'!$AX$5:$BA$5,0)))/2,0)</f>
        <v>0</v>
      </c>
      <c r="AG4" s="248">
        <f>IF($S4=$AG$3,(((INDEX('Tables - Part 2'!$AX$6:$BA$13,MATCH(V4,'Tables - Part 2'!$AV$6:$AV$13,0),MATCH(T4,'Tables - Part 2'!$AX$5:$BA$5,0))+INDEX('Tables - Part 2'!$BB$6:$BE$13,MATCH(V4,'Tables - Part 2'!$AV$6:$AV$13,0),MATCH(T4,'Tables - Part 2'!$AX$5:$BA$5,0)))/2)+(((INDEX('Tables - Part 2'!$AX$6:$BA$13,MATCH(V4,'Tables - Part 2'!$AV$6:$AV$13,0),MATCH(T4,'Tables - Part 2'!$AX$5:$BA$5,0))+INDEX('Tables - Part 2'!$BB$6:$BE$13,MATCH(V4,'Tables - Part 2'!$AV$6:$AV$13,0),MATCH(T4,'Tables - Part 2'!$AX$5:$BA$5,0)))/2)+INDEX('Tables - Part 2'!$BB$6:$BE$13,MATCH(V4,'Tables - Part 2'!$AV$6:$AV$13,0),MATCH(T4,'Tables - Part 2'!$AX$5:$BA$5,0)))/2)/2,0)</f>
        <v>0</v>
      </c>
      <c r="AH4" s="248">
        <f>IF($S4=$AH$3,(((INDEX('Tables - Part 2'!$AX$6:$BA$13,MATCH(V4,'Tables - Part 2'!$AV$6:$AV$13,0),MATCH(T4,'Tables - Part 2'!$AX$5:$BA$5,0))+INDEX('Tables - Part 2'!$BB$6:$BE$13,MATCH(V4,'Tables - Part 2'!$AV$6:$AV$13,0),MATCH(T4,'Tables - Part 2'!$AX$5:$BA$5,0)))/2)+INDEX('Tables - Part 2'!$BB$6:$BE$13,MATCH(V4,'Tables - Part 2'!$AV$6:$AV$13,0),MATCH(T4,'Tables - Part 2'!$AX$5:$BA$5,0)))/2,0)</f>
        <v>0</v>
      </c>
      <c r="AI4" s="248">
        <f>IF($S4=$AI$3,(((((INDEX('Tables - Part 2'!$AX$6:$BA$13,MATCH(V4,'Tables - Part 2'!$AV$6:$AV$13,0),MATCH(T4,'Tables - Part 2'!$AX$5:$BA$5,0))+INDEX('Tables - Part 2'!$BB$6:$BE$13,MATCH(V4,'Tables - Part 2'!$AV$6:$AV$13,0),MATCH(T4,'Tables - Part 2'!$AX$5:$BA$5,0)))/2)+INDEX('Tables - Part 2'!$BB$6:$BE$13,MATCH(V4,'Tables - Part 2'!$AV$6:$AV$13,0),MATCH(T4,'Tables - Part 2'!$AX$5:$BA$5,0)))/2)+INDEX('Tables - Part 2'!$BB$6:$BE$13,MATCH(V4,'Tables - Part 2'!$AV$6:$AV$13,0),MATCH(T4,'Tables - Part 2'!$AX$5:$BA$5,0)))/2,0)</f>
        <v>0</v>
      </c>
      <c r="AJ4" s="248">
        <f>IF($S4=$AJ$3,INDEX('Tables - Part 2'!$BB$6:$BE$13,MATCH(V4,'Tables - Part 2'!$AV$6:$AV$13,0),MATCH(T4,'Tables - Part 2'!$AX$5:$BA$5,0)),0)</f>
        <v>0</v>
      </c>
      <c r="AK4" s="248">
        <f>IF($S4=$AK$3,((INDEX('Tables - Part 2'!$BB$6:$BE$13,MATCH(V4,'Tables - Part 2'!$AV$6:$AV$13,0),MATCH(T4,'Tables - Part 2'!$AX$5:$BA$5,0)))+(INDEX('Tables - Part 2'!$BB$6:$BE$13,MATCH(V4,'Tables - Part 2'!$AV$6:$AV$13,0),MATCH(T4,'Tables - Part 2'!$AX$5:$BA$5,0))+(INDEX('Tables - Part 2'!$BB$6:$BE$13,MATCH(V4,'Tables - Part 2'!$AV$6:$AV$13,0),MATCH(T4,'Tables - Part 2'!$AX$5:$BA$5,0))+INDEX('Tables - Part 2'!$BF$6:$BI$13,MATCH(V4,'Tables - Part 2'!$AV$6:$AV$13,0),MATCH(T4,'Tables - Part 2'!$AX$5:$BA$5,0)))/2)/2)/2,0)</f>
        <v>0</v>
      </c>
      <c r="AL4" s="248">
        <f>IF($S4=$AL$3,(INDEX('Tables - Part 2'!$BB$6:$BE$13,MATCH(V4,'Tables - Part 2'!$AV$6:$AV$13,0),MATCH(T4,'Tables - Part 2'!$AX$5:$BA$5,0))+(INDEX('Tables - Part 2'!$BB$6:$BE$13,MATCH(V4,'Tables - Part 2'!$AV$6:$AV$13,0),MATCH(T4,'Tables - Part 2'!$AX$5:$BA$5,0))+INDEX('Tables - Part 2'!$BF$6:$BI$13,MATCH(V4,'Tables - Part 2'!$AV$6:$AV$13,0),MATCH(T4,'Tables - Part 2'!$AX$5:$BA$5,0)))/2)/2,0)</f>
        <v>0</v>
      </c>
      <c r="AM4" s="248">
        <f>IF($S4=$AM$3,(((INDEX('Tables - Part 2'!$BB$6:$BE$13,MATCH(V4,'Tables - Part 2'!$AV$6:$AV$13,0),MATCH(T4,'Tables - Part 2'!$AX$5:$BA$5,0))+(INDEX('Tables - Part 2'!$BB$6:$BE$13,MATCH(V4,'Tables - Part 2'!$AV$6:$AV$13,0),MATCH(T4,'Tables - Part 2'!$AX$5:$BA$5,0))+INDEX('Tables - Part 2'!$BF$6:$BI$13,MATCH(V4,'Tables - Part 2'!$AV$6:$AV$13,0),MATCH(T4,'Tables - Part 2'!$AX$5:$BA$5,0)))/2)/2)+((INDEX('Tables - Part 2'!$BB$6:$BE$13,MATCH(V4,'Tables - Part 2'!$AV$6:$AV$13,0),MATCH(T4,'Tables - Part 2'!$AX$5:$BA$5,0))+INDEX('Tables - Part 2'!$BF$6:$BI$13,MATCH(V4,'Tables - Part 2'!$AV$6:$AV$13,0),MATCH(T4,'Tables - Part 2'!$AX$5:$BA$5,0)))/2))/2,0)</f>
        <v>0</v>
      </c>
      <c r="AN4" s="248">
        <f>IF($S4=$AN$3,(INDEX('Tables - Part 2'!$BB$6:$BE$13,MATCH(V4,'Tables - Part 2'!$AV$6:$AV$13,0),MATCH(T4,'Tables - Part 2'!$AX$5:$BA$5,0))+INDEX('Tables - Part 2'!$BF$6:$BI$13,MATCH(V4,'Tables - Part 2'!$AV$6:$AV$13,0),MATCH(T4,'Tables - Part 2'!$AX$5:$BA$5,0)))/2,0)</f>
        <v>1.5</v>
      </c>
      <c r="AO4" s="248">
        <f>IF($S4=$AO$3,(((INDEX('Tables - Part 2'!$BB$6:$BE$13,MATCH(V4,'Tables - Part 2'!$AV$6:$AV$13,0),MATCH(T4,'Tables - Part 2'!$AX$5:$BA$5,0))+INDEX('Tables - Part 2'!$BF$6:$BI$13,MATCH(V4,'Tables - Part 2'!$AV$6:$AV$13,0),MATCH(T4,'Tables - Part 2'!$AX$5:$BA$5,0)))/2)+((((INDEX('Tables - Part 2'!$BB$6:$BE$13,MATCH(V4,'Tables - Part 2'!$AV$6:$AV$13,0),MATCH(T4,'Tables - Part 2'!$AX$5:$BA$5,0))+INDEX('Tables - Part 2'!$BF$6:$BI$13,MATCH(V4,'Tables - Part 2'!$AV$6:$AV$13,0),MATCH(T4,'Tables - Part 2'!$AX$5:$BA$5,0)))/2)+INDEX('Tables - Part 2'!$BF$6:$BI$13,MATCH(V4,'Tables - Part 2'!$AV$6:$AV$13,0),MATCH(T4,'Tables - Part 2'!$AX$5:$BA$5,0)))/2))/2,0)</f>
        <v>0</v>
      </c>
      <c r="AP4" s="248">
        <f>IF($S4=$AP$3,(((INDEX('Tables - Part 2'!$BB$6:$BE$13,MATCH(V4,'Tables - Part 2'!$AV$6:$AV$13,0),MATCH(T4,'Tables - Part 2'!$AX$5:$BA$5,0))+INDEX('Tables - Part 2'!$BF$6:$BI$13,MATCH(V4,'Tables - Part 2'!$AV$6:$AV$13,0),MATCH(T4,'Tables - Part 2'!$AX$5:$BA$5,0)))/2)+INDEX('Tables - Part 2'!$BF$6:$BI$13,MATCH(V4,'Tables - Part 2'!$AV$6:$AV$13,0),MATCH(T4,'Tables - Part 2'!$AX$5:$BA$5,0)))/2,0)</f>
        <v>0</v>
      </c>
      <c r="AQ4" s="248">
        <f>IF($S4=$AQ$3,(((((INDEX('Tables - Part 2'!$BB$6:$BE$13,MATCH(V4,'Tables - Part 2'!$AV$6:$AV$13,0),MATCH(T4,'Tables - Part 2'!$AX$5:$BA$5,0))+INDEX('Tables - Part 2'!$BF$6:$BI$13,MATCH(V4,'Tables - Part 2'!$AV$6:$AV$13,0),MATCH(T4,'Tables - Part 2'!$AX$5:$BA$5,0)))/2)+INDEX('Tables - Part 2'!$BF$6:$BI$13,MATCH(V4,'Tables - Part 2'!$AV$6:$AV$13,0),MATCH(T4,'Tables - Part 2'!$AX$5:$BA$5,0)))/2)+INDEX('Tables - Part 2'!$BF$6:$BI$13,MATCH(V4,'Tables - Part 2'!$AV$6:$AV$13,0),MATCH(T4,'Tables - Part 2'!$AX$5:$BA$5,0)))/2,0)</f>
        <v>0</v>
      </c>
      <c r="AR4" s="248">
        <f>IF($S4=$AR$3,INDEX('Tables - Part 2'!$BF$6:$BI$13,MATCH(V4,'Tables - Part 2'!$AV$6:$AV$13,0),MATCH(T4,'Tables - Part 2'!$AX$5:$BA$5,0)),0)</f>
        <v>0</v>
      </c>
      <c r="AS4" s="248">
        <f>IF($S4=$AS$3,(INDEX('Tables - Part 2'!$BF$6:$BI$13,MATCH(V4,'Tables - Part 2'!$AV$6:$AV$13,0),MATCH(T4,'Tables - Part 2'!$AX$5:$BA$5,0))+((INDEX('Tables - Part 2'!$BF$6:$BI$13,MATCH(V4,'Tables - Part 2'!$AV$6:$AV$13,0),MATCH(T4,'Tables - Part 2'!$AX$5:$BA$5,0))+(INDEX('Tables - Part 2'!$BF$6:$BI$13,MATCH(V4,'Tables - Part 2'!$AV$6:$AV$13,0),MATCH(T4,'Tables - Part 2'!$AX$5:$BA$5,0))+INDEX('Tables - Part 2'!$AX$17:$BA$24,MATCH(V4,'Tables - Part 2'!$AV$6:$AV$13,0),MATCH(T4,'Tables - Part 2'!$AX$5:$BA$5,0)))/2)/2))/2,0)</f>
        <v>0</v>
      </c>
      <c r="AT4" s="248">
        <f>IF($S4=$AT$3,(INDEX('Tables - Part 2'!$BF$6:$BI$13,MATCH(V4,'Tables - Part 2'!$AV$6:$AV$13,0),MATCH(T4,'Tables - Part 2'!$AX$5:$BA$5,0))+(INDEX('Tables - Part 2'!$BF$6:$BI$13,MATCH(V4,'Tables - Part 2'!$AV$6:$AV$13,0),MATCH(T4,'Tables - Part 2'!$AX$5:$BA$5,0))+INDEX('Tables - Part 2'!$AX$17:$BA$24,MATCH(V4,'Tables - Part 2'!$AV$6:$AV$13,0),MATCH(T4,'Tables - Part 2'!$AX$5:$BA$5,0)))/2)/2,0)</f>
        <v>0</v>
      </c>
      <c r="AU4" s="248">
        <f>IF($S4=$AU$3,(((INDEX('Tables - Part 2'!$BF$6:$BI$13,MATCH(V4,'Tables - Part 2'!$AV$6:$AV$13,0),MATCH(T4,'Tables - Part 2'!$AX$5:$BA$5,0))+(INDEX('Tables - Part 2'!$BF$6:$BI$13,MATCH(V4,'Tables - Part 2'!$AV$6:$AV$13,0),MATCH(T4,'Tables - Part 2'!$AX$5:$BA$5,0))+INDEX('Tables - Part 2'!$AX$17:$BA$24,MATCH(V4,'Tables - Part 2'!$AV$6:$AV$13,0),MATCH(T4,'Tables - Part 2'!$AX$5:$BA$5,0)))/2)/2)+((INDEX('Tables - Part 2'!$BF$6:$BI$13,MATCH(V4,'Tables - Part 2'!$AV$6:$AV$13,0),MATCH(T4,'Tables - Part 2'!$AX$5:$BA$5,0))+INDEX('Tables - Part 2'!$AX$17:$BA$24,MATCH(V4,'Tables - Part 2'!$AV$6:$AV$13,0),MATCH(T4,'Tables - Part 2'!$AX$5:$BA$5,0)))/2))/2,0)</f>
        <v>0</v>
      </c>
      <c r="AV4" s="248">
        <f>IF($S4=$AV$3,(INDEX('Tables - Part 2'!$BF$6:$BI$13,MATCH(V4,'Tables - Part 2'!$AV$6:$AV$13,0),MATCH(T4,'Tables - Part 2'!$AX$5:$BA$5,0))+INDEX('Tables - Part 2'!$AX$17:$BA$24,MATCH(V4,'Tables - Part 2'!$AV$6:$AV$13,0),MATCH(T4,'Tables - Part 2'!$AX$5:$BA$5,0)))/2,0)</f>
        <v>0</v>
      </c>
      <c r="AW4" s="248">
        <f>IF($S4=$AW$3,(((INDEX('Tables - Part 2'!$BF$6:$BI$13,MATCH(V4,'Tables - Part 2'!$AV$6:$AV$13,0),MATCH(T4,'Tables - Part 2'!$AX$5:$BA$5,0))+INDEX('Tables - Part 2'!$AX$17:$BA$24,MATCH(V4,'Tables - Part 2'!$AV$6:$AV$13,0),MATCH(T4,'Tables - Part 2'!$AX$5:$BA$5,0)))/2)+((((INDEX('Tables - Part 2'!$BF$6:$BI$13,MATCH(V4,'Tables - Part 2'!$AV$6:$AV$13,0),MATCH(T4,'Tables - Part 2'!$AX$5:$BA$5,0))+INDEX('Tables - Part 2'!$AX$17:$BA$24,MATCH(V4,'Tables - Part 2'!$AV$6:$AV$13,0),MATCH(T4,'Tables - Part 2'!$AX$5:$BA$5,0)))/2)+INDEX('Tables - Part 2'!$AX$17:$BA$24,MATCH(V4,'Tables - Part 2'!$AV$6:$AV$13,0),MATCH(T4,'Tables - Part 2'!$AX$5:$BA$5,0)))/2))/2,0)</f>
        <v>0</v>
      </c>
      <c r="AX4" s="248">
        <f>IF($S4=$AX$3,(((INDEX('Tables - Part 2'!$BF$6:$BI$13,MATCH(V4,'Tables - Part 2'!$AV$6:$AV$13,0),MATCH(T4,'Tables - Part 2'!$AX$5:$BA$5,0))+INDEX('Tables - Part 2'!$AX$17:$BA$24,MATCH(V4,'Tables - Part 2'!$AV$6:$AV$13,0),MATCH(T4,'Tables - Part 2'!$AX$5:$BA$5,0)))/2)+INDEX('Tables - Part 2'!$AX$17:$BA$24,MATCH(V4,'Tables - Part 2'!$AV$6:$AV$13,0),MATCH(T4,'Tables - Part 2'!$AX$5:$BA$5,0)))/2,0)</f>
        <v>0</v>
      </c>
      <c r="AY4" s="248">
        <f>IF($S4=$AY$3,(((((INDEX('Tables - Part 2'!$BF$6:$BI$13,MATCH(V4,'Tables - Part 2'!$AV$6:$AV$13,0),MATCH(T4,'Tables - Part 2'!$AX$5:$BA$5,0))+INDEX('Tables - Part 2'!$AX$17:$BA$24,MATCH(V4,'Tables - Part 2'!$AV$6:$AV$13,0),MATCH(T4,'Tables - Part 2'!$AX$5:$BA$5,0)))/2)+INDEX('Tables - Part 2'!$AX$17:$BA$24,MATCH(V4,'Tables - Part 2'!$AV$6:$AV$13,0),MATCH(T4,'Tables - Part 2'!$AX$5:$BA$5,0)))/2)+(INDEX('Tables - Part 2'!$AX$17:$BA$24,MATCH(V4,'Tables - Part 2'!$AV$6:$AV$13,0),MATCH(T4,'Tables - Part 2'!$AX$5:$BA$5,0))))/2,0)</f>
        <v>0</v>
      </c>
      <c r="AZ4" s="248">
        <f>IF($S4=$AZ$3,INDEX('Tables - Part 2'!$AX$17:$BA$24,MATCH(V4,'Tables - Part 2'!$AV$6:$AV$13,0),MATCH(T4,'Tables - Part 2'!$AX$5:$BA$5,0)),0)</f>
        <v>0</v>
      </c>
      <c r="BA4" s="248">
        <f>IF($S4=$BA$3,((INDEX('Tables - Part 2'!$AX$17:$BA$24,MATCH(V4,'Tables - Part 2'!$AV$6:$AV$13,0),MATCH(T4,'Tables - Part 2'!$AX$5:$BA$5,0)))+(((INDEX('Tables - Part 2'!$AX$17:$BA$24,MATCH(V4,'Tables - Part 2'!$AV$6:$AV$13,0),MATCH(T4,'Tables - Part 2'!$AX$5:$BA$5,0)))+(INDEX('Tables - Part 2'!$AX$17:$BA$24,MATCH(V4,'Tables - Part 2'!$AV$6:$AV$13,0),MATCH(T4,'Tables - Part 2'!$AX$5:$BA$5,0))+INDEX('Tables - Part 2'!$BB$17:$BE$24,MATCH(V4,'Tables - Part 2'!$AV$6:$AV$13,0),MATCH(T4,'Tables - Part 2'!$AX$5:$BA$5,0)))/2)/2))/2,0)</f>
        <v>0</v>
      </c>
      <c r="BB4" s="248">
        <f>IF($S4=$BB$3,((INDEX('Tables - Part 2'!$AX$17:$BA$24,MATCH(V4,'Tables - Part 2'!$AV$6:$AV$13,0),MATCH(T4,'Tables - Part 2'!$AX$5:$BA$5,0)))+(INDEX('Tables - Part 2'!$AX$17:$BA$24,MATCH(V4,'Tables - Part 2'!$AV$6:$AV$13,0),MATCH(T4,'Tables - Part 2'!$AX$5:$BA$5,0))+INDEX('Tables - Part 2'!$BB$17:$BE$24,MATCH(V4,'Tables - Part 2'!$AV$6:$AV$13,0),MATCH(T4,'Tables - Part 2'!$AX$5:$BA$5,0)))/2)/2,0)</f>
        <v>0</v>
      </c>
      <c r="BC4" s="248">
        <f>IF($S4=$BC$3,((((INDEX('Tables - Part 2'!$AX$17:$BA$24,MATCH(V4,'Tables - Part 2'!$AV$6:$AV$13,0),MATCH(T4,'Tables - Part 2'!$AX$5:$BA$5,0)))+(INDEX('Tables - Part 2'!$AX$17:$BA$24,MATCH(V4,'Tables - Part 2'!$AV$6:$AV$13,0),MATCH(T4,'Tables - Part 2'!$AX$5:$BA$5,0))+INDEX('Tables - Part 2'!$BB$17:$BE$24,MATCH(V4,'Tables - Part 2'!$AV$6:$AV$13,0),MATCH(T4,'Tables - Part 2'!$AX$5:$BA$5,0)))/2)/2)+((INDEX('Tables - Part 2'!$AX$17:$BA$24,MATCH(V4,'Tables - Part 2'!$AV$6:$AV$13,0),MATCH(T4,'Tables - Part 2'!$AX$5:$BA$5,0))+INDEX('Tables - Part 2'!$BB$17:$BE$24,MATCH(V4,'Tables - Part 2'!$AV$6:$AV$13,0),MATCH(T4,'Tables - Part 2'!$AX$5:$BA$5,0)))/2))/2,0)</f>
        <v>0</v>
      </c>
      <c r="BD4" s="248">
        <f>IF($S4=$BD$3,(INDEX('Tables - Part 2'!$AX$17:$BA$24,MATCH(V4,'Tables - Part 2'!$AV$6:$AV$13,0),MATCH(T4,'Tables - Part 2'!$AX$5:$BA$5,0))+INDEX('Tables - Part 2'!$BB$17:$BE$24,MATCH(V4,'Tables - Part 2'!$AV$6:$AV$13,0),MATCH(T4,'Tables - Part 2'!$AX$5:$BA$5,0)))/2,0)</f>
        <v>0</v>
      </c>
      <c r="BE4" s="248">
        <f>IF($S4=$BE$3,(((INDEX('Tables - Part 2'!$AX$17:$BA$24,MATCH(V4,'Tables - Part 2'!$AV$6:$AV$13,0),MATCH(T4,'Tables - Part 2'!$AX$5:$BA$5,0))+INDEX('Tables - Part 2'!$BB$17:$BE$24,MATCH(V4,'Tables - Part 2'!$AV$6:$AV$13,0),MATCH(T4,'Tables - Part 2'!$AX$5:$BA$5,0)))/2)+((((INDEX('Tables - Part 2'!$AX$17:$BA$24,MATCH(V4,'Tables - Part 2'!$AV$6:$AV$13,0),MATCH(T4,'Tables - Part 2'!$AX$5:$BA$5,0))+INDEX('Tables - Part 2'!$BB$17:$BE$24,MATCH(V4,'Tables - Part 2'!$AV$6:$AV$13,0),MATCH(T4,'Tables - Part 2'!$AX$5:$BA$5,0)))/2)+INDEX('Tables - Part 2'!$BB$17:$BE$24,MATCH(V4,'Tables - Part 2'!$AV$6:$AV$13,0),MATCH(T4,'Tables - Part 2'!$AX$5:$BA$5,0)))/2))/2,0)</f>
        <v>0</v>
      </c>
      <c r="BF4" s="248">
        <f>IF($S4=$BF$3,(((INDEX('Tables - Part 2'!$AX$17:$BA$24,MATCH(V4,'Tables - Part 2'!$AV$6:$AV$13,0),MATCH(T4,'Tables - Part 2'!$AX$5:$BA$5,0))+INDEX('Tables - Part 2'!$BB$17:$BE$24,MATCH(V4,'Tables - Part 2'!$AV$6:$AV$13,0),MATCH(T4,'Tables - Part 2'!$AX$5:$BA$5,0)))/2)+INDEX('Tables - Part 2'!$BB$17:$BE$24,MATCH(V4,'Tables - Part 2'!$AV$6:$AV$13,0),MATCH(T4,'Tables - Part 2'!$AX$5:$BA$5,0)))/2,0)</f>
        <v>0</v>
      </c>
      <c r="BG4" s="248">
        <f>IF($S4=$BG$3,(((((INDEX('Tables - Part 2'!$AX$17:$BA$24,MATCH(V4,'Tables - Part 2'!$AV$6:$AV$13,0),MATCH(T4,'Tables - Part 2'!$AX$5:$BA$5,0))+INDEX('Tables - Part 2'!$BB$17:$BE$24,MATCH(V4,'Tables - Part 2'!$AV$6:$AV$13,0),MATCH(T4,'Tables - Part 2'!$AX$5:$BA$5,0)))/2)+INDEX('Tables - Part 2'!$BB$17:$BE$24,MATCH(V4,'Tables - Part 2'!$AV$6:$AV$13,0),MATCH(T4,'Tables - Part 2'!$AX$5:$BA$5,0)))/2)+(INDEX('Tables - Part 2'!$BB$17:$BE$24,MATCH(V4,'Tables - Part 2'!$AV$6:$AV$13,0),MATCH(T4,'Tables - Part 2'!$AX$5:$BA$5,0))))/2,0)</f>
        <v>0</v>
      </c>
      <c r="BH4" s="248">
        <f>IF($S4=$BH$3,INDEX('Tables - Part 2'!$BB$17:$BE$24,MATCH(V4,'Tables - Part 2'!$AV$6:$AV$13,0),MATCH(T4,'Tables - Part 2'!$AX$5:$BA$5,0)),0)</f>
        <v>0</v>
      </c>
      <c r="BI4" s="248">
        <f>IF($S4=$BI$3,((INDEX('Tables - Part 2'!$BB$17:$BE$24,MATCH(V4,'Tables - Part 2'!$AV$6:$AV$13,0),MATCH(T4,'Tables - Part 2'!$AX$5:$BA$5,0)))+(((INDEX('Tables - Part 2'!$BB$17:$BE$24,MATCH(V4,'Tables - Part 2'!$AV$6:$AV$13,0),MATCH(T4,'Tables - Part 2'!$AX$5:$BA$5,0)))+(INDEX('Tables - Part 2'!$BB$17:$BE$24,MATCH(V4,'Tables - Part 2'!$AV$6:$AV$13,0),MATCH(T4,'Tables - Part 2'!$AX$5:$BA$5,0))+INDEX('Tables - Part 2'!$BF$17:$BI$24,MATCH(V4,'Tables - Part 2'!$AV$6:$AV$13,0),MATCH(T4,'Tables - Part 2'!$AX$5:$BA$5,0)))/2)/2))/2,0)</f>
        <v>0</v>
      </c>
      <c r="BJ4" s="248">
        <f>IF($S4=$BJ$3,((INDEX('Tables - Part 2'!$BB$17:$BE$24,MATCH(V4,'Tables - Part 2'!$AV$6:$AV$13,0),MATCH(T4,'Tables - Part 2'!$AX$5:$BA$5,0)))+(INDEX('Tables - Part 2'!$BB$17:$BE$24,MATCH(V4,'Tables - Part 2'!$AV$6:$AV$13,0),MATCH(T4,'Tables - Part 2'!$AX$5:$BA$5,0))+INDEX('Tables - Part 2'!$BF$17:$BI$24,MATCH(V4,'Tables - Part 2'!$AV$6:$AV$13,0),MATCH(T4,'Tables - Part 2'!$AX$5:$BA$5,0)))/2)/2,0)</f>
        <v>0</v>
      </c>
      <c r="BK4" s="248">
        <f>IF($S4=$BK$3,((((INDEX('Tables - Part 2'!$BB$17:$BE$24,MATCH(V4,'Tables - Part 2'!$AV$6:$AV$13,0),MATCH(T4,'Tables - Part 2'!$AX$5:$BA$5,0)))+(INDEX('Tables - Part 2'!$BB$17:$BE$24,MATCH(V4,'Tables - Part 2'!$AV$6:$AV$13,0),MATCH(T4,'Tables - Part 2'!$AX$5:$BA$5,0))+INDEX('Tables - Part 2'!$BF$17:$BI$24,MATCH(V4,'Tables - Part 2'!$AV$6:$AV$13,0),MATCH(T4,'Tables - Part 2'!$AX$5:$BA$5,0)))/2)/2)+((INDEX('Tables - Part 2'!$BB$17:$BE$24,MATCH(V4,'Tables - Part 2'!$AV$6:$AV$13,0),MATCH(T4,'Tables - Part 2'!$AX$5:$BA$5,0))+INDEX('Tables - Part 2'!$BF$17:$BI$24,MATCH(V4,'Tables - Part 2'!$AV$6:$AV$13,0),MATCH(T4,'Tables - Part 2'!$AX$5:$BA$5,0)))/2))/2,0)</f>
        <v>0</v>
      </c>
      <c r="BL4" s="248">
        <f>IF($S4=$BL$3,(INDEX('Tables - Part 2'!$BB$17:$BE$24,MATCH(V4,'Tables - Part 2'!$AV$6:$AV$13,0),MATCH(T4,'Tables - Part 2'!$AX$5:$BA$5,0))+INDEX('Tables - Part 2'!$BF$17:$BI$24,MATCH(V4,'Tables - Part 2'!$AV$6:$AV$13,0),MATCH(T4,'Tables - Part 2'!$AX$5:$BA$5,0)))/2,0)</f>
        <v>0</v>
      </c>
      <c r="BM4" s="248">
        <f>IF($S4=$BM$3,(((INDEX('Tables - Part 2'!$BB$17:$BE$24,MATCH(V4,'Tables - Part 2'!$AV$6:$AV$13,0),MATCH(T4,'Tables - Part 2'!$AX$5:$BA$5,0))+INDEX('Tables - Part 2'!$BF$17:$BI$24,MATCH(V4,'Tables - Part 2'!$AV$6:$AV$13,0),MATCH(T4,'Tables - Part 2'!$AX$5:$BA$5,0)))/2)+((((INDEX('Tables - Part 2'!$BB$17:$BE$24,MATCH(V4,'Tables - Part 2'!$AV$6:$AV$13,0),MATCH(T4,'Tables - Part 2'!$AX$5:$BA$5,0))+INDEX('Tables - Part 2'!$BF$17:$BI$24,MATCH(V4,'Tables - Part 2'!$AV$6:$AV$13,0),MATCH(T4,'Tables - Part 2'!$AX$5:$BA$5,0)))/2)+INDEX('Tables - Part 2'!$BF$17:$BI$24,MATCH(V4,'Tables - Part 2'!$AV$6:$AV$13,0),MATCH(T4,'Tables - Part 2'!$AX$5:$BA$5,0)))/2))/2,0)</f>
        <v>0</v>
      </c>
      <c r="BN4" s="248">
        <f>IF($S4=$BN$3,(((INDEX('Tables - Part 2'!$BB$17:$BE$24,MATCH(V4,'Tables - Part 2'!$AV$6:$AV$13,0),MATCH(T4,'Tables - Part 2'!$AX$5:$BA$5,0))+INDEX('Tables - Part 2'!$BF$17:$BI$24,MATCH(V4,'Tables - Part 2'!$AV$6:$AV$13,0),MATCH(T4,'Tables - Part 2'!$AX$5:$BA$5,0)))/2)+INDEX('Tables - Part 2'!$BF$17:$BI$24,MATCH(V4,'Tables - Part 2'!$AV$6:$AV$13,0),MATCH(T4,'Tables - Part 2'!$AX$5:$BA$5,0)))/2,0)</f>
        <v>0</v>
      </c>
      <c r="BO4" s="248">
        <f>IF($S4=$BO$3,(((((INDEX('Tables - Part 2'!$BB$17:$BE$24,MATCH(V4,'Tables - Part 2'!$AV$6:$AV$13,0),MATCH(T4,'Tables - Part 2'!$AX$5:$BA$5,0))+INDEX('Tables - Part 2'!$BF$17:$BI$24,MATCH(V4,'Tables - Part 2'!$AV$6:$AV$13,0),MATCH(T4,'Tables - Part 2'!$AX$5:$BA$5,0)))/2)+INDEX('Tables - Part 2'!$BF$17:$BI$24,MATCH(V4,'Tables - Part 2'!$AV$6:$AV$13,0),MATCH(T4,'Tables - Part 2'!$AX$5:$BA$5,0)))/2)+(INDEX('Tables - Part 2'!$BF$17:$BI$24,MATCH(V4,'Tables - Part 2'!$AV$6:$AV$13,0),MATCH(T4,'Tables - Part 2'!$AX$5:$BA$5,0))))/2,0)</f>
        <v>0</v>
      </c>
      <c r="BP4" s="248">
        <f>IF($S4=$BP$3,INDEX('Tables - Part 2'!$BF$17:$BI$24,MATCH(V4,'Tables - Part 2'!$AV$6:$AV$13,0),MATCH(T4,'Tables - Part 2'!$AX$5:$BA$5,0)),0)</f>
        <v>0</v>
      </c>
      <c r="BQ4" s="248">
        <f t="shared" ref="BQ4:BQ21" si="7">IF(S4=0,V4,0)</f>
        <v>0</v>
      </c>
      <c r="BR4" s="238">
        <f>SUM(AB4:BQ4)</f>
        <v>1.5</v>
      </c>
      <c r="BS4" s="238">
        <f>IF(B4="",0,MIN(BR4*POWER(MAX(W4,1),1.1),5000))</f>
        <v>25.159323702612586</v>
      </c>
      <c r="BV4" s="237" t="s">
        <v>841</v>
      </c>
      <c r="BX4" t="s">
        <v>61</v>
      </c>
      <c r="CB4" s="208"/>
    </row>
    <row r="5" spans="2:84" x14ac:dyDescent="0.35">
      <c r="B5" s="161" t="str">
        <f>'Tratamento de Dados'!B13</f>
        <v>V-07</v>
      </c>
      <c r="C5" s="161" t="str">
        <f>'Tratamento de Dados'!D13</f>
        <v>Tampo_Sul</v>
      </c>
      <c r="D5" s="209" t="s">
        <v>245</v>
      </c>
      <c r="E5" s="209" t="s">
        <v>245</v>
      </c>
      <c r="F5" s="439">
        <v>0.02</v>
      </c>
      <c r="G5" s="209">
        <v>150</v>
      </c>
      <c r="H5" s="209" t="s">
        <v>244</v>
      </c>
      <c r="I5" s="209" t="s">
        <v>245</v>
      </c>
      <c r="J5" s="209" t="s">
        <v>244</v>
      </c>
      <c r="K5" s="209" t="s">
        <v>245</v>
      </c>
      <c r="L5" s="210">
        <v>39092</v>
      </c>
      <c r="M5" s="209">
        <v>0</v>
      </c>
      <c r="N5" s="209">
        <v>1</v>
      </c>
      <c r="O5" s="209">
        <v>1</v>
      </c>
      <c r="P5" s="209">
        <v>4</v>
      </c>
      <c r="Q5" s="253">
        <f>'Tratamento de Dados'!DA13</f>
        <v>0</v>
      </c>
      <c r="R5" s="253">
        <f>'Tratamento de Dados'!DB13</f>
        <v>0</v>
      </c>
      <c r="S5" s="256">
        <f t="shared" si="0"/>
        <v>2.5</v>
      </c>
      <c r="T5" s="246" t="str">
        <f t="shared" si="1"/>
        <v>B</v>
      </c>
      <c r="U5" s="238" t="str">
        <f t="shared" si="2"/>
        <v>Low</v>
      </c>
      <c r="V5" s="238">
        <f>(IF(AND(D5=$BX$2,E5&lt;&gt;$BX$2),"Fitness-For-Service",INDEX('Tables - Part 2'!$AT$4:$AT$7,MATCH(Caustic_Cracking!U5,'Tables - Part 2'!$AS$4:$AS$7,0))))</f>
        <v>50</v>
      </c>
      <c r="W5" s="238">
        <f>IF(L5=0,(Thinning!G6-Thinning!F6)/365.25,(Thinning!G6-L5)/365.25)</f>
        <v>13.390828199863108</v>
      </c>
      <c r="X5" s="248">
        <f t="shared" si="3"/>
        <v>0</v>
      </c>
      <c r="Y5" s="248">
        <f t="shared" si="4"/>
        <v>2.5</v>
      </c>
      <c r="Z5" s="248">
        <f t="shared" si="5"/>
        <v>3</v>
      </c>
      <c r="AA5" s="247">
        <f t="shared" si="6"/>
        <v>4</v>
      </c>
      <c r="AB5" s="248">
        <f>IF($S5=$AB$3,INDEX('Tables - Part 2'!$AX$6:$BA$13,MATCH(V5,'Tables - Part 2'!$AV$6:$AV$13,0),MATCH(T5,'Tables - Part 2'!$AX$5:$BA$5,0)),0)</f>
        <v>0</v>
      </c>
      <c r="AC5" s="248">
        <f>IF($S5=$AC$3,(INDEX('Tables - Part 2'!$AX$6:$BA$13,MATCH(V5,'Tables - Part 2'!$AV$6:$AV$13,0),MATCH(T5,'Tables - Part 2'!$AX$5:$BA$5,0))+(INDEX('Tables - Part 2'!$AX$6:$BA$13,MATCH(V5,'Tables - Part 2'!$AV$6:$AV$13,0),MATCH(T5,'Tables - Part 2'!$AX$5:$BA$5,0))+((INDEX('Tables - Part 2'!$AX$6:$BA$13,MATCH(V5,'Tables - Part 2'!$AV$6:$AV$13,0),MATCH(T5,'Tables - Part 2'!$AX$5:$BA$5,0))+INDEX('Tables - Part 2'!$BB$6:$BE$13,MATCH(V5,'Tables - Part 2'!$AV$6:$AV$13,0),MATCH(T5,'Tables - Part 2'!$AX$5:$BA$5,0)))/2))/2)/2,0)</f>
        <v>0</v>
      </c>
      <c r="AD5" s="248">
        <f>IF($S5=$AD$3,(INDEX('Tables - Part 2'!$AX$6:$BA$13,MATCH(V5,'Tables - Part 2'!$AV$6:$AV$13,0),MATCH(T5,'Tables - Part 2'!$AX$5:$BA$5,0))+((INDEX('Tables - Part 2'!$AX$6:$BA$13,MATCH(V5,'Tables - Part 2'!$AV$6:$AV$13,0),MATCH(T5,'Tables - Part 2'!$AX$5:$BA$5,0))+INDEX('Tables - Part 2'!$BB$6:$BE$13,MATCH(V5,'Tables - Part 2'!$AV$6:$AV$13,0),MATCH(T5,'Tables - Part 2'!$AX$5:$BA$5,0)))/2))/2,0)</f>
        <v>0</v>
      </c>
      <c r="AE5" s="248">
        <f>IF($S5=$AE$3,(((INDEX('Tables - Part 2'!$AX$6:$BA$13,MATCH(V5,'Tables - Part 2'!$AV$6:$AV$13,0),MATCH(T5,'Tables - Part 2'!$AX$5:$BA$5,0))+((INDEX('Tables - Part 2'!$AX$6:$BA$13,MATCH(V5,'Tables - Part 2'!$AV$6:$AV$13,0),MATCH(T5,'Tables - Part 2'!$AX$5:$BA$5,0))+INDEX('Tables - Part 2'!$BB$6:$BE$13,MATCH(V5,'Tables - Part 2'!$AV$6:$AV$13,0),MATCH(T5,'Tables - Part 2'!$AX$5:$BA$5,0)))/2))/2)+(INDEX('Tables - Part 2'!$AX$6:$BA$13,MATCH(V5,'Tables - Part 2'!$AV$6:$AV$13,0),MATCH(T5,'Tables - Part 2'!$AX$5:$BA$5,0))+INDEX('Tables - Part 2'!$BB$6:$BE$13,MATCH(V5,'Tables - Part 2'!$AV$6:$AV$13,0),MATCH(T5,'Tables - Part 2'!$AX$5:$BA$5,0)))/2)/2,0)</f>
        <v>0</v>
      </c>
      <c r="AF5" s="248">
        <f>IF($S5=$AF$3,(INDEX('Tables - Part 2'!$AX$6:$BA$13,MATCH(V5,'Tables - Part 2'!$AV$6:$AV$13,0),MATCH(T5,'Tables - Part 2'!$AX$5:$BA$5,0))+INDEX('Tables - Part 2'!$BB$6:$BE$13,MATCH(V5,'Tables - Part 2'!$AV$6:$AV$13,0),MATCH(T5,'Tables - Part 2'!$AX$5:$BA$5,0)))/2,0)</f>
        <v>0</v>
      </c>
      <c r="AG5" s="248">
        <f>IF($S5=$AG$3,(((INDEX('Tables - Part 2'!$AX$6:$BA$13,MATCH(V5,'Tables - Part 2'!$AV$6:$AV$13,0),MATCH(T5,'Tables - Part 2'!$AX$5:$BA$5,0))+INDEX('Tables - Part 2'!$BB$6:$BE$13,MATCH(V5,'Tables - Part 2'!$AV$6:$AV$13,0),MATCH(T5,'Tables - Part 2'!$AX$5:$BA$5,0)))/2)+(((INDEX('Tables - Part 2'!$AX$6:$BA$13,MATCH(V5,'Tables - Part 2'!$AV$6:$AV$13,0),MATCH(T5,'Tables - Part 2'!$AX$5:$BA$5,0))+INDEX('Tables - Part 2'!$BB$6:$BE$13,MATCH(V5,'Tables - Part 2'!$AV$6:$AV$13,0),MATCH(T5,'Tables - Part 2'!$AX$5:$BA$5,0)))/2)+INDEX('Tables - Part 2'!$BB$6:$BE$13,MATCH(V5,'Tables - Part 2'!$AV$6:$AV$13,0),MATCH(T5,'Tables - Part 2'!$AX$5:$BA$5,0)))/2)/2,0)</f>
        <v>0</v>
      </c>
      <c r="AH5" s="248">
        <f>IF($S5=$AH$3,(((INDEX('Tables - Part 2'!$AX$6:$BA$13,MATCH(V5,'Tables - Part 2'!$AV$6:$AV$13,0),MATCH(T5,'Tables - Part 2'!$AX$5:$BA$5,0))+INDEX('Tables - Part 2'!$BB$6:$BE$13,MATCH(V5,'Tables - Part 2'!$AV$6:$AV$13,0),MATCH(T5,'Tables - Part 2'!$AX$5:$BA$5,0)))/2)+INDEX('Tables - Part 2'!$BB$6:$BE$13,MATCH(V5,'Tables - Part 2'!$AV$6:$AV$13,0),MATCH(T5,'Tables - Part 2'!$AX$5:$BA$5,0)))/2,0)</f>
        <v>0</v>
      </c>
      <c r="AI5" s="248">
        <f>IF($S5=$AI$3,(((((INDEX('Tables - Part 2'!$AX$6:$BA$13,MATCH(V5,'Tables - Part 2'!$AV$6:$AV$13,0),MATCH(T5,'Tables - Part 2'!$AX$5:$BA$5,0))+INDEX('Tables - Part 2'!$BB$6:$BE$13,MATCH(V5,'Tables - Part 2'!$AV$6:$AV$13,0),MATCH(T5,'Tables - Part 2'!$AX$5:$BA$5,0)))/2)+INDEX('Tables - Part 2'!$BB$6:$BE$13,MATCH(V5,'Tables - Part 2'!$AV$6:$AV$13,0),MATCH(T5,'Tables - Part 2'!$AX$5:$BA$5,0)))/2)+INDEX('Tables - Part 2'!$BB$6:$BE$13,MATCH(V5,'Tables - Part 2'!$AV$6:$AV$13,0),MATCH(T5,'Tables - Part 2'!$AX$5:$BA$5,0)))/2,0)</f>
        <v>0</v>
      </c>
      <c r="AJ5" s="248">
        <f>IF($S5=$AJ$3,INDEX('Tables - Part 2'!$BB$6:$BE$13,MATCH(V5,'Tables - Part 2'!$AV$6:$AV$13,0),MATCH(T5,'Tables - Part 2'!$AX$5:$BA$5,0)),0)</f>
        <v>0</v>
      </c>
      <c r="AK5" s="248">
        <f>IF($S5=$AK$3,((INDEX('Tables - Part 2'!$BB$6:$BE$13,MATCH(V5,'Tables - Part 2'!$AV$6:$AV$13,0),MATCH(T5,'Tables - Part 2'!$AX$5:$BA$5,0)))+(INDEX('Tables - Part 2'!$BB$6:$BE$13,MATCH(V5,'Tables - Part 2'!$AV$6:$AV$13,0),MATCH(T5,'Tables - Part 2'!$AX$5:$BA$5,0))+(INDEX('Tables - Part 2'!$BB$6:$BE$13,MATCH(V5,'Tables - Part 2'!$AV$6:$AV$13,0),MATCH(T5,'Tables - Part 2'!$AX$5:$BA$5,0))+INDEX('Tables - Part 2'!$BF$6:$BI$13,MATCH(V5,'Tables - Part 2'!$AV$6:$AV$13,0),MATCH(T5,'Tables - Part 2'!$AX$5:$BA$5,0)))/2)/2)/2,0)</f>
        <v>0</v>
      </c>
      <c r="AL5" s="248">
        <f>IF($S5=$AL$3,(INDEX('Tables - Part 2'!$BB$6:$BE$13,MATCH(V5,'Tables - Part 2'!$AV$6:$AV$13,0),MATCH(T5,'Tables - Part 2'!$AX$5:$BA$5,0))+(INDEX('Tables - Part 2'!$BB$6:$BE$13,MATCH(V5,'Tables - Part 2'!$AV$6:$AV$13,0),MATCH(T5,'Tables - Part 2'!$AX$5:$BA$5,0))+INDEX('Tables - Part 2'!$BF$6:$BI$13,MATCH(V5,'Tables - Part 2'!$AV$6:$AV$13,0),MATCH(T5,'Tables - Part 2'!$AX$5:$BA$5,0)))/2)/2,0)</f>
        <v>0</v>
      </c>
      <c r="AM5" s="248">
        <f>IF($S5=$AM$3,(((INDEX('Tables - Part 2'!$BB$6:$BE$13,MATCH(V5,'Tables - Part 2'!$AV$6:$AV$13,0),MATCH(T5,'Tables - Part 2'!$AX$5:$BA$5,0))+(INDEX('Tables - Part 2'!$BB$6:$BE$13,MATCH(V5,'Tables - Part 2'!$AV$6:$AV$13,0),MATCH(T5,'Tables - Part 2'!$AX$5:$BA$5,0))+INDEX('Tables - Part 2'!$BF$6:$BI$13,MATCH(V5,'Tables - Part 2'!$AV$6:$AV$13,0),MATCH(T5,'Tables - Part 2'!$AX$5:$BA$5,0)))/2)/2)+((INDEX('Tables - Part 2'!$BB$6:$BE$13,MATCH(V5,'Tables - Part 2'!$AV$6:$AV$13,0),MATCH(T5,'Tables - Part 2'!$AX$5:$BA$5,0))+INDEX('Tables - Part 2'!$BF$6:$BI$13,MATCH(V5,'Tables - Part 2'!$AV$6:$AV$13,0),MATCH(T5,'Tables - Part 2'!$AX$5:$BA$5,0)))/2))/2,0)</f>
        <v>0</v>
      </c>
      <c r="AN5" s="248">
        <f>IF($S5=$AN$3,(INDEX('Tables - Part 2'!$BB$6:$BE$13,MATCH(V5,'Tables - Part 2'!$AV$6:$AV$13,0),MATCH(T5,'Tables - Part 2'!$AX$5:$BA$5,0))+INDEX('Tables - Part 2'!$BF$6:$BI$13,MATCH(V5,'Tables - Part 2'!$AV$6:$AV$13,0),MATCH(T5,'Tables - Part 2'!$AX$5:$BA$5,0)))/2,0)</f>
        <v>1.5</v>
      </c>
      <c r="AO5" s="248">
        <f>IF($S5=$AO$3,(((INDEX('Tables - Part 2'!$BB$6:$BE$13,MATCH(V5,'Tables - Part 2'!$AV$6:$AV$13,0),MATCH(T5,'Tables - Part 2'!$AX$5:$BA$5,0))+INDEX('Tables - Part 2'!$BF$6:$BI$13,MATCH(V5,'Tables - Part 2'!$AV$6:$AV$13,0),MATCH(T5,'Tables - Part 2'!$AX$5:$BA$5,0)))/2)+((((INDEX('Tables - Part 2'!$BB$6:$BE$13,MATCH(V5,'Tables - Part 2'!$AV$6:$AV$13,0),MATCH(T5,'Tables - Part 2'!$AX$5:$BA$5,0))+INDEX('Tables - Part 2'!$BF$6:$BI$13,MATCH(V5,'Tables - Part 2'!$AV$6:$AV$13,0),MATCH(T5,'Tables - Part 2'!$AX$5:$BA$5,0)))/2)+INDEX('Tables - Part 2'!$BF$6:$BI$13,MATCH(V5,'Tables - Part 2'!$AV$6:$AV$13,0),MATCH(T5,'Tables - Part 2'!$AX$5:$BA$5,0)))/2))/2,0)</f>
        <v>0</v>
      </c>
      <c r="AP5" s="248">
        <f>IF($S5=$AP$3,(((INDEX('Tables - Part 2'!$BB$6:$BE$13,MATCH(V5,'Tables - Part 2'!$AV$6:$AV$13,0),MATCH(T5,'Tables - Part 2'!$AX$5:$BA$5,0))+INDEX('Tables - Part 2'!$BF$6:$BI$13,MATCH(V5,'Tables - Part 2'!$AV$6:$AV$13,0),MATCH(T5,'Tables - Part 2'!$AX$5:$BA$5,0)))/2)+INDEX('Tables - Part 2'!$BF$6:$BI$13,MATCH(V5,'Tables - Part 2'!$AV$6:$AV$13,0),MATCH(T5,'Tables - Part 2'!$AX$5:$BA$5,0)))/2,0)</f>
        <v>0</v>
      </c>
      <c r="AQ5" s="248">
        <f>IF($S5=$AQ$3,(((((INDEX('Tables - Part 2'!$BB$6:$BE$13,MATCH(V5,'Tables - Part 2'!$AV$6:$AV$13,0),MATCH(T5,'Tables - Part 2'!$AX$5:$BA$5,0))+INDEX('Tables - Part 2'!$BF$6:$BI$13,MATCH(V5,'Tables - Part 2'!$AV$6:$AV$13,0),MATCH(T5,'Tables - Part 2'!$AX$5:$BA$5,0)))/2)+INDEX('Tables - Part 2'!$BF$6:$BI$13,MATCH(V5,'Tables - Part 2'!$AV$6:$AV$13,0),MATCH(T5,'Tables - Part 2'!$AX$5:$BA$5,0)))/2)+INDEX('Tables - Part 2'!$BF$6:$BI$13,MATCH(V5,'Tables - Part 2'!$AV$6:$AV$13,0),MATCH(T5,'Tables - Part 2'!$AX$5:$BA$5,0)))/2,0)</f>
        <v>0</v>
      </c>
      <c r="AR5" s="248">
        <f>IF($S5=$AR$3,INDEX('Tables - Part 2'!$BF$6:$BI$13,MATCH(V5,'Tables - Part 2'!$AV$6:$AV$13,0),MATCH(T5,'Tables - Part 2'!$AX$5:$BA$5,0)),0)</f>
        <v>0</v>
      </c>
      <c r="AS5" s="248">
        <f>IF($S5=$AS$3,(INDEX('Tables - Part 2'!$BF$6:$BI$13,MATCH(V5,'Tables - Part 2'!$AV$6:$AV$13,0),MATCH(T5,'Tables - Part 2'!$AX$5:$BA$5,0))+((INDEX('Tables - Part 2'!$BF$6:$BI$13,MATCH(V5,'Tables - Part 2'!$AV$6:$AV$13,0),MATCH(T5,'Tables - Part 2'!$AX$5:$BA$5,0))+(INDEX('Tables - Part 2'!$BF$6:$BI$13,MATCH(V5,'Tables - Part 2'!$AV$6:$AV$13,0),MATCH(T5,'Tables - Part 2'!$AX$5:$BA$5,0))+INDEX('Tables - Part 2'!$AX$17:$BA$24,MATCH(V5,'Tables - Part 2'!$AV$6:$AV$13,0),MATCH(T5,'Tables - Part 2'!$AX$5:$BA$5,0)))/2)/2))/2,0)</f>
        <v>0</v>
      </c>
      <c r="AT5" s="248">
        <f>IF($S5=$AT$3,(INDEX('Tables - Part 2'!$BF$6:$BI$13,MATCH(V5,'Tables - Part 2'!$AV$6:$AV$13,0),MATCH(T5,'Tables - Part 2'!$AX$5:$BA$5,0))+(INDEX('Tables - Part 2'!$BF$6:$BI$13,MATCH(V5,'Tables - Part 2'!$AV$6:$AV$13,0),MATCH(T5,'Tables - Part 2'!$AX$5:$BA$5,0))+INDEX('Tables - Part 2'!$AX$17:$BA$24,MATCH(V5,'Tables - Part 2'!$AV$6:$AV$13,0),MATCH(T5,'Tables - Part 2'!$AX$5:$BA$5,0)))/2)/2,0)</f>
        <v>0</v>
      </c>
      <c r="AU5" s="248">
        <f>IF($S5=$AU$3,(((INDEX('Tables - Part 2'!$BF$6:$BI$13,MATCH(V5,'Tables - Part 2'!$AV$6:$AV$13,0),MATCH(T5,'Tables - Part 2'!$AX$5:$BA$5,0))+(INDEX('Tables - Part 2'!$BF$6:$BI$13,MATCH(V5,'Tables - Part 2'!$AV$6:$AV$13,0),MATCH(T5,'Tables - Part 2'!$AX$5:$BA$5,0))+INDEX('Tables - Part 2'!$AX$17:$BA$24,MATCH(V5,'Tables - Part 2'!$AV$6:$AV$13,0),MATCH(T5,'Tables - Part 2'!$AX$5:$BA$5,0)))/2)/2)+((INDEX('Tables - Part 2'!$BF$6:$BI$13,MATCH(V5,'Tables - Part 2'!$AV$6:$AV$13,0),MATCH(T5,'Tables - Part 2'!$AX$5:$BA$5,0))+INDEX('Tables - Part 2'!$AX$17:$BA$24,MATCH(V5,'Tables - Part 2'!$AV$6:$AV$13,0),MATCH(T5,'Tables - Part 2'!$AX$5:$BA$5,0)))/2))/2,0)</f>
        <v>0</v>
      </c>
      <c r="AV5" s="248">
        <f>IF($S5=$AV$3,(INDEX('Tables - Part 2'!$BF$6:$BI$13,MATCH(V5,'Tables - Part 2'!$AV$6:$AV$13,0),MATCH(T5,'Tables - Part 2'!$AX$5:$BA$5,0))+INDEX('Tables - Part 2'!$AX$17:$BA$24,MATCH(V5,'Tables - Part 2'!$AV$6:$AV$13,0),MATCH(T5,'Tables - Part 2'!$AX$5:$BA$5,0)))/2,0)</f>
        <v>0</v>
      </c>
      <c r="AW5" s="248">
        <f>IF($S5=$AW$3,(((INDEX('Tables - Part 2'!$BF$6:$BI$13,MATCH(V5,'Tables - Part 2'!$AV$6:$AV$13,0),MATCH(T5,'Tables - Part 2'!$AX$5:$BA$5,0))+INDEX('Tables - Part 2'!$AX$17:$BA$24,MATCH(V5,'Tables - Part 2'!$AV$6:$AV$13,0),MATCH(T5,'Tables - Part 2'!$AX$5:$BA$5,0)))/2)+((((INDEX('Tables - Part 2'!$BF$6:$BI$13,MATCH(V5,'Tables - Part 2'!$AV$6:$AV$13,0),MATCH(T5,'Tables - Part 2'!$AX$5:$BA$5,0))+INDEX('Tables - Part 2'!$AX$17:$BA$24,MATCH(V5,'Tables - Part 2'!$AV$6:$AV$13,0),MATCH(T5,'Tables - Part 2'!$AX$5:$BA$5,0)))/2)+INDEX('Tables - Part 2'!$AX$17:$BA$24,MATCH(V5,'Tables - Part 2'!$AV$6:$AV$13,0),MATCH(T5,'Tables - Part 2'!$AX$5:$BA$5,0)))/2))/2,0)</f>
        <v>0</v>
      </c>
      <c r="AX5" s="248">
        <f>IF($S5=$AX$3,(((INDEX('Tables - Part 2'!$BF$6:$BI$13,MATCH(V5,'Tables - Part 2'!$AV$6:$AV$13,0),MATCH(T5,'Tables - Part 2'!$AX$5:$BA$5,0))+INDEX('Tables - Part 2'!$AX$17:$BA$24,MATCH(V5,'Tables - Part 2'!$AV$6:$AV$13,0),MATCH(T5,'Tables - Part 2'!$AX$5:$BA$5,0)))/2)+INDEX('Tables - Part 2'!$AX$17:$BA$24,MATCH(V5,'Tables - Part 2'!$AV$6:$AV$13,0),MATCH(T5,'Tables - Part 2'!$AX$5:$BA$5,0)))/2,0)</f>
        <v>0</v>
      </c>
      <c r="AY5" s="248">
        <f>IF($S5=$AY$3,(((((INDEX('Tables - Part 2'!$BF$6:$BI$13,MATCH(V5,'Tables - Part 2'!$AV$6:$AV$13,0),MATCH(T5,'Tables - Part 2'!$AX$5:$BA$5,0))+INDEX('Tables - Part 2'!$AX$17:$BA$24,MATCH(V5,'Tables - Part 2'!$AV$6:$AV$13,0),MATCH(T5,'Tables - Part 2'!$AX$5:$BA$5,0)))/2)+INDEX('Tables - Part 2'!$AX$17:$BA$24,MATCH(V5,'Tables - Part 2'!$AV$6:$AV$13,0),MATCH(T5,'Tables - Part 2'!$AX$5:$BA$5,0)))/2)+(INDEX('Tables - Part 2'!$AX$17:$BA$24,MATCH(V5,'Tables - Part 2'!$AV$6:$AV$13,0),MATCH(T5,'Tables - Part 2'!$AX$5:$BA$5,0))))/2,0)</f>
        <v>0</v>
      </c>
      <c r="AZ5" s="248">
        <f>IF($S5=$AZ$3,INDEX('Tables - Part 2'!$AX$17:$BA$24,MATCH(V5,'Tables - Part 2'!$AV$6:$AV$13,0),MATCH(T5,'Tables - Part 2'!$AX$5:$BA$5,0)),0)</f>
        <v>0</v>
      </c>
      <c r="BA5" s="248">
        <f>IF($S5=$BA$3,((INDEX('Tables - Part 2'!$AX$17:$BA$24,MATCH(V5,'Tables - Part 2'!$AV$6:$AV$13,0),MATCH(T5,'Tables - Part 2'!$AX$5:$BA$5,0)))+(((INDEX('Tables - Part 2'!$AX$17:$BA$24,MATCH(V5,'Tables - Part 2'!$AV$6:$AV$13,0),MATCH(T5,'Tables - Part 2'!$AX$5:$BA$5,0)))+(INDEX('Tables - Part 2'!$AX$17:$BA$24,MATCH(V5,'Tables - Part 2'!$AV$6:$AV$13,0),MATCH(T5,'Tables - Part 2'!$AX$5:$BA$5,0))+INDEX('Tables - Part 2'!$BB$17:$BE$24,MATCH(V5,'Tables - Part 2'!$AV$6:$AV$13,0),MATCH(T5,'Tables - Part 2'!$AX$5:$BA$5,0)))/2)/2))/2,0)</f>
        <v>0</v>
      </c>
      <c r="BB5" s="248">
        <f>IF($S5=$BB$3,((INDEX('Tables - Part 2'!$AX$17:$BA$24,MATCH(V5,'Tables - Part 2'!$AV$6:$AV$13,0),MATCH(T5,'Tables - Part 2'!$AX$5:$BA$5,0)))+(INDEX('Tables - Part 2'!$AX$17:$BA$24,MATCH(V5,'Tables - Part 2'!$AV$6:$AV$13,0),MATCH(T5,'Tables - Part 2'!$AX$5:$BA$5,0))+INDEX('Tables - Part 2'!$BB$17:$BE$24,MATCH(V5,'Tables - Part 2'!$AV$6:$AV$13,0),MATCH(T5,'Tables - Part 2'!$AX$5:$BA$5,0)))/2)/2,0)</f>
        <v>0</v>
      </c>
      <c r="BC5" s="248">
        <f>IF($S5=$BC$3,((((INDEX('Tables - Part 2'!$AX$17:$BA$24,MATCH(V5,'Tables - Part 2'!$AV$6:$AV$13,0),MATCH(T5,'Tables - Part 2'!$AX$5:$BA$5,0)))+(INDEX('Tables - Part 2'!$AX$17:$BA$24,MATCH(V5,'Tables - Part 2'!$AV$6:$AV$13,0),MATCH(T5,'Tables - Part 2'!$AX$5:$BA$5,0))+INDEX('Tables - Part 2'!$BB$17:$BE$24,MATCH(V5,'Tables - Part 2'!$AV$6:$AV$13,0),MATCH(T5,'Tables - Part 2'!$AX$5:$BA$5,0)))/2)/2)+((INDEX('Tables - Part 2'!$AX$17:$BA$24,MATCH(V5,'Tables - Part 2'!$AV$6:$AV$13,0),MATCH(T5,'Tables - Part 2'!$AX$5:$BA$5,0))+INDEX('Tables - Part 2'!$BB$17:$BE$24,MATCH(V5,'Tables - Part 2'!$AV$6:$AV$13,0),MATCH(T5,'Tables - Part 2'!$AX$5:$BA$5,0)))/2))/2,0)</f>
        <v>0</v>
      </c>
      <c r="BD5" s="248">
        <f>IF($S5=$BD$3,(INDEX('Tables - Part 2'!$AX$17:$BA$24,MATCH(V5,'Tables - Part 2'!$AV$6:$AV$13,0),MATCH(T5,'Tables - Part 2'!$AX$5:$BA$5,0))+INDEX('Tables - Part 2'!$BB$17:$BE$24,MATCH(V5,'Tables - Part 2'!$AV$6:$AV$13,0),MATCH(T5,'Tables - Part 2'!$AX$5:$BA$5,0)))/2,0)</f>
        <v>0</v>
      </c>
      <c r="BE5" s="248">
        <f>IF($S5=$BE$3,(((INDEX('Tables - Part 2'!$AX$17:$BA$24,MATCH(V5,'Tables - Part 2'!$AV$6:$AV$13,0),MATCH(T5,'Tables - Part 2'!$AX$5:$BA$5,0))+INDEX('Tables - Part 2'!$BB$17:$BE$24,MATCH(V5,'Tables - Part 2'!$AV$6:$AV$13,0),MATCH(T5,'Tables - Part 2'!$AX$5:$BA$5,0)))/2)+((((INDEX('Tables - Part 2'!$AX$17:$BA$24,MATCH(V5,'Tables - Part 2'!$AV$6:$AV$13,0),MATCH(T5,'Tables - Part 2'!$AX$5:$BA$5,0))+INDEX('Tables - Part 2'!$BB$17:$BE$24,MATCH(V5,'Tables - Part 2'!$AV$6:$AV$13,0),MATCH(T5,'Tables - Part 2'!$AX$5:$BA$5,0)))/2)+INDEX('Tables - Part 2'!$BB$17:$BE$24,MATCH(V5,'Tables - Part 2'!$AV$6:$AV$13,0),MATCH(T5,'Tables - Part 2'!$AX$5:$BA$5,0)))/2))/2,0)</f>
        <v>0</v>
      </c>
      <c r="BF5" s="248">
        <f>IF($S5=$BF$3,(((INDEX('Tables - Part 2'!$AX$17:$BA$24,MATCH(V5,'Tables - Part 2'!$AV$6:$AV$13,0),MATCH(T5,'Tables - Part 2'!$AX$5:$BA$5,0))+INDEX('Tables - Part 2'!$BB$17:$BE$24,MATCH(V5,'Tables - Part 2'!$AV$6:$AV$13,0),MATCH(T5,'Tables - Part 2'!$AX$5:$BA$5,0)))/2)+INDEX('Tables - Part 2'!$BB$17:$BE$24,MATCH(V5,'Tables - Part 2'!$AV$6:$AV$13,0),MATCH(T5,'Tables - Part 2'!$AX$5:$BA$5,0)))/2,0)</f>
        <v>0</v>
      </c>
      <c r="BG5" s="248">
        <f>IF($S5=$BG$3,(((((INDEX('Tables - Part 2'!$AX$17:$BA$24,MATCH(V5,'Tables - Part 2'!$AV$6:$AV$13,0),MATCH(T5,'Tables - Part 2'!$AX$5:$BA$5,0))+INDEX('Tables - Part 2'!$BB$17:$BE$24,MATCH(V5,'Tables - Part 2'!$AV$6:$AV$13,0),MATCH(T5,'Tables - Part 2'!$AX$5:$BA$5,0)))/2)+INDEX('Tables - Part 2'!$BB$17:$BE$24,MATCH(V5,'Tables - Part 2'!$AV$6:$AV$13,0),MATCH(T5,'Tables - Part 2'!$AX$5:$BA$5,0)))/2)+(INDEX('Tables - Part 2'!$BB$17:$BE$24,MATCH(V5,'Tables - Part 2'!$AV$6:$AV$13,0),MATCH(T5,'Tables - Part 2'!$AX$5:$BA$5,0))))/2,0)</f>
        <v>0</v>
      </c>
      <c r="BH5" s="248">
        <f>IF($S5=$BH$3,INDEX('Tables - Part 2'!$BB$17:$BE$24,MATCH(V5,'Tables - Part 2'!$AV$6:$AV$13,0),MATCH(T5,'Tables - Part 2'!$AX$5:$BA$5,0)),0)</f>
        <v>0</v>
      </c>
      <c r="BI5" s="248">
        <f>IF($S5=$BI$3,((INDEX('Tables - Part 2'!$BB$17:$BE$24,MATCH(V5,'Tables - Part 2'!$AV$6:$AV$13,0),MATCH(T5,'Tables - Part 2'!$AX$5:$BA$5,0)))+(((INDEX('Tables - Part 2'!$BB$17:$BE$24,MATCH(V5,'Tables - Part 2'!$AV$6:$AV$13,0),MATCH(T5,'Tables - Part 2'!$AX$5:$BA$5,0)))+(INDEX('Tables - Part 2'!$BB$17:$BE$24,MATCH(V5,'Tables - Part 2'!$AV$6:$AV$13,0),MATCH(T5,'Tables - Part 2'!$AX$5:$BA$5,0))+INDEX('Tables - Part 2'!$BF$17:$BI$24,MATCH(V5,'Tables - Part 2'!$AV$6:$AV$13,0),MATCH(T5,'Tables - Part 2'!$AX$5:$BA$5,0)))/2)/2))/2,0)</f>
        <v>0</v>
      </c>
      <c r="BJ5" s="248">
        <f>IF($S5=$BJ$3,((INDEX('Tables - Part 2'!$BB$17:$BE$24,MATCH(V5,'Tables - Part 2'!$AV$6:$AV$13,0),MATCH(T5,'Tables - Part 2'!$AX$5:$BA$5,0)))+(INDEX('Tables - Part 2'!$BB$17:$BE$24,MATCH(V5,'Tables - Part 2'!$AV$6:$AV$13,0),MATCH(T5,'Tables - Part 2'!$AX$5:$BA$5,0))+INDEX('Tables - Part 2'!$BF$17:$BI$24,MATCH(V5,'Tables - Part 2'!$AV$6:$AV$13,0),MATCH(T5,'Tables - Part 2'!$AX$5:$BA$5,0)))/2)/2,0)</f>
        <v>0</v>
      </c>
      <c r="BK5" s="248">
        <f>IF($S5=$BK$3,((((INDEX('Tables - Part 2'!$BB$17:$BE$24,MATCH(V5,'Tables - Part 2'!$AV$6:$AV$13,0),MATCH(T5,'Tables - Part 2'!$AX$5:$BA$5,0)))+(INDEX('Tables - Part 2'!$BB$17:$BE$24,MATCH(V5,'Tables - Part 2'!$AV$6:$AV$13,0),MATCH(T5,'Tables - Part 2'!$AX$5:$BA$5,0))+INDEX('Tables - Part 2'!$BF$17:$BI$24,MATCH(V5,'Tables - Part 2'!$AV$6:$AV$13,0),MATCH(T5,'Tables - Part 2'!$AX$5:$BA$5,0)))/2)/2)+((INDEX('Tables - Part 2'!$BB$17:$BE$24,MATCH(V5,'Tables - Part 2'!$AV$6:$AV$13,0),MATCH(T5,'Tables - Part 2'!$AX$5:$BA$5,0))+INDEX('Tables - Part 2'!$BF$17:$BI$24,MATCH(V5,'Tables - Part 2'!$AV$6:$AV$13,0),MATCH(T5,'Tables - Part 2'!$AX$5:$BA$5,0)))/2))/2,0)</f>
        <v>0</v>
      </c>
      <c r="BL5" s="248">
        <f>IF($S5=$BL$3,(INDEX('Tables - Part 2'!$BB$17:$BE$24,MATCH(V5,'Tables - Part 2'!$AV$6:$AV$13,0),MATCH(T5,'Tables - Part 2'!$AX$5:$BA$5,0))+INDEX('Tables - Part 2'!$BF$17:$BI$24,MATCH(V5,'Tables - Part 2'!$AV$6:$AV$13,0),MATCH(T5,'Tables - Part 2'!$AX$5:$BA$5,0)))/2,0)</f>
        <v>0</v>
      </c>
      <c r="BM5" s="248">
        <f>IF($S5=$BM$3,(((INDEX('Tables - Part 2'!$BB$17:$BE$24,MATCH(V5,'Tables - Part 2'!$AV$6:$AV$13,0),MATCH(T5,'Tables - Part 2'!$AX$5:$BA$5,0))+INDEX('Tables - Part 2'!$BF$17:$BI$24,MATCH(V5,'Tables - Part 2'!$AV$6:$AV$13,0),MATCH(T5,'Tables - Part 2'!$AX$5:$BA$5,0)))/2)+((((INDEX('Tables - Part 2'!$BB$17:$BE$24,MATCH(V5,'Tables - Part 2'!$AV$6:$AV$13,0),MATCH(T5,'Tables - Part 2'!$AX$5:$BA$5,0))+INDEX('Tables - Part 2'!$BF$17:$BI$24,MATCH(V5,'Tables - Part 2'!$AV$6:$AV$13,0),MATCH(T5,'Tables - Part 2'!$AX$5:$BA$5,0)))/2)+INDEX('Tables - Part 2'!$BF$17:$BI$24,MATCH(V5,'Tables - Part 2'!$AV$6:$AV$13,0),MATCH(T5,'Tables - Part 2'!$AX$5:$BA$5,0)))/2))/2,0)</f>
        <v>0</v>
      </c>
      <c r="BN5" s="248">
        <f>IF($S5=$BN$3,(((INDEX('Tables - Part 2'!$BB$17:$BE$24,MATCH(V5,'Tables - Part 2'!$AV$6:$AV$13,0),MATCH(T5,'Tables - Part 2'!$AX$5:$BA$5,0))+INDEX('Tables - Part 2'!$BF$17:$BI$24,MATCH(V5,'Tables - Part 2'!$AV$6:$AV$13,0),MATCH(T5,'Tables - Part 2'!$AX$5:$BA$5,0)))/2)+INDEX('Tables - Part 2'!$BF$17:$BI$24,MATCH(V5,'Tables - Part 2'!$AV$6:$AV$13,0),MATCH(T5,'Tables - Part 2'!$AX$5:$BA$5,0)))/2,0)</f>
        <v>0</v>
      </c>
      <c r="BO5" s="248">
        <f>IF($S5=$BO$3,(((((INDEX('Tables - Part 2'!$BB$17:$BE$24,MATCH(V5,'Tables - Part 2'!$AV$6:$AV$13,0),MATCH(T5,'Tables - Part 2'!$AX$5:$BA$5,0))+INDEX('Tables - Part 2'!$BF$17:$BI$24,MATCH(V5,'Tables - Part 2'!$AV$6:$AV$13,0),MATCH(T5,'Tables - Part 2'!$AX$5:$BA$5,0)))/2)+INDEX('Tables - Part 2'!$BF$17:$BI$24,MATCH(V5,'Tables - Part 2'!$AV$6:$AV$13,0),MATCH(T5,'Tables - Part 2'!$AX$5:$BA$5,0)))/2)+(INDEX('Tables - Part 2'!$BF$17:$BI$24,MATCH(V5,'Tables - Part 2'!$AV$6:$AV$13,0),MATCH(T5,'Tables - Part 2'!$AX$5:$BA$5,0))))/2,0)</f>
        <v>0</v>
      </c>
      <c r="BP5" s="248">
        <f>IF($S5=$BP$3,INDEX('Tables - Part 2'!$BF$17:$BI$24,MATCH(V5,'Tables - Part 2'!$AV$6:$AV$13,0),MATCH(T5,'Tables - Part 2'!$AX$5:$BA$5,0)),0)</f>
        <v>0</v>
      </c>
      <c r="BQ5" s="248">
        <f t="shared" si="7"/>
        <v>0</v>
      </c>
      <c r="BR5" s="238">
        <f t="shared" ref="BR5:BR21" si="8">SUM(AB5:BQ5)</f>
        <v>1.5</v>
      </c>
      <c r="BS5" s="238">
        <f t="shared" ref="BS5:BS21" si="9">IF(B5="",0,MIN(BR5*POWER(MAX(W5,1),1.1),5000))</f>
        <v>26.036310436822518</v>
      </c>
      <c r="BV5" s="438" t="s">
        <v>898</v>
      </c>
    </row>
    <row r="6" spans="2:84" x14ac:dyDescent="0.35">
      <c r="B6" s="161" t="str">
        <f>'Tratamento de Dados'!B14</f>
        <v>V-10</v>
      </c>
      <c r="C6" s="161" t="str">
        <f>'Tratamento de Dados'!D14</f>
        <v>Casco</v>
      </c>
      <c r="D6" s="209" t="s">
        <v>245</v>
      </c>
      <c r="E6" s="209" t="s">
        <v>245</v>
      </c>
      <c r="F6" s="439">
        <v>0.02</v>
      </c>
      <c r="G6" s="209">
        <v>150</v>
      </c>
      <c r="H6" s="209" t="s">
        <v>244</v>
      </c>
      <c r="I6" s="209" t="s">
        <v>245</v>
      </c>
      <c r="J6" s="209" t="s">
        <v>244</v>
      </c>
      <c r="K6" s="209" t="s">
        <v>245</v>
      </c>
      <c r="L6" s="210">
        <v>39092</v>
      </c>
      <c r="M6" s="209">
        <v>0</v>
      </c>
      <c r="N6" s="209">
        <v>1</v>
      </c>
      <c r="O6" s="209">
        <v>1</v>
      </c>
      <c r="P6" s="209">
        <v>4</v>
      </c>
      <c r="Q6" s="253">
        <f>'Tratamento de Dados'!DA14</f>
        <v>0</v>
      </c>
      <c r="R6" s="253">
        <f>'Tratamento de Dados'!DB14</f>
        <v>0</v>
      </c>
      <c r="S6" s="256">
        <f t="shared" si="0"/>
        <v>2.5</v>
      </c>
      <c r="T6" s="246" t="str">
        <f t="shared" si="1"/>
        <v>B</v>
      </c>
      <c r="U6" s="238" t="str">
        <f t="shared" si="2"/>
        <v>Low</v>
      </c>
      <c r="V6" s="238">
        <f>(IF(AND(D6=$BX$2,E6&lt;&gt;$BX$2),"Fitness-For-Service",INDEX('Tables - Part 2'!$AT$4:$AT$7,MATCH(Caustic_Cracking!U6,'Tables - Part 2'!$AS$4:$AS$7,0))))</f>
        <v>50</v>
      </c>
      <c r="W6" s="238">
        <f>IF(L6=0,(Thinning!G7-Thinning!F7)/365.25,(Thinning!G7-L6)/365.25)</f>
        <v>12.980150581793293</v>
      </c>
      <c r="X6" s="248">
        <f t="shared" si="3"/>
        <v>0</v>
      </c>
      <c r="Y6" s="248">
        <f t="shared" si="4"/>
        <v>2.5</v>
      </c>
      <c r="Z6" s="248">
        <f t="shared" si="5"/>
        <v>3</v>
      </c>
      <c r="AA6" s="247">
        <f t="shared" si="6"/>
        <v>4</v>
      </c>
      <c r="AB6" s="248">
        <f>IF($S6=$AB$3,INDEX('Tables - Part 2'!$AX$6:$BA$13,MATCH(V6,'Tables - Part 2'!$AV$6:$AV$13,0),MATCH(T6,'Tables - Part 2'!$AX$5:$BA$5,0)),0)</f>
        <v>0</v>
      </c>
      <c r="AC6" s="248">
        <f>IF($S6=$AC$3,(INDEX('Tables - Part 2'!$AX$6:$BA$13,MATCH(V6,'Tables - Part 2'!$AV$6:$AV$13,0),MATCH(T6,'Tables - Part 2'!$AX$5:$BA$5,0))+(INDEX('Tables - Part 2'!$AX$6:$BA$13,MATCH(V6,'Tables - Part 2'!$AV$6:$AV$13,0),MATCH(T6,'Tables - Part 2'!$AX$5:$BA$5,0))+((INDEX('Tables - Part 2'!$AX$6:$BA$13,MATCH(V6,'Tables - Part 2'!$AV$6:$AV$13,0),MATCH(T6,'Tables - Part 2'!$AX$5:$BA$5,0))+INDEX('Tables - Part 2'!$BB$6:$BE$13,MATCH(V6,'Tables - Part 2'!$AV$6:$AV$13,0),MATCH(T6,'Tables - Part 2'!$AX$5:$BA$5,0)))/2))/2)/2,0)</f>
        <v>0</v>
      </c>
      <c r="AD6" s="248">
        <f>IF($S6=$AD$3,(INDEX('Tables - Part 2'!$AX$6:$BA$13,MATCH(V6,'Tables - Part 2'!$AV$6:$AV$13,0),MATCH(T6,'Tables - Part 2'!$AX$5:$BA$5,0))+((INDEX('Tables - Part 2'!$AX$6:$BA$13,MATCH(V6,'Tables - Part 2'!$AV$6:$AV$13,0),MATCH(T6,'Tables - Part 2'!$AX$5:$BA$5,0))+INDEX('Tables - Part 2'!$BB$6:$BE$13,MATCH(V6,'Tables - Part 2'!$AV$6:$AV$13,0),MATCH(T6,'Tables - Part 2'!$AX$5:$BA$5,0)))/2))/2,0)</f>
        <v>0</v>
      </c>
      <c r="AE6" s="248">
        <f>IF($S6=$AE$3,(((INDEX('Tables - Part 2'!$AX$6:$BA$13,MATCH(V6,'Tables - Part 2'!$AV$6:$AV$13,0),MATCH(T6,'Tables - Part 2'!$AX$5:$BA$5,0))+((INDEX('Tables - Part 2'!$AX$6:$BA$13,MATCH(V6,'Tables - Part 2'!$AV$6:$AV$13,0),MATCH(T6,'Tables - Part 2'!$AX$5:$BA$5,0))+INDEX('Tables - Part 2'!$BB$6:$BE$13,MATCH(V6,'Tables - Part 2'!$AV$6:$AV$13,0),MATCH(T6,'Tables - Part 2'!$AX$5:$BA$5,0)))/2))/2)+(INDEX('Tables - Part 2'!$AX$6:$BA$13,MATCH(V6,'Tables - Part 2'!$AV$6:$AV$13,0),MATCH(T6,'Tables - Part 2'!$AX$5:$BA$5,0))+INDEX('Tables - Part 2'!$BB$6:$BE$13,MATCH(V6,'Tables - Part 2'!$AV$6:$AV$13,0),MATCH(T6,'Tables - Part 2'!$AX$5:$BA$5,0)))/2)/2,0)</f>
        <v>0</v>
      </c>
      <c r="AF6" s="248">
        <f>IF($S6=$AF$3,(INDEX('Tables - Part 2'!$AX$6:$BA$13,MATCH(V6,'Tables - Part 2'!$AV$6:$AV$13,0),MATCH(T6,'Tables - Part 2'!$AX$5:$BA$5,0))+INDEX('Tables - Part 2'!$BB$6:$BE$13,MATCH(V6,'Tables - Part 2'!$AV$6:$AV$13,0),MATCH(T6,'Tables - Part 2'!$AX$5:$BA$5,0)))/2,0)</f>
        <v>0</v>
      </c>
      <c r="AG6" s="248">
        <f>IF($S6=$AG$3,(((INDEX('Tables - Part 2'!$AX$6:$BA$13,MATCH(V6,'Tables - Part 2'!$AV$6:$AV$13,0),MATCH(T6,'Tables - Part 2'!$AX$5:$BA$5,0))+INDEX('Tables - Part 2'!$BB$6:$BE$13,MATCH(V6,'Tables - Part 2'!$AV$6:$AV$13,0),MATCH(T6,'Tables - Part 2'!$AX$5:$BA$5,0)))/2)+(((INDEX('Tables - Part 2'!$AX$6:$BA$13,MATCH(V6,'Tables - Part 2'!$AV$6:$AV$13,0),MATCH(T6,'Tables - Part 2'!$AX$5:$BA$5,0))+INDEX('Tables - Part 2'!$BB$6:$BE$13,MATCH(V6,'Tables - Part 2'!$AV$6:$AV$13,0),MATCH(T6,'Tables - Part 2'!$AX$5:$BA$5,0)))/2)+INDEX('Tables - Part 2'!$BB$6:$BE$13,MATCH(V6,'Tables - Part 2'!$AV$6:$AV$13,0),MATCH(T6,'Tables - Part 2'!$AX$5:$BA$5,0)))/2)/2,0)</f>
        <v>0</v>
      </c>
      <c r="AH6" s="248">
        <f>IF($S6=$AH$3,(((INDEX('Tables - Part 2'!$AX$6:$BA$13,MATCH(V6,'Tables - Part 2'!$AV$6:$AV$13,0),MATCH(T6,'Tables - Part 2'!$AX$5:$BA$5,0))+INDEX('Tables - Part 2'!$BB$6:$BE$13,MATCH(V6,'Tables - Part 2'!$AV$6:$AV$13,0),MATCH(T6,'Tables - Part 2'!$AX$5:$BA$5,0)))/2)+INDEX('Tables - Part 2'!$BB$6:$BE$13,MATCH(V6,'Tables - Part 2'!$AV$6:$AV$13,0),MATCH(T6,'Tables - Part 2'!$AX$5:$BA$5,0)))/2,0)</f>
        <v>0</v>
      </c>
      <c r="AI6" s="248">
        <f>IF($S6=$AI$3,(((((INDEX('Tables - Part 2'!$AX$6:$BA$13,MATCH(V6,'Tables - Part 2'!$AV$6:$AV$13,0),MATCH(T6,'Tables - Part 2'!$AX$5:$BA$5,0))+INDEX('Tables - Part 2'!$BB$6:$BE$13,MATCH(V6,'Tables - Part 2'!$AV$6:$AV$13,0),MATCH(T6,'Tables - Part 2'!$AX$5:$BA$5,0)))/2)+INDEX('Tables - Part 2'!$BB$6:$BE$13,MATCH(V6,'Tables - Part 2'!$AV$6:$AV$13,0),MATCH(T6,'Tables - Part 2'!$AX$5:$BA$5,0)))/2)+INDEX('Tables - Part 2'!$BB$6:$BE$13,MATCH(V6,'Tables - Part 2'!$AV$6:$AV$13,0),MATCH(T6,'Tables - Part 2'!$AX$5:$BA$5,0)))/2,0)</f>
        <v>0</v>
      </c>
      <c r="AJ6" s="248">
        <f>IF($S6=$AJ$3,INDEX('Tables - Part 2'!$BB$6:$BE$13,MATCH(V6,'Tables - Part 2'!$AV$6:$AV$13,0),MATCH(T6,'Tables - Part 2'!$AX$5:$BA$5,0)),0)</f>
        <v>0</v>
      </c>
      <c r="AK6" s="248">
        <f>IF($S6=$AK$3,((INDEX('Tables - Part 2'!$BB$6:$BE$13,MATCH(V6,'Tables - Part 2'!$AV$6:$AV$13,0),MATCH(T6,'Tables - Part 2'!$AX$5:$BA$5,0)))+(INDEX('Tables - Part 2'!$BB$6:$BE$13,MATCH(V6,'Tables - Part 2'!$AV$6:$AV$13,0),MATCH(T6,'Tables - Part 2'!$AX$5:$BA$5,0))+(INDEX('Tables - Part 2'!$BB$6:$BE$13,MATCH(V6,'Tables - Part 2'!$AV$6:$AV$13,0),MATCH(T6,'Tables - Part 2'!$AX$5:$BA$5,0))+INDEX('Tables - Part 2'!$BF$6:$BI$13,MATCH(V6,'Tables - Part 2'!$AV$6:$AV$13,0),MATCH(T6,'Tables - Part 2'!$AX$5:$BA$5,0)))/2)/2)/2,0)</f>
        <v>0</v>
      </c>
      <c r="AL6" s="248">
        <f>IF($S6=$AL$3,(INDEX('Tables - Part 2'!$BB$6:$BE$13,MATCH(V6,'Tables - Part 2'!$AV$6:$AV$13,0),MATCH(T6,'Tables - Part 2'!$AX$5:$BA$5,0))+(INDEX('Tables - Part 2'!$BB$6:$BE$13,MATCH(V6,'Tables - Part 2'!$AV$6:$AV$13,0),MATCH(T6,'Tables - Part 2'!$AX$5:$BA$5,0))+INDEX('Tables - Part 2'!$BF$6:$BI$13,MATCH(V6,'Tables - Part 2'!$AV$6:$AV$13,0),MATCH(T6,'Tables - Part 2'!$AX$5:$BA$5,0)))/2)/2,0)</f>
        <v>0</v>
      </c>
      <c r="AM6" s="248">
        <f>IF($S6=$AM$3,(((INDEX('Tables - Part 2'!$BB$6:$BE$13,MATCH(V6,'Tables - Part 2'!$AV$6:$AV$13,0),MATCH(T6,'Tables - Part 2'!$AX$5:$BA$5,0))+(INDEX('Tables - Part 2'!$BB$6:$BE$13,MATCH(V6,'Tables - Part 2'!$AV$6:$AV$13,0),MATCH(T6,'Tables - Part 2'!$AX$5:$BA$5,0))+INDEX('Tables - Part 2'!$BF$6:$BI$13,MATCH(V6,'Tables - Part 2'!$AV$6:$AV$13,0),MATCH(T6,'Tables - Part 2'!$AX$5:$BA$5,0)))/2)/2)+((INDEX('Tables - Part 2'!$BB$6:$BE$13,MATCH(V6,'Tables - Part 2'!$AV$6:$AV$13,0),MATCH(T6,'Tables - Part 2'!$AX$5:$BA$5,0))+INDEX('Tables - Part 2'!$BF$6:$BI$13,MATCH(V6,'Tables - Part 2'!$AV$6:$AV$13,0),MATCH(T6,'Tables - Part 2'!$AX$5:$BA$5,0)))/2))/2,0)</f>
        <v>0</v>
      </c>
      <c r="AN6" s="248">
        <f>IF($S6=$AN$3,(INDEX('Tables - Part 2'!$BB$6:$BE$13,MATCH(V6,'Tables - Part 2'!$AV$6:$AV$13,0),MATCH(T6,'Tables - Part 2'!$AX$5:$BA$5,0))+INDEX('Tables - Part 2'!$BF$6:$BI$13,MATCH(V6,'Tables - Part 2'!$AV$6:$AV$13,0),MATCH(T6,'Tables - Part 2'!$AX$5:$BA$5,0)))/2,0)</f>
        <v>1.5</v>
      </c>
      <c r="AO6" s="248">
        <f>IF($S6=$AO$3,(((INDEX('Tables - Part 2'!$BB$6:$BE$13,MATCH(V6,'Tables - Part 2'!$AV$6:$AV$13,0),MATCH(T6,'Tables - Part 2'!$AX$5:$BA$5,0))+INDEX('Tables - Part 2'!$BF$6:$BI$13,MATCH(V6,'Tables - Part 2'!$AV$6:$AV$13,0),MATCH(T6,'Tables - Part 2'!$AX$5:$BA$5,0)))/2)+((((INDEX('Tables - Part 2'!$BB$6:$BE$13,MATCH(V6,'Tables - Part 2'!$AV$6:$AV$13,0),MATCH(T6,'Tables - Part 2'!$AX$5:$BA$5,0))+INDEX('Tables - Part 2'!$BF$6:$BI$13,MATCH(V6,'Tables - Part 2'!$AV$6:$AV$13,0),MATCH(T6,'Tables - Part 2'!$AX$5:$BA$5,0)))/2)+INDEX('Tables - Part 2'!$BF$6:$BI$13,MATCH(V6,'Tables - Part 2'!$AV$6:$AV$13,0),MATCH(T6,'Tables - Part 2'!$AX$5:$BA$5,0)))/2))/2,0)</f>
        <v>0</v>
      </c>
      <c r="AP6" s="248">
        <f>IF($S6=$AP$3,(((INDEX('Tables - Part 2'!$BB$6:$BE$13,MATCH(V6,'Tables - Part 2'!$AV$6:$AV$13,0),MATCH(T6,'Tables - Part 2'!$AX$5:$BA$5,0))+INDEX('Tables - Part 2'!$BF$6:$BI$13,MATCH(V6,'Tables - Part 2'!$AV$6:$AV$13,0),MATCH(T6,'Tables - Part 2'!$AX$5:$BA$5,0)))/2)+INDEX('Tables - Part 2'!$BF$6:$BI$13,MATCH(V6,'Tables - Part 2'!$AV$6:$AV$13,0),MATCH(T6,'Tables - Part 2'!$AX$5:$BA$5,0)))/2,0)</f>
        <v>0</v>
      </c>
      <c r="AQ6" s="248">
        <f>IF($S6=$AQ$3,(((((INDEX('Tables - Part 2'!$BB$6:$BE$13,MATCH(V6,'Tables - Part 2'!$AV$6:$AV$13,0),MATCH(T6,'Tables - Part 2'!$AX$5:$BA$5,0))+INDEX('Tables - Part 2'!$BF$6:$BI$13,MATCH(V6,'Tables - Part 2'!$AV$6:$AV$13,0),MATCH(T6,'Tables - Part 2'!$AX$5:$BA$5,0)))/2)+INDEX('Tables - Part 2'!$BF$6:$BI$13,MATCH(V6,'Tables - Part 2'!$AV$6:$AV$13,0),MATCH(T6,'Tables - Part 2'!$AX$5:$BA$5,0)))/2)+INDEX('Tables - Part 2'!$BF$6:$BI$13,MATCH(V6,'Tables - Part 2'!$AV$6:$AV$13,0),MATCH(T6,'Tables - Part 2'!$AX$5:$BA$5,0)))/2,0)</f>
        <v>0</v>
      </c>
      <c r="AR6" s="248">
        <f>IF($S6=$AR$3,INDEX('Tables - Part 2'!$BF$6:$BI$13,MATCH(V6,'Tables - Part 2'!$AV$6:$AV$13,0),MATCH(T6,'Tables - Part 2'!$AX$5:$BA$5,0)),0)</f>
        <v>0</v>
      </c>
      <c r="AS6" s="248">
        <f>IF($S6=$AS$3,(INDEX('Tables - Part 2'!$BF$6:$BI$13,MATCH(V6,'Tables - Part 2'!$AV$6:$AV$13,0),MATCH(T6,'Tables - Part 2'!$AX$5:$BA$5,0))+((INDEX('Tables - Part 2'!$BF$6:$BI$13,MATCH(V6,'Tables - Part 2'!$AV$6:$AV$13,0),MATCH(T6,'Tables - Part 2'!$AX$5:$BA$5,0))+(INDEX('Tables - Part 2'!$BF$6:$BI$13,MATCH(V6,'Tables - Part 2'!$AV$6:$AV$13,0),MATCH(T6,'Tables - Part 2'!$AX$5:$BA$5,0))+INDEX('Tables - Part 2'!$AX$17:$BA$24,MATCH(V6,'Tables - Part 2'!$AV$6:$AV$13,0),MATCH(T6,'Tables - Part 2'!$AX$5:$BA$5,0)))/2)/2))/2,0)</f>
        <v>0</v>
      </c>
      <c r="AT6" s="248">
        <f>IF($S6=$AT$3,(INDEX('Tables - Part 2'!$BF$6:$BI$13,MATCH(V6,'Tables - Part 2'!$AV$6:$AV$13,0),MATCH(T6,'Tables - Part 2'!$AX$5:$BA$5,0))+(INDEX('Tables - Part 2'!$BF$6:$BI$13,MATCH(V6,'Tables - Part 2'!$AV$6:$AV$13,0),MATCH(T6,'Tables - Part 2'!$AX$5:$BA$5,0))+INDEX('Tables - Part 2'!$AX$17:$BA$24,MATCH(V6,'Tables - Part 2'!$AV$6:$AV$13,0),MATCH(T6,'Tables - Part 2'!$AX$5:$BA$5,0)))/2)/2,0)</f>
        <v>0</v>
      </c>
      <c r="AU6" s="248">
        <f>IF($S6=$AU$3,(((INDEX('Tables - Part 2'!$BF$6:$BI$13,MATCH(V6,'Tables - Part 2'!$AV$6:$AV$13,0),MATCH(T6,'Tables - Part 2'!$AX$5:$BA$5,0))+(INDEX('Tables - Part 2'!$BF$6:$BI$13,MATCH(V6,'Tables - Part 2'!$AV$6:$AV$13,0),MATCH(T6,'Tables - Part 2'!$AX$5:$BA$5,0))+INDEX('Tables - Part 2'!$AX$17:$BA$24,MATCH(V6,'Tables - Part 2'!$AV$6:$AV$13,0),MATCH(T6,'Tables - Part 2'!$AX$5:$BA$5,0)))/2)/2)+((INDEX('Tables - Part 2'!$BF$6:$BI$13,MATCH(V6,'Tables - Part 2'!$AV$6:$AV$13,0),MATCH(T6,'Tables - Part 2'!$AX$5:$BA$5,0))+INDEX('Tables - Part 2'!$AX$17:$BA$24,MATCH(V6,'Tables - Part 2'!$AV$6:$AV$13,0),MATCH(T6,'Tables - Part 2'!$AX$5:$BA$5,0)))/2))/2,0)</f>
        <v>0</v>
      </c>
      <c r="AV6" s="248">
        <f>IF($S6=$AV$3,(INDEX('Tables - Part 2'!$BF$6:$BI$13,MATCH(V6,'Tables - Part 2'!$AV$6:$AV$13,0),MATCH(T6,'Tables - Part 2'!$AX$5:$BA$5,0))+INDEX('Tables - Part 2'!$AX$17:$BA$24,MATCH(V6,'Tables - Part 2'!$AV$6:$AV$13,0),MATCH(T6,'Tables - Part 2'!$AX$5:$BA$5,0)))/2,0)</f>
        <v>0</v>
      </c>
      <c r="AW6" s="248">
        <f>IF($S6=$AW$3,(((INDEX('Tables - Part 2'!$BF$6:$BI$13,MATCH(V6,'Tables - Part 2'!$AV$6:$AV$13,0),MATCH(T6,'Tables - Part 2'!$AX$5:$BA$5,0))+INDEX('Tables - Part 2'!$AX$17:$BA$24,MATCH(V6,'Tables - Part 2'!$AV$6:$AV$13,0),MATCH(T6,'Tables - Part 2'!$AX$5:$BA$5,0)))/2)+((((INDEX('Tables - Part 2'!$BF$6:$BI$13,MATCH(V6,'Tables - Part 2'!$AV$6:$AV$13,0),MATCH(T6,'Tables - Part 2'!$AX$5:$BA$5,0))+INDEX('Tables - Part 2'!$AX$17:$BA$24,MATCH(V6,'Tables - Part 2'!$AV$6:$AV$13,0),MATCH(T6,'Tables - Part 2'!$AX$5:$BA$5,0)))/2)+INDEX('Tables - Part 2'!$AX$17:$BA$24,MATCH(V6,'Tables - Part 2'!$AV$6:$AV$13,0),MATCH(T6,'Tables - Part 2'!$AX$5:$BA$5,0)))/2))/2,0)</f>
        <v>0</v>
      </c>
      <c r="AX6" s="248">
        <f>IF($S6=$AX$3,(((INDEX('Tables - Part 2'!$BF$6:$BI$13,MATCH(V6,'Tables - Part 2'!$AV$6:$AV$13,0),MATCH(T6,'Tables - Part 2'!$AX$5:$BA$5,0))+INDEX('Tables - Part 2'!$AX$17:$BA$24,MATCH(V6,'Tables - Part 2'!$AV$6:$AV$13,0),MATCH(T6,'Tables - Part 2'!$AX$5:$BA$5,0)))/2)+INDEX('Tables - Part 2'!$AX$17:$BA$24,MATCH(V6,'Tables - Part 2'!$AV$6:$AV$13,0),MATCH(T6,'Tables - Part 2'!$AX$5:$BA$5,0)))/2,0)</f>
        <v>0</v>
      </c>
      <c r="AY6" s="248">
        <f>IF($S6=$AY$3,(((((INDEX('Tables - Part 2'!$BF$6:$BI$13,MATCH(V6,'Tables - Part 2'!$AV$6:$AV$13,0),MATCH(T6,'Tables - Part 2'!$AX$5:$BA$5,0))+INDEX('Tables - Part 2'!$AX$17:$BA$24,MATCH(V6,'Tables - Part 2'!$AV$6:$AV$13,0),MATCH(T6,'Tables - Part 2'!$AX$5:$BA$5,0)))/2)+INDEX('Tables - Part 2'!$AX$17:$BA$24,MATCH(V6,'Tables - Part 2'!$AV$6:$AV$13,0),MATCH(T6,'Tables - Part 2'!$AX$5:$BA$5,0)))/2)+(INDEX('Tables - Part 2'!$AX$17:$BA$24,MATCH(V6,'Tables - Part 2'!$AV$6:$AV$13,0),MATCH(T6,'Tables - Part 2'!$AX$5:$BA$5,0))))/2,0)</f>
        <v>0</v>
      </c>
      <c r="AZ6" s="248">
        <f>IF($S6=$AZ$3,INDEX('Tables - Part 2'!$AX$17:$BA$24,MATCH(V6,'Tables - Part 2'!$AV$6:$AV$13,0),MATCH(T6,'Tables - Part 2'!$AX$5:$BA$5,0)),0)</f>
        <v>0</v>
      </c>
      <c r="BA6" s="248">
        <f>IF($S6=$BA$3,((INDEX('Tables - Part 2'!$AX$17:$BA$24,MATCH(V6,'Tables - Part 2'!$AV$6:$AV$13,0),MATCH(T6,'Tables - Part 2'!$AX$5:$BA$5,0)))+(((INDEX('Tables - Part 2'!$AX$17:$BA$24,MATCH(V6,'Tables - Part 2'!$AV$6:$AV$13,0),MATCH(T6,'Tables - Part 2'!$AX$5:$BA$5,0)))+(INDEX('Tables - Part 2'!$AX$17:$BA$24,MATCH(V6,'Tables - Part 2'!$AV$6:$AV$13,0),MATCH(T6,'Tables - Part 2'!$AX$5:$BA$5,0))+INDEX('Tables - Part 2'!$BB$17:$BE$24,MATCH(V6,'Tables - Part 2'!$AV$6:$AV$13,0),MATCH(T6,'Tables - Part 2'!$AX$5:$BA$5,0)))/2)/2))/2,0)</f>
        <v>0</v>
      </c>
      <c r="BB6" s="248">
        <f>IF($S6=$BB$3,((INDEX('Tables - Part 2'!$AX$17:$BA$24,MATCH(V6,'Tables - Part 2'!$AV$6:$AV$13,0),MATCH(T6,'Tables - Part 2'!$AX$5:$BA$5,0)))+(INDEX('Tables - Part 2'!$AX$17:$BA$24,MATCH(V6,'Tables - Part 2'!$AV$6:$AV$13,0),MATCH(T6,'Tables - Part 2'!$AX$5:$BA$5,0))+INDEX('Tables - Part 2'!$BB$17:$BE$24,MATCH(V6,'Tables - Part 2'!$AV$6:$AV$13,0),MATCH(T6,'Tables - Part 2'!$AX$5:$BA$5,0)))/2)/2,0)</f>
        <v>0</v>
      </c>
      <c r="BC6" s="248">
        <f>IF($S6=$BC$3,((((INDEX('Tables - Part 2'!$AX$17:$BA$24,MATCH(V6,'Tables - Part 2'!$AV$6:$AV$13,0),MATCH(T6,'Tables - Part 2'!$AX$5:$BA$5,0)))+(INDEX('Tables - Part 2'!$AX$17:$BA$24,MATCH(V6,'Tables - Part 2'!$AV$6:$AV$13,0),MATCH(T6,'Tables - Part 2'!$AX$5:$BA$5,0))+INDEX('Tables - Part 2'!$BB$17:$BE$24,MATCH(V6,'Tables - Part 2'!$AV$6:$AV$13,0),MATCH(T6,'Tables - Part 2'!$AX$5:$BA$5,0)))/2)/2)+((INDEX('Tables - Part 2'!$AX$17:$BA$24,MATCH(V6,'Tables - Part 2'!$AV$6:$AV$13,0),MATCH(T6,'Tables - Part 2'!$AX$5:$BA$5,0))+INDEX('Tables - Part 2'!$BB$17:$BE$24,MATCH(V6,'Tables - Part 2'!$AV$6:$AV$13,0),MATCH(T6,'Tables - Part 2'!$AX$5:$BA$5,0)))/2))/2,0)</f>
        <v>0</v>
      </c>
      <c r="BD6" s="248">
        <f>IF($S6=$BD$3,(INDEX('Tables - Part 2'!$AX$17:$BA$24,MATCH(V6,'Tables - Part 2'!$AV$6:$AV$13,0),MATCH(T6,'Tables - Part 2'!$AX$5:$BA$5,0))+INDEX('Tables - Part 2'!$BB$17:$BE$24,MATCH(V6,'Tables - Part 2'!$AV$6:$AV$13,0),MATCH(T6,'Tables - Part 2'!$AX$5:$BA$5,0)))/2,0)</f>
        <v>0</v>
      </c>
      <c r="BE6" s="248">
        <f>IF($S6=$BE$3,(((INDEX('Tables - Part 2'!$AX$17:$BA$24,MATCH(V6,'Tables - Part 2'!$AV$6:$AV$13,0),MATCH(T6,'Tables - Part 2'!$AX$5:$BA$5,0))+INDEX('Tables - Part 2'!$BB$17:$BE$24,MATCH(V6,'Tables - Part 2'!$AV$6:$AV$13,0),MATCH(T6,'Tables - Part 2'!$AX$5:$BA$5,0)))/2)+((((INDEX('Tables - Part 2'!$AX$17:$BA$24,MATCH(V6,'Tables - Part 2'!$AV$6:$AV$13,0),MATCH(T6,'Tables - Part 2'!$AX$5:$BA$5,0))+INDEX('Tables - Part 2'!$BB$17:$BE$24,MATCH(V6,'Tables - Part 2'!$AV$6:$AV$13,0),MATCH(T6,'Tables - Part 2'!$AX$5:$BA$5,0)))/2)+INDEX('Tables - Part 2'!$BB$17:$BE$24,MATCH(V6,'Tables - Part 2'!$AV$6:$AV$13,0),MATCH(T6,'Tables - Part 2'!$AX$5:$BA$5,0)))/2))/2,0)</f>
        <v>0</v>
      </c>
      <c r="BF6" s="248">
        <f>IF($S6=$BF$3,(((INDEX('Tables - Part 2'!$AX$17:$BA$24,MATCH(V6,'Tables - Part 2'!$AV$6:$AV$13,0),MATCH(T6,'Tables - Part 2'!$AX$5:$BA$5,0))+INDEX('Tables - Part 2'!$BB$17:$BE$24,MATCH(V6,'Tables - Part 2'!$AV$6:$AV$13,0),MATCH(T6,'Tables - Part 2'!$AX$5:$BA$5,0)))/2)+INDEX('Tables - Part 2'!$BB$17:$BE$24,MATCH(V6,'Tables - Part 2'!$AV$6:$AV$13,0),MATCH(T6,'Tables - Part 2'!$AX$5:$BA$5,0)))/2,0)</f>
        <v>0</v>
      </c>
      <c r="BG6" s="248">
        <f>IF($S6=$BG$3,(((((INDEX('Tables - Part 2'!$AX$17:$BA$24,MATCH(V6,'Tables - Part 2'!$AV$6:$AV$13,0),MATCH(T6,'Tables - Part 2'!$AX$5:$BA$5,0))+INDEX('Tables - Part 2'!$BB$17:$BE$24,MATCH(V6,'Tables - Part 2'!$AV$6:$AV$13,0),MATCH(T6,'Tables - Part 2'!$AX$5:$BA$5,0)))/2)+INDEX('Tables - Part 2'!$BB$17:$BE$24,MATCH(V6,'Tables - Part 2'!$AV$6:$AV$13,0),MATCH(T6,'Tables - Part 2'!$AX$5:$BA$5,0)))/2)+(INDEX('Tables - Part 2'!$BB$17:$BE$24,MATCH(V6,'Tables - Part 2'!$AV$6:$AV$13,0),MATCH(T6,'Tables - Part 2'!$AX$5:$BA$5,0))))/2,0)</f>
        <v>0</v>
      </c>
      <c r="BH6" s="248">
        <f>IF($S6=$BH$3,INDEX('Tables - Part 2'!$BB$17:$BE$24,MATCH(V6,'Tables - Part 2'!$AV$6:$AV$13,0),MATCH(T6,'Tables - Part 2'!$AX$5:$BA$5,0)),0)</f>
        <v>0</v>
      </c>
      <c r="BI6" s="248">
        <f>IF($S6=$BI$3,((INDEX('Tables - Part 2'!$BB$17:$BE$24,MATCH(V6,'Tables - Part 2'!$AV$6:$AV$13,0),MATCH(T6,'Tables - Part 2'!$AX$5:$BA$5,0)))+(((INDEX('Tables - Part 2'!$BB$17:$BE$24,MATCH(V6,'Tables - Part 2'!$AV$6:$AV$13,0),MATCH(T6,'Tables - Part 2'!$AX$5:$BA$5,0)))+(INDEX('Tables - Part 2'!$BB$17:$BE$24,MATCH(V6,'Tables - Part 2'!$AV$6:$AV$13,0),MATCH(T6,'Tables - Part 2'!$AX$5:$BA$5,0))+INDEX('Tables - Part 2'!$BF$17:$BI$24,MATCH(V6,'Tables - Part 2'!$AV$6:$AV$13,0),MATCH(T6,'Tables - Part 2'!$AX$5:$BA$5,0)))/2)/2))/2,0)</f>
        <v>0</v>
      </c>
      <c r="BJ6" s="248">
        <f>IF($S6=$BJ$3,((INDEX('Tables - Part 2'!$BB$17:$BE$24,MATCH(V6,'Tables - Part 2'!$AV$6:$AV$13,0),MATCH(T6,'Tables - Part 2'!$AX$5:$BA$5,0)))+(INDEX('Tables - Part 2'!$BB$17:$BE$24,MATCH(V6,'Tables - Part 2'!$AV$6:$AV$13,0),MATCH(T6,'Tables - Part 2'!$AX$5:$BA$5,0))+INDEX('Tables - Part 2'!$BF$17:$BI$24,MATCH(V6,'Tables - Part 2'!$AV$6:$AV$13,0),MATCH(T6,'Tables - Part 2'!$AX$5:$BA$5,0)))/2)/2,0)</f>
        <v>0</v>
      </c>
      <c r="BK6" s="248">
        <f>IF($S6=$BK$3,((((INDEX('Tables - Part 2'!$BB$17:$BE$24,MATCH(V6,'Tables - Part 2'!$AV$6:$AV$13,0),MATCH(T6,'Tables - Part 2'!$AX$5:$BA$5,0)))+(INDEX('Tables - Part 2'!$BB$17:$BE$24,MATCH(V6,'Tables - Part 2'!$AV$6:$AV$13,0),MATCH(T6,'Tables - Part 2'!$AX$5:$BA$5,0))+INDEX('Tables - Part 2'!$BF$17:$BI$24,MATCH(V6,'Tables - Part 2'!$AV$6:$AV$13,0),MATCH(T6,'Tables - Part 2'!$AX$5:$BA$5,0)))/2)/2)+((INDEX('Tables - Part 2'!$BB$17:$BE$24,MATCH(V6,'Tables - Part 2'!$AV$6:$AV$13,0),MATCH(T6,'Tables - Part 2'!$AX$5:$BA$5,0))+INDEX('Tables - Part 2'!$BF$17:$BI$24,MATCH(V6,'Tables - Part 2'!$AV$6:$AV$13,0),MATCH(T6,'Tables - Part 2'!$AX$5:$BA$5,0)))/2))/2,0)</f>
        <v>0</v>
      </c>
      <c r="BL6" s="248">
        <f>IF($S6=$BL$3,(INDEX('Tables - Part 2'!$BB$17:$BE$24,MATCH(V6,'Tables - Part 2'!$AV$6:$AV$13,0),MATCH(T6,'Tables - Part 2'!$AX$5:$BA$5,0))+INDEX('Tables - Part 2'!$BF$17:$BI$24,MATCH(V6,'Tables - Part 2'!$AV$6:$AV$13,0),MATCH(T6,'Tables - Part 2'!$AX$5:$BA$5,0)))/2,0)</f>
        <v>0</v>
      </c>
      <c r="BM6" s="248">
        <f>IF($S6=$BM$3,(((INDEX('Tables - Part 2'!$BB$17:$BE$24,MATCH(V6,'Tables - Part 2'!$AV$6:$AV$13,0),MATCH(T6,'Tables - Part 2'!$AX$5:$BA$5,0))+INDEX('Tables - Part 2'!$BF$17:$BI$24,MATCH(V6,'Tables - Part 2'!$AV$6:$AV$13,0),MATCH(T6,'Tables - Part 2'!$AX$5:$BA$5,0)))/2)+((((INDEX('Tables - Part 2'!$BB$17:$BE$24,MATCH(V6,'Tables - Part 2'!$AV$6:$AV$13,0),MATCH(T6,'Tables - Part 2'!$AX$5:$BA$5,0))+INDEX('Tables - Part 2'!$BF$17:$BI$24,MATCH(V6,'Tables - Part 2'!$AV$6:$AV$13,0),MATCH(T6,'Tables - Part 2'!$AX$5:$BA$5,0)))/2)+INDEX('Tables - Part 2'!$BF$17:$BI$24,MATCH(V6,'Tables - Part 2'!$AV$6:$AV$13,0),MATCH(T6,'Tables - Part 2'!$AX$5:$BA$5,0)))/2))/2,0)</f>
        <v>0</v>
      </c>
      <c r="BN6" s="248">
        <f>IF($S6=$BN$3,(((INDEX('Tables - Part 2'!$BB$17:$BE$24,MATCH(V6,'Tables - Part 2'!$AV$6:$AV$13,0),MATCH(T6,'Tables - Part 2'!$AX$5:$BA$5,0))+INDEX('Tables - Part 2'!$BF$17:$BI$24,MATCH(V6,'Tables - Part 2'!$AV$6:$AV$13,0),MATCH(T6,'Tables - Part 2'!$AX$5:$BA$5,0)))/2)+INDEX('Tables - Part 2'!$BF$17:$BI$24,MATCH(V6,'Tables - Part 2'!$AV$6:$AV$13,0),MATCH(T6,'Tables - Part 2'!$AX$5:$BA$5,0)))/2,0)</f>
        <v>0</v>
      </c>
      <c r="BO6" s="248">
        <f>IF($S6=$BO$3,(((((INDEX('Tables - Part 2'!$BB$17:$BE$24,MATCH(V6,'Tables - Part 2'!$AV$6:$AV$13,0),MATCH(T6,'Tables - Part 2'!$AX$5:$BA$5,0))+INDEX('Tables - Part 2'!$BF$17:$BI$24,MATCH(V6,'Tables - Part 2'!$AV$6:$AV$13,0),MATCH(T6,'Tables - Part 2'!$AX$5:$BA$5,0)))/2)+INDEX('Tables - Part 2'!$BF$17:$BI$24,MATCH(V6,'Tables - Part 2'!$AV$6:$AV$13,0),MATCH(T6,'Tables - Part 2'!$AX$5:$BA$5,0)))/2)+(INDEX('Tables - Part 2'!$BF$17:$BI$24,MATCH(V6,'Tables - Part 2'!$AV$6:$AV$13,0),MATCH(T6,'Tables - Part 2'!$AX$5:$BA$5,0))))/2,0)</f>
        <v>0</v>
      </c>
      <c r="BP6" s="248">
        <f>IF($S6=$BP$3,INDEX('Tables - Part 2'!$BF$17:$BI$24,MATCH(V6,'Tables - Part 2'!$AV$6:$AV$13,0),MATCH(T6,'Tables - Part 2'!$AX$5:$BA$5,0)),0)</f>
        <v>0</v>
      </c>
      <c r="BQ6" s="248">
        <f t="shared" si="7"/>
        <v>0</v>
      </c>
      <c r="BR6" s="238">
        <f t="shared" si="8"/>
        <v>1.5</v>
      </c>
      <c r="BS6" s="238">
        <f t="shared" si="9"/>
        <v>25.159323702612586</v>
      </c>
    </row>
    <row r="7" spans="2:84" x14ac:dyDescent="0.35">
      <c r="B7" s="161" t="str">
        <f>'Tratamento de Dados'!B15</f>
        <v>V-11</v>
      </c>
      <c r="C7" s="161" t="str">
        <f>'Tratamento de Dados'!D15</f>
        <v>Casco</v>
      </c>
      <c r="D7" s="209" t="s">
        <v>245</v>
      </c>
      <c r="E7" s="209" t="s">
        <v>245</v>
      </c>
      <c r="F7" s="439">
        <v>0.02</v>
      </c>
      <c r="G7" s="209">
        <v>150</v>
      </c>
      <c r="H7" s="209" t="s">
        <v>244</v>
      </c>
      <c r="I7" s="209" t="s">
        <v>245</v>
      </c>
      <c r="J7" s="209" t="s">
        <v>244</v>
      </c>
      <c r="K7" s="209" t="s">
        <v>245</v>
      </c>
      <c r="L7" s="210">
        <v>39092</v>
      </c>
      <c r="M7" s="209">
        <v>0</v>
      </c>
      <c r="N7" s="209">
        <v>1</v>
      </c>
      <c r="O7" s="209">
        <v>1</v>
      </c>
      <c r="P7" s="209">
        <v>4</v>
      </c>
      <c r="Q7" s="253">
        <f>'Tratamento de Dados'!DA15</f>
        <v>0</v>
      </c>
      <c r="R7" s="253">
        <f>'Tratamento de Dados'!DB15</f>
        <v>0</v>
      </c>
      <c r="S7" s="256">
        <f t="shared" si="0"/>
        <v>2.5</v>
      </c>
      <c r="T7" s="246" t="str">
        <f t="shared" si="1"/>
        <v>B</v>
      </c>
      <c r="U7" s="238" t="str">
        <f t="shared" si="2"/>
        <v>Low</v>
      </c>
      <c r="V7" s="238">
        <f>(IF(AND(D7=$BX$2,E7&lt;&gt;$BX$2),"Fitness-For-Service",INDEX('Tables - Part 2'!$AT$4:$AT$7,MATCH(Caustic_Cracking!U7,'Tables - Part 2'!$AS$4:$AS$7,0))))</f>
        <v>50</v>
      </c>
      <c r="W7" s="238">
        <f>IF(L7=0,(Thinning!G8-Thinning!F8)/365.25,(Thinning!G8-L7)/365.25)</f>
        <v>12.980150581793293</v>
      </c>
      <c r="X7" s="248">
        <f t="shared" si="3"/>
        <v>0</v>
      </c>
      <c r="Y7" s="248">
        <f t="shared" si="4"/>
        <v>2.5</v>
      </c>
      <c r="Z7" s="248">
        <f t="shared" si="5"/>
        <v>3</v>
      </c>
      <c r="AA7" s="247">
        <f t="shared" si="6"/>
        <v>4</v>
      </c>
      <c r="AB7" s="248">
        <f>IF($S7=$AB$3,INDEX('Tables - Part 2'!$AX$6:$BA$13,MATCH(V7,'Tables - Part 2'!$AV$6:$AV$13,0),MATCH(T7,'Tables - Part 2'!$AX$5:$BA$5,0)),0)</f>
        <v>0</v>
      </c>
      <c r="AC7" s="248">
        <f>IF($S7=$AC$3,(INDEX('Tables - Part 2'!$AX$6:$BA$13,MATCH(V7,'Tables - Part 2'!$AV$6:$AV$13,0),MATCH(T7,'Tables - Part 2'!$AX$5:$BA$5,0))+(INDEX('Tables - Part 2'!$AX$6:$BA$13,MATCH(V7,'Tables - Part 2'!$AV$6:$AV$13,0),MATCH(T7,'Tables - Part 2'!$AX$5:$BA$5,0))+((INDEX('Tables - Part 2'!$AX$6:$BA$13,MATCH(V7,'Tables - Part 2'!$AV$6:$AV$13,0),MATCH(T7,'Tables - Part 2'!$AX$5:$BA$5,0))+INDEX('Tables - Part 2'!$BB$6:$BE$13,MATCH(V7,'Tables - Part 2'!$AV$6:$AV$13,0),MATCH(T7,'Tables - Part 2'!$AX$5:$BA$5,0)))/2))/2)/2,0)</f>
        <v>0</v>
      </c>
      <c r="AD7" s="248">
        <f>IF($S7=$AD$3,(INDEX('Tables - Part 2'!$AX$6:$BA$13,MATCH(V7,'Tables - Part 2'!$AV$6:$AV$13,0),MATCH(T7,'Tables - Part 2'!$AX$5:$BA$5,0))+((INDEX('Tables - Part 2'!$AX$6:$BA$13,MATCH(V7,'Tables - Part 2'!$AV$6:$AV$13,0),MATCH(T7,'Tables - Part 2'!$AX$5:$BA$5,0))+INDEX('Tables - Part 2'!$BB$6:$BE$13,MATCH(V7,'Tables - Part 2'!$AV$6:$AV$13,0),MATCH(T7,'Tables - Part 2'!$AX$5:$BA$5,0)))/2))/2,0)</f>
        <v>0</v>
      </c>
      <c r="AE7" s="248">
        <f>IF($S7=$AE$3,(((INDEX('Tables - Part 2'!$AX$6:$BA$13,MATCH(V7,'Tables - Part 2'!$AV$6:$AV$13,0),MATCH(T7,'Tables - Part 2'!$AX$5:$BA$5,0))+((INDEX('Tables - Part 2'!$AX$6:$BA$13,MATCH(V7,'Tables - Part 2'!$AV$6:$AV$13,0),MATCH(T7,'Tables - Part 2'!$AX$5:$BA$5,0))+INDEX('Tables - Part 2'!$BB$6:$BE$13,MATCH(V7,'Tables - Part 2'!$AV$6:$AV$13,0),MATCH(T7,'Tables - Part 2'!$AX$5:$BA$5,0)))/2))/2)+(INDEX('Tables - Part 2'!$AX$6:$BA$13,MATCH(V7,'Tables - Part 2'!$AV$6:$AV$13,0),MATCH(T7,'Tables - Part 2'!$AX$5:$BA$5,0))+INDEX('Tables - Part 2'!$BB$6:$BE$13,MATCH(V7,'Tables - Part 2'!$AV$6:$AV$13,0),MATCH(T7,'Tables - Part 2'!$AX$5:$BA$5,0)))/2)/2,0)</f>
        <v>0</v>
      </c>
      <c r="AF7" s="248">
        <f>IF($S7=$AF$3,(INDEX('Tables - Part 2'!$AX$6:$BA$13,MATCH(V7,'Tables - Part 2'!$AV$6:$AV$13,0),MATCH(T7,'Tables - Part 2'!$AX$5:$BA$5,0))+INDEX('Tables - Part 2'!$BB$6:$BE$13,MATCH(V7,'Tables - Part 2'!$AV$6:$AV$13,0),MATCH(T7,'Tables - Part 2'!$AX$5:$BA$5,0)))/2,0)</f>
        <v>0</v>
      </c>
      <c r="AG7" s="248">
        <f>IF($S7=$AG$3,(((INDEX('Tables - Part 2'!$AX$6:$BA$13,MATCH(V7,'Tables - Part 2'!$AV$6:$AV$13,0),MATCH(T7,'Tables - Part 2'!$AX$5:$BA$5,0))+INDEX('Tables - Part 2'!$BB$6:$BE$13,MATCH(V7,'Tables - Part 2'!$AV$6:$AV$13,0),MATCH(T7,'Tables - Part 2'!$AX$5:$BA$5,0)))/2)+(((INDEX('Tables - Part 2'!$AX$6:$BA$13,MATCH(V7,'Tables - Part 2'!$AV$6:$AV$13,0),MATCH(T7,'Tables - Part 2'!$AX$5:$BA$5,0))+INDEX('Tables - Part 2'!$BB$6:$BE$13,MATCH(V7,'Tables - Part 2'!$AV$6:$AV$13,0),MATCH(T7,'Tables - Part 2'!$AX$5:$BA$5,0)))/2)+INDEX('Tables - Part 2'!$BB$6:$BE$13,MATCH(V7,'Tables - Part 2'!$AV$6:$AV$13,0),MATCH(T7,'Tables - Part 2'!$AX$5:$BA$5,0)))/2)/2,0)</f>
        <v>0</v>
      </c>
      <c r="AH7" s="248">
        <f>IF($S7=$AH$3,(((INDEX('Tables - Part 2'!$AX$6:$BA$13,MATCH(V7,'Tables - Part 2'!$AV$6:$AV$13,0),MATCH(T7,'Tables - Part 2'!$AX$5:$BA$5,0))+INDEX('Tables - Part 2'!$BB$6:$BE$13,MATCH(V7,'Tables - Part 2'!$AV$6:$AV$13,0),MATCH(T7,'Tables - Part 2'!$AX$5:$BA$5,0)))/2)+INDEX('Tables - Part 2'!$BB$6:$BE$13,MATCH(V7,'Tables - Part 2'!$AV$6:$AV$13,0),MATCH(T7,'Tables - Part 2'!$AX$5:$BA$5,0)))/2,0)</f>
        <v>0</v>
      </c>
      <c r="AI7" s="248">
        <f>IF($S7=$AI$3,(((((INDEX('Tables - Part 2'!$AX$6:$BA$13,MATCH(V7,'Tables - Part 2'!$AV$6:$AV$13,0),MATCH(T7,'Tables - Part 2'!$AX$5:$BA$5,0))+INDEX('Tables - Part 2'!$BB$6:$BE$13,MATCH(V7,'Tables - Part 2'!$AV$6:$AV$13,0),MATCH(T7,'Tables - Part 2'!$AX$5:$BA$5,0)))/2)+INDEX('Tables - Part 2'!$BB$6:$BE$13,MATCH(V7,'Tables - Part 2'!$AV$6:$AV$13,0),MATCH(T7,'Tables - Part 2'!$AX$5:$BA$5,0)))/2)+INDEX('Tables - Part 2'!$BB$6:$BE$13,MATCH(V7,'Tables - Part 2'!$AV$6:$AV$13,0),MATCH(T7,'Tables - Part 2'!$AX$5:$BA$5,0)))/2,0)</f>
        <v>0</v>
      </c>
      <c r="AJ7" s="248">
        <f>IF($S7=$AJ$3,INDEX('Tables - Part 2'!$BB$6:$BE$13,MATCH(V7,'Tables - Part 2'!$AV$6:$AV$13,0),MATCH(T7,'Tables - Part 2'!$AX$5:$BA$5,0)),0)</f>
        <v>0</v>
      </c>
      <c r="AK7" s="248">
        <f>IF($S7=$AK$3,((INDEX('Tables - Part 2'!$BB$6:$BE$13,MATCH(V7,'Tables - Part 2'!$AV$6:$AV$13,0),MATCH(T7,'Tables - Part 2'!$AX$5:$BA$5,0)))+(INDEX('Tables - Part 2'!$BB$6:$BE$13,MATCH(V7,'Tables - Part 2'!$AV$6:$AV$13,0),MATCH(T7,'Tables - Part 2'!$AX$5:$BA$5,0))+(INDEX('Tables - Part 2'!$BB$6:$BE$13,MATCH(V7,'Tables - Part 2'!$AV$6:$AV$13,0),MATCH(T7,'Tables - Part 2'!$AX$5:$BA$5,0))+INDEX('Tables - Part 2'!$BF$6:$BI$13,MATCH(V7,'Tables - Part 2'!$AV$6:$AV$13,0),MATCH(T7,'Tables - Part 2'!$AX$5:$BA$5,0)))/2)/2)/2,0)</f>
        <v>0</v>
      </c>
      <c r="AL7" s="248">
        <f>IF($S7=$AL$3,(INDEX('Tables - Part 2'!$BB$6:$BE$13,MATCH(V7,'Tables - Part 2'!$AV$6:$AV$13,0),MATCH(T7,'Tables - Part 2'!$AX$5:$BA$5,0))+(INDEX('Tables - Part 2'!$BB$6:$BE$13,MATCH(V7,'Tables - Part 2'!$AV$6:$AV$13,0),MATCH(T7,'Tables - Part 2'!$AX$5:$BA$5,0))+INDEX('Tables - Part 2'!$BF$6:$BI$13,MATCH(V7,'Tables - Part 2'!$AV$6:$AV$13,0),MATCH(T7,'Tables - Part 2'!$AX$5:$BA$5,0)))/2)/2,0)</f>
        <v>0</v>
      </c>
      <c r="AM7" s="248">
        <f>IF($S7=$AM$3,(((INDEX('Tables - Part 2'!$BB$6:$BE$13,MATCH(V7,'Tables - Part 2'!$AV$6:$AV$13,0),MATCH(T7,'Tables - Part 2'!$AX$5:$BA$5,0))+(INDEX('Tables - Part 2'!$BB$6:$BE$13,MATCH(V7,'Tables - Part 2'!$AV$6:$AV$13,0),MATCH(T7,'Tables - Part 2'!$AX$5:$BA$5,0))+INDEX('Tables - Part 2'!$BF$6:$BI$13,MATCH(V7,'Tables - Part 2'!$AV$6:$AV$13,0),MATCH(T7,'Tables - Part 2'!$AX$5:$BA$5,0)))/2)/2)+((INDEX('Tables - Part 2'!$BB$6:$BE$13,MATCH(V7,'Tables - Part 2'!$AV$6:$AV$13,0),MATCH(T7,'Tables - Part 2'!$AX$5:$BA$5,0))+INDEX('Tables - Part 2'!$BF$6:$BI$13,MATCH(V7,'Tables - Part 2'!$AV$6:$AV$13,0),MATCH(T7,'Tables - Part 2'!$AX$5:$BA$5,0)))/2))/2,0)</f>
        <v>0</v>
      </c>
      <c r="AN7" s="248">
        <f>IF($S7=$AN$3,(INDEX('Tables - Part 2'!$BB$6:$BE$13,MATCH(V7,'Tables - Part 2'!$AV$6:$AV$13,0),MATCH(T7,'Tables - Part 2'!$AX$5:$BA$5,0))+INDEX('Tables - Part 2'!$BF$6:$BI$13,MATCH(V7,'Tables - Part 2'!$AV$6:$AV$13,0),MATCH(T7,'Tables - Part 2'!$AX$5:$BA$5,0)))/2,0)</f>
        <v>1.5</v>
      </c>
      <c r="AO7" s="248">
        <f>IF($S7=$AO$3,(((INDEX('Tables - Part 2'!$BB$6:$BE$13,MATCH(V7,'Tables - Part 2'!$AV$6:$AV$13,0),MATCH(T7,'Tables - Part 2'!$AX$5:$BA$5,0))+INDEX('Tables - Part 2'!$BF$6:$BI$13,MATCH(V7,'Tables - Part 2'!$AV$6:$AV$13,0),MATCH(T7,'Tables - Part 2'!$AX$5:$BA$5,0)))/2)+((((INDEX('Tables - Part 2'!$BB$6:$BE$13,MATCH(V7,'Tables - Part 2'!$AV$6:$AV$13,0),MATCH(T7,'Tables - Part 2'!$AX$5:$BA$5,0))+INDEX('Tables - Part 2'!$BF$6:$BI$13,MATCH(V7,'Tables - Part 2'!$AV$6:$AV$13,0),MATCH(T7,'Tables - Part 2'!$AX$5:$BA$5,0)))/2)+INDEX('Tables - Part 2'!$BF$6:$BI$13,MATCH(V7,'Tables - Part 2'!$AV$6:$AV$13,0),MATCH(T7,'Tables - Part 2'!$AX$5:$BA$5,0)))/2))/2,0)</f>
        <v>0</v>
      </c>
      <c r="AP7" s="248">
        <f>IF($S7=$AP$3,(((INDEX('Tables - Part 2'!$BB$6:$BE$13,MATCH(V7,'Tables - Part 2'!$AV$6:$AV$13,0),MATCH(T7,'Tables - Part 2'!$AX$5:$BA$5,0))+INDEX('Tables - Part 2'!$BF$6:$BI$13,MATCH(V7,'Tables - Part 2'!$AV$6:$AV$13,0),MATCH(T7,'Tables - Part 2'!$AX$5:$BA$5,0)))/2)+INDEX('Tables - Part 2'!$BF$6:$BI$13,MATCH(V7,'Tables - Part 2'!$AV$6:$AV$13,0),MATCH(T7,'Tables - Part 2'!$AX$5:$BA$5,0)))/2,0)</f>
        <v>0</v>
      </c>
      <c r="AQ7" s="248">
        <f>IF($S7=$AQ$3,(((((INDEX('Tables - Part 2'!$BB$6:$BE$13,MATCH(V7,'Tables - Part 2'!$AV$6:$AV$13,0),MATCH(T7,'Tables - Part 2'!$AX$5:$BA$5,0))+INDEX('Tables - Part 2'!$BF$6:$BI$13,MATCH(V7,'Tables - Part 2'!$AV$6:$AV$13,0),MATCH(T7,'Tables - Part 2'!$AX$5:$BA$5,0)))/2)+INDEX('Tables - Part 2'!$BF$6:$BI$13,MATCH(V7,'Tables - Part 2'!$AV$6:$AV$13,0),MATCH(T7,'Tables - Part 2'!$AX$5:$BA$5,0)))/2)+INDEX('Tables - Part 2'!$BF$6:$BI$13,MATCH(V7,'Tables - Part 2'!$AV$6:$AV$13,0),MATCH(T7,'Tables - Part 2'!$AX$5:$BA$5,0)))/2,0)</f>
        <v>0</v>
      </c>
      <c r="AR7" s="248">
        <f>IF($S7=$AR$3,INDEX('Tables - Part 2'!$BF$6:$BI$13,MATCH(V7,'Tables - Part 2'!$AV$6:$AV$13,0),MATCH(T7,'Tables - Part 2'!$AX$5:$BA$5,0)),0)</f>
        <v>0</v>
      </c>
      <c r="AS7" s="248">
        <f>IF($S7=$AS$3,(INDEX('Tables - Part 2'!$BF$6:$BI$13,MATCH(V7,'Tables - Part 2'!$AV$6:$AV$13,0),MATCH(T7,'Tables - Part 2'!$AX$5:$BA$5,0))+((INDEX('Tables - Part 2'!$BF$6:$BI$13,MATCH(V7,'Tables - Part 2'!$AV$6:$AV$13,0),MATCH(T7,'Tables - Part 2'!$AX$5:$BA$5,0))+(INDEX('Tables - Part 2'!$BF$6:$BI$13,MATCH(V7,'Tables - Part 2'!$AV$6:$AV$13,0),MATCH(T7,'Tables - Part 2'!$AX$5:$BA$5,0))+INDEX('Tables - Part 2'!$AX$17:$BA$24,MATCH(V7,'Tables - Part 2'!$AV$6:$AV$13,0),MATCH(T7,'Tables - Part 2'!$AX$5:$BA$5,0)))/2)/2))/2,0)</f>
        <v>0</v>
      </c>
      <c r="AT7" s="248">
        <f>IF($S7=$AT$3,(INDEX('Tables - Part 2'!$BF$6:$BI$13,MATCH(V7,'Tables - Part 2'!$AV$6:$AV$13,0),MATCH(T7,'Tables - Part 2'!$AX$5:$BA$5,0))+(INDEX('Tables - Part 2'!$BF$6:$BI$13,MATCH(V7,'Tables - Part 2'!$AV$6:$AV$13,0),MATCH(T7,'Tables - Part 2'!$AX$5:$BA$5,0))+INDEX('Tables - Part 2'!$AX$17:$BA$24,MATCH(V7,'Tables - Part 2'!$AV$6:$AV$13,0),MATCH(T7,'Tables - Part 2'!$AX$5:$BA$5,0)))/2)/2,0)</f>
        <v>0</v>
      </c>
      <c r="AU7" s="248">
        <f>IF($S7=$AU$3,(((INDEX('Tables - Part 2'!$BF$6:$BI$13,MATCH(V7,'Tables - Part 2'!$AV$6:$AV$13,0),MATCH(T7,'Tables - Part 2'!$AX$5:$BA$5,0))+(INDEX('Tables - Part 2'!$BF$6:$BI$13,MATCH(V7,'Tables - Part 2'!$AV$6:$AV$13,0),MATCH(T7,'Tables - Part 2'!$AX$5:$BA$5,0))+INDEX('Tables - Part 2'!$AX$17:$BA$24,MATCH(V7,'Tables - Part 2'!$AV$6:$AV$13,0),MATCH(T7,'Tables - Part 2'!$AX$5:$BA$5,0)))/2)/2)+((INDEX('Tables - Part 2'!$BF$6:$BI$13,MATCH(V7,'Tables - Part 2'!$AV$6:$AV$13,0),MATCH(T7,'Tables - Part 2'!$AX$5:$BA$5,0))+INDEX('Tables - Part 2'!$AX$17:$BA$24,MATCH(V7,'Tables - Part 2'!$AV$6:$AV$13,0),MATCH(T7,'Tables - Part 2'!$AX$5:$BA$5,0)))/2))/2,0)</f>
        <v>0</v>
      </c>
      <c r="AV7" s="248">
        <f>IF($S7=$AV$3,(INDEX('Tables - Part 2'!$BF$6:$BI$13,MATCH(V7,'Tables - Part 2'!$AV$6:$AV$13,0),MATCH(T7,'Tables - Part 2'!$AX$5:$BA$5,0))+INDEX('Tables - Part 2'!$AX$17:$BA$24,MATCH(V7,'Tables - Part 2'!$AV$6:$AV$13,0),MATCH(T7,'Tables - Part 2'!$AX$5:$BA$5,0)))/2,0)</f>
        <v>0</v>
      </c>
      <c r="AW7" s="248">
        <f>IF($S7=$AW$3,(((INDEX('Tables - Part 2'!$BF$6:$BI$13,MATCH(V7,'Tables - Part 2'!$AV$6:$AV$13,0),MATCH(T7,'Tables - Part 2'!$AX$5:$BA$5,0))+INDEX('Tables - Part 2'!$AX$17:$BA$24,MATCH(V7,'Tables - Part 2'!$AV$6:$AV$13,0),MATCH(T7,'Tables - Part 2'!$AX$5:$BA$5,0)))/2)+((((INDEX('Tables - Part 2'!$BF$6:$BI$13,MATCH(V7,'Tables - Part 2'!$AV$6:$AV$13,0),MATCH(T7,'Tables - Part 2'!$AX$5:$BA$5,0))+INDEX('Tables - Part 2'!$AX$17:$BA$24,MATCH(V7,'Tables - Part 2'!$AV$6:$AV$13,0),MATCH(T7,'Tables - Part 2'!$AX$5:$BA$5,0)))/2)+INDEX('Tables - Part 2'!$AX$17:$BA$24,MATCH(V7,'Tables - Part 2'!$AV$6:$AV$13,0),MATCH(T7,'Tables - Part 2'!$AX$5:$BA$5,0)))/2))/2,0)</f>
        <v>0</v>
      </c>
      <c r="AX7" s="248">
        <f>IF($S7=$AX$3,(((INDEX('Tables - Part 2'!$BF$6:$BI$13,MATCH(V7,'Tables - Part 2'!$AV$6:$AV$13,0),MATCH(T7,'Tables - Part 2'!$AX$5:$BA$5,0))+INDEX('Tables - Part 2'!$AX$17:$BA$24,MATCH(V7,'Tables - Part 2'!$AV$6:$AV$13,0),MATCH(T7,'Tables - Part 2'!$AX$5:$BA$5,0)))/2)+INDEX('Tables - Part 2'!$AX$17:$BA$24,MATCH(V7,'Tables - Part 2'!$AV$6:$AV$13,0),MATCH(T7,'Tables - Part 2'!$AX$5:$BA$5,0)))/2,0)</f>
        <v>0</v>
      </c>
      <c r="AY7" s="248">
        <f>IF($S7=$AY$3,(((((INDEX('Tables - Part 2'!$BF$6:$BI$13,MATCH(V7,'Tables - Part 2'!$AV$6:$AV$13,0),MATCH(T7,'Tables - Part 2'!$AX$5:$BA$5,0))+INDEX('Tables - Part 2'!$AX$17:$BA$24,MATCH(V7,'Tables - Part 2'!$AV$6:$AV$13,0),MATCH(T7,'Tables - Part 2'!$AX$5:$BA$5,0)))/2)+INDEX('Tables - Part 2'!$AX$17:$BA$24,MATCH(V7,'Tables - Part 2'!$AV$6:$AV$13,0),MATCH(T7,'Tables - Part 2'!$AX$5:$BA$5,0)))/2)+(INDEX('Tables - Part 2'!$AX$17:$BA$24,MATCH(V7,'Tables - Part 2'!$AV$6:$AV$13,0),MATCH(T7,'Tables - Part 2'!$AX$5:$BA$5,0))))/2,0)</f>
        <v>0</v>
      </c>
      <c r="AZ7" s="248">
        <f>IF($S7=$AZ$3,INDEX('Tables - Part 2'!$AX$17:$BA$24,MATCH(V7,'Tables - Part 2'!$AV$6:$AV$13,0),MATCH(T7,'Tables - Part 2'!$AX$5:$BA$5,0)),0)</f>
        <v>0</v>
      </c>
      <c r="BA7" s="248">
        <f>IF($S7=$BA$3,((INDEX('Tables - Part 2'!$AX$17:$BA$24,MATCH(V7,'Tables - Part 2'!$AV$6:$AV$13,0),MATCH(T7,'Tables - Part 2'!$AX$5:$BA$5,0)))+(((INDEX('Tables - Part 2'!$AX$17:$BA$24,MATCH(V7,'Tables - Part 2'!$AV$6:$AV$13,0),MATCH(T7,'Tables - Part 2'!$AX$5:$BA$5,0)))+(INDEX('Tables - Part 2'!$AX$17:$BA$24,MATCH(V7,'Tables - Part 2'!$AV$6:$AV$13,0),MATCH(T7,'Tables - Part 2'!$AX$5:$BA$5,0))+INDEX('Tables - Part 2'!$BB$17:$BE$24,MATCH(V7,'Tables - Part 2'!$AV$6:$AV$13,0),MATCH(T7,'Tables - Part 2'!$AX$5:$BA$5,0)))/2)/2))/2,0)</f>
        <v>0</v>
      </c>
      <c r="BB7" s="248">
        <f>IF($S7=$BB$3,((INDEX('Tables - Part 2'!$AX$17:$BA$24,MATCH(V7,'Tables - Part 2'!$AV$6:$AV$13,0),MATCH(T7,'Tables - Part 2'!$AX$5:$BA$5,0)))+(INDEX('Tables - Part 2'!$AX$17:$BA$24,MATCH(V7,'Tables - Part 2'!$AV$6:$AV$13,0),MATCH(T7,'Tables - Part 2'!$AX$5:$BA$5,0))+INDEX('Tables - Part 2'!$BB$17:$BE$24,MATCH(V7,'Tables - Part 2'!$AV$6:$AV$13,0),MATCH(T7,'Tables - Part 2'!$AX$5:$BA$5,0)))/2)/2,0)</f>
        <v>0</v>
      </c>
      <c r="BC7" s="248">
        <f>IF($S7=$BC$3,((((INDEX('Tables - Part 2'!$AX$17:$BA$24,MATCH(V7,'Tables - Part 2'!$AV$6:$AV$13,0),MATCH(T7,'Tables - Part 2'!$AX$5:$BA$5,0)))+(INDEX('Tables - Part 2'!$AX$17:$BA$24,MATCH(V7,'Tables - Part 2'!$AV$6:$AV$13,0),MATCH(T7,'Tables - Part 2'!$AX$5:$BA$5,0))+INDEX('Tables - Part 2'!$BB$17:$BE$24,MATCH(V7,'Tables - Part 2'!$AV$6:$AV$13,0),MATCH(T7,'Tables - Part 2'!$AX$5:$BA$5,0)))/2)/2)+((INDEX('Tables - Part 2'!$AX$17:$BA$24,MATCH(V7,'Tables - Part 2'!$AV$6:$AV$13,0),MATCH(T7,'Tables - Part 2'!$AX$5:$BA$5,0))+INDEX('Tables - Part 2'!$BB$17:$BE$24,MATCH(V7,'Tables - Part 2'!$AV$6:$AV$13,0),MATCH(T7,'Tables - Part 2'!$AX$5:$BA$5,0)))/2))/2,0)</f>
        <v>0</v>
      </c>
      <c r="BD7" s="248">
        <f>IF($S7=$BD$3,(INDEX('Tables - Part 2'!$AX$17:$BA$24,MATCH(V7,'Tables - Part 2'!$AV$6:$AV$13,0),MATCH(T7,'Tables - Part 2'!$AX$5:$BA$5,0))+INDEX('Tables - Part 2'!$BB$17:$BE$24,MATCH(V7,'Tables - Part 2'!$AV$6:$AV$13,0),MATCH(T7,'Tables - Part 2'!$AX$5:$BA$5,0)))/2,0)</f>
        <v>0</v>
      </c>
      <c r="BE7" s="248">
        <f>IF($S7=$BE$3,(((INDEX('Tables - Part 2'!$AX$17:$BA$24,MATCH(V7,'Tables - Part 2'!$AV$6:$AV$13,0),MATCH(T7,'Tables - Part 2'!$AX$5:$BA$5,0))+INDEX('Tables - Part 2'!$BB$17:$BE$24,MATCH(V7,'Tables - Part 2'!$AV$6:$AV$13,0),MATCH(T7,'Tables - Part 2'!$AX$5:$BA$5,0)))/2)+((((INDEX('Tables - Part 2'!$AX$17:$BA$24,MATCH(V7,'Tables - Part 2'!$AV$6:$AV$13,0),MATCH(T7,'Tables - Part 2'!$AX$5:$BA$5,0))+INDEX('Tables - Part 2'!$BB$17:$BE$24,MATCH(V7,'Tables - Part 2'!$AV$6:$AV$13,0),MATCH(T7,'Tables - Part 2'!$AX$5:$BA$5,0)))/2)+INDEX('Tables - Part 2'!$BB$17:$BE$24,MATCH(V7,'Tables - Part 2'!$AV$6:$AV$13,0),MATCH(T7,'Tables - Part 2'!$AX$5:$BA$5,0)))/2))/2,0)</f>
        <v>0</v>
      </c>
      <c r="BF7" s="248">
        <f>IF($S7=$BF$3,(((INDEX('Tables - Part 2'!$AX$17:$BA$24,MATCH(V7,'Tables - Part 2'!$AV$6:$AV$13,0),MATCH(T7,'Tables - Part 2'!$AX$5:$BA$5,0))+INDEX('Tables - Part 2'!$BB$17:$BE$24,MATCH(V7,'Tables - Part 2'!$AV$6:$AV$13,0),MATCH(T7,'Tables - Part 2'!$AX$5:$BA$5,0)))/2)+INDEX('Tables - Part 2'!$BB$17:$BE$24,MATCH(V7,'Tables - Part 2'!$AV$6:$AV$13,0),MATCH(T7,'Tables - Part 2'!$AX$5:$BA$5,0)))/2,0)</f>
        <v>0</v>
      </c>
      <c r="BG7" s="248">
        <f>IF($S7=$BG$3,(((((INDEX('Tables - Part 2'!$AX$17:$BA$24,MATCH(V7,'Tables - Part 2'!$AV$6:$AV$13,0),MATCH(T7,'Tables - Part 2'!$AX$5:$BA$5,0))+INDEX('Tables - Part 2'!$BB$17:$BE$24,MATCH(V7,'Tables - Part 2'!$AV$6:$AV$13,0),MATCH(T7,'Tables - Part 2'!$AX$5:$BA$5,0)))/2)+INDEX('Tables - Part 2'!$BB$17:$BE$24,MATCH(V7,'Tables - Part 2'!$AV$6:$AV$13,0),MATCH(T7,'Tables - Part 2'!$AX$5:$BA$5,0)))/2)+(INDEX('Tables - Part 2'!$BB$17:$BE$24,MATCH(V7,'Tables - Part 2'!$AV$6:$AV$13,0),MATCH(T7,'Tables - Part 2'!$AX$5:$BA$5,0))))/2,0)</f>
        <v>0</v>
      </c>
      <c r="BH7" s="248">
        <f>IF($S7=$BH$3,INDEX('Tables - Part 2'!$BB$17:$BE$24,MATCH(V7,'Tables - Part 2'!$AV$6:$AV$13,0),MATCH(T7,'Tables - Part 2'!$AX$5:$BA$5,0)),0)</f>
        <v>0</v>
      </c>
      <c r="BI7" s="248">
        <f>IF($S7=$BI$3,((INDEX('Tables - Part 2'!$BB$17:$BE$24,MATCH(V7,'Tables - Part 2'!$AV$6:$AV$13,0),MATCH(T7,'Tables - Part 2'!$AX$5:$BA$5,0)))+(((INDEX('Tables - Part 2'!$BB$17:$BE$24,MATCH(V7,'Tables - Part 2'!$AV$6:$AV$13,0),MATCH(T7,'Tables - Part 2'!$AX$5:$BA$5,0)))+(INDEX('Tables - Part 2'!$BB$17:$BE$24,MATCH(V7,'Tables - Part 2'!$AV$6:$AV$13,0),MATCH(T7,'Tables - Part 2'!$AX$5:$BA$5,0))+INDEX('Tables - Part 2'!$BF$17:$BI$24,MATCH(V7,'Tables - Part 2'!$AV$6:$AV$13,0),MATCH(T7,'Tables - Part 2'!$AX$5:$BA$5,0)))/2)/2))/2,0)</f>
        <v>0</v>
      </c>
      <c r="BJ7" s="248">
        <f>IF($S7=$BJ$3,((INDEX('Tables - Part 2'!$BB$17:$BE$24,MATCH(V7,'Tables - Part 2'!$AV$6:$AV$13,0),MATCH(T7,'Tables - Part 2'!$AX$5:$BA$5,0)))+(INDEX('Tables - Part 2'!$BB$17:$BE$24,MATCH(V7,'Tables - Part 2'!$AV$6:$AV$13,0),MATCH(T7,'Tables - Part 2'!$AX$5:$BA$5,0))+INDEX('Tables - Part 2'!$BF$17:$BI$24,MATCH(V7,'Tables - Part 2'!$AV$6:$AV$13,0),MATCH(T7,'Tables - Part 2'!$AX$5:$BA$5,0)))/2)/2,0)</f>
        <v>0</v>
      </c>
      <c r="BK7" s="248">
        <f>IF($S7=$BK$3,((((INDEX('Tables - Part 2'!$BB$17:$BE$24,MATCH(V7,'Tables - Part 2'!$AV$6:$AV$13,0),MATCH(T7,'Tables - Part 2'!$AX$5:$BA$5,0)))+(INDEX('Tables - Part 2'!$BB$17:$BE$24,MATCH(V7,'Tables - Part 2'!$AV$6:$AV$13,0),MATCH(T7,'Tables - Part 2'!$AX$5:$BA$5,0))+INDEX('Tables - Part 2'!$BF$17:$BI$24,MATCH(V7,'Tables - Part 2'!$AV$6:$AV$13,0),MATCH(T7,'Tables - Part 2'!$AX$5:$BA$5,0)))/2)/2)+((INDEX('Tables - Part 2'!$BB$17:$BE$24,MATCH(V7,'Tables - Part 2'!$AV$6:$AV$13,0),MATCH(T7,'Tables - Part 2'!$AX$5:$BA$5,0))+INDEX('Tables - Part 2'!$BF$17:$BI$24,MATCH(V7,'Tables - Part 2'!$AV$6:$AV$13,0),MATCH(T7,'Tables - Part 2'!$AX$5:$BA$5,0)))/2))/2,0)</f>
        <v>0</v>
      </c>
      <c r="BL7" s="248">
        <f>IF($S7=$BL$3,(INDEX('Tables - Part 2'!$BB$17:$BE$24,MATCH(V7,'Tables - Part 2'!$AV$6:$AV$13,0),MATCH(T7,'Tables - Part 2'!$AX$5:$BA$5,0))+INDEX('Tables - Part 2'!$BF$17:$BI$24,MATCH(V7,'Tables - Part 2'!$AV$6:$AV$13,0),MATCH(T7,'Tables - Part 2'!$AX$5:$BA$5,0)))/2,0)</f>
        <v>0</v>
      </c>
      <c r="BM7" s="248">
        <f>IF($S7=$BM$3,(((INDEX('Tables - Part 2'!$BB$17:$BE$24,MATCH(V7,'Tables - Part 2'!$AV$6:$AV$13,0),MATCH(T7,'Tables - Part 2'!$AX$5:$BA$5,0))+INDEX('Tables - Part 2'!$BF$17:$BI$24,MATCH(V7,'Tables - Part 2'!$AV$6:$AV$13,0),MATCH(T7,'Tables - Part 2'!$AX$5:$BA$5,0)))/2)+((((INDEX('Tables - Part 2'!$BB$17:$BE$24,MATCH(V7,'Tables - Part 2'!$AV$6:$AV$13,0),MATCH(T7,'Tables - Part 2'!$AX$5:$BA$5,0))+INDEX('Tables - Part 2'!$BF$17:$BI$24,MATCH(V7,'Tables - Part 2'!$AV$6:$AV$13,0),MATCH(T7,'Tables - Part 2'!$AX$5:$BA$5,0)))/2)+INDEX('Tables - Part 2'!$BF$17:$BI$24,MATCH(V7,'Tables - Part 2'!$AV$6:$AV$13,0),MATCH(T7,'Tables - Part 2'!$AX$5:$BA$5,0)))/2))/2,0)</f>
        <v>0</v>
      </c>
      <c r="BN7" s="248">
        <f>IF($S7=$BN$3,(((INDEX('Tables - Part 2'!$BB$17:$BE$24,MATCH(V7,'Tables - Part 2'!$AV$6:$AV$13,0),MATCH(T7,'Tables - Part 2'!$AX$5:$BA$5,0))+INDEX('Tables - Part 2'!$BF$17:$BI$24,MATCH(V7,'Tables - Part 2'!$AV$6:$AV$13,0),MATCH(T7,'Tables - Part 2'!$AX$5:$BA$5,0)))/2)+INDEX('Tables - Part 2'!$BF$17:$BI$24,MATCH(V7,'Tables - Part 2'!$AV$6:$AV$13,0),MATCH(T7,'Tables - Part 2'!$AX$5:$BA$5,0)))/2,0)</f>
        <v>0</v>
      </c>
      <c r="BO7" s="248">
        <f>IF($S7=$BO$3,(((((INDEX('Tables - Part 2'!$BB$17:$BE$24,MATCH(V7,'Tables - Part 2'!$AV$6:$AV$13,0),MATCH(T7,'Tables - Part 2'!$AX$5:$BA$5,0))+INDEX('Tables - Part 2'!$BF$17:$BI$24,MATCH(V7,'Tables - Part 2'!$AV$6:$AV$13,0),MATCH(T7,'Tables - Part 2'!$AX$5:$BA$5,0)))/2)+INDEX('Tables - Part 2'!$BF$17:$BI$24,MATCH(V7,'Tables - Part 2'!$AV$6:$AV$13,0),MATCH(T7,'Tables - Part 2'!$AX$5:$BA$5,0)))/2)+(INDEX('Tables - Part 2'!$BF$17:$BI$24,MATCH(V7,'Tables - Part 2'!$AV$6:$AV$13,0),MATCH(T7,'Tables - Part 2'!$AX$5:$BA$5,0))))/2,0)</f>
        <v>0</v>
      </c>
      <c r="BP7" s="248">
        <f>IF($S7=$BP$3,INDEX('Tables - Part 2'!$BF$17:$BI$24,MATCH(V7,'Tables - Part 2'!$AV$6:$AV$13,0),MATCH(T7,'Tables - Part 2'!$AX$5:$BA$5,0)),0)</f>
        <v>0</v>
      </c>
      <c r="BQ7" s="248">
        <f t="shared" si="7"/>
        <v>0</v>
      </c>
      <c r="BR7" s="238">
        <f t="shared" si="8"/>
        <v>1.5</v>
      </c>
      <c r="BS7" s="238">
        <f t="shared" si="9"/>
        <v>25.159323702612586</v>
      </c>
    </row>
    <row r="8" spans="2:84" x14ac:dyDescent="0.35">
      <c r="B8" s="161" t="str">
        <f>'Tratamento de Dados'!B16</f>
        <v>V-13</v>
      </c>
      <c r="C8" s="161" t="str">
        <f>'Tratamento de Dados'!D16</f>
        <v>Casco</v>
      </c>
      <c r="D8" s="209" t="s">
        <v>245</v>
      </c>
      <c r="E8" s="209" t="s">
        <v>245</v>
      </c>
      <c r="F8" s="439">
        <v>0.02</v>
      </c>
      <c r="G8" s="209">
        <v>150</v>
      </c>
      <c r="H8" s="209" t="s">
        <v>244</v>
      </c>
      <c r="I8" s="209" t="s">
        <v>245</v>
      </c>
      <c r="J8" s="209" t="s">
        <v>244</v>
      </c>
      <c r="K8" s="209" t="s">
        <v>245</v>
      </c>
      <c r="L8" s="210">
        <v>39092</v>
      </c>
      <c r="M8" s="209">
        <v>0</v>
      </c>
      <c r="N8" s="209">
        <v>1</v>
      </c>
      <c r="O8" s="209">
        <v>1</v>
      </c>
      <c r="P8" s="209">
        <v>4</v>
      </c>
      <c r="Q8" s="253">
        <f>'Tratamento de Dados'!DA16</f>
        <v>0</v>
      </c>
      <c r="R8" s="253">
        <f>'Tratamento de Dados'!DB16</f>
        <v>0</v>
      </c>
      <c r="S8" s="256">
        <f t="shared" si="0"/>
        <v>2.5</v>
      </c>
      <c r="T8" s="246" t="str">
        <f t="shared" si="1"/>
        <v>B</v>
      </c>
      <c r="U8" s="238" t="str">
        <f t="shared" si="2"/>
        <v>Low</v>
      </c>
      <c r="V8" s="238">
        <f>(IF(AND(D8=$BX$2,E8&lt;&gt;$BX$2),"Fitness-For-Service",INDEX('Tables - Part 2'!$AT$4:$AT$7,MATCH(Caustic_Cracking!U8,'Tables - Part 2'!$AS$4:$AS$7,0))))</f>
        <v>50</v>
      </c>
      <c r="W8" s="238">
        <f>IF(L8=0,(Thinning!G9-Thinning!F9)/365.25,(Thinning!G9-L8)/365.25)</f>
        <v>12.980150581793293</v>
      </c>
      <c r="X8" s="248">
        <f t="shared" si="3"/>
        <v>0</v>
      </c>
      <c r="Y8" s="248">
        <f t="shared" si="4"/>
        <v>2.5</v>
      </c>
      <c r="Z8" s="248">
        <f t="shared" si="5"/>
        <v>3</v>
      </c>
      <c r="AA8" s="247">
        <f t="shared" si="6"/>
        <v>4</v>
      </c>
      <c r="AB8" s="248">
        <f>IF($S8=$AB$3,INDEX('Tables - Part 2'!$AX$6:$BA$13,MATCH(V8,'Tables - Part 2'!$AV$6:$AV$13,0),MATCH(T8,'Tables - Part 2'!$AX$5:$BA$5,0)),0)</f>
        <v>0</v>
      </c>
      <c r="AC8" s="248">
        <f>IF($S8=$AC$3,(INDEX('Tables - Part 2'!$AX$6:$BA$13,MATCH(V8,'Tables - Part 2'!$AV$6:$AV$13,0),MATCH(T8,'Tables - Part 2'!$AX$5:$BA$5,0))+(INDEX('Tables - Part 2'!$AX$6:$BA$13,MATCH(V8,'Tables - Part 2'!$AV$6:$AV$13,0),MATCH(T8,'Tables - Part 2'!$AX$5:$BA$5,0))+((INDEX('Tables - Part 2'!$AX$6:$BA$13,MATCH(V8,'Tables - Part 2'!$AV$6:$AV$13,0),MATCH(T8,'Tables - Part 2'!$AX$5:$BA$5,0))+INDEX('Tables - Part 2'!$BB$6:$BE$13,MATCH(V8,'Tables - Part 2'!$AV$6:$AV$13,0),MATCH(T8,'Tables - Part 2'!$AX$5:$BA$5,0)))/2))/2)/2,0)</f>
        <v>0</v>
      </c>
      <c r="AD8" s="248">
        <f>IF($S8=$AD$3,(INDEX('Tables - Part 2'!$AX$6:$BA$13,MATCH(V8,'Tables - Part 2'!$AV$6:$AV$13,0),MATCH(T8,'Tables - Part 2'!$AX$5:$BA$5,0))+((INDEX('Tables - Part 2'!$AX$6:$BA$13,MATCH(V8,'Tables - Part 2'!$AV$6:$AV$13,0),MATCH(T8,'Tables - Part 2'!$AX$5:$BA$5,0))+INDEX('Tables - Part 2'!$BB$6:$BE$13,MATCH(V8,'Tables - Part 2'!$AV$6:$AV$13,0),MATCH(T8,'Tables - Part 2'!$AX$5:$BA$5,0)))/2))/2,0)</f>
        <v>0</v>
      </c>
      <c r="AE8" s="248">
        <f>IF($S8=$AE$3,(((INDEX('Tables - Part 2'!$AX$6:$BA$13,MATCH(V8,'Tables - Part 2'!$AV$6:$AV$13,0),MATCH(T8,'Tables - Part 2'!$AX$5:$BA$5,0))+((INDEX('Tables - Part 2'!$AX$6:$BA$13,MATCH(V8,'Tables - Part 2'!$AV$6:$AV$13,0),MATCH(T8,'Tables - Part 2'!$AX$5:$BA$5,0))+INDEX('Tables - Part 2'!$BB$6:$BE$13,MATCH(V8,'Tables - Part 2'!$AV$6:$AV$13,0),MATCH(T8,'Tables - Part 2'!$AX$5:$BA$5,0)))/2))/2)+(INDEX('Tables - Part 2'!$AX$6:$BA$13,MATCH(V8,'Tables - Part 2'!$AV$6:$AV$13,0),MATCH(T8,'Tables - Part 2'!$AX$5:$BA$5,0))+INDEX('Tables - Part 2'!$BB$6:$BE$13,MATCH(V8,'Tables - Part 2'!$AV$6:$AV$13,0),MATCH(T8,'Tables - Part 2'!$AX$5:$BA$5,0)))/2)/2,0)</f>
        <v>0</v>
      </c>
      <c r="AF8" s="248">
        <f>IF($S8=$AF$3,(INDEX('Tables - Part 2'!$AX$6:$BA$13,MATCH(V8,'Tables - Part 2'!$AV$6:$AV$13,0),MATCH(T8,'Tables - Part 2'!$AX$5:$BA$5,0))+INDEX('Tables - Part 2'!$BB$6:$BE$13,MATCH(V8,'Tables - Part 2'!$AV$6:$AV$13,0),MATCH(T8,'Tables - Part 2'!$AX$5:$BA$5,0)))/2,0)</f>
        <v>0</v>
      </c>
      <c r="AG8" s="248">
        <f>IF($S8=$AG$3,(((INDEX('Tables - Part 2'!$AX$6:$BA$13,MATCH(V8,'Tables - Part 2'!$AV$6:$AV$13,0),MATCH(T8,'Tables - Part 2'!$AX$5:$BA$5,0))+INDEX('Tables - Part 2'!$BB$6:$BE$13,MATCH(V8,'Tables - Part 2'!$AV$6:$AV$13,0),MATCH(T8,'Tables - Part 2'!$AX$5:$BA$5,0)))/2)+(((INDEX('Tables - Part 2'!$AX$6:$BA$13,MATCH(V8,'Tables - Part 2'!$AV$6:$AV$13,0),MATCH(T8,'Tables - Part 2'!$AX$5:$BA$5,0))+INDEX('Tables - Part 2'!$BB$6:$BE$13,MATCH(V8,'Tables - Part 2'!$AV$6:$AV$13,0),MATCH(T8,'Tables - Part 2'!$AX$5:$BA$5,0)))/2)+INDEX('Tables - Part 2'!$BB$6:$BE$13,MATCH(V8,'Tables - Part 2'!$AV$6:$AV$13,0),MATCH(T8,'Tables - Part 2'!$AX$5:$BA$5,0)))/2)/2,0)</f>
        <v>0</v>
      </c>
      <c r="AH8" s="248">
        <f>IF($S8=$AH$3,(((INDEX('Tables - Part 2'!$AX$6:$BA$13,MATCH(V8,'Tables - Part 2'!$AV$6:$AV$13,0),MATCH(T8,'Tables - Part 2'!$AX$5:$BA$5,0))+INDEX('Tables - Part 2'!$BB$6:$BE$13,MATCH(V8,'Tables - Part 2'!$AV$6:$AV$13,0),MATCH(T8,'Tables - Part 2'!$AX$5:$BA$5,0)))/2)+INDEX('Tables - Part 2'!$BB$6:$BE$13,MATCH(V8,'Tables - Part 2'!$AV$6:$AV$13,0),MATCH(T8,'Tables - Part 2'!$AX$5:$BA$5,0)))/2,0)</f>
        <v>0</v>
      </c>
      <c r="AI8" s="248">
        <f>IF($S8=$AI$3,(((((INDEX('Tables - Part 2'!$AX$6:$BA$13,MATCH(V8,'Tables - Part 2'!$AV$6:$AV$13,0),MATCH(T8,'Tables - Part 2'!$AX$5:$BA$5,0))+INDEX('Tables - Part 2'!$BB$6:$BE$13,MATCH(V8,'Tables - Part 2'!$AV$6:$AV$13,0),MATCH(T8,'Tables - Part 2'!$AX$5:$BA$5,0)))/2)+INDEX('Tables - Part 2'!$BB$6:$BE$13,MATCH(V8,'Tables - Part 2'!$AV$6:$AV$13,0),MATCH(T8,'Tables - Part 2'!$AX$5:$BA$5,0)))/2)+INDEX('Tables - Part 2'!$BB$6:$BE$13,MATCH(V8,'Tables - Part 2'!$AV$6:$AV$13,0),MATCH(T8,'Tables - Part 2'!$AX$5:$BA$5,0)))/2,0)</f>
        <v>0</v>
      </c>
      <c r="AJ8" s="248">
        <f>IF($S8=$AJ$3,INDEX('Tables - Part 2'!$BB$6:$BE$13,MATCH(V8,'Tables - Part 2'!$AV$6:$AV$13,0),MATCH(T8,'Tables - Part 2'!$AX$5:$BA$5,0)),0)</f>
        <v>0</v>
      </c>
      <c r="AK8" s="248">
        <f>IF($S8=$AK$3,((INDEX('Tables - Part 2'!$BB$6:$BE$13,MATCH(V8,'Tables - Part 2'!$AV$6:$AV$13,0),MATCH(T8,'Tables - Part 2'!$AX$5:$BA$5,0)))+(INDEX('Tables - Part 2'!$BB$6:$BE$13,MATCH(V8,'Tables - Part 2'!$AV$6:$AV$13,0),MATCH(T8,'Tables - Part 2'!$AX$5:$BA$5,0))+(INDEX('Tables - Part 2'!$BB$6:$BE$13,MATCH(V8,'Tables - Part 2'!$AV$6:$AV$13,0),MATCH(T8,'Tables - Part 2'!$AX$5:$BA$5,0))+INDEX('Tables - Part 2'!$BF$6:$BI$13,MATCH(V8,'Tables - Part 2'!$AV$6:$AV$13,0),MATCH(T8,'Tables - Part 2'!$AX$5:$BA$5,0)))/2)/2)/2,0)</f>
        <v>0</v>
      </c>
      <c r="AL8" s="248">
        <f>IF($S8=$AL$3,(INDEX('Tables - Part 2'!$BB$6:$BE$13,MATCH(V8,'Tables - Part 2'!$AV$6:$AV$13,0),MATCH(T8,'Tables - Part 2'!$AX$5:$BA$5,0))+(INDEX('Tables - Part 2'!$BB$6:$BE$13,MATCH(V8,'Tables - Part 2'!$AV$6:$AV$13,0),MATCH(T8,'Tables - Part 2'!$AX$5:$BA$5,0))+INDEX('Tables - Part 2'!$BF$6:$BI$13,MATCH(V8,'Tables - Part 2'!$AV$6:$AV$13,0),MATCH(T8,'Tables - Part 2'!$AX$5:$BA$5,0)))/2)/2,0)</f>
        <v>0</v>
      </c>
      <c r="AM8" s="248">
        <f>IF($S8=$AM$3,(((INDEX('Tables - Part 2'!$BB$6:$BE$13,MATCH(V8,'Tables - Part 2'!$AV$6:$AV$13,0),MATCH(T8,'Tables - Part 2'!$AX$5:$BA$5,0))+(INDEX('Tables - Part 2'!$BB$6:$BE$13,MATCH(V8,'Tables - Part 2'!$AV$6:$AV$13,0),MATCH(T8,'Tables - Part 2'!$AX$5:$BA$5,0))+INDEX('Tables - Part 2'!$BF$6:$BI$13,MATCH(V8,'Tables - Part 2'!$AV$6:$AV$13,0),MATCH(T8,'Tables - Part 2'!$AX$5:$BA$5,0)))/2)/2)+((INDEX('Tables - Part 2'!$BB$6:$BE$13,MATCH(V8,'Tables - Part 2'!$AV$6:$AV$13,0),MATCH(T8,'Tables - Part 2'!$AX$5:$BA$5,0))+INDEX('Tables - Part 2'!$BF$6:$BI$13,MATCH(V8,'Tables - Part 2'!$AV$6:$AV$13,0),MATCH(T8,'Tables - Part 2'!$AX$5:$BA$5,0)))/2))/2,0)</f>
        <v>0</v>
      </c>
      <c r="AN8" s="248">
        <f>IF($S8=$AN$3,(INDEX('Tables - Part 2'!$BB$6:$BE$13,MATCH(V8,'Tables - Part 2'!$AV$6:$AV$13,0),MATCH(T8,'Tables - Part 2'!$AX$5:$BA$5,0))+INDEX('Tables - Part 2'!$BF$6:$BI$13,MATCH(V8,'Tables - Part 2'!$AV$6:$AV$13,0),MATCH(T8,'Tables - Part 2'!$AX$5:$BA$5,0)))/2,0)</f>
        <v>1.5</v>
      </c>
      <c r="AO8" s="248">
        <f>IF($S8=$AO$3,(((INDEX('Tables - Part 2'!$BB$6:$BE$13,MATCH(V8,'Tables - Part 2'!$AV$6:$AV$13,0),MATCH(T8,'Tables - Part 2'!$AX$5:$BA$5,0))+INDEX('Tables - Part 2'!$BF$6:$BI$13,MATCH(V8,'Tables - Part 2'!$AV$6:$AV$13,0),MATCH(T8,'Tables - Part 2'!$AX$5:$BA$5,0)))/2)+((((INDEX('Tables - Part 2'!$BB$6:$BE$13,MATCH(V8,'Tables - Part 2'!$AV$6:$AV$13,0),MATCH(T8,'Tables - Part 2'!$AX$5:$BA$5,0))+INDEX('Tables - Part 2'!$BF$6:$BI$13,MATCH(V8,'Tables - Part 2'!$AV$6:$AV$13,0),MATCH(T8,'Tables - Part 2'!$AX$5:$BA$5,0)))/2)+INDEX('Tables - Part 2'!$BF$6:$BI$13,MATCH(V8,'Tables - Part 2'!$AV$6:$AV$13,0),MATCH(T8,'Tables - Part 2'!$AX$5:$BA$5,0)))/2))/2,0)</f>
        <v>0</v>
      </c>
      <c r="AP8" s="248">
        <f>IF($S8=$AP$3,(((INDEX('Tables - Part 2'!$BB$6:$BE$13,MATCH(V8,'Tables - Part 2'!$AV$6:$AV$13,0),MATCH(T8,'Tables - Part 2'!$AX$5:$BA$5,0))+INDEX('Tables - Part 2'!$BF$6:$BI$13,MATCH(V8,'Tables - Part 2'!$AV$6:$AV$13,0),MATCH(T8,'Tables - Part 2'!$AX$5:$BA$5,0)))/2)+INDEX('Tables - Part 2'!$BF$6:$BI$13,MATCH(V8,'Tables - Part 2'!$AV$6:$AV$13,0),MATCH(T8,'Tables - Part 2'!$AX$5:$BA$5,0)))/2,0)</f>
        <v>0</v>
      </c>
      <c r="AQ8" s="248">
        <f>IF($S8=$AQ$3,(((((INDEX('Tables - Part 2'!$BB$6:$BE$13,MATCH(V8,'Tables - Part 2'!$AV$6:$AV$13,0),MATCH(T8,'Tables - Part 2'!$AX$5:$BA$5,0))+INDEX('Tables - Part 2'!$BF$6:$BI$13,MATCH(V8,'Tables - Part 2'!$AV$6:$AV$13,0),MATCH(T8,'Tables - Part 2'!$AX$5:$BA$5,0)))/2)+INDEX('Tables - Part 2'!$BF$6:$BI$13,MATCH(V8,'Tables - Part 2'!$AV$6:$AV$13,0),MATCH(T8,'Tables - Part 2'!$AX$5:$BA$5,0)))/2)+INDEX('Tables - Part 2'!$BF$6:$BI$13,MATCH(V8,'Tables - Part 2'!$AV$6:$AV$13,0),MATCH(T8,'Tables - Part 2'!$AX$5:$BA$5,0)))/2,0)</f>
        <v>0</v>
      </c>
      <c r="AR8" s="248">
        <f>IF($S8=$AR$3,INDEX('Tables - Part 2'!$BF$6:$BI$13,MATCH(V8,'Tables - Part 2'!$AV$6:$AV$13,0),MATCH(T8,'Tables - Part 2'!$AX$5:$BA$5,0)),0)</f>
        <v>0</v>
      </c>
      <c r="AS8" s="248">
        <f>IF($S8=$AS$3,(INDEX('Tables - Part 2'!$BF$6:$BI$13,MATCH(V8,'Tables - Part 2'!$AV$6:$AV$13,0),MATCH(T8,'Tables - Part 2'!$AX$5:$BA$5,0))+((INDEX('Tables - Part 2'!$BF$6:$BI$13,MATCH(V8,'Tables - Part 2'!$AV$6:$AV$13,0),MATCH(T8,'Tables - Part 2'!$AX$5:$BA$5,0))+(INDEX('Tables - Part 2'!$BF$6:$BI$13,MATCH(V8,'Tables - Part 2'!$AV$6:$AV$13,0),MATCH(T8,'Tables - Part 2'!$AX$5:$BA$5,0))+INDEX('Tables - Part 2'!$AX$17:$BA$24,MATCH(V8,'Tables - Part 2'!$AV$6:$AV$13,0),MATCH(T8,'Tables - Part 2'!$AX$5:$BA$5,0)))/2)/2))/2,0)</f>
        <v>0</v>
      </c>
      <c r="AT8" s="248">
        <f>IF($S8=$AT$3,(INDEX('Tables - Part 2'!$BF$6:$BI$13,MATCH(V8,'Tables - Part 2'!$AV$6:$AV$13,0),MATCH(T8,'Tables - Part 2'!$AX$5:$BA$5,0))+(INDEX('Tables - Part 2'!$BF$6:$BI$13,MATCH(V8,'Tables - Part 2'!$AV$6:$AV$13,0),MATCH(T8,'Tables - Part 2'!$AX$5:$BA$5,0))+INDEX('Tables - Part 2'!$AX$17:$BA$24,MATCH(V8,'Tables - Part 2'!$AV$6:$AV$13,0),MATCH(T8,'Tables - Part 2'!$AX$5:$BA$5,0)))/2)/2,0)</f>
        <v>0</v>
      </c>
      <c r="AU8" s="248">
        <f>IF($S8=$AU$3,(((INDEX('Tables - Part 2'!$BF$6:$BI$13,MATCH(V8,'Tables - Part 2'!$AV$6:$AV$13,0),MATCH(T8,'Tables - Part 2'!$AX$5:$BA$5,0))+(INDEX('Tables - Part 2'!$BF$6:$BI$13,MATCH(V8,'Tables - Part 2'!$AV$6:$AV$13,0),MATCH(T8,'Tables - Part 2'!$AX$5:$BA$5,0))+INDEX('Tables - Part 2'!$AX$17:$BA$24,MATCH(V8,'Tables - Part 2'!$AV$6:$AV$13,0),MATCH(T8,'Tables - Part 2'!$AX$5:$BA$5,0)))/2)/2)+((INDEX('Tables - Part 2'!$BF$6:$BI$13,MATCH(V8,'Tables - Part 2'!$AV$6:$AV$13,0),MATCH(T8,'Tables - Part 2'!$AX$5:$BA$5,0))+INDEX('Tables - Part 2'!$AX$17:$BA$24,MATCH(V8,'Tables - Part 2'!$AV$6:$AV$13,0),MATCH(T8,'Tables - Part 2'!$AX$5:$BA$5,0)))/2))/2,0)</f>
        <v>0</v>
      </c>
      <c r="AV8" s="248">
        <f>IF($S8=$AV$3,(INDEX('Tables - Part 2'!$BF$6:$BI$13,MATCH(V8,'Tables - Part 2'!$AV$6:$AV$13,0),MATCH(T8,'Tables - Part 2'!$AX$5:$BA$5,0))+INDEX('Tables - Part 2'!$AX$17:$BA$24,MATCH(V8,'Tables - Part 2'!$AV$6:$AV$13,0),MATCH(T8,'Tables - Part 2'!$AX$5:$BA$5,0)))/2,0)</f>
        <v>0</v>
      </c>
      <c r="AW8" s="248">
        <f>IF($S8=$AW$3,(((INDEX('Tables - Part 2'!$BF$6:$BI$13,MATCH(V8,'Tables - Part 2'!$AV$6:$AV$13,0),MATCH(T8,'Tables - Part 2'!$AX$5:$BA$5,0))+INDEX('Tables - Part 2'!$AX$17:$BA$24,MATCH(V8,'Tables - Part 2'!$AV$6:$AV$13,0),MATCH(T8,'Tables - Part 2'!$AX$5:$BA$5,0)))/2)+((((INDEX('Tables - Part 2'!$BF$6:$BI$13,MATCH(V8,'Tables - Part 2'!$AV$6:$AV$13,0),MATCH(T8,'Tables - Part 2'!$AX$5:$BA$5,0))+INDEX('Tables - Part 2'!$AX$17:$BA$24,MATCH(V8,'Tables - Part 2'!$AV$6:$AV$13,0),MATCH(T8,'Tables - Part 2'!$AX$5:$BA$5,0)))/2)+INDEX('Tables - Part 2'!$AX$17:$BA$24,MATCH(V8,'Tables - Part 2'!$AV$6:$AV$13,0),MATCH(T8,'Tables - Part 2'!$AX$5:$BA$5,0)))/2))/2,0)</f>
        <v>0</v>
      </c>
      <c r="AX8" s="248">
        <f>IF($S8=$AX$3,(((INDEX('Tables - Part 2'!$BF$6:$BI$13,MATCH(V8,'Tables - Part 2'!$AV$6:$AV$13,0),MATCH(T8,'Tables - Part 2'!$AX$5:$BA$5,0))+INDEX('Tables - Part 2'!$AX$17:$BA$24,MATCH(V8,'Tables - Part 2'!$AV$6:$AV$13,0),MATCH(T8,'Tables - Part 2'!$AX$5:$BA$5,0)))/2)+INDEX('Tables - Part 2'!$AX$17:$BA$24,MATCH(V8,'Tables - Part 2'!$AV$6:$AV$13,0),MATCH(T8,'Tables - Part 2'!$AX$5:$BA$5,0)))/2,0)</f>
        <v>0</v>
      </c>
      <c r="AY8" s="248">
        <f>IF($S8=$AY$3,(((((INDEX('Tables - Part 2'!$BF$6:$BI$13,MATCH(V8,'Tables - Part 2'!$AV$6:$AV$13,0),MATCH(T8,'Tables - Part 2'!$AX$5:$BA$5,0))+INDEX('Tables - Part 2'!$AX$17:$BA$24,MATCH(V8,'Tables - Part 2'!$AV$6:$AV$13,0),MATCH(T8,'Tables - Part 2'!$AX$5:$BA$5,0)))/2)+INDEX('Tables - Part 2'!$AX$17:$BA$24,MATCH(V8,'Tables - Part 2'!$AV$6:$AV$13,0),MATCH(T8,'Tables - Part 2'!$AX$5:$BA$5,0)))/2)+(INDEX('Tables - Part 2'!$AX$17:$BA$24,MATCH(V8,'Tables - Part 2'!$AV$6:$AV$13,0),MATCH(T8,'Tables - Part 2'!$AX$5:$BA$5,0))))/2,0)</f>
        <v>0</v>
      </c>
      <c r="AZ8" s="248">
        <f>IF($S8=$AZ$3,INDEX('Tables - Part 2'!$AX$17:$BA$24,MATCH(V8,'Tables - Part 2'!$AV$6:$AV$13,0),MATCH(T8,'Tables - Part 2'!$AX$5:$BA$5,0)),0)</f>
        <v>0</v>
      </c>
      <c r="BA8" s="248">
        <f>IF($S8=$BA$3,((INDEX('Tables - Part 2'!$AX$17:$BA$24,MATCH(V8,'Tables - Part 2'!$AV$6:$AV$13,0),MATCH(T8,'Tables - Part 2'!$AX$5:$BA$5,0)))+(((INDEX('Tables - Part 2'!$AX$17:$BA$24,MATCH(V8,'Tables - Part 2'!$AV$6:$AV$13,0),MATCH(T8,'Tables - Part 2'!$AX$5:$BA$5,0)))+(INDEX('Tables - Part 2'!$AX$17:$BA$24,MATCH(V8,'Tables - Part 2'!$AV$6:$AV$13,0),MATCH(T8,'Tables - Part 2'!$AX$5:$BA$5,0))+INDEX('Tables - Part 2'!$BB$17:$BE$24,MATCH(V8,'Tables - Part 2'!$AV$6:$AV$13,0),MATCH(T8,'Tables - Part 2'!$AX$5:$BA$5,0)))/2)/2))/2,0)</f>
        <v>0</v>
      </c>
      <c r="BB8" s="248">
        <f>IF($S8=$BB$3,((INDEX('Tables - Part 2'!$AX$17:$BA$24,MATCH(V8,'Tables - Part 2'!$AV$6:$AV$13,0),MATCH(T8,'Tables - Part 2'!$AX$5:$BA$5,0)))+(INDEX('Tables - Part 2'!$AX$17:$BA$24,MATCH(V8,'Tables - Part 2'!$AV$6:$AV$13,0),MATCH(T8,'Tables - Part 2'!$AX$5:$BA$5,0))+INDEX('Tables - Part 2'!$BB$17:$BE$24,MATCH(V8,'Tables - Part 2'!$AV$6:$AV$13,0),MATCH(T8,'Tables - Part 2'!$AX$5:$BA$5,0)))/2)/2,0)</f>
        <v>0</v>
      </c>
      <c r="BC8" s="248">
        <f>IF($S8=$BC$3,((((INDEX('Tables - Part 2'!$AX$17:$BA$24,MATCH(V8,'Tables - Part 2'!$AV$6:$AV$13,0),MATCH(T8,'Tables - Part 2'!$AX$5:$BA$5,0)))+(INDEX('Tables - Part 2'!$AX$17:$BA$24,MATCH(V8,'Tables - Part 2'!$AV$6:$AV$13,0),MATCH(T8,'Tables - Part 2'!$AX$5:$BA$5,0))+INDEX('Tables - Part 2'!$BB$17:$BE$24,MATCH(V8,'Tables - Part 2'!$AV$6:$AV$13,0),MATCH(T8,'Tables - Part 2'!$AX$5:$BA$5,0)))/2)/2)+((INDEX('Tables - Part 2'!$AX$17:$BA$24,MATCH(V8,'Tables - Part 2'!$AV$6:$AV$13,0),MATCH(T8,'Tables - Part 2'!$AX$5:$BA$5,0))+INDEX('Tables - Part 2'!$BB$17:$BE$24,MATCH(V8,'Tables - Part 2'!$AV$6:$AV$13,0),MATCH(T8,'Tables - Part 2'!$AX$5:$BA$5,0)))/2))/2,0)</f>
        <v>0</v>
      </c>
      <c r="BD8" s="248">
        <f>IF($S8=$BD$3,(INDEX('Tables - Part 2'!$AX$17:$BA$24,MATCH(V8,'Tables - Part 2'!$AV$6:$AV$13,0),MATCH(T8,'Tables - Part 2'!$AX$5:$BA$5,0))+INDEX('Tables - Part 2'!$BB$17:$BE$24,MATCH(V8,'Tables - Part 2'!$AV$6:$AV$13,0),MATCH(T8,'Tables - Part 2'!$AX$5:$BA$5,0)))/2,0)</f>
        <v>0</v>
      </c>
      <c r="BE8" s="248">
        <f>IF($S8=$BE$3,(((INDEX('Tables - Part 2'!$AX$17:$BA$24,MATCH(V8,'Tables - Part 2'!$AV$6:$AV$13,0),MATCH(T8,'Tables - Part 2'!$AX$5:$BA$5,0))+INDEX('Tables - Part 2'!$BB$17:$BE$24,MATCH(V8,'Tables - Part 2'!$AV$6:$AV$13,0),MATCH(T8,'Tables - Part 2'!$AX$5:$BA$5,0)))/2)+((((INDEX('Tables - Part 2'!$AX$17:$BA$24,MATCH(V8,'Tables - Part 2'!$AV$6:$AV$13,0),MATCH(T8,'Tables - Part 2'!$AX$5:$BA$5,0))+INDEX('Tables - Part 2'!$BB$17:$BE$24,MATCH(V8,'Tables - Part 2'!$AV$6:$AV$13,0),MATCH(T8,'Tables - Part 2'!$AX$5:$BA$5,0)))/2)+INDEX('Tables - Part 2'!$BB$17:$BE$24,MATCH(V8,'Tables - Part 2'!$AV$6:$AV$13,0),MATCH(T8,'Tables - Part 2'!$AX$5:$BA$5,0)))/2))/2,0)</f>
        <v>0</v>
      </c>
      <c r="BF8" s="248">
        <f>IF($S8=$BF$3,(((INDEX('Tables - Part 2'!$AX$17:$BA$24,MATCH(V8,'Tables - Part 2'!$AV$6:$AV$13,0),MATCH(T8,'Tables - Part 2'!$AX$5:$BA$5,0))+INDEX('Tables - Part 2'!$BB$17:$BE$24,MATCH(V8,'Tables - Part 2'!$AV$6:$AV$13,0),MATCH(T8,'Tables - Part 2'!$AX$5:$BA$5,0)))/2)+INDEX('Tables - Part 2'!$BB$17:$BE$24,MATCH(V8,'Tables - Part 2'!$AV$6:$AV$13,0),MATCH(T8,'Tables - Part 2'!$AX$5:$BA$5,0)))/2,0)</f>
        <v>0</v>
      </c>
      <c r="BG8" s="248">
        <f>IF($S8=$BG$3,(((((INDEX('Tables - Part 2'!$AX$17:$BA$24,MATCH(V8,'Tables - Part 2'!$AV$6:$AV$13,0),MATCH(T8,'Tables - Part 2'!$AX$5:$BA$5,0))+INDEX('Tables - Part 2'!$BB$17:$BE$24,MATCH(V8,'Tables - Part 2'!$AV$6:$AV$13,0),MATCH(T8,'Tables - Part 2'!$AX$5:$BA$5,0)))/2)+INDEX('Tables - Part 2'!$BB$17:$BE$24,MATCH(V8,'Tables - Part 2'!$AV$6:$AV$13,0),MATCH(T8,'Tables - Part 2'!$AX$5:$BA$5,0)))/2)+(INDEX('Tables - Part 2'!$BB$17:$BE$24,MATCH(V8,'Tables - Part 2'!$AV$6:$AV$13,0),MATCH(T8,'Tables - Part 2'!$AX$5:$BA$5,0))))/2,0)</f>
        <v>0</v>
      </c>
      <c r="BH8" s="248">
        <f>IF($S8=$BH$3,INDEX('Tables - Part 2'!$BB$17:$BE$24,MATCH(V8,'Tables - Part 2'!$AV$6:$AV$13,0),MATCH(T8,'Tables - Part 2'!$AX$5:$BA$5,0)),0)</f>
        <v>0</v>
      </c>
      <c r="BI8" s="248">
        <f>IF($S8=$BI$3,((INDEX('Tables - Part 2'!$BB$17:$BE$24,MATCH(V8,'Tables - Part 2'!$AV$6:$AV$13,0),MATCH(T8,'Tables - Part 2'!$AX$5:$BA$5,0)))+(((INDEX('Tables - Part 2'!$BB$17:$BE$24,MATCH(V8,'Tables - Part 2'!$AV$6:$AV$13,0),MATCH(T8,'Tables - Part 2'!$AX$5:$BA$5,0)))+(INDEX('Tables - Part 2'!$BB$17:$BE$24,MATCH(V8,'Tables - Part 2'!$AV$6:$AV$13,0),MATCH(T8,'Tables - Part 2'!$AX$5:$BA$5,0))+INDEX('Tables - Part 2'!$BF$17:$BI$24,MATCH(V8,'Tables - Part 2'!$AV$6:$AV$13,0),MATCH(T8,'Tables - Part 2'!$AX$5:$BA$5,0)))/2)/2))/2,0)</f>
        <v>0</v>
      </c>
      <c r="BJ8" s="248">
        <f>IF($S8=$BJ$3,((INDEX('Tables - Part 2'!$BB$17:$BE$24,MATCH(V8,'Tables - Part 2'!$AV$6:$AV$13,0),MATCH(T8,'Tables - Part 2'!$AX$5:$BA$5,0)))+(INDEX('Tables - Part 2'!$BB$17:$BE$24,MATCH(V8,'Tables - Part 2'!$AV$6:$AV$13,0),MATCH(T8,'Tables - Part 2'!$AX$5:$BA$5,0))+INDEX('Tables - Part 2'!$BF$17:$BI$24,MATCH(V8,'Tables - Part 2'!$AV$6:$AV$13,0),MATCH(T8,'Tables - Part 2'!$AX$5:$BA$5,0)))/2)/2,0)</f>
        <v>0</v>
      </c>
      <c r="BK8" s="248">
        <f>IF($S8=$BK$3,((((INDEX('Tables - Part 2'!$BB$17:$BE$24,MATCH(V8,'Tables - Part 2'!$AV$6:$AV$13,0),MATCH(T8,'Tables - Part 2'!$AX$5:$BA$5,0)))+(INDEX('Tables - Part 2'!$BB$17:$BE$24,MATCH(V8,'Tables - Part 2'!$AV$6:$AV$13,0),MATCH(T8,'Tables - Part 2'!$AX$5:$BA$5,0))+INDEX('Tables - Part 2'!$BF$17:$BI$24,MATCH(V8,'Tables - Part 2'!$AV$6:$AV$13,0),MATCH(T8,'Tables - Part 2'!$AX$5:$BA$5,0)))/2)/2)+((INDEX('Tables - Part 2'!$BB$17:$BE$24,MATCH(V8,'Tables - Part 2'!$AV$6:$AV$13,0),MATCH(T8,'Tables - Part 2'!$AX$5:$BA$5,0))+INDEX('Tables - Part 2'!$BF$17:$BI$24,MATCH(V8,'Tables - Part 2'!$AV$6:$AV$13,0),MATCH(T8,'Tables - Part 2'!$AX$5:$BA$5,0)))/2))/2,0)</f>
        <v>0</v>
      </c>
      <c r="BL8" s="248">
        <f>IF($S8=$BL$3,(INDEX('Tables - Part 2'!$BB$17:$BE$24,MATCH(V8,'Tables - Part 2'!$AV$6:$AV$13,0),MATCH(T8,'Tables - Part 2'!$AX$5:$BA$5,0))+INDEX('Tables - Part 2'!$BF$17:$BI$24,MATCH(V8,'Tables - Part 2'!$AV$6:$AV$13,0),MATCH(T8,'Tables - Part 2'!$AX$5:$BA$5,0)))/2,0)</f>
        <v>0</v>
      </c>
      <c r="BM8" s="248">
        <f>IF($S8=$BM$3,(((INDEX('Tables - Part 2'!$BB$17:$BE$24,MATCH(V8,'Tables - Part 2'!$AV$6:$AV$13,0),MATCH(T8,'Tables - Part 2'!$AX$5:$BA$5,0))+INDEX('Tables - Part 2'!$BF$17:$BI$24,MATCH(V8,'Tables - Part 2'!$AV$6:$AV$13,0),MATCH(T8,'Tables - Part 2'!$AX$5:$BA$5,0)))/2)+((((INDEX('Tables - Part 2'!$BB$17:$BE$24,MATCH(V8,'Tables - Part 2'!$AV$6:$AV$13,0),MATCH(T8,'Tables - Part 2'!$AX$5:$BA$5,0))+INDEX('Tables - Part 2'!$BF$17:$BI$24,MATCH(V8,'Tables - Part 2'!$AV$6:$AV$13,0),MATCH(T8,'Tables - Part 2'!$AX$5:$BA$5,0)))/2)+INDEX('Tables - Part 2'!$BF$17:$BI$24,MATCH(V8,'Tables - Part 2'!$AV$6:$AV$13,0),MATCH(T8,'Tables - Part 2'!$AX$5:$BA$5,0)))/2))/2,0)</f>
        <v>0</v>
      </c>
      <c r="BN8" s="248">
        <f>IF($S8=$BN$3,(((INDEX('Tables - Part 2'!$BB$17:$BE$24,MATCH(V8,'Tables - Part 2'!$AV$6:$AV$13,0),MATCH(T8,'Tables - Part 2'!$AX$5:$BA$5,0))+INDEX('Tables - Part 2'!$BF$17:$BI$24,MATCH(V8,'Tables - Part 2'!$AV$6:$AV$13,0),MATCH(T8,'Tables - Part 2'!$AX$5:$BA$5,0)))/2)+INDEX('Tables - Part 2'!$BF$17:$BI$24,MATCH(V8,'Tables - Part 2'!$AV$6:$AV$13,0),MATCH(T8,'Tables - Part 2'!$AX$5:$BA$5,0)))/2,0)</f>
        <v>0</v>
      </c>
      <c r="BO8" s="248">
        <f>IF($S8=$BO$3,(((((INDEX('Tables - Part 2'!$BB$17:$BE$24,MATCH(V8,'Tables - Part 2'!$AV$6:$AV$13,0),MATCH(T8,'Tables - Part 2'!$AX$5:$BA$5,0))+INDEX('Tables - Part 2'!$BF$17:$BI$24,MATCH(V8,'Tables - Part 2'!$AV$6:$AV$13,0),MATCH(T8,'Tables - Part 2'!$AX$5:$BA$5,0)))/2)+INDEX('Tables - Part 2'!$BF$17:$BI$24,MATCH(V8,'Tables - Part 2'!$AV$6:$AV$13,0),MATCH(T8,'Tables - Part 2'!$AX$5:$BA$5,0)))/2)+(INDEX('Tables - Part 2'!$BF$17:$BI$24,MATCH(V8,'Tables - Part 2'!$AV$6:$AV$13,0),MATCH(T8,'Tables - Part 2'!$AX$5:$BA$5,0))))/2,0)</f>
        <v>0</v>
      </c>
      <c r="BP8" s="248">
        <f>IF($S8=$BP$3,INDEX('Tables - Part 2'!$BF$17:$BI$24,MATCH(V8,'Tables - Part 2'!$AV$6:$AV$13,0),MATCH(T8,'Tables - Part 2'!$AX$5:$BA$5,0)),0)</f>
        <v>0</v>
      </c>
      <c r="BQ8" s="248">
        <f t="shared" si="7"/>
        <v>0</v>
      </c>
      <c r="BR8" s="238">
        <f t="shared" si="8"/>
        <v>1.5</v>
      </c>
      <c r="BS8" s="238">
        <f t="shared" si="9"/>
        <v>25.159323702612586</v>
      </c>
    </row>
    <row r="9" spans="2:84" x14ac:dyDescent="0.35">
      <c r="B9" s="161" t="str">
        <f>'Tratamento de Dados'!B17</f>
        <v>V-14</v>
      </c>
      <c r="C9" s="161" t="str">
        <f>'Tratamento de Dados'!D17</f>
        <v>Casco</v>
      </c>
      <c r="D9" s="209" t="s">
        <v>245</v>
      </c>
      <c r="E9" s="209" t="s">
        <v>245</v>
      </c>
      <c r="F9" s="439">
        <v>0.02</v>
      </c>
      <c r="G9" s="209">
        <v>150</v>
      </c>
      <c r="H9" s="209" t="s">
        <v>244</v>
      </c>
      <c r="I9" s="209" t="s">
        <v>245</v>
      </c>
      <c r="J9" s="209" t="s">
        <v>244</v>
      </c>
      <c r="K9" s="209" t="s">
        <v>245</v>
      </c>
      <c r="L9" s="210">
        <v>39092</v>
      </c>
      <c r="M9" s="209">
        <v>0</v>
      </c>
      <c r="N9" s="209">
        <v>1</v>
      </c>
      <c r="O9" s="209">
        <v>1</v>
      </c>
      <c r="P9" s="209">
        <v>4</v>
      </c>
      <c r="Q9" s="253">
        <f>'Tratamento de Dados'!DA17</f>
        <v>0</v>
      </c>
      <c r="R9" s="253">
        <f>'Tratamento de Dados'!DB17</f>
        <v>0</v>
      </c>
      <c r="S9" s="256">
        <f t="shared" si="0"/>
        <v>2.5</v>
      </c>
      <c r="T9" s="246" t="str">
        <f t="shared" si="1"/>
        <v>B</v>
      </c>
      <c r="U9" s="238" t="str">
        <f t="shared" si="2"/>
        <v>Low</v>
      </c>
      <c r="V9" s="238">
        <f>(IF(AND(D9=$BX$2,E9&lt;&gt;$BX$2),"Fitness-For-Service",INDEX('Tables - Part 2'!$AT$4:$AT$7,MATCH(Caustic_Cracking!U9,'Tables - Part 2'!$AS$4:$AS$7,0))))</f>
        <v>50</v>
      </c>
      <c r="W9" s="238">
        <f>IF(L9=0,(Thinning!G10-Thinning!F10)/365.25,(Thinning!G10-L9)/365.25)</f>
        <v>12.980150581793293</v>
      </c>
      <c r="X9" s="248">
        <f t="shared" si="3"/>
        <v>0</v>
      </c>
      <c r="Y9" s="248">
        <f t="shared" si="4"/>
        <v>2.5</v>
      </c>
      <c r="Z9" s="248">
        <f t="shared" si="5"/>
        <v>3</v>
      </c>
      <c r="AA9" s="247">
        <f t="shared" si="6"/>
        <v>4</v>
      </c>
      <c r="AB9" s="248">
        <f>IF($S9=$AB$3,INDEX('Tables - Part 2'!$AX$6:$BA$13,MATCH(V9,'Tables - Part 2'!$AV$6:$AV$13,0),MATCH(T9,'Tables - Part 2'!$AX$5:$BA$5,0)),0)</f>
        <v>0</v>
      </c>
      <c r="AC9" s="248">
        <f>IF($S9=$AC$3,(INDEX('Tables - Part 2'!$AX$6:$BA$13,MATCH(V9,'Tables - Part 2'!$AV$6:$AV$13,0),MATCH(T9,'Tables - Part 2'!$AX$5:$BA$5,0))+(INDEX('Tables - Part 2'!$AX$6:$BA$13,MATCH(V9,'Tables - Part 2'!$AV$6:$AV$13,0),MATCH(T9,'Tables - Part 2'!$AX$5:$BA$5,0))+((INDEX('Tables - Part 2'!$AX$6:$BA$13,MATCH(V9,'Tables - Part 2'!$AV$6:$AV$13,0),MATCH(T9,'Tables - Part 2'!$AX$5:$BA$5,0))+INDEX('Tables - Part 2'!$BB$6:$BE$13,MATCH(V9,'Tables - Part 2'!$AV$6:$AV$13,0),MATCH(T9,'Tables - Part 2'!$AX$5:$BA$5,0)))/2))/2)/2,0)</f>
        <v>0</v>
      </c>
      <c r="AD9" s="248">
        <f>IF($S9=$AD$3,(INDEX('Tables - Part 2'!$AX$6:$BA$13,MATCH(V9,'Tables - Part 2'!$AV$6:$AV$13,0),MATCH(T9,'Tables - Part 2'!$AX$5:$BA$5,0))+((INDEX('Tables - Part 2'!$AX$6:$BA$13,MATCH(V9,'Tables - Part 2'!$AV$6:$AV$13,0),MATCH(T9,'Tables - Part 2'!$AX$5:$BA$5,0))+INDEX('Tables - Part 2'!$BB$6:$BE$13,MATCH(V9,'Tables - Part 2'!$AV$6:$AV$13,0),MATCH(T9,'Tables - Part 2'!$AX$5:$BA$5,0)))/2))/2,0)</f>
        <v>0</v>
      </c>
      <c r="AE9" s="248">
        <f>IF($S9=$AE$3,(((INDEX('Tables - Part 2'!$AX$6:$BA$13,MATCH(V9,'Tables - Part 2'!$AV$6:$AV$13,0),MATCH(T9,'Tables - Part 2'!$AX$5:$BA$5,0))+((INDEX('Tables - Part 2'!$AX$6:$BA$13,MATCH(V9,'Tables - Part 2'!$AV$6:$AV$13,0),MATCH(T9,'Tables - Part 2'!$AX$5:$BA$5,0))+INDEX('Tables - Part 2'!$BB$6:$BE$13,MATCH(V9,'Tables - Part 2'!$AV$6:$AV$13,0),MATCH(T9,'Tables - Part 2'!$AX$5:$BA$5,0)))/2))/2)+(INDEX('Tables - Part 2'!$AX$6:$BA$13,MATCH(V9,'Tables - Part 2'!$AV$6:$AV$13,0),MATCH(T9,'Tables - Part 2'!$AX$5:$BA$5,0))+INDEX('Tables - Part 2'!$BB$6:$BE$13,MATCH(V9,'Tables - Part 2'!$AV$6:$AV$13,0),MATCH(T9,'Tables - Part 2'!$AX$5:$BA$5,0)))/2)/2,0)</f>
        <v>0</v>
      </c>
      <c r="AF9" s="248">
        <f>IF($S9=$AF$3,(INDEX('Tables - Part 2'!$AX$6:$BA$13,MATCH(V9,'Tables - Part 2'!$AV$6:$AV$13,0),MATCH(T9,'Tables - Part 2'!$AX$5:$BA$5,0))+INDEX('Tables - Part 2'!$BB$6:$BE$13,MATCH(V9,'Tables - Part 2'!$AV$6:$AV$13,0),MATCH(T9,'Tables - Part 2'!$AX$5:$BA$5,0)))/2,0)</f>
        <v>0</v>
      </c>
      <c r="AG9" s="248">
        <f>IF($S9=$AG$3,(((INDEX('Tables - Part 2'!$AX$6:$BA$13,MATCH(V9,'Tables - Part 2'!$AV$6:$AV$13,0),MATCH(T9,'Tables - Part 2'!$AX$5:$BA$5,0))+INDEX('Tables - Part 2'!$BB$6:$BE$13,MATCH(V9,'Tables - Part 2'!$AV$6:$AV$13,0),MATCH(T9,'Tables - Part 2'!$AX$5:$BA$5,0)))/2)+(((INDEX('Tables - Part 2'!$AX$6:$BA$13,MATCH(V9,'Tables - Part 2'!$AV$6:$AV$13,0),MATCH(T9,'Tables - Part 2'!$AX$5:$BA$5,0))+INDEX('Tables - Part 2'!$BB$6:$BE$13,MATCH(V9,'Tables - Part 2'!$AV$6:$AV$13,0),MATCH(T9,'Tables - Part 2'!$AX$5:$BA$5,0)))/2)+INDEX('Tables - Part 2'!$BB$6:$BE$13,MATCH(V9,'Tables - Part 2'!$AV$6:$AV$13,0),MATCH(T9,'Tables - Part 2'!$AX$5:$BA$5,0)))/2)/2,0)</f>
        <v>0</v>
      </c>
      <c r="AH9" s="248">
        <f>IF($S9=$AH$3,(((INDEX('Tables - Part 2'!$AX$6:$BA$13,MATCH(V9,'Tables - Part 2'!$AV$6:$AV$13,0),MATCH(T9,'Tables - Part 2'!$AX$5:$BA$5,0))+INDEX('Tables - Part 2'!$BB$6:$BE$13,MATCH(V9,'Tables - Part 2'!$AV$6:$AV$13,0),MATCH(T9,'Tables - Part 2'!$AX$5:$BA$5,0)))/2)+INDEX('Tables - Part 2'!$BB$6:$BE$13,MATCH(V9,'Tables - Part 2'!$AV$6:$AV$13,0),MATCH(T9,'Tables - Part 2'!$AX$5:$BA$5,0)))/2,0)</f>
        <v>0</v>
      </c>
      <c r="AI9" s="248">
        <f>IF($S9=$AI$3,(((((INDEX('Tables - Part 2'!$AX$6:$BA$13,MATCH(V9,'Tables - Part 2'!$AV$6:$AV$13,0),MATCH(T9,'Tables - Part 2'!$AX$5:$BA$5,0))+INDEX('Tables - Part 2'!$BB$6:$BE$13,MATCH(V9,'Tables - Part 2'!$AV$6:$AV$13,0),MATCH(T9,'Tables - Part 2'!$AX$5:$BA$5,0)))/2)+INDEX('Tables - Part 2'!$BB$6:$BE$13,MATCH(V9,'Tables - Part 2'!$AV$6:$AV$13,0),MATCH(T9,'Tables - Part 2'!$AX$5:$BA$5,0)))/2)+INDEX('Tables - Part 2'!$BB$6:$BE$13,MATCH(V9,'Tables - Part 2'!$AV$6:$AV$13,0),MATCH(T9,'Tables - Part 2'!$AX$5:$BA$5,0)))/2,0)</f>
        <v>0</v>
      </c>
      <c r="AJ9" s="248">
        <f>IF($S9=$AJ$3,INDEX('Tables - Part 2'!$BB$6:$BE$13,MATCH(V9,'Tables - Part 2'!$AV$6:$AV$13,0),MATCH(T9,'Tables - Part 2'!$AX$5:$BA$5,0)),0)</f>
        <v>0</v>
      </c>
      <c r="AK9" s="248">
        <f>IF($S9=$AK$3,((INDEX('Tables - Part 2'!$BB$6:$BE$13,MATCH(V9,'Tables - Part 2'!$AV$6:$AV$13,0),MATCH(T9,'Tables - Part 2'!$AX$5:$BA$5,0)))+(INDEX('Tables - Part 2'!$BB$6:$BE$13,MATCH(V9,'Tables - Part 2'!$AV$6:$AV$13,0),MATCH(T9,'Tables - Part 2'!$AX$5:$BA$5,0))+(INDEX('Tables - Part 2'!$BB$6:$BE$13,MATCH(V9,'Tables - Part 2'!$AV$6:$AV$13,0),MATCH(T9,'Tables - Part 2'!$AX$5:$BA$5,0))+INDEX('Tables - Part 2'!$BF$6:$BI$13,MATCH(V9,'Tables - Part 2'!$AV$6:$AV$13,0),MATCH(T9,'Tables - Part 2'!$AX$5:$BA$5,0)))/2)/2)/2,0)</f>
        <v>0</v>
      </c>
      <c r="AL9" s="248">
        <f>IF($S9=$AL$3,(INDEX('Tables - Part 2'!$BB$6:$BE$13,MATCH(V9,'Tables - Part 2'!$AV$6:$AV$13,0),MATCH(T9,'Tables - Part 2'!$AX$5:$BA$5,0))+(INDEX('Tables - Part 2'!$BB$6:$BE$13,MATCH(V9,'Tables - Part 2'!$AV$6:$AV$13,0),MATCH(T9,'Tables - Part 2'!$AX$5:$BA$5,0))+INDEX('Tables - Part 2'!$BF$6:$BI$13,MATCH(V9,'Tables - Part 2'!$AV$6:$AV$13,0),MATCH(T9,'Tables - Part 2'!$AX$5:$BA$5,0)))/2)/2,0)</f>
        <v>0</v>
      </c>
      <c r="AM9" s="248">
        <f>IF($S9=$AM$3,(((INDEX('Tables - Part 2'!$BB$6:$BE$13,MATCH(V9,'Tables - Part 2'!$AV$6:$AV$13,0),MATCH(T9,'Tables - Part 2'!$AX$5:$BA$5,0))+(INDEX('Tables - Part 2'!$BB$6:$BE$13,MATCH(V9,'Tables - Part 2'!$AV$6:$AV$13,0),MATCH(T9,'Tables - Part 2'!$AX$5:$BA$5,0))+INDEX('Tables - Part 2'!$BF$6:$BI$13,MATCH(V9,'Tables - Part 2'!$AV$6:$AV$13,0),MATCH(T9,'Tables - Part 2'!$AX$5:$BA$5,0)))/2)/2)+((INDEX('Tables - Part 2'!$BB$6:$BE$13,MATCH(V9,'Tables - Part 2'!$AV$6:$AV$13,0),MATCH(T9,'Tables - Part 2'!$AX$5:$BA$5,0))+INDEX('Tables - Part 2'!$BF$6:$BI$13,MATCH(V9,'Tables - Part 2'!$AV$6:$AV$13,0),MATCH(T9,'Tables - Part 2'!$AX$5:$BA$5,0)))/2))/2,0)</f>
        <v>0</v>
      </c>
      <c r="AN9" s="248">
        <f>IF($S9=$AN$3,(INDEX('Tables - Part 2'!$BB$6:$BE$13,MATCH(V9,'Tables - Part 2'!$AV$6:$AV$13,0),MATCH(T9,'Tables - Part 2'!$AX$5:$BA$5,0))+INDEX('Tables - Part 2'!$BF$6:$BI$13,MATCH(V9,'Tables - Part 2'!$AV$6:$AV$13,0),MATCH(T9,'Tables - Part 2'!$AX$5:$BA$5,0)))/2,0)</f>
        <v>1.5</v>
      </c>
      <c r="AO9" s="248">
        <f>IF($S9=$AO$3,(((INDEX('Tables - Part 2'!$BB$6:$BE$13,MATCH(V9,'Tables - Part 2'!$AV$6:$AV$13,0),MATCH(T9,'Tables - Part 2'!$AX$5:$BA$5,0))+INDEX('Tables - Part 2'!$BF$6:$BI$13,MATCH(V9,'Tables - Part 2'!$AV$6:$AV$13,0),MATCH(T9,'Tables - Part 2'!$AX$5:$BA$5,0)))/2)+((((INDEX('Tables - Part 2'!$BB$6:$BE$13,MATCH(V9,'Tables - Part 2'!$AV$6:$AV$13,0),MATCH(T9,'Tables - Part 2'!$AX$5:$BA$5,0))+INDEX('Tables - Part 2'!$BF$6:$BI$13,MATCH(V9,'Tables - Part 2'!$AV$6:$AV$13,0),MATCH(T9,'Tables - Part 2'!$AX$5:$BA$5,0)))/2)+INDEX('Tables - Part 2'!$BF$6:$BI$13,MATCH(V9,'Tables - Part 2'!$AV$6:$AV$13,0),MATCH(T9,'Tables - Part 2'!$AX$5:$BA$5,0)))/2))/2,0)</f>
        <v>0</v>
      </c>
      <c r="AP9" s="248">
        <f>IF($S9=$AP$3,(((INDEX('Tables - Part 2'!$BB$6:$BE$13,MATCH(V9,'Tables - Part 2'!$AV$6:$AV$13,0),MATCH(T9,'Tables - Part 2'!$AX$5:$BA$5,0))+INDEX('Tables - Part 2'!$BF$6:$BI$13,MATCH(V9,'Tables - Part 2'!$AV$6:$AV$13,0),MATCH(T9,'Tables - Part 2'!$AX$5:$BA$5,0)))/2)+INDEX('Tables - Part 2'!$BF$6:$BI$13,MATCH(V9,'Tables - Part 2'!$AV$6:$AV$13,0),MATCH(T9,'Tables - Part 2'!$AX$5:$BA$5,0)))/2,0)</f>
        <v>0</v>
      </c>
      <c r="AQ9" s="248">
        <f>IF($S9=$AQ$3,(((((INDEX('Tables - Part 2'!$BB$6:$BE$13,MATCH(V9,'Tables - Part 2'!$AV$6:$AV$13,0),MATCH(T9,'Tables - Part 2'!$AX$5:$BA$5,0))+INDEX('Tables - Part 2'!$BF$6:$BI$13,MATCH(V9,'Tables - Part 2'!$AV$6:$AV$13,0),MATCH(T9,'Tables - Part 2'!$AX$5:$BA$5,0)))/2)+INDEX('Tables - Part 2'!$BF$6:$BI$13,MATCH(V9,'Tables - Part 2'!$AV$6:$AV$13,0),MATCH(T9,'Tables - Part 2'!$AX$5:$BA$5,0)))/2)+INDEX('Tables - Part 2'!$BF$6:$BI$13,MATCH(V9,'Tables - Part 2'!$AV$6:$AV$13,0),MATCH(T9,'Tables - Part 2'!$AX$5:$BA$5,0)))/2,0)</f>
        <v>0</v>
      </c>
      <c r="AR9" s="248">
        <f>IF($S9=$AR$3,INDEX('Tables - Part 2'!$BF$6:$BI$13,MATCH(V9,'Tables - Part 2'!$AV$6:$AV$13,0),MATCH(T9,'Tables - Part 2'!$AX$5:$BA$5,0)),0)</f>
        <v>0</v>
      </c>
      <c r="AS9" s="248">
        <f>IF($S9=$AS$3,(INDEX('Tables - Part 2'!$BF$6:$BI$13,MATCH(V9,'Tables - Part 2'!$AV$6:$AV$13,0),MATCH(T9,'Tables - Part 2'!$AX$5:$BA$5,0))+((INDEX('Tables - Part 2'!$BF$6:$BI$13,MATCH(V9,'Tables - Part 2'!$AV$6:$AV$13,0),MATCH(T9,'Tables - Part 2'!$AX$5:$BA$5,0))+(INDEX('Tables - Part 2'!$BF$6:$BI$13,MATCH(V9,'Tables - Part 2'!$AV$6:$AV$13,0),MATCH(T9,'Tables - Part 2'!$AX$5:$BA$5,0))+INDEX('Tables - Part 2'!$AX$17:$BA$24,MATCH(V9,'Tables - Part 2'!$AV$6:$AV$13,0),MATCH(T9,'Tables - Part 2'!$AX$5:$BA$5,0)))/2)/2))/2,0)</f>
        <v>0</v>
      </c>
      <c r="AT9" s="248">
        <f>IF($S9=$AT$3,(INDEX('Tables - Part 2'!$BF$6:$BI$13,MATCH(V9,'Tables - Part 2'!$AV$6:$AV$13,0),MATCH(T9,'Tables - Part 2'!$AX$5:$BA$5,0))+(INDEX('Tables - Part 2'!$BF$6:$BI$13,MATCH(V9,'Tables - Part 2'!$AV$6:$AV$13,0),MATCH(T9,'Tables - Part 2'!$AX$5:$BA$5,0))+INDEX('Tables - Part 2'!$AX$17:$BA$24,MATCH(V9,'Tables - Part 2'!$AV$6:$AV$13,0),MATCH(T9,'Tables - Part 2'!$AX$5:$BA$5,0)))/2)/2,0)</f>
        <v>0</v>
      </c>
      <c r="AU9" s="248">
        <f>IF($S9=$AU$3,(((INDEX('Tables - Part 2'!$BF$6:$BI$13,MATCH(V9,'Tables - Part 2'!$AV$6:$AV$13,0),MATCH(T9,'Tables - Part 2'!$AX$5:$BA$5,0))+(INDEX('Tables - Part 2'!$BF$6:$BI$13,MATCH(V9,'Tables - Part 2'!$AV$6:$AV$13,0),MATCH(T9,'Tables - Part 2'!$AX$5:$BA$5,0))+INDEX('Tables - Part 2'!$AX$17:$BA$24,MATCH(V9,'Tables - Part 2'!$AV$6:$AV$13,0),MATCH(T9,'Tables - Part 2'!$AX$5:$BA$5,0)))/2)/2)+((INDEX('Tables - Part 2'!$BF$6:$BI$13,MATCH(V9,'Tables - Part 2'!$AV$6:$AV$13,0),MATCH(T9,'Tables - Part 2'!$AX$5:$BA$5,0))+INDEX('Tables - Part 2'!$AX$17:$BA$24,MATCH(V9,'Tables - Part 2'!$AV$6:$AV$13,0),MATCH(T9,'Tables - Part 2'!$AX$5:$BA$5,0)))/2))/2,0)</f>
        <v>0</v>
      </c>
      <c r="AV9" s="248">
        <f>IF($S9=$AV$3,(INDEX('Tables - Part 2'!$BF$6:$BI$13,MATCH(V9,'Tables - Part 2'!$AV$6:$AV$13,0),MATCH(T9,'Tables - Part 2'!$AX$5:$BA$5,0))+INDEX('Tables - Part 2'!$AX$17:$BA$24,MATCH(V9,'Tables - Part 2'!$AV$6:$AV$13,0),MATCH(T9,'Tables - Part 2'!$AX$5:$BA$5,0)))/2,0)</f>
        <v>0</v>
      </c>
      <c r="AW9" s="248">
        <f>IF($S9=$AW$3,(((INDEX('Tables - Part 2'!$BF$6:$BI$13,MATCH(V9,'Tables - Part 2'!$AV$6:$AV$13,0),MATCH(T9,'Tables - Part 2'!$AX$5:$BA$5,0))+INDEX('Tables - Part 2'!$AX$17:$BA$24,MATCH(V9,'Tables - Part 2'!$AV$6:$AV$13,0),MATCH(T9,'Tables - Part 2'!$AX$5:$BA$5,0)))/2)+((((INDEX('Tables - Part 2'!$BF$6:$BI$13,MATCH(V9,'Tables - Part 2'!$AV$6:$AV$13,0),MATCH(T9,'Tables - Part 2'!$AX$5:$BA$5,0))+INDEX('Tables - Part 2'!$AX$17:$BA$24,MATCH(V9,'Tables - Part 2'!$AV$6:$AV$13,0),MATCH(T9,'Tables - Part 2'!$AX$5:$BA$5,0)))/2)+INDEX('Tables - Part 2'!$AX$17:$BA$24,MATCH(V9,'Tables - Part 2'!$AV$6:$AV$13,0),MATCH(T9,'Tables - Part 2'!$AX$5:$BA$5,0)))/2))/2,0)</f>
        <v>0</v>
      </c>
      <c r="AX9" s="248">
        <f>IF($S9=$AX$3,(((INDEX('Tables - Part 2'!$BF$6:$BI$13,MATCH(V9,'Tables - Part 2'!$AV$6:$AV$13,0),MATCH(T9,'Tables - Part 2'!$AX$5:$BA$5,0))+INDEX('Tables - Part 2'!$AX$17:$BA$24,MATCH(V9,'Tables - Part 2'!$AV$6:$AV$13,0),MATCH(T9,'Tables - Part 2'!$AX$5:$BA$5,0)))/2)+INDEX('Tables - Part 2'!$AX$17:$BA$24,MATCH(V9,'Tables - Part 2'!$AV$6:$AV$13,0),MATCH(T9,'Tables - Part 2'!$AX$5:$BA$5,0)))/2,0)</f>
        <v>0</v>
      </c>
      <c r="AY9" s="248">
        <f>IF($S9=$AY$3,(((((INDEX('Tables - Part 2'!$BF$6:$BI$13,MATCH(V9,'Tables - Part 2'!$AV$6:$AV$13,0),MATCH(T9,'Tables - Part 2'!$AX$5:$BA$5,0))+INDEX('Tables - Part 2'!$AX$17:$BA$24,MATCH(V9,'Tables - Part 2'!$AV$6:$AV$13,0),MATCH(T9,'Tables - Part 2'!$AX$5:$BA$5,0)))/2)+INDEX('Tables - Part 2'!$AX$17:$BA$24,MATCH(V9,'Tables - Part 2'!$AV$6:$AV$13,0),MATCH(T9,'Tables - Part 2'!$AX$5:$BA$5,0)))/2)+(INDEX('Tables - Part 2'!$AX$17:$BA$24,MATCH(V9,'Tables - Part 2'!$AV$6:$AV$13,0),MATCH(T9,'Tables - Part 2'!$AX$5:$BA$5,0))))/2,0)</f>
        <v>0</v>
      </c>
      <c r="AZ9" s="248">
        <f>IF($S9=$AZ$3,INDEX('Tables - Part 2'!$AX$17:$BA$24,MATCH(V9,'Tables - Part 2'!$AV$6:$AV$13,0),MATCH(T9,'Tables - Part 2'!$AX$5:$BA$5,0)),0)</f>
        <v>0</v>
      </c>
      <c r="BA9" s="248">
        <f>IF($S9=$BA$3,((INDEX('Tables - Part 2'!$AX$17:$BA$24,MATCH(V9,'Tables - Part 2'!$AV$6:$AV$13,0),MATCH(T9,'Tables - Part 2'!$AX$5:$BA$5,0)))+(((INDEX('Tables - Part 2'!$AX$17:$BA$24,MATCH(V9,'Tables - Part 2'!$AV$6:$AV$13,0),MATCH(T9,'Tables - Part 2'!$AX$5:$BA$5,0)))+(INDEX('Tables - Part 2'!$AX$17:$BA$24,MATCH(V9,'Tables - Part 2'!$AV$6:$AV$13,0),MATCH(T9,'Tables - Part 2'!$AX$5:$BA$5,0))+INDEX('Tables - Part 2'!$BB$17:$BE$24,MATCH(V9,'Tables - Part 2'!$AV$6:$AV$13,0),MATCH(T9,'Tables - Part 2'!$AX$5:$BA$5,0)))/2)/2))/2,0)</f>
        <v>0</v>
      </c>
      <c r="BB9" s="248">
        <f>IF($S9=$BB$3,((INDEX('Tables - Part 2'!$AX$17:$BA$24,MATCH(V9,'Tables - Part 2'!$AV$6:$AV$13,0),MATCH(T9,'Tables - Part 2'!$AX$5:$BA$5,0)))+(INDEX('Tables - Part 2'!$AX$17:$BA$24,MATCH(V9,'Tables - Part 2'!$AV$6:$AV$13,0),MATCH(T9,'Tables - Part 2'!$AX$5:$BA$5,0))+INDEX('Tables - Part 2'!$BB$17:$BE$24,MATCH(V9,'Tables - Part 2'!$AV$6:$AV$13,0),MATCH(T9,'Tables - Part 2'!$AX$5:$BA$5,0)))/2)/2,0)</f>
        <v>0</v>
      </c>
      <c r="BC9" s="248">
        <f>IF($S9=$BC$3,((((INDEX('Tables - Part 2'!$AX$17:$BA$24,MATCH(V9,'Tables - Part 2'!$AV$6:$AV$13,0),MATCH(T9,'Tables - Part 2'!$AX$5:$BA$5,0)))+(INDEX('Tables - Part 2'!$AX$17:$BA$24,MATCH(V9,'Tables - Part 2'!$AV$6:$AV$13,0),MATCH(T9,'Tables - Part 2'!$AX$5:$BA$5,0))+INDEX('Tables - Part 2'!$BB$17:$BE$24,MATCH(V9,'Tables - Part 2'!$AV$6:$AV$13,0),MATCH(T9,'Tables - Part 2'!$AX$5:$BA$5,0)))/2)/2)+((INDEX('Tables - Part 2'!$AX$17:$BA$24,MATCH(V9,'Tables - Part 2'!$AV$6:$AV$13,0),MATCH(T9,'Tables - Part 2'!$AX$5:$BA$5,0))+INDEX('Tables - Part 2'!$BB$17:$BE$24,MATCH(V9,'Tables - Part 2'!$AV$6:$AV$13,0),MATCH(T9,'Tables - Part 2'!$AX$5:$BA$5,0)))/2))/2,0)</f>
        <v>0</v>
      </c>
      <c r="BD9" s="248">
        <f>IF($S9=$BD$3,(INDEX('Tables - Part 2'!$AX$17:$BA$24,MATCH(V9,'Tables - Part 2'!$AV$6:$AV$13,0),MATCH(T9,'Tables - Part 2'!$AX$5:$BA$5,0))+INDEX('Tables - Part 2'!$BB$17:$BE$24,MATCH(V9,'Tables - Part 2'!$AV$6:$AV$13,0),MATCH(T9,'Tables - Part 2'!$AX$5:$BA$5,0)))/2,0)</f>
        <v>0</v>
      </c>
      <c r="BE9" s="248">
        <f>IF($S9=$BE$3,(((INDEX('Tables - Part 2'!$AX$17:$BA$24,MATCH(V9,'Tables - Part 2'!$AV$6:$AV$13,0),MATCH(T9,'Tables - Part 2'!$AX$5:$BA$5,0))+INDEX('Tables - Part 2'!$BB$17:$BE$24,MATCH(V9,'Tables - Part 2'!$AV$6:$AV$13,0),MATCH(T9,'Tables - Part 2'!$AX$5:$BA$5,0)))/2)+((((INDEX('Tables - Part 2'!$AX$17:$BA$24,MATCH(V9,'Tables - Part 2'!$AV$6:$AV$13,0),MATCH(T9,'Tables - Part 2'!$AX$5:$BA$5,0))+INDEX('Tables - Part 2'!$BB$17:$BE$24,MATCH(V9,'Tables - Part 2'!$AV$6:$AV$13,0),MATCH(T9,'Tables - Part 2'!$AX$5:$BA$5,0)))/2)+INDEX('Tables - Part 2'!$BB$17:$BE$24,MATCH(V9,'Tables - Part 2'!$AV$6:$AV$13,0),MATCH(T9,'Tables - Part 2'!$AX$5:$BA$5,0)))/2))/2,0)</f>
        <v>0</v>
      </c>
      <c r="BF9" s="248">
        <f>IF($S9=$BF$3,(((INDEX('Tables - Part 2'!$AX$17:$BA$24,MATCH(V9,'Tables - Part 2'!$AV$6:$AV$13,0),MATCH(T9,'Tables - Part 2'!$AX$5:$BA$5,0))+INDEX('Tables - Part 2'!$BB$17:$BE$24,MATCH(V9,'Tables - Part 2'!$AV$6:$AV$13,0),MATCH(T9,'Tables - Part 2'!$AX$5:$BA$5,0)))/2)+INDEX('Tables - Part 2'!$BB$17:$BE$24,MATCH(V9,'Tables - Part 2'!$AV$6:$AV$13,0),MATCH(T9,'Tables - Part 2'!$AX$5:$BA$5,0)))/2,0)</f>
        <v>0</v>
      </c>
      <c r="BG9" s="248">
        <f>IF($S9=$BG$3,(((((INDEX('Tables - Part 2'!$AX$17:$BA$24,MATCH(V9,'Tables - Part 2'!$AV$6:$AV$13,0),MATCH(T9,'Tables - Part 2'!$AX$5:$BA$5,0))+INDEX('Tables - Part 2'!$BB$17:$BE$24,MATCH(V9,'Tables - Part 2'!$AV$6:$AV$13,0),MATCH(T9,'Tables - Part 2'!$AX$5:$BA$5,0)))/2)+INDEX('Tables - Part 2'!$BB$17:$BE$24,MATCH(V9,'Tables - Part 2'!$AV$6:$AV$13,0),MATCH(T9,'Tables - Part 2'!$AX$5:$BA$5,0)))/2)+(INDEX('Tables - Part 2'!$BB$17:$BE$24,MATCH(V9,'Tables - Part 2'!$AV$6:$AV$13,0),MATCH(T9,'Tables - Part 2'!$AX$5:$BA$5,0))))/2,0)</f>
        <v>0</v>
      </c>
      <c r="BH9" s="248">
        <f>IF($S9=$BH$3,INDEX('Tables - Part 2'!$BB$17:$BE$24,MATCH(V9,'Tables - Part 2'!$AV$6:$AV$13,0),MATCH(T9,'Tables - Part 2'!$AX$5:$BA$5,0)),0)</f>
        <v>0</v>
      </c>
      <c r="BI9" s="248">
        <f>IF($S9=$BI$3,((INDEX('Tables - Part 2'!$BB$17:$BE$24,MATCH(V9,'Tables - Part 2'!$AV$6:$AV$13,0),MATCH(T9,'Tables - Part 2'!$AX$5:$BA$5,0)))+(((INDEX('Tables - Part 2'!$BB$17:$BE$24,MATCH(V9,'Tables - Part 2'!$AV$6:$AV$13,0),MATCH(T9,'Tables - Part 2'!$AX$5:$BA$5,0)))+(INDEX('Tables - Part 2'!$BB$17:$BE$24,MATCH(V9,'Tables - Part 2'!$AV$6:$AV$13,0),MATCH(T9,'Tables - Part 2'!$AX$5:$BA$5,0))+INDEX('Tables - Part 2'!$BF$17:$BI$24,MATCH(V9,'Tables - Part 2'!$AV$6:$AV$13,0),MATCH(T9,'Tables - Part 2'!$AX$5:$BA$5,0)))/2)/2))/2,0)</f>
        <v>0</v>
      </c>
      <c r="BJ9" s="248">
        <f>IF($S9=$BJ$3,((INDEX('Tables - Part 2'!$BB$17:$BE$24,MATCH(V9,'Tables - Part 2'!$AV$6:$AV$13,0),MATCH(T9,'Tables - Part 2'!$AX$5:$BA$5,0)))+(INDEX('Tables - Part 2'!$BB$17:$BE$24,MATCH(V9,'Tables - Part 2'!$AV$6:$AV$13,0),MATCH(T9,'Tables - Part 2'!$AX$5:$BA$5,0))+INDEX('Tables - Part 2'!$BF$17:$BI$24,MATCH(V9,'Tables - Part 2'!$AV$6:$AV$13,0),MATCH(T9,'Tables - Part 2'!$AX$5:$BA$5,0)))/2)/2,0)</f>
        <v>0</v>
      </c>
      <c r="BK9" s="248">
        <f>IF($S9=$BK$3,((((INDEX('Tables - Part 2'!$BB$17:$BE$24,MATCH(V9,'Tables - Part 2'!$AV$6:$AV$13,0),MATCH(T9,'Tables - Part 2'!$AX$5:$BA$5,0)))+(INDEX('Tables - Part 2'!$BB$17:$BE$24,MATCH(V9,'Tables - Part 2'!$AV$6:$AV$13,0),MATCH(T9,'Tables - Part 2'!$AX$5:$BA$5,0))+INDEX('Tables - Part 2'!$BF$17:$BI$24,MATCH(V9,'Tables - Part 2'!$AV$6:$AV$13,0),MATCH(T9,'Tables - Part 2'!$AX$5:$BA$5,0)))/2)/2)+((INDEX('Tables - Part 2'!$BB$17:$BE$24,MATCH(V9,'Tables - Part 2'!$AV$6:$AV$13,0),MATCH(T9,'Tables - Part 2'!$AX$5:$BA$5,0))+INDEX('Tables - Part 2'!$BF$17:$BI$24,MATCH(V9,'Tables - Part 2'!$AV$6:$AV$13,0),MATCH(T9,'Tables - Part 2'!$AX$5:$BA$5,0)))/2))/2,0)</f>
        <v>0</v>
      </c>
      <c r="BL9" s="248">
        <f>IF($S9=$BL$3,(INDEX('Tables - Part 2'!$BB$17:$BE$24,MATCH(V9,'Tables - Part 2'!$AV$6:$AV$13,0),MATCH(T9,'Tables - Part 2'!$AX$5:$BA$5,0))+INDEX('Tables - Part 2'!$BF$17:$BI$24,MATCH(V9,'Tables - Part 2'!$AV$6:$AV$13,0),MATCH(T9,'Tables - Part 2'!$AX$5:$BA$5,0)))/2,0)</f>
        <v>0</v>
      </c>
      <c r="BM9" s="248">
        <f>IF($S9=$BM$3,(((INDEX('Tables - Part 2'!$BB$17:$BE$24,MATCH(V9,'Tables - Part 2'!$AV$6:$AV$13,0),MATCH(T9,'Tables - Part 2'!$AX$5:$BA$5,0))+INDEX('Tables - Part 2'!$BF$17:$BI$24,MATCH(V9,'Tables - Part 2'!$AV$6:$AV$13,0),MATCH(T9,'Tables - Part 2'!$AX$5:$BA$5,0)))/2)+((((INDEX('Tables - Part 2'!$BB$17:$BE$24,MATCH(V9,'Tables - Part 2'!$AV$6:$AV$13,0),MATCH(T9,'Tables - Part 2'!$AX$5:$BA$5,0))+INDEX('Tables - Part 2'!$BF$17:$BI$24,MATCH(V9,'Tables - Part 2'!$AV$6:$AV$13,0),MATCH(T9,'Tables - Part 2'!$AX$5:$BA$5,0)))/2)+INDEX('Tables - Part 2'!$BF$17:$BI$24,MATCH(V9,'Tables - Part 2'!$AV$6:$AV$13,0),MATCH(T9,'Tables - Part 2'!$AX$5:$BA$5,0)))/2))/2,0)</f>
        <v>0</v>
      </c>
      <c r="BN9" s="248">
        <f>IF($S9=$BN$3,(((INDEX('Tables - Part 2'!$BB$17:$BE$24,MATCH(V9,'Tables - Part 2'!$AV$6:$AV$13,0),MATCH(T9,'Tables - Part 2'!$AX$5:$BA$5,0))+INDEX('Tables - Part 2'!$BF$17:$BI$24,MATCH(V9,'Tables - Part 2'!$AV$6:$AV$13,0),MATCH(T9,'Tables - Part 2'!$AX$5:$BA$5,0)))/2)+INDEX('Tables - Part 2'!$BF$17:$BI$24,MATCH(V9,'Tables - Part 2'!$AV$6:$AV$13,0),MATCH(T9,'Tables - Part 2'!$AX$5:$BA$5,0)))/2,0)</f>
        <v>0</v>
      </c>
      <c r="BO9" s="248">
        <f>IF($S9=$BO$3,(((((INDEX('Tables - Part 2'!$BB$17:$BE$24,MATCH(V9,'Tables - Part 2'!$AV$6:$AV$13,0),MATCH(T9,'Tables - Part 2'!$AX$5:$BA$5,0))+INDEX('Tables - Part 2'!$BF$17:$BI$24,MATCH(V9,'Tables - Part 2'!$AV$6:$AV$13,0),MATCH(T9,'Tables - Part 2'!$AX$5:$BA$5,0)))/2)+INDEX('Tables - Part 2'!$BF$17:$BI$24,MATCH(V9,'Tables - Part 2'!$AV$6:$AV$13,0),MATCH(T9,'Tables - Part 2'!$AX$5:$BA$5,0)))/2)+(INDEX('Tables - Part 2'!$BF$17:$BI$24,MATCH(V9,'Tables - Part 2'!$AV$6:$AV$13,0),MATCH(T9,'Tables - Part 2'!$AX$5:$BA$5,0))))/2,0)</f>
        <v>0</v>
      </c>
      <c r="BP9" s="248">
        <f>IF($S9=$BP$3,INDEX('Tables - Part 2'!$BF$17:$BI$24,MATCH(V9,'Tables - Part 2'!$AV$6:$AV$13,0),MATCH(T9,'Tables - Part 2'!$AX$5:$BA$5,0)),0)</f>
        <v>0</v>
      </c>
      <c r="BQ9" s="248">
        <f t="shared" si="7"/>
        <v>0</v>
      </c>
      <c r="BR9" s="238">
        <f t="shared" si="8"/>
        <v>1.5</v>
      </c>
      <c r="BS9" s="238">
        <f t="shared" si="9"/>
        <v>25.159323702612586</v>
      </c>
    </row>
    <row r="10" spans="2:84" x14ac:dyDescent="0.35">
      <c r="B10" s="161" t="str">
        <f>'Tratamento de Dados'!B18</f>
        <v>V-1</v>
      </c>
      <c r="C10" s="161" t="str">
        <f>'Tratamento de Dados'!D18</f>
        <v>Casco</v>
      </c>
      <c r="D10" s="209" t="s">
        <v>245</v>
      </c>
      <c r="E10" s="209" t="s">
        <v>245</v>
      </c>
      <c r="F10" s="439">
        <v>0.02</v>
      </c>
      <c r="G10" s="209">
        <v>150</v>
      </c>
      <c r="H10" s="209" t="s">
        <v>244</v>
      </c>
      <c r="I10" s="209" t="s">
        <v>245</v>
      </c>
      <c r="J10" s="209" t="s">
        <v>244</v>
      </c>
      <c r="K10" s="209" t="s">
        <v>245</v>
      </c>
      <c r="L10" s="210">
        <v>39092</v>
      </c>
      <c r="M10" s="209">
        <v>0</v>
      </c>
      <c r="N10" s="209">
        <v>1</v>
      </c>
      <c r="O10" s="209">
        <v>1</v>
      </c>
      <c r="P10" s="209">
        <v>4</v>
      </c>
      <c r="Q10" s="253">
        <f>'Tratamento de Dados'!DA18</f>
        <v>0</v>
      </c>
      <c r="R10" s="253">
        <f>'Tratamento de Dados'!DB18</f>
        <v>0</v>
      </c>
      <c r="S10" s="256">
        <f t="shared" si="0"/>
        <v>2.5</v>
      </c>
      <c r="T10" s="246" t="str">
        <f t="shared" si="1"/>
        <v>B</v>
      </c>
      <c r="U10" s="238" t="str">
        <f t="shared" si="2"/>
        <v>Low</v>
      </c>
      <c r="V10" s="238">
        <f>(IF(AND(D10=$BX$2,E10&lt;&gt;$BX$2),"Fitness-For-Service",INDEX('Tables - Part 2'!$AT$4:$AT$7,MATCH(Caustic_Cracking!U10,'Tables - Part 2'!$AS$4:$AS$7,0))))</f>
        <v>50</v>
      </c>
      <c r="W10" s="238">
        <f>IF(L10=0,(Thinning!G11-Thinning!F11)/365.25,(Thinning!G11-L10)/365.25)</f>
        <v>12.980150581793293</v>
      </c>
      <c r="X10" s="248">
        <f t="shared" si="3"/>
        <v>0</v>
      </c>
      <c r="Y10" s="248">
        <f t="shared" si="4"/>
        <v>2.5</v>
      </c>
      <c r="Z10" s="248">
        <f t="shared" si="5"/>
        <v>3</v>
      </c>
      <c r="AA10" s="247">
        <f t="shared" si="6"/>
        <v>4</v>
      </c>
      <c r="AB10" s="248">
        <f>IF($S10=$AB$3,INDEX('Tables - Part 2'!$AX$6:$BA$13,MATCH(V10,'Tables - Part 2'!$AV$6:$AV$13,0),MATCH(T10,'Tables - Part 2'!$AX$5:$BA$5,0)),0)</f>
        <v>0</v>
      </c>
      <c r="AC10" s="248">
        <f>IF($S10=$AC$3,(INDEX('Tables - Part 2'!$AX$6:$BA$13,MATCH(V10,'Tables - Part 2'!$AV$6:$AV$13,0),MATCH(T10,'Tables - Part 2'!$AX$5:$BA$5,0))+(INDEX('Tables - Part 2'!$AX$6:$BA$13,MATCH(V10,'Tables - Part 2'!$AV$6:$AV$13,0),MATCH(T10,'Tables - Part 2'!$AX$5:$BA$5,0))+((INDEX('Tables - Part 2'!$AX$6:$BA$13,MATCH(V10,'Tables - Part 2'!$AV$6:$AV$13,0),MATCH(T10,'Tables - Part 2'!$AX$5:$BA$5,0))+INDEX('Tables - Part 2'!$BB$6:$BE$13,MATCH(V10,'Tables - Part 2'!$AV$6:$AV$13,0),MATCH(T10,'Tables - Part 2'!$AX$5:$BA$5,0)))/2))/2)/2,0)</f>
        <v>0</v>
      </c>
      <c r="AD10" s="248">
        <f>IF($S10=$AD$3,(INDEX('Tables - Part 2'!$AX$6:$BA$13,MATCH(V10,'Tables - Part 2'!$AV$6:$AV$13,0),MATCH(T10,'Tables - Part 2'!$AX$5:$BA$5,0))+((INDEX('Tables - Part 2'!$AX$6:$BA$13,MATCH(V10,'Tables - Part 2'!$AV$6:$AV$13,0),MATCH(T10,'Tables - Part 2'!$AX$5:$BA$5,0))+INDEX('Tables - Part 2'!$BB$6:$BE$13,MATCH(V10,'Tables - Part 2'!$AV$6:$AV$13,0),MATCH(T10,'Tables - Part 2'!$AX$5:$BA$5,0)))/2))/2,0)</f>
        <v>0</v>
      </c>
      <c r="AE10" s="248">
        <f>IF($S10=$AE$3,(((INDEX('Tables - Part 2'!$AX$6:$BA$13,MATCH(V10,'Tables - Part 2'!$AV$6:$AV$13,0),MATCH(T10,'Tables - Part 2'!$AX$5:$BA$5,0))+((INDEX('Tables - Part 2'!$AX$6:$BA$13,MATCH(V10,'Tables - Part 2'!$AV$6:$AV$13,0),MATCH(T10,'Tables - Part 2'!$AX$5:$BA$5,0))+INDEX('Tables - Part 2'!$BB$6:$BE$13,MATCH(V10,'Tables - Part 2'!$AV$6:$AV$13,0),MATCH(T10,'Tables - Part 2'!$AX$5:$BA$5,0)))/2))/2)+(INDEX('Tables - Part 2'!$AX$6:$BA$13,MATCH(V10,'Tables - Part 2'!$AV$6:$AV$13,0),MATCH(T10,'Tables - Part 2'!$AX$5:$BA$5,0))+INDEX('Tables - Part 2'!$BB$6:$BE$13,MATCH(V10,'Tables - Part 2'!$AV$6:$AV$13,0),MATCH(T10,'Tables - Part 2'!$AX$5:$BA$5,0)))/2)/2,0)</f>
        <v>0</v>
      </c>
      <c r="AF10" s="248">
        <f>IF($S10=$AF$3,(INDEX('Tables - Part 2'!$AX$6:$BA$13,MATCH(V10,'Tables - Part 2'!$AV$6:$AV$13,0),MATCH(T10,'Tables - Part 2'!$AX$5:$BA$5,0))+INDEX('Tables - Part 2'!$BB$6:$BE$13,MATCH(V10,'Tables - Part 2'!$AV$6:$AV$13,0),MATCH(T10,'Tables - Part 2'!$AX$5:$BA$5,0)))/2,0)</f>
        <v>0</v>
      </c>
      <c r="AG10" s="248">
        <f>IF($S10=$AG$3,(((INDEX('Tables - Part 2'!$AX$6:$BA$13,MATCH(V10,'Tables - Part 2'!$AV$6:$AV$13,0),MATCH(T10,'Tables - Part 2'!$AX$5:$BA$5,0))+INDEX('Tables - Part 2'!$BB$6:$BE$13,MATCH(V10,'Tables - Part 2'!$AV$6:$AV$13,0),MATCH(T10,'Tables - Part 2'!$AX$5:$BA$5,0)))/2)+(((INDEX('Tables - Part 2'!$AX$6:$BA$13,MATCH(V10,'Tables - Part 2'!$AV$6:$AV$13,0),MATCH(T10,'Tables - Part 2'!$AX$5:$BA$5,0))+INDEX('Tables - Part 2'!$BB$6:$BE$13,MATCH(V10,'Tables - Part 2'!$AV$6:$AV$13,0),MATCH(T10,'Tables - Part 2'!$AX$5:$BA$5,0)))/2)+INDEX('Tables - Part 2'!$BB$6:$BE$13,MATCH(V10,'Tables - Part 2'!$AV$6:$AV$13,0),MATCH(T10,'Tables - Part 2'!$AX$5:$BA$5,0)))/2)/2,0)</f>
        <v>0</v>
      </c>
      <c r="AH10" s="248">
        <f>IF($S10=$AH$3,(((INDEX('Tables - Part 2'!$AX$6:$BA$13,MATCH(V10,'Tables - Part 2'!$AV$6:$AV$13,0),MATCH(T10,'Tables - Part 2'!$AX$5:$BA$5,0))+INDEX('Tables - Part 2'!$BB$6:$BE$13,MATCH(V10,'Tables - Part 2'!$AV$6:$AV$13,0),MATCH(T10,'Tables - Part 2'!$AX$5:$BA$5,0)))/2)+INDEX('Tables - Part 2'!$BB$6:$BE$13,MATCH(V10,'Tables - Part 2'!$AV$6:$AV$13,0),MATCH(T10,'Tables - Part 2'!$AX$5:$BA$5,0)))/2,0)</f>
        <v>0</v>
      </c>
      <c r="AI10" s="248">
        <f>IF($S10=$AI$3,(((((INDEX('Tables - Part 2'!$AX$6:$BA$13,MATCH(V10,'Tables - Part 2'!$AV$6:$AV$13,0),MATCH(T10,'Tables - Part 2'!$AX$5:$BA$5,0))+INDEX('Tables - Part 2'!$BB$6:$BE$13,MATCH(V10,'Tables - Part 2'!$AV$6:$AV$13,0),MATCH(T10,'Tables - Part 2'!$AX$5:$BA$5,0)))/2)+INDEX('Tables - Part 2'!$BB$6:$BE$13,MATCH(V10,'Tables - Part 2'!$AV$6:$AV$13,0),MATCH(T10,'Tables - Part 2'!$AX$5:$BA$5,0)))/2)+INDEX('Tables - Part 2'!$BB$6:$BE$13,MATCH(V10,'Tables - Part 2'!$AV$6:$AV$13,0),MATCH(T10,'Tables - Part 2'!$AX$5:$BA$5,0)))/2,0)</f>
        <v>0</v>
      </c>
      <c r="AJ10" s="248">
        <f>IF($S10=$AJ$3,INDEX('Tables - Part 2'!$BB$6:$BE$13,MATCH(V10,'Tables - Part 2'!$AV$6:$AV$13,0),MATCH(T10,'Tables - Part 2'!$AX$5:$BA$5,0)),0)</f>
        <v>0</v>
      </c>
      <c r="AK10" s="248">
        <f>IF($S10=$AK$3,((INDEX('Tables - Part 2'!$BB$6:$BE$13,MATCH(V10,'Tables - Part 2'!$AV$6:$AV$13,0),MATCH(T10,'Tables - Part 2'!$AX$5:$BA$5,0)))+(INDEX('Tables - Part 2'!$BB$6:$BE$13,MATCH(V10,'Tables - Part 2'!$AV$6:$AV$13,0),MATCH(T10,'Tables - Part 2'!$AX$5:$BA$5,0))+(INDEX('Tables - Part 2'!$BB$6:$BE$13,MATCH(V10,'Tables - Part 2'!$AV$6:$AV$13,0),MATCH(T10,'Tables - Part 2'!$AX$5:$BA$5,0))+INDEX('Tables - Part 2'!$BF$6:$BI$13,MATCH(V10,'Tables - Part 2'!$AV$6:$AV$13,0),MATCH(T10,'Tables - Part 2'!$AX$5:$BA$5,0)))/2)/2)/2,0)</f>
        <v>0</v>
      </c>
      <c r="AL10" s="248">
        <f>IF($S10=$AL$3,(INDEX('Tables - Part 2'!$BB$6:$BE$13,MATCH(V10,'Tables - Part 2'!$AV$6:$AV$13,0),MATCH(T10,'Tables - Part 2'!$AX$5:$BA$5,0))+(INDEX('Tables - Part 2'!$BB$6:$BE$13,MATCH(V10,'Tables - Part 2'!$AV$6:$AV$13,0),MATCH(T10,'Tables - Part 2'!$AX$5:$BA$5,0))+INDEX('Tables - Part 2'!$BF$6:$BI$13,MATCH(V10,'Tables - Part 2'!$AV$6:$AV$13,0),MATCH(T10,'Tables - Part 2'!$AX$5:$BA$5,0)))/2)/2,0)</f>
        <v>0</v>
      </c>
      <c r="AM10" s="248">
        <f>IF($S10=$AM$3,(((INDEX('Tables - Part 2'!$BB$6:$BE$13,MATCH(V10,'Tables - Part 2'!$AV$6:$AV$13,0),MATCH(T10,'Tables - Part 2'!$AX$5:$BA$5,0))+(INDEX('Tables - Part 2'!$BB$6:$BE$13,MATCH(V10,'Tables - Part 2'!$AV$6:$AV$13,0),MATCH(T10,'Tables - Part 2'!$AX$5:$BA$5,0))+INDEX('Tables - Part 2'!$BF$6:$BI$13,MATCH(V10,'Tables - Part 2'!$AV$6:$AV$13,0),MATCH(T10,'Tables - Part 2'!$AX$5:$BA$5,0)))/2)/2)+((INDEX('Tables - Part 2'!$BB$6:$BE$13,MATCH(V10,'Tables - Part 2'!$AV$6:$AV$13,0),MATCH(T10,'Tables - Part 2'!$AX$5:$BA$5,0))+INDEX('Tables - Part 2'!$BF$6:$BI$13,MATCH(V10,'Tables - Part 2'!$AV$6:$AV$13,0),MATCH(T10,'Tables - Part 2'!$AX$5:$BA$5,0)))/2))/2,0)</f>
        <v>0</v>
      </c>
      <c r="AN10" s="248">
        <f>IF($S10=$AN$3,(INDEX('Tables - Part 2'!$BB$6:$BE$13,MATCH(V10,'Tables - Part 2'!$AV$6:$AV$13,0),MATCH(T10,'Tables - Part 2'!$AX$5:$BA$5,0))+INDEX('Tables - Part 2'!$BF$6:$BI$13,MATCH(V10,'Tables - Part 2'!$AV$6:$AV$13,0),MATCH(T10,'Tables - Part 2'!$AX$5:$BA$5,0)))/2,0)</f>
        <v>1.5</v>
      </c>
      <c r="AO10" s="248">
        <f>IF($S10=$AO$3,(((INDEX('Tables - Part 2'!$BB$6:$BE$13,MATCH(V10,'Tables - Part 2'!$AV$6:$AV$13,0),MATCH(T10,'Tables - Part 2'!$AX$5:$BA$5,0))+INDEX('Tables - Part 2'!$BF$6:$BI$13,MATCH(V10,'Tables - Part 2'!$AV$6:$AV$13,0),MATCH(T10,'Tables - Part 2'!$AX$5:$BA$5,0)))/2)+((((INDEX('Tables - Part 2'!$BB$6:$BE$13,MATCH(V10,'Tables - Part 2'!$AV$6:$AV$13,0),MATCH(T10,'Tables - Part 2'!$AX$5:$BA$5,0))+INDEX('Tables - Part 2'!$BF$6:$BI$13,MATCH(V10,'Tables - Part 2'!$AV$6:$AV$13,0),MATCH(T10,'Tables - Part 2'!$AX$5:$BA$5,0)))/2)+INDEX('Tables - Part 2'!$BF$6:$BI$13,MATCH(V10,'Tables - Part 2'!$AV$6:$AV$13,0),MATCH(T10,'Tables - Part 2'!$AX$5:$BA$5,0)))/2))/2,0)</f>
        <v>0</v>
      </c>
      <c r="AP10" s="248">
        <f>IF($S10=$AP$3,(((INDEX('Tables - Part 2'!$BB$6:$BE$13,MATCH(V10,'Tables - Part 2'!$AV$6:$AV$13,0),MATCH(T10,'Tables - Part 2'!$AX$5:$BA$5,0))+INDEX('Tables - Part 2'!$BF$6:$BI$13,MATCH(V10,'Tables - Part 2'!$AV$6:$AV$13,0),MATCH(T10,'Tables - Part 2'!$AX$5:$BA$5,0)))/2)+INDEX('Tables - Part 2'!$BF$6:$BI$13,MATCH(V10,'Tables - Part 2'!$AV$6:$AV$13,0),MATCH(T10,'Tables - Part 2'!$AX$5:$BA$5,0)))/2,0)</f>
        <v>0</v>
      </c>
      <c r="AQ10" s="248">
        <f>IF($S10=$AQ$3,(((((INDEX('Tables - Part 2'!$BB$6:$BE$13,MATCH(V10,'Tables - Part 2'!$AV$6:$AV$13,0),MATCH(T10,'Tables - Part 2'!$AX$5:$BA$5,0))+INDEX('Tables - Part 2'!$BF$6:$BI$13,MATCH(V10,'Tables - Part 2'!$AV$6:$AV$13,0),MATCH(T10,'Tables - Part 2'!$AX$5:$BA$5,0)))/2)+INDEX('Tables - Part 2'!$BF$6:$BI$13,MATCH(V10,'Tables - Part 2'!$AV$6:$AV$13,0),MATCH(T10,'Tables - Part 2'!$AX$5:$BA$5,0)))/2)+INDEX('Tables - Part 2'!$BF$6:$BI$13,MATCH(V10,'Tables - Part 2'!$AV$6:$AV$13,0),MATCH(T10,'Tables - Part 2'!$AX$5:$BA$5,0)))/2,0)</f>
        <v>0</v>
      </c>
      <c r="AR10" s="248">
        <f>IF($S10=$AR$3,INDEX('Tables - Part 2'!$BF$6:$BI$13,MATCH(V10,'Tables - Part 2'!$AV$6:$AV$13,0),MATCH(T10,'Tables - Part 2'!$AX$5:$BA$5,0)),0)</f>
        <v>0</v>
      </c>
      <c r="AS10" s="248">
        <f>IF($S10=$AS$3,(INDEX('Tables - Part 2'!$BF$6:$BI$13,MATCH(V10,'Tables - Part 2'!$AV$6:$AV$13,0),MATCH(T10,'Tables - Part 2'!$AX$5:$BA$5,0))+((INDEX('Tables - Part 2'!$BF$6:$BI$13,MATCH(V10,'Tables - Part 2'!$AV$6:$AV$13,0),MATCH(T10,'Tables - Part 2'!$AX$5:$BA$5,0))+(INDEX('Tables - Part 2'!$BF$6:$BI$13,MATCH(V10,'Tables - Part 2'!$AV$6:$AV$13,0),MATCH(T10,'Tables - Part 2'!$AX$5:$BA$5,0))+INDEX('Tables - Part 2'!$AX$17:$BA$24,MATCH(V10,'Tables - Part 2'!$AV$6:$AV$13,0),MATCH(T10,'Tables - Part 2'!$AX$5:$BA$5,0)))/2)/2))/2,0)</f>
        <v>0</v>
      </c>
      <c r="AT10" s="248">
        <f>IF($S10=$AT$3,(INDEX('Tables - Part 2'!$BF$6:$BI$13,MATCH(V10,'Tables - Part 2'!$AV$6:$AV$13,0),MATCH(T10,'Tables - Part 2'!$AX$5:$BA$5,0))+(INDEX('Tables - Part 2'!$BF$6:$BI$13,MATCH(V10,'Tables - Part 2'!$AV$6:$AV$13,0),MATCH(T10,'Tables - Part 2'!$AX$5:$BA$5,0))+INDEX('Tables - Part 2'!$AX$17:$BA$24,MATCH(V10,'Tables - Part 2'!$AV$6:$AV$13,0),MATCH(T10,'Tables - Part 2'!$AX$5:$BA$5,0)))/2)/2,0)</f>
        <v>0</v>
      </c>
      <c r="AU10" s="248">
        <f>IF($S10=$AU$3,(((INDEX('Tables - Part 2'!$BF$6:$BI$13,MATCH(V10,'Tables - Part 2'!$AV$6:$AV$13,0),MATCH(T10,'Tables - Part 2'!$AX$5:$BA$5,0))+(INDEX('Tables - Part 2'!$BF$6:$BI$13,MATCH(V10,'Tables - Part 2'!$AV$6:$AV$13,0),MATCH(T10,'Tables - Part 2'!$AX$5:$BA$5,0))+INDEX('Tables - Part 2'!$AX$17:$BA$24,MATCH(V10,'Tables - Part 2'!$AV$6:$AV$13,0),MATCH(T10,'Tables - Part 2'!$AX$5:$BA$5,0)))/2)/2)+((INDEX('Tables - Part 2'!$BF$6:$BI$13,MATCH(V10,'Tables - Part 2'!$AV$6:$AV$13,0),MATCH(T10,'Tables - Part 2'!$AX$5:$BA$5,0))+INDEX('Tables - Part 2'!$AX$17:$BA$24,MATCH(V10,'Tables - Part 2'!$AV$6:$AV$13,0),MATCH(T10,'Tables - Part 2'!$AX$5:$BA$5,0)))/2))/2,0)</f>
        <v>0</v>
      </c>
      <c r="AV10" s="248">
        <f>IF($S10=$AV$3,(INDEX('Tables - Part 2'!$BF$6:$BI$13,MATCH(V10,'Tables - Part 2'!$AV$6:$AV$13,0),MATCH(T10,'Tables - Part 2'!$AX$5:$BA$5,0))+INDEX('Tables - Part 2'!$AX$17:$BA$24,MATCH(V10,'Tables - Part 2'!$AV$6:$AV$13,0),MATCH(T10,'Tables - Part 2'!$AX$5:$BA$5,0)))/2,0)</f>
        <v>0</v>
      </c>
      <c r="AW10" s="248">
        <f>IF($S10=$AW$3,(((INDEX('Tables - Part 2'!$BF$6:$BI$13,MATCH(V10,'Tables - Part 2'!$AV$6:$AV$13,0),MATCH(T10,'Tables - Part 2'!$AX$5:$BA$5,0))+INDEX('Tables - Part 2'!$AX$17:$BA$24,MATCH(V10,'Tables - Part 2'!$AV$6:$AV$13,0),MATCH(T10,'Tables - Part 2'!$AX$5:$BA$5,0)))/2)+((((INDEX('Tables - Part 2'!$BF$6:$BI$13,MATCH(V10,'Tables - Part 2'!$AV$6:$AV$13,0),MATCH(T10,'Tables - Part 2'!$AX$5:$BA$5,0))+INDEX('Tables - Part 2'!$AX$17:$BA$24,MATCH(V10,'Tables - Part 2'!$AV$6:$AV$13,0),MATCH(T10,'Tables - Part 2'!$AX$5:$BA$5,0)))/2)+INDEX('Tables - Part 2'!$AX$17:$BA$24,MATCH(V10,'Tables - Part 2'!$AV$6:$AV$13,0),MATCH(T10,'Tables - Part 2'!$AX$5:$BA$5,0)))/2))/2,0)</f>
        <v>0</v>
      </c>
      <c r="AX10" s="248">
        <f>IF($S10=$AX$3,(((INDEX('Tables - Part 2'!$BF$6:$BI$13,MATCH(V10,'Tables - Part 2'!$AV$6:$AV$13,0),MATCH(T10,'Tables - Part 2'!$AX$5:$BA$5,0))+INDEX('Tables - Part 2'!$AX$17:$BA$24,MATCH(V10,'Tables - Part 2'!$AV$6:$AV$13,0),MATCH(T10,'Tables - Part 2'!$AX$5:$BA$5,0)))/2)+INDEX('Tables - Part 2'!$AX$17:$BA$24,MATCH(V10,'Tables - Part 2'!$AV$6:$AV$13,0),MATCH(T10,'Tables - Part 2'!$AX$5:$BA$5,0)))/2,0)</f>
        <v>0</v>
      </c>
      <c r="AY10" s="248">
        <f>IF($S10=$AY$3,(((((INDEX('Tables - Part 2'!$BF$6:$BI$13,MATCH(V10,'Tables - Part 2'!$AV$6:$AV$13,0),MATCH(T10,'Tables - Part 2'!$AX$5:$BA$5,0))+INDEX('Tables - Part 2'!$AX$17:$BA$24,MATCH(V10,'Tables - Part 2'!$AV$6:$AV$13,0),MATCH(T10,'Tables - Part 2'!$AX$5:$BA$5,0)))/2)+INDEX('Tables - Part 2'!$AX$17:$BA$24,MATCH(V10,'Tables - Part 2'!$AV$6:$AV$13,0),MATCH(T10,'Tables - Part 2'!$AX$5:$BA$5,0)))/2)+(INDEX('Tables - Part 2'!$AX$17:$BA$24,MATCH(V10,'Tables - Part 2'!$AV$6:$AV$13,0),MATCH(T10,'Tables - Part 2'!$AX$5:$BA$5,0))))/2,0)</f>
        <v>0</v>
      </c>
      <c r="AZ10" s="248">
        <f>IF($S10=$AZ$3,INDEX('Tables - Part 2'!$AX$17:$BA$24,MATCH(V10,'Tables - Part 2'!$AV$6:$AV$13,0),MATCH(T10,'Tables - Part 2'!$AX$5:$BA$5,0)),0)</f>
        <v>0</v>
      </c>
      <c r="BA10" s="248">
        <f>IF($S10=$BA$3,((INDEX('Tables - Part 2'!$AX$17:$BA$24,MATCH(V10,'Tables - Part 2'!$AV$6:$AV$13,0),MATCH(T10,'Tables - Part 2'!$AX$5:$BA$5,0)))+(((INDEX('Tables - Part 2'!$AX$17:$BA$24,MATCH(V10,'Tables - Part 2'!$AV$6:$AV$13,0),MATCH(T10,'Tables - Part 2'!$AX$5:$BA$5,0)))+(INDEX('Tables - Part 2'!$AX$17:$BA$24,MATCH(V10,'Tables - Part 2'!$AV$6:$AV$13,0),MATCH(T10,'Tables - Part 2'!$AX$5:$BA$5,0))+INDEX('Tables - Part 2'!$BB$17:$BE$24,MATCH(V10,'Tables - Part 2'!$AV$6:$AV$13,0),MATCH(T10,'Tables - Part 2'!$AX$5:$BA$5,0)))/2)/2))/2,0)</f>
        <v>0</v>
      </c>
      <c r="BB10" s="248">
        <f>IF($S10=$BB$3,((INDEX('Tables - Part 2'!$AX$17:$BA$24,MATCH(V10,'Tables - Part 2'!$AV$6:$AV$13,0),MATCH(T10,'Tables - Part 2'!$AX$5:$BA$5,0)))+(INDEX('Tables - Part 2'!$AX$17:$BA$24,MATCH(V10,'Tables - Part 2'!$AV$6:$AV$13,0),MATCH(T10,'Tables - Part 2'!$AX$5:$BA$5,0))+INDEX('Tables - Part 2'!$BB$17:$BE$24,MATCH(V10,'Tables - Part 2'!$AV$6:$AV$13,0),MATCH(T10,'Tables - Part 2'!$AX$5:$BA$5,0)))/2)/2,0)</f>
        <v>0</v>
      </c>
      <c r="BC10" s="248">
        <f>IF($S10=$BC$3,((((INDEX('Tables - Part 2'!$AX$17:$BA$24,MATCH(V10,'Tables - Part 2'!$AV$6:$AV$13,0),MATCH(T10,'Tables - Part 2'!$AX$5:$BA$5,0)))+(INDEX('Tables - Part 2'!$AX$17:$BA$24,MATCH(V10,'Tables - Part 2'!$AV$6:$AV$13,0),MATCH(T10,'Tables - Part 2'!$AX$5:$BA$5,0))+INDEX('Tables - Part 2'!$BB$17:$BE$24,MATCH(V10,'Tables - Part 2'!$AV$6:$AV$13,0),MATCH(T10,'Tables - Part 2'!$AX$5:$BA$5,0)))/2)/2)+((INDEX('Tables - Part 2'!$AX$17:$BA$24,MATCH(V10,'Tables - Part 2'!$AV$6:$AV$13,0),MATCH(T10,'Tables - Part 2'!$AX$5:$BA$5,0))+INDEX('Tables - Part 2'!$BB$17:$BE$24,MATCH(V10,'Tables - Part 2'!$AV$6:$AV$13,0),MATCH(T10,'Tables - Part 2'!$AX$5:$BA$5,0)))/2))/2,0)</f>
        <v>0</v>
      </c>
      <c r="BD10" s="248">
        <f>IF($S10=$BD$3,(INDEX('Tables - Part 2'!$AX$17:$BA$24,MATCH(V10,'Tables - Part 2'!$AV$6:$AV$13,0),MATCH(T10,'Tables - Part 2'!$AX$5:$BA$5,0))+INDEX('Tables - Part 2'!$BB$17:$BE$24,MATCH(V10,'Tables - Part 2'!$AV$6:$AV$13,0),MATCH(T10,'Tables - Part 2'!$AX$5:$BA$5,0)))/2,0)</f>
        <v>0</v>
      </c>
      <c r="BE10" s="248">
        <f>IF($S10=$BE$3,(((INDEX('Tables - Part 2'!$AX$17:$BA$24,MATCH(V10,'Tables - Part 2'!$AV$6:$AV$13,0),MATCH(T10,'Tables - Part 2'!$AX$5:$BA$5,0))+INDEX('Tables - Part 2'!$BB$17:$BE$24,MATCH(V10,'Tables - Part 2'!$AV$6:$AV$13,0),MATCH(T10,'Tables - Part 2'!$AX$5:$BA$5,0)))/2)+((((INDEX('Tables - Part 2'!$AX$17:$BA$24,MATCH(V10,'Tables - Part 2'!$AV$6:$AV$13,0),MATCH(T10,'Tables - Part 2'!$AX$5:$BA$5,0))+INDEX('Tables - Part 2'!$BB$17:$BE$24,MATCH(V10,'Tables - Part 2'!$AV$6:$AV$13,0),MATCH(T10,'Tables - Part 2'!$AX$5:$BA$5,0)))/2)+INDEX('Tables - Part 2'!$BB$17:$BE$24,MATCH(V10,'Tables - Part 2'!$AV$6:$AV$13,0),MATCH(T10,'Tables - Part 2'!$AX$5:$BA$5,0)))/2))/2,0)</f>
        <v>0</v>
      </c>
      <c r="BF10" s="248">
        <f>IF($S10=$BF$3,(((INDEX('Tables - Part 2'!$AX$17:$BA$24,MATCH(V10,'Tables - Part 2'!$AV$6:$AV$13,0),MATCH(T10,'Tables - Part 2'!$AX$5:$BA$5,0))+INDEX('Tables - Part 2'!$BB$17:$BE$24,MATCH(V10,'Tables - Part 2'!$AV$6:$AV$13,0),MATCH(T10,'Tables - Part 2'!$AX$5:$BA$5,0)))/2)+INDEX('Tables - Part 2'!$BB$17:$BE$24,MATCH(V10,'Tables - Part 2'!$AV$6:$AV$13,0),MATCH(T10,'Tables - Part 2'!$AX$5:$BA$5,0)))/2,0)</f>
        <v>0</v>
      </c>
      <c r="BG10" s="248">
        <f>IF($S10=$BG$3,(((((INDEX('Tables - Part 2'!$AX$17:$BA$24,MATCH(V10,'Tables - Part 2'!$AV$6:$AV$13,0),MATCH(T10,'Tables - Part 2'!$AX$5:$BA$5,0))+INDEX('Tables - Part 2'!$BB$17:$BE$24,MATCH(V10,'Tables - Part 2'!$AV$6:$AV$13,0),MATCH(T10,'Tables - Part 2'!$AX$5:$BA$5,0)))/2)+INDEX('Tables - Part 2'!$BB$17:$BE$24,MATCH(V10,'Tables - Part 2'!$AV$6:$AV$13,0),MATCH(T10,'Tables - Part 2'!$AX$5:$BA$5,0)))/2)+(INDEX('Tables - Part 2'!$BB$17:$BE$24,MATCH(V10,'Tables - Part 2'!$AV$6:$AV$13,0),MATCH(T10,'Tables - Part 2'!$AX$5:$BA$5,0))))/2,0)</f>
        <v>0</v>
      </c>
      <c r="BH10" s="248">
        <f>IF($S10=$BH$3,INDEX('Tables - Part 2'!$BB$17:$BE$24,MATCH(V10,'Tables - Part 2'!$AV$6:$AV$13,0),MATCH(T10,'Tables - Part 2'!$AX$5:$BA$5,0)),0)</f>
        <v>0</v>
      </c>
      <c r="BI10" s="248">
        <f>IF($S10=$BI$3,((INDEX('Tables - Part 2'!$BB$17:$BE$24,MATCH(V10,'Tables - Part 2'!$AV$6:$AV$13,0),MATCH(T10,'Tables - Part 2'!$AX$5:$BA$5,0)))+(((INDEX('Tables - Part 2'!$BB$17:$BE$24,MATCH(V10,'Tables - Part 2'!$AV$6:$AV$13,0),MATCH(T10,'Tables - Part 2'!$AX$5:$BA$5,0)))+(INDEX('Tables - Part 2'!$BB$17:$BE$24,MATCH(V10,'Tables - Part 2'!$AV$6:$AV$13,0),MATCH(T10,'Tables - Part 2'!$AX$5:$BA$5,0))+INDEX('Tables - Part 2'!$BF$17:$BI$24,MATCH(V10,'Tables - Part 2'!$AV$6:$AV$13,0),MATCH(T10,'Tables - Part 2'!$AX$5:$BA$5,0)))/2)/2))/2,0)</f>
        <v>0</v>
      </c>
      <c r="BJ10" s="248">
        <f>IF($S10=$BJ$3,((INDEX('Tables - Part 2'!$BB$17:$BE$24,MATCH(V10,'Tables - Part 2'!$AV$6:$AV$13,0),MATCH(T10,'Tables - Part 2'!$AX$5:$BA$5,0)))+(INDEX('Tables - Part 2'!$BB$17:$BE$24,MATCH(V10,'Tables - Part 2'!$AV$6:$AV$13,0),MATCH(T10,'Tables - Part 2'!$AX$5:$BA$5,0))+INDEX('Tables - Part 2'!$BF$17:$BI$24,MATCH(V10,'Tables - Part 2'!$AV$6:$AV$13,0),MATCH(T10,'Tables - Part 2'!$AX$5:$BA$5,0)))/2)/2,0)</f>
        <v>0</v>
      </c>
      <c r="BK10" s="248">
        <f>IF($S10=$BK$3,((((INDEX('Tables - Part 2'!$BB$17:$BE$24,MATCH(V10,'Tables - Part 2'!$AV$6:$AV$13,0),MATCH(T10,'Tables - Part 2'!$AX$5:$BA$5,0)))+(INDEX('Tables - Part 2'!$BB$17:$BE$24,MATCH(V10,'Tables - Part 2'!$AV$6:$AV$13,0),MATCH(T10,'Tables - Part 2'!$AX$5:$BA$5,0))+INDEX('Tables - Part 2'!$BF$17:$BI$24,MATCH(V10,'Tables - Part 2'!$AV$6:$AV$13,0),MATCH(T10,'Tables - Part 2'!$AX$5:$BA$5,0)))/2)/2)+((INDEX('Tables - Part 2'!$BB$17:$BE$24,MATCH(V10,'Tables - Part 2'!$AV$6:$AV$13,0),MATCH(T10,'Tables - Part 2'!$AX$5:$BA$5,0))+INDEX('Tables - Part 2'!$BF$17:$BI$24,MATCH(V10,'Tables - Part 2'!$AV$6:$AV$13,0),MATCH(T10,'Tables - Part 2'!$AX$5:$BA$5,0)))/2))/2,0)</f>
        <v>0</v>
      </c>
      <c r="BL10" s="248">
        <f>IF($S10=$BL$3,(INDEX('Tables - Part 2'!$BB$17:$BE$24,MATCH(V10,'Tables - Part 2'!$AV$6:$AV$13,0),MATCH(T10,'Tables - Part 2'!$AX$5:$BA$5,0))+INDEX('Tables - Part 2'!$BF$17:$BI$24,MATCH(V10,'Tables - Part 2'!$AV$6:$AV$13,0),MATCH(T10,'Tables - Part 2'!$AX$5:$BA$5,0)))/2,0)</f>
        <v>0</v>
      </c>
      <c r="BM10" s="248">
        <f>IF($S10=$BM$3,(((INDEX('Tables - Part 2'!$BB$17:$BE$24,MATCH(V10,'Tables - Part 2'!$AV$6:$AV$13,0),MATCH(T10,'Tables - Part 2'!$AX$5:$BA$5,0))+INDEX('Tables - Part 2'!$BF$17:$BI$24,MATCH(V10,'Tables - Part 2'!$AV$6:$AV$13,0),MATCH(T10,'Tables - Part 2'!$AX$5:$BA$5,0)))/2)+((((INDEX('Tables - Part 2'!$BB$17:$BE$24,MATCH(V10,'Tables - Part 2'!$AV$6:$AV$13,0),MATCH(T10,'Tables - Part 2'!$AX$5:$BA$5,0))+INDEX('Tables - Part 2'!$BF$17:$BI$24,MATCH(V10,'Tables - Part 2'!$AV$6:$AV$13,0),MATCH(T10,'Tables - Part 2'!$AX$5:$BA$5,0)))/2)+INDEX('Tables - Part 2'!$BF$17:$BI$24,MATCH(V10,'Tables - Part 2'!$AV$6:$AV$13,0),MATCH(T10,'Tables - Part 2'!$AX$5:$BA$5,0)))/2))/2,0)</f>
        <v>0</v>
      </c>
      <c r="BN10" s="248">
        <f>IF($S10=$BN$3,(((INDEX('Tables - Part 2'!$BB$17:$BE$24,MATCH(V10,'Tables - Part 2'!$AV$6:$AV$13,0),MATCH(T10,'Tables - Part 2'!$AX$5:$BA$5,0))+INDEX('Tables - Part 2'!$BF$17:$BI$24,MATCH(V10,'Tables - Part 2'!$AV$6:$AV$13,0),MATCH(T10,'Tables - Part 2'!$AX$5:$BA$5,0)))/2)+INDEX('Tables - Part 2'!$BF$17:$BI$24,MATCH(V10,'Tables - Part 2'!$AV$6:$AV$13,0),MATCH(T10,'Tables - Part 2'!$AX$5:$BA$5,0)))/2,0)</f>
        <v>0</v>
      </c>
      <c r="BO10" s="248">
        <f>IF($S10=$BO$3,(((((INDEX('Tables - Part 2'!$BB$17:$BE$24,MATCH(V10,'Tables - Part 2'!$AV$6:$AV$13,0),MATCH(T10,'Tables - Part 2'!$AX$5:$BA$5,0))+INDEX('Tables - Part 2'!$BF$17:$BI$24,MATCH(V10,'Tables - Part 2'!$AV$6:$AV$13,0),MATCH(T10,'Tables - Part 2'!$AX$5:$BA$5,0)))/2)+INDEX('Tables - Part 2'!$BF$17:$BI$24,MATCH(V10,'Tables - Part 2'!$AV$6:$AV$13,0),MATCH(T10,'Tables - Part 2'!$AX$5:$BA$5,0)))/2)+(INDEX('Tables - Part 2'!$BF$17:$BI$24,MATCH(V10,'Tables - Part 2'!$AV$6:$AV$13,0),MATCH(T10,'Tables - Part 2'!$AX$5:$BA$5,0))))/2,0)</f>
        <v>0</v>
      </c>
      <c r="BP10" s="248">
        <f>IF($S10=$BP$3,INDEX('Tables - Part 2'!$BF$17:$BI$24,MATCH(V10,'Tables - Part 2'!$AV$6:$AV$13,0),MATCH(T10,'Tables - Part 2'!$AX$5:$BA$5,0)),0)</f>
        <v>0</v>
      </c>
      <c r="BQ10" s="248">
        <f t="shared" si="7"/>
        <v>0</v>
      </c>
      <c r="BR10" s="238">
        <f t="shared" si="8"/>
        <v>1.5</v>
      </c>
      <c r="BS10" s="238">
        <f t="shared" si="9"/>
        <v>25.159323702612586</v>
      </c>
    </row>
    <row r="11" spans="2:84" x14ac:dyDescent="0.35">
      <c r="B11" s="161" t="str">
        <f>'Tratamento de Dados'!B19</f>
        <v>V-2</v>
      </c>
      <c r="C11" s="161" t="str">
        <f>'Tratamento de Dados'!D19</f>
        <v>Casco</v>
      </c>
      <c r="D11" s="209" t="s">
        <v>245</v>
      </c>
      <c r="E11" s="209" t="s">
        <v>245</v>
      </c>
      <c r="F11" s="439">
        <v>0.02</v>
      </c>
      <c r="G11" s="209">
        <v>150</v>
      </c>
      <c r="H11" s="209" t="s">
        <v>244</v>
      </c>
      <c r="I11" s="209" t="s">
        <v>245</v>
      </c>
      <c r="J11" s="209" t="s">
        <v>244</v>
      </c>
      <c r="K11" s="209" t="s">
        <v>245</v>
      </c>
      <c r="L11" s="210">
        <v>39092</v>
      </c>
      <c r="M11" s="209">
        <v>0</v>
      </c>
      <c r="N11" s="209">
        <v>1</v>
      </c>
      <c r="O11" s="209">
        <v>1</v>
      </c>
      <c r="P11" s="209">
        <v>4</v>
      </c>
      <c r="Q11" s="253">
        <f>'Tratamento de Dados'!DA19</f>
        <v>0</v>
      </c>
      <c r="R11" s="253">
        <f>'Tratamento de Dados'!DB19</f>
        <v>0</v>
      </c>
      <c r="S11" s="256">
        <f t="shared" si="0"/>
        <v>2.5</v>
      </c>
      <c r="T11" s="246" t="str">
        <f t="shared" si="1"/>
        <v>B</v>
      </c>
      <c r="U11" s="238" t="str">
        <f t="shared" si="2"/>
        <v>Low</v>
      </c>
      <c r="V11" s="238">
        <f>(IF(AND(D11=$BX$2,E11&lt;&gt;$BX$2),"Fitness-For-Service",INDEX('Tables - Part 2'!$AT$4:$AT$7,MATCH(Caustic_Cracking!U11,'Tables - Part 2'!$AS$4:$AS$7,0))))</f>
        <v>50</v>
      </c>
      <c r="W11" s="238">
        <f>IF(L11=0,(Thinning!G12-Thinning!F12)/365.25,(Thinning!G12-L11)/365.25)</f>
        <v>12.980150581793293</v>
      </c>
      <c r="X11" s="248">
        <f t="shared" si="3"/>
        <v>0</v>
      </c>
      <c r="Y11" s="248">
        <f t="shared" si="4"/>
        <v>2.5</v>
      </c>
      <c r="Z11" s="248">
        <f t="shared" si="5"/>
        <v>3</v>
      </c>
      <c r="AA11" s="247">
        <f t="shared" si="6"/>
        <v>4</v>
      </c>
      <c r="AB11" s="248">
        <f>IF($S11=$AB$3,INDEX('Tables - Part 2'!$AX$6:$BA$13,MATCH(V11,'Tables - Part 2'!$AV$6:$AV$13,0),MATCH(T11,'Tables - Part 2'!$AX$5:$BA$5,0)),0)</f>
        <v>0</v>
      </c>
      <c r="AC11" s="248">
        <f>IF($S11=$AC$3,(INDEX('Tables - Part 2'!$AX$6:$BA$13,MATCH(V11,'Tables - Part 2'!$AV$6:$AV$13,0),MATCH(T11,'Tables - Part 2'!$AX$5:$BA$5,0))+(INDEX('Tables - Part 2'!$AX$6:$BA$13,MATCH(V11,'Tables - Part 2'!$AV$6:$AV$13,0),MATCH(T11,'Tables - Part 2'!$AX$5:$BA$5,0))+((INDEX('Tables - Part 2'!$AX$6:$BA$13,MATCH(V11,'Tables - Part 2'!$AV$6:$AV$13,0),MATCH(T11,'Tables - Part 2'!$AX$5:$BA$5,0))+INDEX('Tables - Part 2'!$BB$6:$BE$13,MATCH(V11,'Tables - Part 2'!$AV$6:$AV$13,0),MATCH(T11,'Tables - Part 2'!$AX$5:$BA$5,0)))/2))/2)/2,0)</f>
        <v>0</v>
      </c>
      <c r="AD11" s="248">
        <f>IF($S11=$AD$3,(INDEX('Tables - Part 2'!$AX$6:$BA$13,MATCH(V11,'Tables - Part 2'!$AV$6:$AV$13,0),MATCH(T11,'Tables - Part 2'!$AX$5:$BA$5,0))+((INDEX('Tables - Part 2'!$AX$6:$BA$13,MATCH(V11,'Tables - Part 2'!$AV$6:$AV$13,0),MATCH(T11,'Tables - Part 2'!$AX$5:$BA$5,0))+INDEX('Tables - Part 2'!$BB$6:$BE$13,MATCH(V11,'Tables - Part 2'!$AV$6:$AV$13,0),MATCH(T11,'Tables - Part 2'!$AX$5:$BA$5,0)))/2))/2,0)</f>
        <v>0</v>
      </c>
      <c r="AE11" s="248">
        <f>IF($S11=$AE$3,(((INDEX('Tables - Part 2'!$AX$6:$BA$13,MATCH(V11,'Tables - Part 2'!$AV$6:$AV$13,0),MATCH(T11,'Tables - Part 2'!$AX$5:$BA$5,0))+((INDEX('Tables - Part 2'!$AX$6:$BA$13,MATCH(V11,'Tables - Part 2'!$AV$6:$AV$13,0),MATCH(T11,'Tables - Part 2'!$AX$5:$BA$5,0))+INDEX('Tables - Part 2'!$BB$6:$BE$13,MATCH(V11,'Tables - Part 2'!$AV$6:$AV$13,0),MATCH(T11,'Tables - Part 2'!$AX$5:$BA$5,0)))/2))/2)+(INDEX('Tables - Part 2'!$AX$6:$BA$13,MATCH(V11,'Tables - Part 2'!$AV$6:$AV$13,0),MATCH(T11,'Tables - Part 2'!$AX$5:$BA$5,0))+INDEX('Tables - Part 2'!$BB$6:$BE$13,MATCH(V11,'Tables - Part 2'!$AV$6:$AV$13,0),MATCH(T11,'Tables - Part 2'!$AX$5:$BA$5,0)))/2)/2,0)</f>
        <v>0</v>
      </c>
      <c r="AF11" s="248">
        <f>IF($S11=$AF$3,(INDEX('Tables - Part 2'!$AX$6:$BA$13,MATCH(V11,'Tables - Part 2'!$AV$6:$AV$13,0),MATCH(T11,'Tables - Part 2'!$AX$5:$BA$5,0))+INDEX('Tables - Part 2'!$BB$6:$BE$13,MATCH(V11,'Tables - Part 2'!$AV$6:$AV$13,0),MATCH(T11,'Tables - Part 2'!$AX$5:$BA$5,0)))/2,0)</f>
        <v>0</v>
      </c>
      <c r="AG11" s="248">
        <f>IF($S11=$AG$3,(((INDEX('Tables - Part 2'!$AX$6:$BA$13,MATCH(V11,'Tables - Part 2'!$AV$6:$AV$13,0),MATCH(T11,'Tables - Part 2'!$AX$5:$BA$5,0))+INDEX('Tables - Part 2'!$BB$6:$BE$13,MATCH(V11,'Tables - Part 2'!$AV$6:$AV$13,0),MATCH(T11,'Tables - Part 2'!$AX$5:$BA$5,0)))/2)+(((INDEX('Tables - Part 2'!$AX$6:$BA$13,MATCH(V11,'Tables - Part 2'!$AV$6:$AV$13,0),MATCH(T11,'Tables - Part 2'!$AX$5:$BA$5,0))+INDEX('Tables - Part 2'!$BB$6:$BE$13,MATCH(V11,'Tables - Part 2'!$AV$6:$AV$13,0),MATCH(T11,'Tables - Part 2'!$AX$5:$BA$5,0)))/2)+INDEX('Tables - Part 2'!$BB$6:$BE$13,MATCH(V11,'Tables - Part 2'!$AV$6:$AV$13,0),MATCH(T11,'Tables - Part 2'!$AX$5:$BA$5,0)))/2)/2,0)</f>
        <v>0</v>
      </c>
      <c r="AH11" s="248">
        <f>IF($S11=$AH$3,(((INDEX('Tables - Part 2'!$AX$6:$BA$13,MATCH(V11,'Tables - Part 2'!$AV$6:$AV$13,0),MATCH(T11,'Tables - Part 2'!$AX$5:$BA$5,0))+INDEX('Tables - Part 2'!$BB$6:$BE$13,MATCH(V11,'Tables - Part 2'!$AV$6:$AV$13,0),MATCH(T11,'Tables - Part 2'!$AX$5:$BA$5,0)))/2)+INDEX('Tables - Part 2'!$BB$6:$BE$13,MATCH(V11,'Tables - Part 2'!$AV$6:$AV$13,0),MATCH(T11,'Tables - Part 2'!$AX$5:$BA$5,0)))/2,0)</f>
        <v>0</v>
      </c>
      <c r="AI11" s="248">
        <f>IF($S11=$AI$3,(((((INDEX('Tables - Part 2'!$AX$6:$BA$13,MATCH(V11,'Tables - Part 2'!$AV$6:$AV$13,0),MATCH(T11,'Tables - Part 2'!$AX$5:$BA$5,0))+INDEX('Tables - Part 2'!$BB$6:$BE$13,MATCH(V11,'Tables - Part 2'!$AV$6:$AV$13,0),MATCH(T11,'Tables - Part 2'!$AX$5:$BA$5,0)))/2)+INDEX('Tables - Part 2'!$BB$6:$BE$13,MATCH(V11,'Tables - Part 2'!$AV$6:$AV$13,0),MATCH(T11,'Tables - Part 2'!$AX$5:$BA$5,0)))/2)+INDEX('Tables - Part 2'!$BB$6:$BE$13,MATCH(V11,'Tables - Part 2'!$AV$6:$AV$13,0),MATCH(T11,'Tables - Part 2'!$AX$5:$BA$5,0)))/2,0)</f>
        <v>0</v>
      </c>
      <c r="AJ11" s="248">
        <f>IF($S11=$AJ$3,INDEX('Tables - Part 2'!$BB$6:$BE$13,MATCH(V11,'Tables - Part 2'!$AV$6:$AV$13,0),MATCH(T11,'Tables - Part 2'!$AX$5:$BA$5,0)),0)</f>
        <v>0</v>
      </c>
      <c r="AK11" s="248">
        <f>IF($S11=$AK$3,((INDEX('Tables - Part 2'!$BB$6:$BE$13,MATCH(V11,'Tables - Part 2'!$AV$6:$AV$13,0),MATCH(T11,'Tables - Part 2'!$AX$5:$BA$5,0)))+(INDEX('Tables - Part 2'!$BB$6:$BE$13,MATCH(V11,'Tables - Part 2'!$AV$6:$AV$13,0),MATCH(T11,'Tables - Part 2'!$AX$5:$BA$5,0))+(INDEX('Tables - Part 2'!$BB$6:$BE$13,MATCH(V11,'Tables - Part 2'!$AV$6:$AV$13,0),MATCH(T11,'Tables - Part 2'!$AX$5:$BA$5,0))+INDEX('Tables - Part 2'!$BF$6:$BI$13,MATCH(V11,'Tables - Part 2'!$AV$6:$AV$13,0),MATCH(T11,'Tables - Part 2'!$AX$5:$BA$5,0)))/2)/2)/2,0)</f>
        <v>0</v>
      </c>
      <c r="AL11" s="248">
        <f>IF($S11=$AL$3,(INDEX('Tables - Part 2'!$BB$6:$BE$13,MATCH(V11,'Tables - Part 2'!$AV$6:$AV$13,0),MATCH(T11,'Tables - Part 2'!$AX$5:$BA$5,0))+(INDEX('Tables - Part 2'!$BB$6:$BE$13,MATCH(V11,'Tables - Part 2'!$AV$6:$AV$13,0),MATCH(T11,'Tables - Part 2'!$AX$5:$BA$5,0))+INDEX('Tables - Part 2'!$BF$6:$BI$13,MATCH(V11,'Tables - Part 2'!$AV$6:$AV$13,0),MATCH(T11,'Tables - Part 2'!$AX$5:$BA$5,0)))/2)/2,0)</f>
        <v>0</v>
      </c>
      <c r="AM11" s="248">
        <f>IF($S11=$AM$3,(((INDEX('Tables - Part 2'!$BB$6:$BE$13,MATCH(V11,'Tables - Part 2'!$AV$6:$AV$13,0),MATCH(T11,'Tables - Part 2'!$AX$5:$BA$5,0))+(INDEX('Tables - Part 2'!$BB$6:$BE$13,MATCH(V11,'Tables - Part 2'!$AV$6:$AV$13,0),MATCH(T11,'Tables - Part 2'!$AX$5:$BA$5,0))+INDEX('Tables - Part 2'!$BF$6:$BI$13,MATCH(V11,'Tables - Part 2'!$AV$6:$AV$13,0),MATCH(T11,'Tables - Part 2'!$AX$5:$BA$5,0)))/2)/2)+((INDEX('Tables - Part 2'!$BB$6:$BE$13,MATCH(V11,'Tables - Part 2'!$AV$6:$AV$13,0),MATCH(T11,'Tables - Part 2'!$AX$5:$BA$5,0))+INDEX('Tables - Part 2'!$BF$6:$BI$13,MATCH(V11,'Tables - Part 2'!$AV$6:$AV$13,0),MATCH(T11,'Tables - Part 2'!$AX$5:$BA$5,0)))/2))/2,0)</f>
        <v>0</v>
      </c>
      <c r="AN11" s="248">
        <f>IF($S11=$AN$3,(INDEX('Tables - Part 2'!$BB$6:$BE$13,MATCH(V11,'Tables - Part 2'!$AV$6:$AV$13,0),MATCH(T11,'Tables - Part 2'!$AX$5:$BA$5,0))+INDEX('Tables - Part 2'!$BF$6:$BI$13,MATCH(V11,'Tables - Part 2'!$AV$6:$AV$13,0),MATCH(T11,'Tables - Part 2'!$AX$5:$BA$5,0)))/2,0)</f>
        <v>1.5</v>
      </c>
      <c r="AO11" s="248">
        <f>IF($S11=$AO$3,(((INDEX('Tables - Part 2'!$BB$6:$BE$13,MATCH(V11,'Tables - Part 2'!$AV$6:$AV$13,0),MATCH(T11,'Tables - Part 2'!$AX$5:$BA$5,0))+INDEX('Tables - Part 2'!$BF$6:$BI$13,MATCH(V11,'Tables - Part 2'!$AV$6:$AV$13,0),MATCH(T11,'Tables - Part 2'!$AX$5:$BA$5,0)))/2)+((((INDEX('Tables - Part 2'!$BB$6:$BE$13,MATCH(V11,'Tables - Part 2'!$AV$6:$AV$13,0),MATCH(T11,'Tables - Part 2'!$AX$5:$BA$5,0))+INDEX('Tables - Part 2'!$BF$6:$BI$13,MATCH(V11,'Tables - Part 2'!$AV$6:$AV$13,0),MATCH(T11,'Tables - Part 2'!$AX$5:$BA$5,0)))/2)+INDEX('Tables - Part 2'!$BF$6:$BI$13,MATCH(V11,'Tables - Part 2'!$AV$6:$AV$13,0),MATCH(T11,'Tables - Part 2'!$AX$5:$BA$5,0)))/2))/2,0)</f>
        <v>0</v>
      </c>
      <c r="AP11" s="248">
        <f>IF($S11=$AP$3,(((INDEX('Tables - Part 2'!$BB$6:$BE$13,MATCH(V11,'Tables - Part 2'!$AV$6:$AV$13,0),MATCH(T11,'Tables - Part 2'!$AX$5:$BA$5,0))+INDEX('Tables - Part 2'!$BF$6:$BI$13,MATCH(V11,'Tables - Part 2'!$AV$6:$AV$13,0),MATCH(T11,'Tables - Part 2'!$AX$5:$BA$5,0)))/2)+INDEX('Tables - Part 2'!$BF$6:$BI$13,MATCH(V11,'Tables - Part 2'!$AV$6:$AV$13,0),MATCH(T11,'Tables - Part 2'!$AX$5:$BA$5,0)))/2,0)</f>
        <v>0</v>
      </c>
      <c r="AQ11" s="248">
        <f>IF($S11=$AQ$3,(((((INDEX('Tables - Part 2'!$BB$6:$BE$13,MATCH(V11,'Tables - Part 2'!$AV$6:$AV$13,0),MATCH(T11,'Tables - Part 2'!$AX$5:$BA$5,0))+INDEX('Tables - Part 2'!$BF$6:$BI$13,MATCH(V11,'Tables - Part 2'!$AV$6:$AV$13,0),MATCH(T11,'Tables - Part 2'!$AX$5:$BA$5,0)))/2)+INDEX('Tables - Part 2'!$BF$6:$BI$13,MATCH(V11,'Tables - Part 2'!$AV$6:$AV$13,0),MATCH(T11,'Tables - Part 2'!$AX$5:$BA$5,0)))/2)+INDEX('Tables - Part 2'!$BF$6:$BI$13,MATCH(V11,'Tables - Part 2'!$AV$6:$AV$13,0),MATCH(T11,'Tables - Part 2'!$AX$5:$BA$5,0)))/2,0)</f>
        <v>0</v>
      </c>
      <c r="AR11" s="248">
        <f>IF($S11=$AR$3,INDEX('Tables - Part 2'!$BF$6:$BI$13,MATCH(V11,'Tables - Part 2'!$AV$6:$AV$13,0),MATCH(T11,'Tables - Part 2'!$AX$5:$BA$5,0)),0)</f>
        <v>0</v>
      </c>
      <c r="AS11" s="248">
        <f>IF($S11=$AS$3,(INDEX('Tables - Part 2'!$BF$6:$BI$13,MATCH(V11,'Tables - Part 2'!$AV$6:$AV$13,0),MATCH(T11,'Tables - Part 2'!$AX$5:$BA$5,0))+((INDEX('Tables - Part 2'!$BF$6:$BI$13,MATCH(V11,'Tables - Part 2'!$AV$6:$AV$13,0),MATCH(T11,'Tables - Part 2'!$AX$5:$BA$5,0))+(INDEX('Tables - Part 2'!$BF$6:$BI$13,MATCH(V11,'Tables - Part 2'!$AV$6:$AV$13,0),MATCH(T11,'Tables - Part 2'!$AX$5:$BA$5,0))+INDEX('Tables - Part 2'!$AX$17:$BA$24,MATCH(V11,'Tables - Part 2'!$AV$6:$AV$13,0),MATCH(T11,'Tables - Part 2'!$AX$5:$BA$5,0)))/2)/2))/2,0)</f>
        <v>0</v>
      </c>
      <c r="AT11" s="248">
        <f>IF($S11=$AT$3,(INDEX('Tables - Part 2'!$BF$6:$BI$13,MATCH(V11,'Tables - Part 2'!$AV$6:$AV$13,0),MATCH(T11,'Tables - Part 2'!$AX$5:$BA$5,0))+(INDEX('Tables - Part 2'!$BF$6:$BI$13,MATCH(V11,'Tables - Part 2'!$AV$6:$AV$13,0),MATCH(T11,'Tables - Part 2'!$AX$5:$BA$5,0))+INDEX('Tables - Part 2'!$AX$17:$BA$24,MATCH(V11,'Tables - Part 2'!$AV$6:$AV$13,0),MATCH(T11,'Tables - Part 2'!$AX$5:$BA$5,0)))/2)/2,0)</f>
        <v>0</v>
      </c>
      <c r="AU11" s="248">
        <f>IF($S11=$AU$3,(((INDEX('Tables - Part 2'!$BF$6:$BI$13,MATCH(V11,'Tables - Part 2'!$AV$6:$AV$13,0),MATCH(T11,'Tables - Part 2'!$AX$5:$BA$5,0))+(INDEX('Tables - Part 2'!$BF$6:$BI$13,MATCH(V11,'Tables - Part 2'!$AV$6:$AV$13,0),MATCH(T11,'Tables - Part 2'!$AX$5:$BA$5,0))+INDEX('Tables - Part 2'!$AX$17:$BA$24,MATCH(V11,'Tables - Part 2'!$AV$6:$AV$13,0),MATCH(T11,'Tables - Part 2'!$AX$5:$BA$5,0)))/2)/2)+((INDEX('Tables - Part 2'!$BF$6:$BI$13,MATCH(V11,'Tables - Part 2'!$AV$6:$AV$13,0),MATCH(T11,'Tables - Part 2'!$AX$5:$BA$5,0))+INDEX('Tables - Part 2'!$AX$17:$BA$24,MATCH(V11,'Tables - Part 2'!$AV$6:$AV$13,0),MATCH(T11,'Tables - Part 2'!$AX$5:$BA$5,0)))/2))/2,0)</f>
        <v>0</v>
      </c>
      <c r="AV11" s="248">
        <f>IF($S11=$AV$3,(INDEX('Tables - Part 2'!$BF$6:$BI$13,MATCH(V11,'Tables - Part 2'!$AV$6:$AV$13,0),MATCH(T11,'Tables - Part 2'!$AX$5:$BA$5,0))+INDEX('Tables - Part 2'!$AX$17:$BA$24,MATCH(V11,'Tables - Part 2'!$AV$6:$AV$13,0),MATCH(T11,'Tables - Part 2'!$AX$5:$BA$5,0)))/2,0)</f>
        <v>0</v>
      </c>
      <c r="AW11" s="248">
        <f>IF($S11=$AW$3,(((INDEX('Tables - Part 2'!$BF$6:$BI$13,MATCH(V11,'Tables - Part 2'!$AV$6:$AV$13,0),MATCH(T11,'Tables - Part 2'!$AX$5:$BA$5,0))+INDEX('Tables - Part 2'!$AX$17:$BA$24,MATCH(V11,'Tables - Part 2'!$AV$6:$AV$13,0),MATCH(T11,'Tables - Part 2'!$AX$5:$BA$5,0)))/2)+((((INDEX('Tables - Part 2'!$BF$6:$BI$13,MATCH(V11,'Tables - Part 2'!$AV$6:$AV$13,0),MATCH(T11,'Tables - Part 2'!$AX$5:$BA$5,0))+INDEX('Tables - Part 2'!$AX$17:$BA$24,MATCH(V11,'Tables - Part 2'!$AV$6:$AV$13,0),MATCH(T11,'Tables - Part 2'!$AX$5:$BA$5,0)))/2)+INDEX('Tables - Part 2'!$AX$17:$BA$24,MATCH(V11,'Tables - Part 2'!$AV$6:$AV$13,0),MATCH(T11,'Tables - Part 2'!$AX$5:$BA$5,0)))/2))/2,0)</f>
        <v>0</v>
      </c>
      <c r="AX11" s="248">
        <f>IF($S11=$AX$3,(((INDEX('Tables - Part 2'!$BF$6:$BI$13,MATCH(V11,'Tables - Part 2'!$AV$6:$AV$13,0),MATCH(T11,'Tables - Part 2'!$AX$5:$BA$5,0))+INDEX('Tables - Part 2'!$AX$17:$BA$24,MATCH(V11,'Tables - Part 2'!$AV$6:$AV$13,0),MATCH(T11,'Tables - Part 2'!$AX$5:$BA$5,0)))/2)+INDEX('Tables - Part 2'!$AX$17:$BA$24,MATCH(V11,'Tables - Part 2'!$AV$6:$AV$13,0),MATCH(T11,'Tables - Part 2'!$AX$5:$BA$5,0)))/2,0)</f>
        <v>0</v>
      </c>
      <c r="AY11" s="248">
        <f>IF($S11=$AY$3,(((((INDEX('Tables - Part 2'!$BF$6:$BI$13,MATCH(V11,'Tables - Part 2'!$AV$6:$AV$13,0),MATCH(T11,'Tables - Part 2'!$AX$5:$BA$5,0))+INDEX('Tables - Part 2'!$AX$17:$BA$24,MATCH(V11,'Tables - Part 2'!$AV$6:$AV$13,0),MATCH(T11,'Tables - Part 2'!$AX$5:$BA$5,0)))/2)+INDEX('Tables - Part 2'!$AX$17:$BA$24,MATCH(V11,'Tables - Part 2'!$AV$6:$AV$13,0),MATCH(T11,'Tables - Part 2'!$AX$5:$BA$5,0)))/2)+(INDEX('Tables - Part 2'!$AX$17:$BA$24,MATCH(V11,'Tables - Part 2'!$AV$6:$AV$13,0),MATCH(T11,'Tables - Part 2'!$AX$5:$BA$5,0))))/2,0)</f>
        <v>0</v>
      </c>
      <c r="AZ11" s="248">
        <f>IF($S11=$AZ$3,INDEX('Tables - Part 2'!$AX$17:$BA$24,MATCH(V11,'Tables - Part 2'!$AV$6:$AV$13,0),MATCH(T11,'Tables - Part 2'!$AX$5:$BA$5,0)),0)</f>
        <v>0</v>
      </c>
      <c r="BA11" s="248">
        <f>IF($S11=$BA$3,((INDEX('Tables - Part 2'!$AX$17:$BA$24,MATCH(V11,'Tables - Part 2'!$AV$6:$AV$13,0),MATCH(T11,'Tables - Part 2'!$AX$5:$BA$5,0)))+(((INDEX('Tables - Part 2'!$AX$17:$BA$24,MATCH(V11,'Tables - Part 2'!$AV$6:$AV$13,0),MATCH(T11,'Tables - Part 2'!$AX$5:$BA$5,0)))+(INDEX('Tables - Part 2'!$AX$17:$BA$24,MATCH(V11,'Tables - Part 2'!$AV$6:$AV$13,0),MATCH(T11,'Tables - Part 2'!$AX$5:$BA$5,0))+INDEX('Tables - Part 2'!$BB$17:$BE$24,MATCH(V11,'Tables - Part 2'!$AV$6:$AV$13,0),MATCH(T11,'Tables - Part 2'!$AX$5:$BA$5,0)))/2)/2))/2,0)</f>
        <v>0</v>
      </c>
      <c r="BB11" s="248">
        <f>IF($S11=$BB$3,((INDEX('Tables - Part 2'!$AX$17:$BA$24,MATCH(V11,'Tables - Part 2'!$AV$6:$AV$13,0),MATCH(T11,'Tables - Part 2'!$AX$5:$BA$5,0)))+(INDEX('Tables - Part 2'!$AX$17:$BA$24,MATCH(V11,'Tables - Part 2'!$AV$6:$AV$13,0),MATCH(T11,'Tables - Part 2'!$AX$5:$BA$5,0))+INDEX('Tables - Part 2'!$BB$17:$BE$24,MATCH(V11,'Tables - Part 2'!$AV$6:$AV$13,0),MATCH(T11,'Tables - Part 2'!$AX$5:$BA$5,0)))/2)/2,0)</f>
        <v>0</v>
      </c>
      <c r="BC11" s="248">
        <f>IF($S11=$BC$3,((((INDEX('Tables - Part 2'!$AX$17:$BA$24,MATCH(V11,'Tables - Part 2'!$AV$6:$AV$13,0),MATCH(T11,'Tables - Part 2'!$AX$5:$BA$5,0)))+(INDEX('Tables - Part 2'!$AX$17:$BA$24,MATCH(V11,'Tables - Part 2'!$AV$6:$AV$13,0),MATCH(T11,'Tables - Part 2'!$AX$5:$BA$5,0))+INDEX('Tables - Part 2'!$BB$17:$BE$24,MATCH(V11,'Tables - Part 2'!$AV$6:$AV$13,0),MATCH(T11,'Tables - Part 2'!$AX$5:$BA$5,0)))/2)/2)+((INDEX('Tables - Part 2'!$AX$17:$BA$24,MATCH(V11,'Tables - Part 2'!$AV$6:$AV$13,0),MATCH(T11,'Tables - Part 2'!$AX$5:$BA$5,0))+INDEX('Tables - Part 2'!$BB$17:$BE$24,MATCH(V11,'Tables - Part 2'!$AV$6:$AV$13,0),MATCH(T11,'Tables - Part 2'!$AX$5:$BA$5,0)))/2))/2,0)</f>
        <v>0</v>
      </c>
      <c r="BD11" s="248">
        <f>IF($S11=$BD$3,(INDEX('Tables - Part 2'!$AX$17:$BA$24,MATCH(V11,'Tables - Part 2'!$AV$6:$AV$13,0),MATCH(T11,'Tables - Part 2'!$AX$5:$BA$5,0))+INDEX('Tables - Part 2'!$BB$17:$BE$24,MATCH(V11,'Tables - Part 2'!$AV$6:$AV$13,0),MATCH(T11,'Tables - Part 2'!$AX$5:$BA$5,0)))/2,0)</f>
        <v>0</v>
      </c>
      <c r="BE11" s="248">
        <f>IF($S11=$BE$3,(((INDEX('Tables - Part 2'!$AX$17:$BA$24,MATCH(V11,'Tables - Part 2'!$AV$6:$AV$13,0),MATCH(T11,'Tables - Part 2'!$AX$5:$BA$5,0))+INDEX('Tables - Part 2'!$BB$17:$BE$24,MATCH(V11,'Tables - Part 2'!$AV$6:$AV$13,0),MATCH(T11,'Tables - Part 2'!$AX$5:$BA$5,0)))/2)+((((INDEX('Tables - Part 2'!$AX$17:$BA$24,MATCH(V11,'Tables - Part 2'!$AV$6:$AV$13,0),MATCH(T11,'Tables - Part 2'!$AX$5:$BA$5,0))+INDEX('Tables - Part 2'!$BB$17:$BE$24,MATCH(V11,'Tables - Part 2'!$AV$6:$AV$13,0),MATCH(T11,'Tables - Part 2'!$AX$5:$BA$5,0)))/2)+INDEX('Tables - Part 2'!$BB$17:$BE$24,MATCH(V11,'Tables - Part 2'!$AV$6:$AV$13,0),MATCH(T11,'Tables - Part 2'!$AX$5:$BA$5,0)))/2))/2,0)</f>
        <v>0</v>
      </c>
      <c r="BF11" s="248">
        <f>IF($S11=$BF$3,(((INDEX('Tables - Part 2'!$AX$17:$BA$24,MATCH(V11,'Tables - Part 2'!$AV$6:$AV$13,0),MATCH(T11,'Tables - Part 2'!$AX$5:$BA$5,0))+INDEX('Tables - Part 2'!$BB$17:$BE$24,MATCH(V11,'Tables - Part 2'!$AV$6:$AV$13,0),MATCH(T11,'Tables - Part 2'!$AX$5:$BA$5,0)))/2)+INDEX('Tables - Part 2'!$BB$17:$BE$24,MATCH(V11,'Tables - Part 2'!$AV$6:$AV$13,0),MATCH(T11,'Tables - Part 2'!$AX$5:$BA$5,0)))/2,0)</f>
        <v>0</v>
      </c>
      <c r="BG11" s="248">
        <f>IF($S11=$BG$3,(((((INDEX('Tables - Part 2'!$AX$17:$BA$24,MATCH(V11,'Tables - Part 2'!$AV$6:$AV$13,0),MATCH(T11,'Tables - Part 2'!$AX$5:$BA$5,0))+INDEX('Tables - Part 2'!$BB$17:$BE$24,MATCH(V11,'Tables - Part 2'!$AV$6:$AV$13,0),MATCH(T11,'Tables - Part 2'!$AX$5:$BA$5,0)))/2)+INDEX('Tables - Part 2'!$BB$17:$BE$24,MATCH(V11,'Tables - Part 2'!$AV$6:$AV$13,0),MATCH(T11,'Tables - Part 2'!$AX$5:$BA$5,0)))/2)+(INDEX('Tables - Part 2'!$BB$17:$BE$24,MATCH(V11,'Tables - Part 2'!$AV$6:$AV$13,0),MATCH(T11,'Tables - Part 2'!$AX$5:$BA$5,0))))/2,0)</f>
        <v>0</v>
      </c>
      <c r="BH11" s="248">
        <f>IF($S11=$BH$3,INDEX('Tables - Part 2'!$BB$17:$BE$24,MATCH(V11,'Tables - Part 2'!$AV$6:$AV$13,0),MATCH(T11,'Tables - Part 2'!$AX$5:$BA$5,0)),0)</f>
        <v>0</v>
      </c>
      <c r="BI11" s="248">
        <f>IF($S11=$BI$3,((INDEX('Tables - Part 2'!$BB$17:$BE$24,MATCH(V11,'Tables - Part 2'!$AV$6:$AV$13,0),MATCH(T11,'Tables - Part 2'!$AX$5:$BA$5,0)))+(((INDEX('Tables - Part 2'!$BB$17:$BE$24,MATCH(V11,'Tables - Part 2'!$AV$6:$AV$13,0),MATCH(T11,'Tables - Part 2'!$AX$5:$BA$5,0)))+(INDEX('Tables - Part 2'!$BB$17:$BE$24,MATCH(V11,'Tables - Part 2'!$AV$6:$AV$13,0),MATCH(T11,'Tables - Part 2'!$AX$5:$BA$5,0))+INDEX('Tables - Part 2'!$BF$17:$BI$24,MATCH(V11,'Tables - Part 2'!$AV$6:$AV$13,0),MATCH(T11,'Tables - Part 2'!$AX$5:$BA$5,0)))/2)/2))/2,0)</f>
        <v>0</v>
      </c>
      <c r="BJ11" s="248">
        <f>IF($S11=$BJ$3,((INDEX('Tables - Part 2'!$BB$17:$BE$24,MATCH(V11,'Tables - Part 2'!$AV$6:$AV$13,0),MATCH(T11,'Tables - Part 2'!$AX$5:$BA$5,0)))+(INDEX('Tables - Part 2'!$BB$17:$BE$24,MATCH(V11,'Tables - Part 2'!$AV$6:$AV$13,0),MATCH(T11,'Tables - Part 2'!$AX$5:$BA$5,0))+INDEX('Tables - Part 2'!$BF$17:$BI$24,MATCH(V11,'Tables - Part 2'!$AV$6:$AV$13,0),MATCH(T11,'Tables - Part 2'!$AX$5:$BA$5,0)))/2)/2,0)</f>
        <v>0</v>
      </c>
      <c r="BK11" s="248">
        <f>IF($S11=$BK$3,((((INDEX('Tables - Part 2'!$BB$17:$BE$24,MATCH(V11,'Tables - Part 2'!$AV$6:$AV$13,0),MATCH(T11,'Tables - Part 2'!$AX$5:$BA$5,0)))+(INDEX('Tables - Part 2'!$BB$17:$BE$24,MATCH(V11,'Tables - Part 2'!$AV$6:$AV$13,0),MATCH(T11,'Tables - Part 2'!$AX$5:$BA$5,0))+INDEX('Tables - Part 2'!$BF$17:$BI$24,MATCH(V11,'Tables - Part 2'!$AV$6:$AV$13,0),MATCH(T11,'Tables - Part 2'!$AX$5:$BA$5,0)))/2)/2)+((INDEX('Tables - Part 2'!$BB$17:$BE$24,MATCH(V11,'Tables - Part 2'!$AV$6:$AV$13,0),MATCH(T11,'Tables - Part 2'!$AX$5:$BA$5,0))+INDEX('Tables - Part 2'!$BF$17:$BI$24,MATCH(V11,'Tables - Part 2'!$AV$6:$AV$13,0),MATCH(T11,'Tables - Part 2'!$AX$5:$BA$5,0)))/2))/2,0)</f>
        <v>0</v>
      </c>
      <c r="BL11" s="248">
        <f>IF($S11=$BL$3,(INDEX('Tables - Part 2'!$BB$17:$BE$24,MATCH(V11,'Tables - Part 2'!$AV$6:$AV$13,0),MATCH(T11,'Tables - Part 2'!$AX$5:$BA$5,0))+INDEX('Tables - Part 2'!$BF$17:$BI$24,MATCH(V11,'Tables - Part 2'!$AV$6:$AV$13,0),MATCH(T11,'Tables - Part 2'!$AX$5:$BA$5,0)))/2,0)</f>
        <v>0</v>
      </c>
      <c r="BM11" s="248">
        <f>IF($S11=$BM$3,(((INDEX('Tables - Part 2'!$BB$17:$BE$24,MATCH(V11,'Tables - Part 2'!$AV$6:$AV$13,0),MATCH(T11,'Tables - Part 2'!$AX$5:$BA$5,0))+INDEX('Tables - Part 2'!$BF$17:$BI$24,MATCH(V11,'Tables - Part 2'!$AV$6:$AV$13,0),MATCH(T11,'Tables - Part 2'!$AX$5:$BA$5,0)))/2)+((((INDEX('Tables - Part 2'!$BB$17:$BE$24,MATCH(V11,'Tables - Part 2'!$AV$6:$AV$13,0),MATCH(T11,'Tables - Part 2'!$AX$5:$BA$5,0))+INDEX('Tables - Part 2'!$BF$17:$BI$24,MATCH(V11,'Tables - Part 2'!$AV$6:$AV$13,0),MATCH(T11,'Tables - Part 2'!$AX$5:$BA$5,0)))/2)+INDEX('Tables - Part 2'!$BF$17:$BI$24,MATCH(V11,'Tables - Part 2'!$AV$6:$AV$13,0),MATCH(T11,'Tables - Part 2'!$AX$5:$BA$5,0)))/2))/2,0)</f>
        <v>0</v>
      </c>
      <c r="BN11" s="248">
        <f>IF($S11=$BN$3,(((INDEX('Tables - Part 2'!$BB$17:$BE$24,MATCH(V11,'Tables - Part 2'!$AV$6:$AV$13,0),MATCH(T11,'Tables - Part 2'!$AX$5:$BA$5,0))+INDEX('Tables - Part 2'!$BF$17:$BI$24,MATCH(V11,'Tables - Part 2'!$AV$6:$AV$13,0),MATCH(T11,'Tables - Part 2'!$AX$5:$BA$5,0)))/2)+INDEX('Tables - Part 2'!$BF$17:$BI$24,MATCH(V11,'Tables - Part 2'!$AV$6:$AV$13,0),MATCH(T11,'Tables - Part 2'!$AX$5:$BA$5,0)))/2,0)</f>
        <v>0</v>
      </c>
      <c r="BO11" s="248">
        <f>IF($S11=$BO$3,(((((INDEX('Tables - Part 2'!$BB$17:$BE$24,MATCH(V11,'Tables - Part 2'!$AV$6:$AV$13,0),MATCH(T11,'Tables - Part 2'!$AX$5:$BA$5,0))+INDEX('Tables - Part 2'!$BF$17:$BI$24,MATCH(V11,'Tables - Part 2'!$AV$6:$AV$13,0),MATCH(T11,'Tables - Part 2'!$AX$5:$BA$5,0)))/2)+INDEX('Tables - Part 2'!$BF$17:$BI$24,MATCH(V11,'Tables - Part 2'!$AV$6:$AV$13,0),MATCH(T11,'Tables - Part 2'!$AX$5:$BA$5,0)))/2)+(INDEX('Tables - Part 2'!$BF$17:$BI$24,MATCH(V11,'Tables - Part 2'!$AV$6:$AV$13,0),MATCH(T11,'Tables - Part 2'!$AX$5:$BA$5,0))))/2,0)</f>
        <v>0</v>
      </c>
      <c r="BP11" s="248">
        <f>IF($S11=$BP$3,INDEX('Tables - Part 2'!$BF$17:$BI$24,MATCH(V11,'Tables - Part 2'!$AV$6:$AV$13,0),MATCH(T11,'Tables - Part 2'!$AX$5:$BA$5,0)),0)</f>
        <v>0</v>
      </c>
      <c r="BQ11" s="248">
        <f t="shared" si="7"/>
        <v>0</v>
      </c>
      <c r="BR11" s="238">
        <f t="shared" si="8"/>
        <v>1.5</v>
      </c>
      <c r="BS11" s="238">
        <f t="shared" si="9"/>
        <v>25.159323702612586</v>
      </c>
    </row>
    <row r="12" spans="2:84" x14ac:dyDescent="0.35">
      <c r="B12" s="161" t="str">
        <f>'Tratamento de Dados'!B20</f>
        <v>V-3</v>
      </c>
      <c r="C12" s="161" t="str">
        <f>'Tratamento de Dados'!D20</f>
        <v>Casco</v>
      </c>
      <c r="D12" s="209" t="s">
        <v>245</v>
      </c>
      <c r="E12" s="209" t="s">
        <v>245</v>
      </c>
      <c r="F12" s="439">
        <v>0.02</v>
      </c>
      <c r="G12" s="209">
        <v>150</v>
      </c>
      <c r="H12" s="209" t="s">
        <v>244</v>
      </c>
      <c r="I12" s="209" t="s">
        <v>245</v>
      </c>
      <c r="J12" s="209" t="s">
        <v>244</v>
      </c>
      <c r="K12" s="209" t="s">
        <v>245</v>
      </c>
      <c r="L12" s="210">
        <v>39092</v>
      </c>
      <c r="M12" s="209">
        <v>0</v>
      </c>
      <c r="N12" s="209">
        <v>1</v>
      </c>
      <c r="O12" s="209">
        <v>1</v>
      </c>
      <c r="P12" s="209">
        <v>4</v>
      </c>
      <c r="Q12" s="253">
        <f>'Tratamento de Dados'!DA20</f>
        <v>0</v>
      </c>
      <c r="R12" s="253">
        <f>'Tratamento de Dados'!DB20</f>
        <v>0</v>
      </c>
      <c r="S12" s="256">
        <f t="shared" si="0"/>
        <v>2.5</v>
      </c>
      <c r="T12" s="246" t="str">
        <f t="shared" si="1"/>
        <v>B</v>
      </c>
      <c r="U12" s="238" t="str">
        <f t="shared" si="2"/>
        <v>Low</v>
      </c>
      <c r="V12" s="238">
        <f>(IF(AND(D12=$BX$2,E12&lt;&gt;$BX$2),"Fitness-For-Service",INDEX('Tables - Part 2'!$AT$4:$AT$7,MATCH(Caustic_Cracking!U12,'Tables - Part 2'!$AS$4:$AS$7,0))))</f>
        <v>50</v>
      </c>
      <c r="W12" s="238">
        <f>IF(L12=0,(Thinning!G13-Thinning!F13)/365.25,(Thinning!G13-L12)/365.25)</f>
        <v>12.980150581793293</v>
      </c>
      <c r="X12" s="248">
        <f t="shared" si="3"/>
        <v>0</v>
      </c>
      <c r="Y12" s="248">
        <f t="shared" si="4"/>
        <v>2.5</v>
      </c>
      <c r="Z12" s="248">
        <f t="shared" si="5"/>
        <v>3</v>
      </c>
      <c r="AA12" s="247">
        <f t="shared" si="6"/>
        <v>4</v>
      </c>
      <c r="AB12" s="248">
        <f>IF($S12=$AB$3,INDEX('Tables - Part 2'!$AX$6:$BA$13,MATCH(V12,'Tables - Part 2'!$AV$6:$AV$13,0),MATCH(T12,'Tables - Part 2'!$AX$5:$BA$5,0)),0)</f>
        <v>0</v>
      </c>
      <c r="AC12" s="248">
        <f>IF($S12=$AC$3,(INDEX('Tables - Part 2'!$AX$6:$BA$13,MATCH(V12,'Tables - Part 2'!$AV$6:$AV$13,0),MATCH(T12,'Tables - Part 2'!$AX$5:$BA$5,0))+(INDEX('Tables - Part 2'!$AX$6:$BA$13,MATCH(V12,'Tables - Part 2'!$AV$6:$AV$13,0),MATCH(T12,'Tables - Part 2'!$AX$5:$BA$5,0))+((INDEX('Tables - Part 2'!$AX$6:$BA$13,MATCH(V12,'Tables - Part 2'!$AV$6:$AV$13,0),MATCH(T12,'Tables - Part 2'!$AX$5:$BA$5,0))+INDEX('Tables - Part 2'!$BB$6:$BE$13,MATCH(V12,'Tables - Part 2'!$AV$6:$AV$13,0),MATCH(T12,'Tables - Part 2'!$AX$5:$BA$5,0)))/2))/2)/2,0)</f>
        <v>0</v>
      </c>
      <c r="AD12" s="248">
        <f>IF($S12=$AD$3,(INDEX('Tables - Part 2'!$AX$6:$BA$13,MATCH(V12,'Tables - Part 2'!$AV$6:$AV$13,0),MATCH(T12,'Tables - Part 2'!$AX$5:$BA$5,0))+((INDEX('Tables - Part 2'!$AX$6:$BA$13,MATCH(V12,'Tables - Part 2'!$AV$6:$AV$13,0),MATCH(T12,'Tables - Part 2'!$AX$5:$BA$5,0))+INDEX('Tables - Part 2'!$BB$6:$BE$13,MATCH(V12,'Tables - Part 2'!$AV$6:$AV$13,0),MATCH(T12,'Tables - Part 2'!$AX$5:$BA$5,0)))/2))/2,0)</f>
        <v>0</v>
      </c>
      <c r="AE12" s="248">
        <f>IF($S12=$AE$3,(((INDEX('Tables - Part 2'!$AX$6:$BA$13,MATCH(V12,'Tables - Part 2'!$AV$6:$AV$13,0),MATCH(T12,'Tables - Part 2'!$AX$5:$BA$5,0))+((INDEX('Tables - Part 2'!$AX$6:$BA$13,MATCH(V12,'Tables - Part 2'!$AV$6:$AV$13,0),MATCH(T12,'Tables - Part 2'!$AX$5:$BA$5,0))+INDEX('Tables - Part 2'!$BB$6:$BE$13,MATCH(V12,'Tables - Part 2'!$AV$6:$AV$13,0),MATCH(T12,'Tables - Part 2'!$AX$5:$BA$5,0)))/2))/2)+(INDEX('Tables - Part 2'!$AX$6:$BA$13,MATCH(V12,'Tables - Part 2'!$AV$6:$AV$13,0),MATCH(T12,'Tables - Part 2'!$AX$5:$BA$5,0))+INDEX('Tables - Part 2'!$BB$6:$BE$13,MATCH(V12,'Tables - Part 2'!$AV$6:$AV$13,0),MATCH(T12,'Tables - Part 2'!$AX$5:$BA$5,0)))/2)/2,0)</f>
        <v>0</v>
      </c>
      <c r="AF12" s="248">
        <f>IF($S12=$AF$3,(INDEX('Tables - Part 2'!$AX$6:$BA$13,MATCH(V12,'Tables - Part 2'!$AV$6:$AV$13,0),MATCH(T12,'Tables - Part 2'!$AX$5:$BA$5,0))+INDEX('Tables - Part 2'!$BB$6:$BE$13,MATCH(V12,'Tables - Part 2'!$AV$6:$AV$13,0),MATCH(T12,'Tables - Part 2'!$AX$5:$BA$5,0)))/2,0)</f>
        <v>0</v>
      </c>
      <c r="AG12" s="248">
        <f>IF($S12=$AG$3,(((INDEX('Tables - Part 2'!$AX$6:$BA$13,MATCH(V12,'Tables - Part 2'!$AV$6:$AV$13,0),MATCH(T12,'Tables - Part 2'!$AX$5:$BA$5,0))+INDEX('Tables - Part 2'!$BB$6:$BE$13,MATCH(V12,'Tables - Part 2'!$AV$6:$AV$13,0),MATCH(T12,'Tables - Part 2'!$AX$5:$BA$5,0)))/2)+(((INDEX('Tables - Part 2'!$AX$6:$BA$13,MATCH(V12,'Tables - Part 2'!$AV$6:$AV$13,0),MATCH(T12,'Tables - Part 2'!$AX$5:$BA$5,0))+INDEX('Tables - Part 2'!$BB$6:$BE$13,MATCH(V12,'Tables - Part 2'!$AV$6:$AV$13,0),MATCH(T12,'Tables - Part 2'!$AX$5:$BA$5,0)))/2)+INDEX('Tables - Part 2'!$BB$6:$BE$13,MATCH(V12,'Tables - Part 2'!$AV$6:$AV$13,0),MATCH(T12,'Tables - Part 2'!$AX$5:$BA$5,0)))/2)/2,0)</f>
        <v>0</v>
      </c>
      <c r="AH12" s="248">
        <f>IF($S12=$AH$3,(((INDEX('Tables - Part 2'!$AX$6:$BA$13,MATCH(V12,'Tables - Part 2'!$AV$6:$AV$13,0),MATCH(T12,'Tables - Part 2'!$AX$5:$BA$5,0))+INDEX('Tables - Part 2'!$BB$6:$BE$13,MATCH(V12,'Tables - Part 2'!$AV$6:$AV$13,0),MATCH(T12,'Tables - Part 2'!$AX$5:$BA$5,0)))/2)+INDEX('Tables - Part 2'!$BB$6:$BE$13,MATCH(V12,'Tables - Part 2'!$AV$6:$AV$13,0),MATCH(T12,'Tables - Part 2'!$AX$5:$BA$5,0)))/2,0)</f>
        <v>0</v>
      </c>
      <c r="AI12" s="248">
        <f>IF($S12=$AI$3,(((((INDEX('Tables - Part 2'!$AX$6:$BA$13,MATCH(V12,'Tables - Part 2'!$AV$6:$AV$13,0),MATCH(T12,'Tables - Part 2'!$AX$5:$BA$5,0))+INDEX('Tables - Part 2'!$BB$6:$BE$13,MATCH(V12,'Tables - Part 2'!$AV$6:$AV$13,0),MATCH(T12,'Tables - Part 2'!$AX$5:$BA$5,0)))/2)+INDEX('Tables - Part 2'!$BB$6:$BE$13,MATCH(V12,'Tables - Part 2'!$AV$6:$AV$13,0),MATCH(T12,'Tables - Part 2'!$AX$5:$BA$5,0)))/2)+INDEX('Tables - Part 2'!$BB$6:$BE$13,MATCH(V12,'Tables - Part 2'!$AV$6:$AV$13,0),MATCH(T12,'Tables - Part 2'!$AX$5:$BA$5,0)))/2,0)</f>
        <v>0</v>
      </c>
      <c r="AJ12" s="248">
        <f>IF($S12=$AJ$3,INDEX('Tables - Part 2'!$BB$6:$BE$13,MATCH(V12,'Tables - Part 2'!$AV$6:$AV$13,0),MATCH(T12,'Tables - Part 2'!$AX$5:$BA$5,0)),0)</f>
        <v>0</v>
      </c>
      <c r="AK12" s="248">
        <f>IF($S12=$AK$3,((INDEX('Tables - Part 2'!$BB$6:$BE$13,MATCH(V12,'Tables - Part 2'!$AV$6:$AV$13,0),MATCH(T12,'Tables - Part 2'!$AX$5:$BA$5,0)))+(INDEX('Tables - Part 2'!$BB$6:$BE$13,MATCH(V12,'Tables - Part 2'!$AV$6:$AV$13,0),MATCH(T12,'Tables - Part 2'!$AX$5:$BA$5,0))+(INDEX('Tables - Part 2'!$BB$6:$BE$13,MATCH(V12,'Tables - Part 2'!$AV$6:$AV$13,0),MATCH(T12,'Tables - Part 2'!$AX$5:$BA$5,0))+INDEX('Tables - Part 2'!$BF$6:$BI$13,MATCH(V12,'Tables - Part 2'!$AV$6:$AV$13,0),MATCH(T12,'Tables - Part 2'!$AX$5:$BA$5,0)))/2)/2)/2,0)</f>
        <v>0</v>
      </c>
      <c r="AL12" s="248">
        <f>IF($S12=$AL$3,(INDEX('Tables - Part 2'!$BB$6:$BE$13,MATCH(V12,'Tables - Part 2'!$AV$6:$AV$13,0),MATCH(T12,'Tables - Part 2'!$AX$5:$BA$5,0))+(INDEX('Tables - Part 2'!$BB$6:$BE$13,MATCH(V12,'Tables - Part 2'!$AV$6:$AV$13,0),MATCH(T12,'Tables - Part 2'!$AX$5:$BA$5,0))+INDEX('Tables - Part 2'!$BF$6:$BI$13,MATCH(V12,'Tables - Part 2'!$AV$6:$AV$13,0),MATCH(T12,'Tables - Part 2'!$AX$5:$BA$5,0)))/2)/2,0)</f>
        <v>0</v>
      </c>
      <c r="AM12" s="248">
        <f>IF($S12=$AM$3,(((INDEX('Tables - Part 2'!$BB$6:$BE$13,MATCH(V12,'Tables - Part 2'!$AV$6:$AV$13,0),MATCH(T12,'Tables - Part 2'!$AX$5:$BA$5,0))+(INDEX('Tables - Part 2'!$BB$6:$BE$13,MATCH(V12,'Tables - Part 2'!$AV$6:$AV$13,0),MATCH(T12,'Tables - Part 2'!$AX$5:$BA$5,0))+INDEX('Tables - Part 2'!$BF$6:$BI$13,MATCH(V12,'Tables - Part 2'!$AV$6:$AV$13,0),MATCH(T12,'Tables - Part 2'!$AX$5:$BA$5,0)))/2)/2)+((INDEX('Tables - Part 2'!$BB$6:$BE$13,MATCH(V12,'Tables - Part 2'!$AV$6:$AV$13,0),MATCH(T12,'Tables - Part 2'!$AX$5:$BA$5,0))+INDEX('Tables - Part 2'!$BF$6:$BI$13,MATCH(V12,'Tables - Part 2'!$AV$6:$AV$13,0),MATCH(T12,'Tables - Part 2'!$AX$5:$BA$5,0)))/2))/2,0)</f>
        <v>0</v>
      </c>
      <c r="AN12" s="248">
        <f>IF($S12=$AN$3,(INDEX('Tables - Part 2'!$BB$6:$BE$13,MATCH(V12,'Tables - Part 2'!$AV$6:$AV$13,0),MATCH(T12,'Tables - Part 2'!$AX$5:$BA$5,0))+INDEX('Tables - Part 2'!$BF$6:$BI$13,MATCH(V12,'Tables - Part 2'!$AV$6:$AV$13,0),MATCH(T12,'Tables - Part 2'!$AX$5:$BA$5,0)))/2,0)</f>
        <v>1.5</v>
      </c>
      <c r="AO12" s="248">
        <f>IF($S12=$AO$3,(((INDEX('Tables - Part 2'!$BB$6:$BE$13,MATCH(V12,'Tables - Part 2'!$AV$6:$AV$13,0),MATCH(T12,'Tables - Part 2'!$AX$5:$BA$5,0))+INDEX('Tables - Part 2'!$BF$6:$BI$13,MATCH(V12,'Tables - Part 2'!$AV$6:$AV$13,0),MATCH(T12,'Tables - Part 2'!$AX$5:$BA$5,0)))/2)+((((INDEX('Tables - Part 2'!$BB$6:$BE$13,MATCH(V12,'Tables - Part 2'!$AV$6:$AV$13,0),MATCH(T12,'Tables - Part 2'!$AX$5:$BA$5,0))+INDEX('Tables - Part 2'!$BF$6:$BI$13,MATCH(V12,'Tables - Part 2'!$AV$6:$AV$13,0),MATCH(T12,'Tables - Part 2'!$AX$5:$BA$5,0)))/2)+INDEX('Tables - Part 2'!$BF$6:$BI$13,MATCH(V12,'Tables - Part 2'!$AV$6:$AV$13,0),MATCH(T12,'Tables - Part 2'!$AX$5:$BA$5,0)))/2))/2,0)</f>
        <v>0</v>
      </c>
      <c r="AP12" s="248">
        <f>IF($S12=$AP$3,(((INDEX('Tables - Part 2'!$BB$6:$BE$13,MATCH(V12,'Tables - Part 2'!$AV$6:$AV$13,0),MATCH(T12,'Tables - Part 2'!$AX$5:$BA$5,0))+INDEX('Tables - Part 2'!$BF$6:$BI$13,MATCH(V12,'Tables - Part 2'!$AV$6:$AV$13,0),MATCH(T12,'Tables - Part 2'!$AX$5:$BA$5,0)))/2)+INDEX('Tables - Part 2'!$BF$6:$BI$13,MATCH(V12,'Tables - Part 2'!$AV$6:$AV$13,0),MATCH(T12,'Tables - Part 2'!$AX$5:$BA$5,0)))/2,0)</f>
        <v>0</v>
      </c>
      <c r="AQ12" s="248">
        <f>IF($S12=$AQ$3,(((((INDEX('Tables - Part 2'!$BB$6:$BE$13,MATCH(V12,'Tables - Part 2'!$AV$6:$AV$13,0),MATCH(T12,'Tables - Part 2'!$AX$5:$BA$5,0))+INDEX('Tables - Part 2'!$BF$6:$BI$13,MATCH(V12,'Tables - Part 2'!$AV$6:$AV$13,0),MATCH(T12,'Tables - Part 2'!$AX$5:$BA$5,0)))/2)+INDEX('Tables - Part 2'!$BF$6:$BI$13,MATCH(V12,'Tables - Part 2'!$AV$6:$AV$13,0),MATCH(T12,'Tables - Part 2'!$AX$5:$BA$5,0)))/2)+INDEX('Tables - Part 2'!$BF$6:$BI$13,MATCH(V12,'Tables - Part 2'!$AV$6:$AV$13,0),MATCH(T12,'Tables - Part 2'!$AX$5:$BA$5,0)))/2,0)</f>
        <v>0</v>
      </c>
      <c r="AR12" s="248">
        <f>IF($S12=$AR$3,INDEX('Tables - Part 2'!$BF$6:$BI$13,MATCH(V12,'Tables - Part 2'!$AV$6:$AV$13,0),MATCH(T12,'Tables - Part 2'!$AX$5:$BA$5,0)),0)</f>
        <v>0</v>
      </c>
      <c r="AS12" s="248">
        <f>IF($S12=$AS$3,(INDEX('Tables - Part 2'!$BF$6:$BI$13,MATCH(V12,'Tables - Part 2'!$AV$6:$AV$13,0),MATCH(T12,'Tables - Part 2'!$AX$5:$BA$5,0))+((INDEX('Tables - Part 2'!$BF$6:$BI$13,MATCH(V12,'Tables - Part 2'!$AV$6:$AV$13,0),MATCH(T12,'Tables - Part 2'!$AX$5:$BA$5,0))+(INDEX('Tables - Part 2'!$BF$6:$BI$13,MATCH(V12,'Tables - Part 2'!$AV$6:$AV$13,0),MATCH(T12,'Tables - Part 2'!$AX$5:$BA$5,0))+INDEX('Tables - Part 2'!$AX$17:$BA$24,MATCH(V12,'Tables - Part 2'!$AV$6:$AV$13,0),MATCH(T12,'Tables - Part 2'!$AX$5:$BA$5,0)))/2)/2))/2,0)</f>
        <v>0</v>
      </c>
      <c r="AT12" s="248">
        <f>IF($S12=$AT$3,(INDEX('Tables - Part 2'!$BF$6:$BI$13,MATCH(V12,'Tables - Part 2'!$AV$6:$AV$13,0),MATCH(T12,'Tables - Part 2'!$AX$5:$BA$5,0))+(INDEX('Tables - Part 2'!$BF$6:$BI$13,MATCH(V12,'Tables - Part 2'!$AV$6:$AV$13,0),MATCH(T12,'Tables - Part 2'!$AX$5:$BA$5,0))+INDEX('Tables - Part 2'!$AX$17:$BA$24,MATCH(V12,'Tables - Part 2'!$AV$6:$AV$13,0),MATCH(T12,'Tables - Part 2'!$AX$5:$BA$5,0)))/2)/2,0)</f>
        <v>0</v>
      </c>
      <c r="AU12" s="248">
        <f>IF($S12=$AU$3,(((INDEX('Tables - Part 2'!$BF$6:$BI$13,MATCH(V12,'Tables - Part 2'!$AV$6:$AV$13,0),MATCH(T12,'Tables - Part 2'!$AX$5:$BA$5,0))+(INDEX('Tables - Part 2'!$BF$6:$BI$13,MATCH(V12,'Tables - Part 2'!$AV$6:$AV$13,0),MATCH(T12,'Tables - Part 2'!$AX$5:$BA$5,0))+INDEX('Tables - Part 2'!$AX$17:$BA$24,MATCH(V12,'Tables - Part 2'!$AV$6:$AV$13,0),MATCH(T12,'Tables - Part 2'!$AX$5:$BA$5,0)))/2)/2)+((INDEX('Tables - Part 2'!$BF$6:$BI$13,MATCH(V12,'Tables - Part 2'!$AV$6:$AV$13,0),MATCH(T12,'Tables - Part 2'!$AX$5:$BA$5,0))+INDEX('Tables - Part 2'!$AX$17:$BA$24,MATCH(V12,'Tables - Part 2'!$AV$6:$AV$13,0),MATCH(T12,'Tables - Part 2'!$AX$5:$BA$5,0)))/2))/2,0)</f>
        <v>0</v>
      </c>
      <c r="AV12" s="248">
        <f>IF($S12=$AV$3,(INDEX('Tables - Part 2'!$BF$6:$BI$13,MATCH(V12,'Tables - Part 2'!$AV$6:$AV$13,0),MATCH(T12,'Tables - Part 2'!$AX$5:$BA$5,0))+INDEX('Tables - Part 2'!$AX$17:$BA$24,MATCH(V12,'Tables - Part 2'!$AV$6:$AV$13,0),MATCH(T12,'Tables - Part 2'!$AX$5:$BA$5,0)))/2,0)</f>
        <v>0</v>
      </c>
      <c r="AW12" s="248">
        <f>IF($S12=$AW$3,(((INDEX('Tables - Part 2'!$BF$6:$BI$13,MATCH(V12,'Tables - Part 2'!$AV$6:$AV$13,0),MATCH(T12,'Tables - Part 2'!$AX$5:$BA$5,0))+INDEX('Tables - Part 2'!$AX$17:$BA$24,MATCH(V12,'Tables - Part 2'!$AV$6:$AV$13,0),MATCH(T12,'Tables - Part 2'!$AX$5:$BA$5,0)))/2)+((((INDEX('Tables - Part 2'!$BF$6:$BI$13,MATCH(V12,'Tables - Part 2'!$AV$6:$AV$13,0),MATCH(T12,'Tables - Part 2'!$AX$5:$BA$5,0))+INDEX('Tables - Part 2'!$AX$17:$BA$24,MATCH(V12,'Tables - Part 2'!$AV$6:$AV$13,0),MATCH(T12,'Tables - Part 2'!$AX$5:$BA$5,0)))/2)+INDEX('Tables - Part 2'!$AX$17:$BA$24,MATCH(V12,'Tables - Part 2'!$AV$6:$AV$13,0),MATCH(T12,'Tables - Part 2'!$AX$5:$BA$5,0)))/2))/2,0)</f>
        <v>0</v>
      </c>
      <c r="AX12" s="248">
        <f>IF($S12=$AX$3,(((INDEX('Tables - Part 2'!$BF$6:$BI$13,MATCH(V12,'Tables - Part 2'!$AV$6:$AV$13,0),MATCH(T12,'Tables - Part 2'!$AX$5:$BA$5,0))+INDEX('Tables - Part 2'!$AX$17:$BA$24,MATCH(V12,'Tables - Part 2'!$AV$6:$AV$13,0),MATCH(T12,'Tables - Part 2'!$AX$5:$BA$5,0)))/2)+INDEX('Tables - Part 2'!$AX$17:$BA$24,MATCH(V12,'Tables - Part 2'!$AV$6:$AV$13,0),MATCH(T12,'Tables - Part 2'!$AX$5:$BA$5,0)))/2,0)</f>
        <v>0</v>
      </c>
      <c r="AY12" s="248">
        <f>IF($S12=$AY$3,(((((INDEX('Tables - Part 2'!$BF$6:$BI$13,MATCH(V12,'Tables - Part 2'!$AV$6:$AV$13,0),MATCH(T12,'Tables - Part 2'!$AX$5:$BA$5,0))+INDEX('Tables - Part 2'!$AX$17:$BA$24,MATCH(V12,'Tables - Part 2'!$AV$6:$AV$13,0),MATCH(T12,'Tables - Part 2'!$AX$5:$BA$5,0)))/2)+INDEX('Tables - Part 2'!$AX$17:$BA$24,MATCH(V12,'Tables - Part 2'!$AV$6:$AV$13,0),MATCH(T12,'Tables - Part 2'!$AX$5:$BA$5,0)))/2)+(INDEX('Tables - Part 2'!$AX$17:$BA$24,MATCH(V12,'Tables - Part 2'!$AV$6:$AV$13,0),MATCH(T12,'Tables - Part 2'!$AX$5:$BA$5,0))))/2,0)</f>
        <v>0</v>
      </c>
      <c r="AZ12" s="248">
        <f>IF($S12=$AZ$3,INDEX('Tables - Part 2'!$AX$17:$BA$24,MATCH(V12,'Tables - Part 2'!$AV$6:$AV$13,0),MATCH(T12,'Tables - Part 2'!$AX$5:$BA$5,0)),0)</f>
        <v>0</v>
      </c>
      <c r="BA12" s="248">
        <f>IF($S12=$BA$3,((INDEX('Tables - Part 2'!$AX$17:$BA$24,MATCH(V12,'Tables - Part 2'!$AV$6:$AV$13,0),MATCH(T12,'Tables - Part 2'!$AX$5:$BA$5,0)))+(((INDEX('Tables - Part 2'!$AX$17:$BA$24,MATCH(V12,'Tables - Part 2'!$AV$6:$AV$13,0),MATCH(T12,'Tables - Part 2'!$AX$5:$BA$5,0)))+(INDEX('Tables - Part 2'!$AX$17:$BA$24,MATCH(V12,'Tables - Part 2'!$AV$6:$AV$13,0),MATCH(T12,'Tables - Part 2'!$AX$5:$BA$5,0))+INDEX('Tables - Part 2'!$BB$17:$BE$24,MATCH(V12,'Tables - Part 2'!$AV$6:$AV$13,0),MATCH(T12,'Tables - Part 2'!$AX$5:$BA$5,0)))/2)/2))/2,0)</f>
        <v>0</v>
      </c>
      <c r="BB12" s="248">
        <f>IF($S12=$BB$3,((INDEX('Tables - Part 2'!$AX$17:$BA$24,MATCH(V12,'Tables - Part 2'!$AV$6:$AV$13,0),MATCH(T12,'Tables - Part 2'!$AX$5:$BA$5,0)))+(INDEX('Tables - Part 2'!$AX$17:$BA$24,MATCH(V12,'Tables - Part 2'!$AV$6:$AV$13,0),MATCH(T12,'Tables - Part 2'!$AX$5:$BA$5,0))+INDEX('Tables - Part 2'!$BB$17:$BE$24,MATCH(V12,'Tables - Part 2'!$AV$6:$AV$13,0),MATCH(T12,'Tables - Part 2'!$AX$5:$BA$5,0)))/2)/2,0)</f>
        <v>0</v>
      </c>
      <c r="BC12" s="248">
        <f>IF($S12=$BC$3,((((INDEX('Tables - Part 2'!$AX$17:$BA$24,MATCH(V12,'Tables - Part 2'!$AV$6:$AV$13,0),MATCH(T12,'Tables - Part 2'!$AX$5:$BA$5,0)))+(INDEX('Tables - Part 2'!$AX$17:$BA$24,MATCH(V12,'Tables - Part 2'!$AV$6:$AV$13,0),MATCH(T12,'Tables - Part 2'!$AX$5:$BA$5,0))+INDEX('Tables - Part 2'!$BB$17:$BE$24,MATCH(V12,'Tables - Part 2'!$AV$6:$AV$13,0),MATCH(T12,'Tables - Part 2'!$AX$5:$BA$5,0)))/2)/2)+((INDEX('Tables - Part 2'!$AX$17:$BA$24,MATCH(V12,'Tables - Part 2'!$AV$6:$AV$13,0),MATCH(T12,'Tables - Part 2'!$AX$5:$BA$5,0))+INDEX('Tables - Part 2'!$BB$17:$BE$24,MATCH(V12,'Tables - Part 2'!$AV$6:$AV$13,0),MATCH(T12,'Tables - Part 2'!$AX$5:$BA$5,0)))/2))/2,0)</f>
        <v>0</v>
      </c>
      <c r="BD12" s="248">
        <f>IF($S12=$BD$3,(INDEX('Tables - Part 2'!$AX$17:$BA$24,MATCH(V12,'Tables - Part 2'!$AV$6:$AV$13,0),MATCH(T12,'Tables - Part 2'!$AX$5:$BA$5,0))+INDEX('Tables - Part 2'!$BB$17:$BE$24,MATCH(V12,'Tables - Part 2'!$AV$6:$AV$13,0),MATCH(T12,'Tables - Part 2'!$AX$5:$BA$5,0)))/2,0)</f>
        <v>0</v>
      </c>
      <c r="BE12" s="248">
        <f>IF($S12=$BE$3,(((INDEX('Tables - Part 2'!$AX$17:$BA$24,MATCH(V12,'Tables - Part 2'!$AV$6:$AV$13,0),MATCH(T12,'Tables - Part 2'!$AX$5:$BA$5,0))+INDEX('Tables - Part 2'!$BB$17:$BE$24,MATCH(V12,'Tables - Part 2'!$AV$6:$AV$13,0),MATCH(T12,'Tables - Part 2'!$AX$5:$BA$5,0)))/2)+((((INDEX('Tables - Part 2'!$AX$17:$BA$24,MATCH(V12,'Tables - Part 2'!$AV$6:$AV$13,0),MATCH(T12,'Tables - Part 2'!$AX$5:$BA$5,0))+INDEX('Tables - Part 2'!$BB$17:$BE$24,MATCH(V12,'Tables - Part 2'!$AV$6:$AV$13,0),MATCH(T12,'Tables - Part 2'!$AX$5:$BA$5,0)))/2)+INDEX('Tables - Part 2'!$BB$17:$BE$24,MATCH(V12,'Tables - Part 2'!$AV$6:$AV$13,0),MATCH(T12,'Tables - Part 2'!$AX$5:$BA$5,0)))/2))/2,0)</f>
        <v>0</v>
      </c>
      <c r="BF12" s="248">
        <f>IF($S12=$BF$3,(((INDEX('Tables - Part 2'!$AX$17:$BA$24,MATCH(V12,'Tables - Part 2'!$AV$6:$AV$13,0),MATCH(T12,'Tables - Part 2'!$AX$5:$BA$5,0))+INDEX('Tables - Part 2'!$BB$17:$BE$24,MATCH(V12,'Tables - Part 2'!$AV$6:$AV$13,0),MATCH(T12,'Tables - Part 2'!$AX$5:$BA$5,0)))/2)+INDEX('Tables - Part 2'!$BB$17:$BE$24,MATCH(V12,'Tables - Part 2'!$AV$6:$AV$13,0),MATCH(T12,'Tables - Part 2'!$AX$5:$BA$5,0)))/2,0)</f>
        <v>0</v>
      </c>
      <c r="BG12" s="248">
        <f>IF($S12=$BG$3,(((((INDEX('Tables - Part 2'!$AX$17:$BA$24,MATCH(V12,'Tables - Part 2'!$AV$6:$AV$13,0),MATCH(T12,'Tables - Part 2'!$AX$5:$BA$5,0))+INDEX('Tables - Part 2'!$BB$17:$BE$24,MATCH(V12,'Tables - Part 2'!$AV$6:$AV$13,0),MATCH(T12,'Tables - Part 2'!$AX$5:$BA$5,0)))/2)+INDEX('Tables - Part 2'!$BB$17:$BE$24,MATCH(V12,'Tables - Part 2'!$AV$6:$AV$13,0),MATCH(T12,'Tables - Part 2'!$AX$5:$BA$5,0)))/2)+(INDEX('Tables - Part 2'!$BB$17:$BE$24,MATCH(V12,'Tables - Part 2'!$AV$6:$AV$13,0),MATCH(T12,'Tables - Part 2'!$AX$5:$BA$5,0))))/2,0)</f>
        <v>0</v>
      </c>
      <c r="BH12" s="248">
        <f>IF($S12=$BH$3,INDEX('Tables - Part 2'!$BB$17:$BE$24,MATCH(V12,'Tables - Part 2'!$AV$6:$AV$13,0),MATCH(T12,'Tables - Part 2'!$AX$5:$BA$5,0)),0)</f>
        <v>0</v>
      </c>
      <c r="BI12" s="248">
        <f>IF($S12=$BI$3,((INDEX('Tables - Part 2'!$BB$17:$BE$24,MATCH(V12,'Tables - Part 2'!$AV$6:$AV$13,0),MATCH(T12,'Tables - Part 2'!$AX$5:$BA$5,0)))+(((INDEX('Tables - Part 2'!$BB$17:$BE$24,MATCH(V12,'Tables - Part 2'!$AV$6:$AV$13,0),MATCH(T12,'Tables - Part 2'!$AX$5:$BA$5,0)))+(INDEX('Tables - Part 2'!$BB$17:$BE$24,MATCH(V12,'Tables - Part 2'!$AV$6:$AV$13,0),MATCH(T12,'Tables - Part 2'!$AX$5:$BA$5,0))+INDEX('Tables - Part 2'!$BF$17:$BI$24,MATCH(V12,'Tables - Part 2'!$AV$6:$AV$13,0),MATCH(T12,'Tables - Part 2'!$AX$5:$BA$5,0)))/2)/2))/2,0)</f>
        <v>0</v>
      </c>
      <c r="BJ12" s="248">
        <f>IF($S12=$BJ$3,((INDEX('Tables - Part 2'!$BB$17:$BE$24,MATCH(V12,'Tables - Part 2'!$AV$6:$AV$13,0),MATCH(T12,'Tables - Part 2'!$AX$5:$BA$5,0)))+(INDEX('Tables - Part 2'!$BB$17:$BE$24,MATCH(V12,'Tables - Part 2'!$AV$6:$AV$13,0),MATCH(T12,'Tables - Part 2'!$AX$5:$BA$5,0))+INDEX('Tables - Part 2'!$BF$17:$BI$24,MATCH(V12,'Tables - Part 2'!$AV$6:$AV$13,0),MATCH(T12,'Tables - Part 2'!$AX$5:$BA$5,0)))/2)/2,0)</f>
        <v>0</v>
      </c>
      <c r="BK12" s="248">
        <f>IF($S12=$BK$3,((((INDEX('Tables - Part 2'!$BB$17:$BE$24,MATCH(V12,'Tables - Part 2'!$AV$6:$AV$13,0),MATCH(T12,'Tables - Part 2'!$AX$5:$BA$5,0)))+(INDEX('Tables - Part 2'!$BB$17:$BE$24,MATCH(V12,'Tables - Part 2'!$AV$6:$AV$13,0),MATCH(T12,'Tables - Part 2'!$AX$5:$BA$5,0))+INDEX('Tables - Part 2'!$BF$17:$BI$24,MATCH(V12,'Tables - Part 2'!$AV$6:$AV$13,0),MATCH(T12,'Tables - Part 2'!$AX$5:$BA$5,0)))/2)/2)+((INDEX('Tables - Part 2'!$BB$17:$BE$24,MATCH(V12,'Tables - Part 2'!$AV$6:$AV$13,0),MATCH(T12,'Tables - Part 2'!$AX$5:$BA$5,0))+INDEX('Tables - Part 2'!$BF$17:$BI$24,MATCH(V12,'Tables - Part 2'!$AV$6:$AV$13,0),MATCH(T12,'Tables - Part 2'!$AX$5:$BA$5,0)))/2))/2,0)</f>
        <v>0</v>
      </c>
      <c r="BL12" s="248">
        <f>IF($S12=$BL$3,(INDEX('Tables - Part 2'!$BB$17:$BE$24,MATCH(V12,'Tables - Part 2'!$AV$6:$AV$13,0),MATCH(T12,'Tables - Part 2'!$AX$5:$BA$5,0))+INDEX('Tables - Part 2'!$BF$17:$BI$24,MATCH(V12,'Tables - Part 2'!$AV$6:$AV$13,0),MATCH(T12,'Tables - Part 2'!$AX$5:$BA$5,0)))/2,0)</f>
        <v>0</v>
      </c>
      <c r="BM12" s="248">
        <f>IF($S12=$BM$3,(((INDEX('Tables - Part 2'!$BB$17:$BE$24,MATCH(V12,'Tables - Part 2'!$AV$6:$AV$13,0),MATCH(T12,'Tables - Part 2'!$AX$5:$BA$5,0))+INDEX('Tables - Part 2'!$BF$17:$BI$24,MATCH(V12,'Tables - Part 2'!$AV$6:$AV$13,0),MATCH(T12,'Tables - Part 2'!$AX$5:$BA$5,0)))/2)+((((INDEX('Tables - Part 2'!$BB$17:$BE$24,MATCH(V12,'Tables - Part 2'!$AV$6:$AV$13,0),MATCH(T12,'Tables - Part 2'!$AX$5:$BA$5,0))+INDEX('Tables - Part 2'!$BF$17:$BI$24,MATCH(V12,'Tables - Part 2'!$AV$6:$AV$13,0),MATCH(T12,'Tables - Part 2'!$AX$5:$BA$5,0)))/2)+INDEX('Tables - Part 2'!$BF$17:$BI$24,MATCH(V12,'Tables - Part 2'!$AV$6:$AV$13,0),MATCH(T12,'Tables - Part 2'!$AX$5:$BA$5,0)))/2))/2,0)</f>
        <v>0</v>
      </c>
      <c r="BN12" s="248">
        <f>IF($S12=$BN$3,(((INDEX('Tables - Part 2'!$BB$17:$BE$24,MATCH(V12,'Tables - Part 2'!$AV$6:$AV$13,0),MATCH(T12,'Tables - Part 2'!$AX$5:$BA$5,0))+INDEX('Tables - Part 2'!$BF$17:$BI$24,MATCH(V12,'Tables - Part 2'!$AV$6:$AV$13,0),MATCH(T12,'Tables - Part 2'!$AX$5:$BA$5,0)))/2)+INDEX('Tables - Part 2'!$BF$17:$BI$24,MATCH(V12,'Tables - Part 2'!$AV$6:$AV$13,0),MATCH(T12,'Tables - Part 2'!$AX$5:$BA$5,0)))/2,0)</f>
        <v>0</v>
      </c>
      <c r="BO12" s="248">
        <f>IF($S12=$BO$3,(((((INDEX('Tables - Part 2'!$BB$17:$BE$24,MATCH(V12,'Tables - Part 2'!$AV$6:$AV$13,0),MATCH(T12,'Tables - Part 2'!$AX$5:$BA$5,0))+INDEX('Tables - Part 2'!$BF$17:$BI$24,MATCH(V12,'Tables - Part 2'!$AV$6:$AV$13,0),MATCH(T12,'Tables - Part 2'!$AX$5:$BA$5,0)))/2)+INDEX('Tables - Part 2'!$BF$17:$BI$24,MATCH(V12,'Tables - Part 2'!$AV$6:$AV$13,0),MATCH(T12,'Tables - Part 2'!$AX$5:$BA$5,0)))/2)+(INDEX('Tables - Part 2'!$BF$17:$BI$24,MATCH(V12,'Tables - Part 2'!$AV$6:$AV$13,0),MATCH(T12,'Tables - Part 2'!$AX$5:$BA$5,0))))/2,0)</f>
        <v>0</v>
      </c>
      <c r="BP12" s="248">
        <f>IF($S12=$BP$3,INDEX('Tables - Part 2'!$BF$17:$BI$24,MATCH(V12,'Tables - Part 2'!$AV$6:$AV$13,0),MATCH(T12,'Tables - Part 2'!$AX$5:$BA$5,0)),0)</f>
        <v>0</v>
      </c>
      <c r="BQ12" s="248">
        <f t="shared" si="7"/>
        <v>0</v>
      </c>
      <c r="BR12" s="238">
        <f t="shared" si="8"/>
        <v>1.5</v>
      </c>
      <c r="BS12" s="238">
        <f t="shared" si="9"/>
        <v>25.159323702612586</v>
      </c>
    </row>
    <row r="13" spans="2:84" x14ac:dyDescent="0.35">
      <c r="B13" s="161" t="str">
        <f>'Tratamento de Dados'!B21</f>
        <v>V-4</v>
      </c>
      <c r="C13" s="161" t="str">
        <f>'Tratamento de Dados'!D21</f>
        <v>Casco</v>
      </c>
      <c r="D13" s="209" t="s">
        <v>245</v>
      </c>
      <c r="E13" s="209" t="s">
        <v>245</v>
      </c>
      <c r="F13" s="439">
        <v>0.02</v>
      </c>
      <c r="G13" s="209">
        <v>150</v>
      </c>
      <c r="H13" s="209" t="s">
        <v>244</v>
      </c>
      <c r="I13" s="209" t="s">
        <v>245</v>
      </c>
      <c r="J13" s="209" t="s">
        <v>244</v>
      </c>
      <c r="K13" s="209" t="s">
        <v>245</v>
      </c>
      <c r="L13" s="210">
        <v>39092</v>
      </c>
      <c r="M13" s="209">
        <v>0</v>
      </c>
      <c r="N13" s="209">
        <v>1</v>
      </c>
      <c r="O13" s="209">
        <v>1</v>
      </c>
      <c r="P13" s="209">
        <v>4</v>
      </c>
      <c r="Q13" s="253">
        <f>'Tratamento de Dados'!DA21</f>
        <v>0</v>
      </c>
      <c r="R13" s="253">
        <f>'Tratamento de Dados'!DB21</f>
        <v>0</v>
      </c>
      <c r="S13" s="256">
        <f t="shared" si="0"/>
        <v>2.5</v>
      </c>
      <c r="T13" s="246" t="str">
        <f t="shared" si="1"/>
        <v>B</v>
      </c>
      <c r="U13" s="238" t="str">
        <f t="shared" si="2"/>
        <v>Low</v>
      </c>
      <c r="V13" s="238">
        <f>(IF(AND(D13=$BX$2,E13&lt;&gt;$BX$2),"Fitness-For-Service",INDEX('Tables - Part 2'!$AT$4:$AT$7,MATCH(Caustic_Cracking!U13,'Tables - Part 2'!$AS$4:$AS$7,0))))</f>
        <v>50</v>
      </c>
      <c r="W13" s="238">
        <f>IF(L13=0,(Thinning!G14-Thinning!F14)/365.25,(Thinning!G14-L13)/365.25)</f>
        <v>12.980150581793293</v>
      </c>
      <c r="X13" s="248">
        <f t="shared" si="3"/>
        <v>0</v>
      </c>
      <c r="Y13" s="248">
        <f t="shared" si="4"/>
        <v>2.5</v>
      </c>
      <c r="Z13" s="248">
        <f t="shared" si="5"/>
        <v>3</v>
      </c>
      <c r="AA13" s="247">
        <f t="shared" si="6"/>
        <v>4</v>
      </c>
      <c r="AB13" s="248">
        <f>IF($S13=$AB$3,INDEX('Tables - Part 2'!$AX$6:$BA$13,MATCH(V13,'Tables - Part 2'!$AV$6:$AV$13,0),MATCH(T13,'Tables - Part 2'!$AX$5:$BA$5,0)),0)</f>
        <v>0</v>
      </c>
      <c r="AC13" s="248">
        <f>IF($S13=$AC$3,(INDEX('Tables - Part 2'!$AX$6:$BA$13,MATCH(V13,'Tables - Part 2'!$AV$6:$AV$13,0),MATCH(T13,'Tables - Part 2'!$AX$5:$BA$5,0))+(INDEX('Tables - Part 2'!$AX$6:$BA$13,MATCH(V13,'Tables - Part 2'!$AV$6:$AV$13,0),MATCH(T13,'Tables - Part 2'!$AX$5:$BA$5,0))+((INDEX('Tables - Part 2'!$AX$6:$BA$13,MATCH(V13,'Tables - Part 2'!$AV$6:$AV$13,0),MATCH(T13,'Tables - Part 2'!$AX$5:$BA$5,0))+INDEX('Tables - Part 2'!$BB$6:$BE$13,MATCH(V13,'Tables - Part 2'!$AV$6:$AV$13,0),MATCH(T13,'Tables - Part 2'!$AX$5:$BA$5,0)))/2))/2)/2,0)</f>
        <v>0</v>
      </c>
      <c r="AD13" s="248">
        <f>IF($S13=$AD$3,(INDEX('Tables - Part 2'!$AX$6:$BA$13,MATCH(V13,'Tables - Part 2'!$AV$6:$AV$13,0),MATCH(T13,'Tables - Part 2'!$AX$5:$BA$5,0))+((INDEX('Tables - Part 2'!$AX$6:$BA$13,MATCH(V13,'Tables - Part 2'!$AV$6:$AV$13,0),MATCH(T13,'Tables - Part 2'!$AX$5:$BA$5,0))+INDEX('Tables - Part 2'!$BB$6:$BE$13,MATCH(V13,'Tables - Part 2'!$AV$6:$AV$13,0),MATCH(T13,'Tables - Part 2'!$AX$5:$BA$5,0)))/2))/2,0)</f>
        <v>0</v>
      </c>
      <c r="AE13" s="248">
        <f>IF($S13=$AE$3,(((INDEX('Tables - Part 2'!$AX$6:$BA$13,MATCH(V13,'Tables - Part 2'!$AV$6:$AV$13,0),MATCH(T13,'Tables - Part 2'!$AX$5:$BA$5,0))+((INDEX('Tables - Part 2'!$AX$6:$BA$13,MATCH(V13,'Tables - Part 2'!$AV$6:$AV$13,0),MATCH(T13,'Tables - Part 2'!$AX$5:$BA$5,0))+INDEX('Tables - Part 2'!$BB$6:$BE$13,MATCH(V13,'Tables - Part 2'!$AV$6:$AV$13,0),MATCH(T13,'Tables - Part 2'!$AX$5:$BA$5,0)))/2))/2)+(INDEX('Tables - Part 2'!$AX$6:$BA$13,MATCH(V13,'Tables - Part 2'!$AV$6:$AV$13,0),MATCH(T13,'Tables - Part 2'!$AX$5:$BA$5,0))+INDEX('Tables - Part 2'!$BB$6:$BE$13,MATCH(V13,'Tables - Part 2'!$AV$6:$AV$13,0),MATCH(T13,'Tables - Part 2'!$AX$5:$BA$5,0)))/2)/2,0)</f>
        <v>0</v>
      </c>
      <c r="AF13" s="248">
        <f>IF($S13=$AF$3,(INDEX('Tables - Part 2'!$AX$6:$BA$13,MATCH(V13,'Tables - Part 2'!$AV$6:$AV$13,0),MATCH(T13,'Tables - Part 2'!$AX$5:$BA$5,0))+INDEX('Tables - Part 2'!$BB$6:$BE$13,MATCH(V13,'Tables - Part 2'!$AV$6:$AV$13,0),MATCH(T13,'Tables - Part 2'!$AX$5:$BA$5,0)))/2,0)</f>
        <v>0</v>
      </c>
      <c r="AG13" s="248">
        <f>IF($S13=$AG$3,(((INDEX('Tables - Part 2'!$AX$6:$BA$13,MATCH(V13,'Tables - Part 2'!$AV$6:$AV$13,0),MATCH(T13,'Tables - Part 2'!$AX$5:$BA$5,0))+INDEX('Tables - Part 2'!$BB$6:$BE$13,MATCH(V13,'Tables - Part 2'!$AV$6:$AV$13,0),MATCH(T13,'Tables - Part 2'!$AX$5:$BA$5,0)))/2)+(((INDEX('Tables - Part 2'!$AX$6:$BA$13,MATCH(V13,'Tables - Part 2'!$AV$6:$AV$13,0),MATCH(T13,'Tables - Part 2'!$AX$5:$BA$5,0))+INDEX('Tables - Part 2'!$BB$6:$BE$13,MATCH(V13,'Tables - Part 2'!$AV$6:$AV$13,0),MATCH(T13,'Tables - Part 2'!$AX$5:$BA$5,0)))/2)+INDEX('Tables - Part 2'!$BB$6:$BE$13,MATCH(V13,'Tables - Part 2'!$AV$6:$AV$13,0),MATCH(T13,'Tables - Part 2'!$AX$5:$BA$5,0)))/2)/2,0)</f>
        <v>0</v>
      </c>
      <c r="AH13" s="248">
        <f>IF($S13=$AH$3,(((INDEX('Tables - Part 2'!$AX$6:$BA$13,MATCH(V13,'Tables - Part 2'!$AV$6:$AV$13,0),MATCH(T13,'Tables - Part 2'!$AX$5:$BA$5,0))+INDEX('Tables - Part 2'!$BB$6:$BE$13,MATCH(V13,'Tables - Part 2'!$AV$6:$AV$13,0),MATCH(T13,'Tables - Part 2'!$AX$5:$BA$5,0)))/2)+INDEX('Tables - Part 2'!$BB$6:$BE$13,MATCH(V13,'Tables - Part 2'!$AV$6:$AV$13,0),MATCH(T13,'Tables - Part 2'!$AX$5:$BA$5,0)))/2,0)</f>
        <v>0</v>
      </c>
      <c r="AI13" s="248">
        <f>IF($S13=$AI$3,(((((INDEX('Tables - Part 2'!$AX$6:$BA$13,MATCH(V13,'Tables - Part 2'!$AV$6:$AV$13,0),MATCH(T13,'Tables - Part 2'!$AX$5:$BA$5,0))+INDEX('Tables - Part 2'!$BB$6:$BE$13,MATCH(V13,'Tables - Part 2'!$AV$6:$AV$13,0),MATCH(T13,'Tables - Part 2'!$AX$5:$BA$5,0)))/2)+INDEX('Tables - Part 2'!$BB$6:$BE$13,MATCH(V13,'Tables - Part 2'!$AV$6:$AV$13,0),MATCH(T13,'Tables - Part 2'!$AX$5:$BA$5,0)))/2)+INDEX('Tables - Part 2'!$BB$6:$BE$13,MATCH(V13,'Tables - Part 2'!$AV$6:$AV$13,0),MATCH(T13,'Tables - Part 2'!$AX$5:$BA$5,0)))/2,0)</f>
        <v>0</v>
      </c>
      <c r="AJ13" s="248">
        <f>IF($S13=$AJ$3,INDEX('Tables - Part 2'!$BB$6:$BE$13,MATCH(V13,'Tables - Part 2'!$AV$6:$AV$13,0),MATCH(T13,'Tables - Part 2'!$AX$5:$BA$5,0)),0)</f>
        <v>0</v>
      </c>
      <c r="AK13" s="248">
        <f>IF($S13=$AK$3,((INDEX('Tables - Part 2'!$BB$6:$BE$13,MATCH(V13,'Tables - Part 2'!$AV$6:$AV$13,0),MATCH(T13,'Tables - Part 2'!$AX$5:$BA$5,0)))+(INDEX('Tables - Part 2'!$BB$6:$BE$13,MATCH(V13,'Tables - Part 2'!$AV$6:$AV$13,0),MATCH(T13,'Tables - Part 2'!$AX$5:$BA$5,0))+(INDEX('Tables - Part 2'!$BB$6:$BE$13,MATCH(V13,'Tables - Part 2'!$AV$6:$AV$13,0),MATCH(T13,'Tables - Part 2'!$AX$5:$BA$5,0))+INDEX('Tables - Part 2'!$BF$6:$BI$13,MATCH(V13,'Tables - Part 2'!$AV$6:$AV$13,0),MATCH(T13,'Tables - Part 2'!$AX$5:$BA$5,0)))/2)/2)/2,0)</f>
        <v>0</v>
      </c>
      <c r="AL13" s="248">
        <f>IF($S13=$AL$3,(INDEX('Tables - Part 2'!$BB$6:$BE$13,MATCH(V13,'Tables - Part 2'!$AV$6:$AV$13,0),MATCH(T13,'Tables - Part 2'!$AX$5:$BA$5,0))+(INDEX('Tables - Part 2'!$BB$6:$BE$13,MATCH(V13,'Tables - Part 2'!$AV$6:$AV$13,0),MATCH(T13,'Tables - Part 2'!$AX$5:$BA$5,0))+INDEX('Tables - Part 2'!$BF$6:$BI$13,MATCH(V13,'Tables - Part 2'!$AV$6:$AV$13,0),MATCH(T13,'Tables - Part 2'!$AX$5:$BA$5,0)))/2)/2,0)</f>
        <v>0</v>
      </c>
      <c r="AM13" s="248">
        <f>IF($S13=$AM$3,(((INDEX('Tables - Part 2'!$BB$6:$BE$13,MATCH(V13,'Tables - Part 2'!$AV$6:$AV$13,0),MATCH(T13,'Tables - Part 2'!$AX$5:$BA$5,0))+(INDEX('Tables - Part 2'!$BB$6:$BE$13,MATCH(V13,'Tables - Part 2'!$AV$6:$AV$13,0),MATCH(T13,'Tables - Part 2'!$AX$5:$BA$5,0))+INDEX('Tables - Part 2'!$BF$6:$BI$13,MATCH(V13,'Tables - Part 2'!$AV$6:$AV$13,0),MATCH(T13,'Tables - Part 2'!$AX$5:$BA$5,0)))/2)/2)+((INDEX('Tables - Part 2'!$BB$6:$BE$13,MATCH(V13,'Tables - Part 2'!$AV$6:$AV$13,0),MATCH(T13,'Tables - Part 2'!$AX$5:$BA$5,0))+INDEX('Tables - Part 2'!$BF$6:$BI$13,MATCH(V13,'Tables - Part 2'!$AV$6:$AV$13,0),MATCH(T13,'Tables - Part 2'!$AX$5:$BA$5,0)))/2))/2,0)</f>
        <v>0</v>
      </c>
      <c r="AN13" s="248">
        <f>IF($S13=$AN$3,(INDEX('Tables - Part 2'!$BB$6:$BE$13,MATCH(V13,'Tables - Part 2'!$AV$6:$AV$13,0),MATCH(T13,'Tables - Part 2'!$AX$5:$BA$5,0))+INDEX('Tables - Part 2'!$BF$6:$BI$13,MATCH(V13,'Tables - Part 2'!$AV$6:$AV$13,0),MATCH(T13,'Tables - Part 2'!$AX$5:$BA$5,0)))/2,0)</f>
        <v>1.5</v>
      </c>
      <c r="AO13" s="248">
        <f>IF($S13=$AO$3,(((INDEX('Tables - Part 2'!$BB$6:$BE$13,MATCH(V13,'Tables - Part 2'!$AV$6:$AV$13,0),MATCH(T13,'Tables - Part 2'!$AX$5:$BA$5,0))+INDEX('Tables - Part 2'!$BF$6:$BI$13,MATCH(V13,'Tables - Part 2'!$AV$6:$AV$13,0),MATCH(T13,'Tables - Part 2'!$AX$5:$BA$5,0)))/2)+((((INDEX('Tables - Part 2'!$BB$6:$BE$13,MATCH(V13,'Tables - Part 2'!$AV$6:$AV$13,0),MATCH(T13,'Tables - Part 2'!$AX$5:$BA$5,0))+INDEX('Tables - Part 2'!$BF$6:$BI$13,MATCH(V13,'Tables - Part 2'!$AV$6:$AV$13,0),MATCH(T13,'Tables - Part 2'!$AX$5:$BA$5,0)))/2)+INDEX('Tables - Part 2'!$BF$6:$BI$13,MATCH(V13,'Tables - Part 2'!$AV$6:$AV$13,0),MATCH(T13,'Tables - Part 2'!$AX$5:$BA$5,0)))/2))/2,0)</f>
        <v>0</v>
      </c>
      <c r="AP13" s="248">
        <f>IF($S13=$AP$3,(((INDEX('Tables - Part 2'!$BB$6:$BE$13,MATCH(V13,'Tables - Part 2'!$AV$6:$AV$13,0),MATCH(T13,'Tables - Part 2'!$AX$5:$BA$5,0))+INDEX('Tables - Part 2'!$BF$6:$BI$13,MATCH(V13,'Tables - Part 2'!$AV$6:$AV$13,0),MATCH(T13,'Tables - Part 2'!$AX$5:$BA$5,0)))/2)+INDEX('Tables - Part 2'!$BF$6:$BI$13,MATCH(V13,'Tables - Part 2'!$AV$6:$AV$13,0),MATCH(T13,'Tables - Part 2'!$AX$5:$BA$5,0)))/2,0)</f>
        <v>0</v>
      </c>
      <c r="AQ13" s="248">
        <f>IF($S13=$AQ$3,(((((INDEX('Tables - Part 2'!$BB$6:$BE$13,MATCH(V13,'Tables - Part 2'!$AV$6:$AV$13,0),MATCH(T13,'Tables - Part 2'!$AX$5:$BA$5,0))+INDEX('Tables - Part 2'!$BF$6:$BI$13,MATCH(V13,'Tables - Part 2'!$AV$6:$AV$13,0),MATCH(T13,'Tables - Part 2'!$AX$5:$BA$5,0)))/2)+INDEX('Tables - Part 2'!$BF$6:$BI$13,MATCH(V13,'Tables - Part 2'!$AV$6:$AV$13,0),MATCH(T13,'Tables - Part 2'!$AX$5:$BA$5,0)))/2)+INDEX('Tables - Part 2'!$BF$6:$BI$13,MATCH(V13,'Tables - Part 2'!$AV$6:$AV$13,0),MATCH(T13,'Tables - Part 2'!$AX$5:$BA$5,0)))/2,0)</f>
        <v>0</v>
      </c>
      <c r="AR13" s="248">
        <f>IF($S13=$AR$3,INDEX('Tables - Part 2'!$BF$6:$BI$13,MATCH(V13,'Tables - Part 2'!$AV$6:$AV$13,0),MATCH(T13,'Tables - Part 2'!$AX$5:$BA$5,0)),0)</f>
        <v>0</v>
      </c>
      <c r="AS13" s="248">
        <f>IF($S13=$AS$3,(INDEX('Tables - Part 2'!$BF$6:$BI$13,MATCH(V13,'Tables - Part 2'!$AV$6:$AV$13,0),MATCH(T13,'Tables - Part 2'!$AX$5:$BA$5,0))+((INDEX('Tables - Part 2'!$BF$6:$BI$13,MATCH(V13,'Tables - Part 2'!$AV$6:$AV$13,0),MATCH(T13,'Tables - Part 2'!$AX$5:$BA$5,0))+(INDEX('Tables - Part 2'!$BF$6:$BI$13,MATCH(V13,'Tables - Part 2'!$AV$6:$AV$13,0),MATCH(T13,'Tables - Part 2'!$AX$5:$BA$5,0))+INDEX('Tables - Part 2'!$AX$17:$BA$24,MATCH(V13,'Tables - Part 2'!$AV$6:$AV$13,0),MATCH(T13,'Tables - Part 2'!$AX$5:$BA$5,0)))/2)/2))/2,0)</f>
        <v>0</v>
      </c>
      <c r="AT13" s="248">
        <f>IF($S13=$AT$3,(INDEX('Tables - Part 2'!$BF$6:$BI$13,MATCH(V13,'Tables - Part 2'!$AV$6:$AV$13,0),MATCH(T13,'Tables - Part 2'!$AX$5:$BA$5,0))+(INDEX('Tables - Part 2'!$BF$6:$BI$13,MATCH(V13,'Tables - Part 2'!$AV$6:$AV$13,0),MATCH(T13,'Tables - Part 2'!$AX$5:$BA$5,0))+INDEX('Tables - Part 2'!$AX$17:$BA$24,MATCH(V13,'Tables - Part 2'!$AV$6:$AV$13,0),MATCH(T13,'Tables - Part 2'!$AX$5:$BA$5,0)))/2)/2,0)</f>
        <v>0</v>
      </c>
      <c r="AU13" s="248">
        <f>IF($S13=$AU$3,(((INDEX('Tables - Part 2'!$BF$6:$BI$13,MATCH(V13,'Tables - Part 2'!$AV$6:$AV$13,0),MATCH(T13,'Tables - Part 2'!$AX$5:$BA$5,0))+(INDEX('Tables - Part 2'!$BF$6:$BI$13,MATCH(V13,'Tables - Part 2'!$AV$6:$AV$13,0),MATCH(T13,'Tables - Part 2'!$AX$5:$BA$5,0))+INDEX('Tables - Part 2'!$AX$17:$BA$24,MATCH(V13,'Tables - Part 2'!$AV$6:$AV$13,0),MATCH(T13,'Tables - Part 2'!$AX$5:$BA$5,0)))/2)/2)+((INDEX('Tables - Part 2'!$BF$6:$BI$13,MATCH(V13,'Tables - Part 2'!$AV$6:$AV$13,0),MATCH(T13,'Tables - Part 2'!$AX$5:$BA$5,0))+INDEX('Tables - Part 2'!$AX$17:$BA$24,MATCH(V13,'Tables - Part 2'!$AV$6:$AV$13,0),MATCH(T13,'Tables - Part 2'!$AX$5:$BA$5,0)))/2))/2,0)</f>
        <v>0</v>
      </c>
      <c r="AV13" s="248">
        <f>IF($S13=$AV$3,(INDEX('Tables - Part 2'!$BF$6:$BI$13,MATCH(V13,'Tables - Part 2'!$AV$6:$AV$13,0),MATCH(T13,'Tables - Part 2'!$AX$5:$BA$5,0))+INDEX('Tables - Part 2'!$AX$17:$BA$24,MATCH(V13,'Tables - Part 2'!$AV$6:$AV$13,0),MATCH(T13,'Tables - Part 2'!$AX$5:$BA$5,0)))/2,0)</f>
        <v>0</v>
      </c>
      <c r="AW13" s="248">
        <f>IF($S13=$AW$3,(((INDEX('Tables - Part 2'!$BF$6:$BI$13,MATCH(V13,'Tables - Part 2'!$AV$6:$AV$13,0),MATCH(T13,'Tables - Part 2'!$AX$5:$BA$5,0))+INDEX('Tables - Part 2'!$AX$17:$BA$24,MATCH(V13,'Tables - Part 2'!$AV$6:$AV$13,0),MATCH(T13,'Tables - Part 2'!$AX$5:$BA$5,0)))/2)+((((INDEX('Tables - Part 2'!$BF$6:$BI$13,MATCH(V13,'Tables - Part 2'!$AV$6:$AV$13,0),MATCH(T13,'Tables - Part 2'!$AX$5:$BA$5,0))+INDEX('Tables - Part 2'!$AX$17:$BA$24,MATCH(V13,'Tables - Part 2'!$AV$6:$AV$13,0),MATCH(T13,'Tables - Part 2'!$AX$5:$BA$5,0)))/2)+INDEX('Tables - Part 2'!$AX$17:$BA$24,MATCH(V13,'Tables - Part 2'!$AV$6:$AV$13,0),MATCH(T13,'Tables - Part 2'!$AX$5:$BA$5,0)))/2))/2,0)</f>
        <v>0</v>
      </c>
      <c r="AX13" s="248">
        <f>IF($S13=$AX$3,(((INDEX('Tables - Part 2'!$BF$6:$BI$13,MATCH(V13,'Tables - Part 2'!$AV$6:$AV$13,0),MATCH(T13,'Tables - Part 2'!$AX$5:$BA$5,0))+INDEX('Tables - Part 2'!$AX$17:$BA$24,MATCH(V13,'Tables - Part 2'!$AV$6:$AV$13,0),MATCH(T13,'Tables - Part 2'!$AX$5:$BA$5,0)))/2)+INDEX('Tables - Part 2'!$AX$17:$BA$24,MATCH(V13,'Tables - Part 2'!$AV$6:$AV$13,0),MATCH(T13,'Tables - Part 2'!$AX$5:$BA$5,0)))/2,0)</f>
        <v>0</v>
      </c>
      <c r="AY13" s="248">
        <f>IF($S13=$AY$3,(((((INDEX('Tables - Part 2'!$BF$6:$BI$13,MATCH(V13,'Tables - Part 2'!$AV$6:$AV$13,0),MATCH(T13,'Tables - Part 2'!$AX$5:$BA$5,0))+INDEX('Tables - Part 2'!$AX$17:$BA$24,MATCH(V13,'Tables - Part 2'!$AV$6:$AV$13,0),MATCH(T13,'Tables - Part 2'!$AX$5:$BA$5,0)))/2)+INDEX('Tables - Part 2'!$AX$17:$BA$24,MATCH(V13,'Tables - Part 2'!$AV$6:$AV$13,0),MATCH(T13,'Tables - Part 2'!$AX$5:$BA$5,0)))/2)+(INDEX('Tables - Part 2'!$AX$17:$BA$24,MATCH(V13,'Tables - Part 2'!$AV$6:$AV$13,0),MATCH(T13,'Tables - Part 2'!$AX$5:$BA$5,0))))/2,0)</f>
        <v>0</v>
      </c>
      <c r="AZ13" s="248">
        <f>IF($S13=$AZ$3,INDEX('Tables - Part 2'!$AX$17:$BA$24,MATCH(V13,'Tables - Part 2'!$AV$6:$AV$13,0),MATCH(T13,'Tables - Part 2'!$AX$5:$BA$5,0)),0)</f>
        <v>0</v>
      </c>
      <c r="BA13" s="248">
        <f>IF($S13=$BA$3,((INDEX('Tables - Part 2'!$AX$17:$BA$24,MATCH(V13,'Tables - Part 2'!$AV$6:$AV$13,0),MATCH(T13,'Tables - Part 2'!$AX$5:$BA$5,0)))+(((INDEX('Tables - Part 2'!$AX$17:$BA$24,MATCH(V13,'Tables - Part 2'!$AV$6:$AV$13,0),MATCH(T13,'Tables - Part 2'!$AX$5:$BA$5,0)))+(INDEX('Tables - Part 2'!$AX$17:$BA$24,MATCH(V13,'Tables - Part 2'!$AV$6:$AV$13,0),MATCH(T13,'Tables - Part 2'!$AX$5:$BA$5,0))+INDEX('Tables - Part 2'!$BB$17:$BE$24,MATCH(V13,'Tables - Part 2'!$AV$6:$AV$13,0),MATCH(T13,'Tables - Part 2'!$AX$5:$BA$5,0)))/2)/2))/2,0)</f>
        <v>0</v>
      </c>
      <c r="BB13" s="248">
        <f>IF($S13=$BB$3,((INDEX('Tables - Part 2'!$AX$17:$BA$24,MATCH(V13,'Tables - Part 2'!$AV$6:$AV$13,0),MATCH(T13,'Tables - Part 2'!$AX$5:$BA$5,0)))+(INDEX('Tables - Part 2'!$AX$17:$BA$24,MATCH(V13,'Tables - Part 2'!$AV$6:$AV$13,0),MATCH(T13,'Tables - Part 2'!$AX$5:$BA$5,0))+INDEX('Tables - Part 2'!$BB$17:$BE$24,MATCH(V13,'Tables - Part 2'!$AV$6:$AV$13,0),MATCH(T13,'Tables - Part 2'!$AX$5:$BA$5,0)))/2)/2,0)</f>
        <v>0</v>
      </c>
      <c r="BC13" s="248">
        <f>IF($S13=$BC$3,((((INDEX('Tables - Part 2'!$AX$17:$BA$24,MATCH(V13,'Tables - Part 2'!$AV$6:$AV$13,0),MATCH(T13,'Tables - Part 2'!$AX$5:$BA$5,0)))+(INDEX('Tables - Part 2'!$AX$17:$BA$24,MATCH(V13,'Tables - Part 2'!$AV$6:$AV$13,0),MATCH(T13,'Tables - Part 2'!$AX$5:$BA$5,0))+INDEX('Tables - Part 2'!$BB$17:$BE$24,MATCH(V13,'Tables - Part 2'!$AV$6:$AV$13,0),MATCH(T13,'Tables - Part 2'!$AX$5:$BA$5,0)))/2)/2)+((INDEX('Tables - Part 2'!$AX$17:$BA$24,MATCH(V13,'Tables - Part 2'!$AV$6:$AV$13,0),MATCH(T13,'Tables - Part 2'!$AX$5:$BA$5,0))+INDEX('Tables - Part 2'!$BB$17:$BE$24,MATCH(V13,'Tables - Part 2'!$AV$6:$AV$13,0),MATCH(T13,'Tables - Part 2'!$AX$5:$BA$5,0)))/2))/2,0)</f>
        <v>0</v>
      </c>
      <c r="BD13" s="248">
        <f>IF($S13=$BD$3,(INDEX('Tables - Part 2'!$AX$17:$BA$24,MATCH(V13,'Tables - Part 2'!$AV$6:$AV$13,0),MATCH(T13,'Tables - Part 2'!$AX$5:$BA$5,0))+INDEX('Tables - Part 2'!$BB$17:$BE$24,MATCH(V13,'Tables - Part 2'!$AV$6:$AV$13,0),MATCH(T13,'Tables - Part 2'!$AX$5:$BA$5,0)))/2,0)</f>
        <v>0</v>
      </c>
      <c r="BE13" s="248">
        <f>IF($S13=$BE$3,(((INDEX('Tables - Part 2'!$AX$17:$BA$24,MATCH(V13,'Tables - Part 2'!$AV$6:$AV$13,0),MATCH(T13,'Tables - Part 2'!$AX$5:$BA$5,0))+INDEX('Tables - Part 2'!$BB$17:$BE$24,MATCH(V13,'Tables - Part 2'!$AV$6:$AV$13,0),MATCH(T13,'Tables - Part 2'!$AX$5:$BA$5,0)))/2)+((((INDEX('Tables - Part 2'!$AX$17:$BA$24,MATCH(V13,'Tables - Part 2'!$AV$6:$AV$13,0),MATCH(T13,'Tables - Part 2'!$AX$5:$BA$5,0))+INDEX('Tables - Part 2'!$BB$17:$BE$24,MATCH(V13,'Tables - Part 2'!$AV$6:$AV$13,0),MATCH(T13,'Tables - Part 2'!$AX$5:$BA$5,0)))/2)+INDEX('Tables - Part 2'!$BB$17:$BE$24,MATCH(V13,'Tables - Part 2'!$AV$6:$AV$13,0),MATCH(T13,'Tables - Part 2'!$AX$5:$BA$5,0)))/2))/2,0)</f>
        <v>0</v>
      </c>
      <c r="BF13" s="248">
        <f>IF($S13=$BF$3,(((INDEX('Tables - Part 2'!$AX$17:$BA$24,MATCH(V13,'Tables - Part 2'!$AV$6:$AV$13,0),MATCH(T13,'Tables - Part 2'!$AX$5:$BA$5,0))+INDEX('Tables - Part 2'!$BB$17:$BE$24,MATCH(V13,'Tables - Part 2'!$AV$6:$AV$13,0),MATCH(T13,'Tables - Part 2'!$AX$5:$BA$5,0)))/2)+INDEX('Tables - Part 2'!$BB$17:$BE$24,MATCH(V13,'Tables - Part 2'!$AV$6:$AV$13,0),MATCH(T13,'Tables - Part 2'!$AX$5:$BA$5,0)))/2,0)</f>
        <v>0</v>
      </c>
      <c r="BG13" s="248">
        <f>IF($S13=$BG$3,(((((INDEX('Tables - Part 2'!$AX$17:$BA$24,MATCH(V13,'Tables - Part 2'!$AV$6:$AV$13,0),MATCH(T13,'Tables - Part 2'!$AX$5:$BA$5,0))+INDEX('Tables - Part 2'!$BB$17:$BE$24,MATCH(V13,'Tables - Part 2'!$AV$6:$AV$13,0),MATCH(T13,'Tables - Part 2'!$AX$5:$BA$5,0)))/2)+INDEX('Tables - Part 2'!$BB$17:$BE$24,MATCH(V13,'Tables - Part 2'!$AV$6:$AV$13,0),MATCH(T13,'Tables - Part 2'!$AX$5:$BA$5,0)))/2)+(INDEX('Tables - Part 2'!$BB$17:$BE$24,MATCH(V13,'Tables - Part 2'!$AV$6:$AV$13,0),MATCH(T13,'Tables - Part 2'!$AX$5:$BA$5,0))))/2,0)</f>
        <v>0</v>
      </c>
      <c r="BH13" s="248">
        <f>IF($S13=$BH$3,INDEX('Tables - Part 2'!$BB$17:$BE$24,MATCH(V13,'Tables - Part 2'!$AV$6:$AV$13,0),MATCH(T13,'Tables - Part 2'!$AX$5:$BA$5,0)),0)</f>
        <v>0</v>
      </c>
      <c r="BI13" s="248">
        <f>IF($S13=$BI$3,((INDEX('Tables - Part 2'!$BB$17:$BE$24,MATCH(V13,'Tables - Part 2'!$AV$6:$AV$13,0),MATCH(T13,'Tables - Part 2'!$AX$5:$BA$5,0)))+(((INDEX('Tables - Part 2'!$BB$17:$BE$24,MATCH(V13,'Tables - Part 2'!$AV$6:$AV$13,0),MATCH(T13,'Tables - Part 2'!$AX$5:$BA$5,0)))+(INDEX('Tables - Part 2'!$BB$17:$BE$24,MATCH(V13,'Tables - Part 2'!$AV$6:$AV$13,0),MATCH(T13,'Tables - Part 2'!$AX$5:$BA$5,0))+INDEX('Tables - Part 2'!$BF$17:$BI$24,MATCH(V13,'Tables - Part 2'!$AV$6:$AV$13,0),MATCH(T13,'Tables - Part 2'!$AX$5:$BA$5,0)))/2)/2))/2,0)</f>
        <v>0</v>
      </c>
      <c r="BJ13" s="248">
        <f>IF($S13=$BJ$3,((INDEX('Tables - Part 2'!$BB$17:$BE$24,MATCH(V13,'Tables - Part 2'!$AV$6:$AV$13,0),MATCH(T13,'Tables - Part 2'!$AX$5:$BA$5,0)))+(INDEX('Tables - Part 2'!$BB$17:$BE$24,MATCH(V13,'Tables - Part 2'!$AV$6:$AV$13,0),MATCH(T13,'Tables - Part 2'!$AX$5:$BA$5,0))+INDEX('Tables - Part 2'!$BF$17:$BI$24,MATCH(V13,'Tables - Part 2'!$AV$6:$AV$13,0),MATCH(T13,'Tables - Part 2'!$AX$5:$BA$5,0)))/2)/2,0)</f>
        <v>0</v>
      </c>
      <c r="BK13" s="248">
        <f>IF($S13=$BK$3,((((INDEX('Tables - Part 2'!$BB$17:$BE$24,MATCH(V13,'Tables - Part 2'!$AV$6:$AV$13,0),MATCH(T13,'Tables - Part 2'!$AX$5:$BA$5,0)))+(INDEX('Tables - Part 2'!$BB$17:$BE$24,MATCH(V13,'Tables - Part 2'!$AV$6:$AV$13,0),MATCH(T13,'Tables - Part 2'!$AX$5:$BA$5,0))+INDEX('Tables - Part 2'!$BF$17:$BI$24,MATCH(V13,'Tables - Part 2'!$AV$6:$AV$13,0),MATCH(T13,'Tables - Part 2'!$AX$5:$BA$5,0)))/2)/2)+((INDEX('Tables - Part 2'!$BB$17:$BE$24,MATCH(V13,'Tables - Part 2'!$AV$6:$AV$13,0),MATCH(T13,'Tables - Part 2'!$AX$5:$BA$5,0))+INDEX('Tables - Part 2'!$BF$17:$BI$24,MATCH(V13,'Tables - Part 2'!$AV$6:$AV$13,0),MATCH(T13,'Tables - Part 2'!$AX$5:$BA$5,0)))/2))/2,0)</f>
        <v>0</v>
      </c>
      <c r="BL13" s="248">
        <f>IF($S13=$BL$3,(INDEX('Tables - Part 2'!$BB$17:$BE$24,MATCH(V13,'Tables - Part 2'!$AV$6:$AV$13,0),MATCH(T13,'Tables - Part 2'!$AX$5:$BA$5,0))+INDEX('Tables - Part 2'!$BF$17:$BI$24,MATCH(V13,'Tables - Part 2'!$AV$6:$AV$13,0),MATCH(T13,'Tables - Part 2'!$AX$5:$BA$5,0)))/2,0)</f>
        <v>0</v>
      </c>
      <c r="BM13" s="248">
        <f>IF($S13=$BM$3,(((INDEX('Tables - Part 2'!$BB$17:$BE$24,MATCH(V13,'Tables - Part 2'!$AV$6:$AV$13,0),MATCH(T13,'Tables - Part 2'!$AX$5:$BA$5,0))+INDEX('Tables - Part 2'!$BF$17:$BI$24,MATCH(V13,'Tables - Part 2'!$AV$6:$AV$13,0),MATCH(T13,'Tables - Part 2'!$AX$5:$BA$5,0)))/2)+((((INDEX('Tables - Part 2'!$BB$17:$BE$24,MATCH(V13,'Tables - Part 2'!$AV$6:$AV$13,0),MATCH(T13,'Tables - Part 2'!$AX$5:$BA$5,0))+INDEX('Tables - Part 2'!$BF$17:$BI$24,MATCH(V13,'Tables - Part 2'!$AV$6:$AV$13,0),MATCH(T13,'Tables - Part 2'!$AX$5:$BA$5,0)))/2)+INDEX('Tables - Part 2'!$BF$17:$BI$24,MATCH(V13,'Tables - Part 2'!$AV$6:$AV$13,0),MATCH(T13,'Tables - Part 2'!$AX$5:$BA$5,0)))/2))/2,0)</f>
        <v>0</v>
      </c>
      <c r="BN13" s="248">
        <f>IF($S13=$BN$3,(((INDEX('Tables - Part 2'!$BB$17:$BE$24,MATCH(V13,'Tables - Part 2'!$AV$6:$AV$13,0),MATCH(T13,'Tables - Part 2'!$AX$5:$BA$5,0))+INDEX('Tables - Part 2'!$BF$17:$BI$24,MATCH(V13,'Tables - Part 2'!$AV$6:$AV$13,0),MATCH(T13,'Tables - Part 2'!$AX$5:$BA$5,0)))/2)+INDEX('Tables - Part 2'!$BF$17:$BI$24,MATCH(V13,'Tables - Part 2'!$AV$6:$AV$13,0),MATCH(T13,'Tables - Part 2'!$AX$5:$BA$5,0)))/2,0)</f>
        <v>0</v>
      </c>
      <c r="BO13" s="248">
        <f>IF($S13=$BO$3,(((((INDEX('Tables - Part 2'!$BB$17:$BE$24,MATCH(V13,'Tables - Part 2'!$AV$6:$AV$13,0),MATCH(T13,'Tables - Part 2'!$AX$5:$BA$5,0))+INDEX('Tables - Part 2'!$BF$17:$BI$24,MATCH(V13,'Tables - Part 2'!$AV$6:$AV$13,0),MATCH(T13,'Tables - Part 2'!$AX$5:$BA$5,0)))/2)+INDEX('Tables - Part 2'!$BF$17:$BI$24,MATCH(V13,'Tables - Part 2'!$AV$6:$AV$13,0),MATCH(T13,'Tables - Part 2'!$AX$5:$BA$5,0)))/2)+(INDEX('Tables - Part 2'!$BF$17:$BI$24,MATCH(V13,'Tables - Part 2'!$AV$6:$AV$13,0),MATCH(T13,'Tables - Part 2'!$AX$5:$BA$5,0))))/2,0)</f>
        <v>0</v>
      </c>
      <c r="BP13" s="248">
        <f>IF($S13=$BP$3,INDEX('Tables - Part 2'!$BF$17:$BI$24,MATCH(V13,'Tables - Part 2'!$AV$6:$AV$13,0),MATCH(T13,'Tables - Part 2'!$AX$5:$BA$5,0)),0)</f>
        <v>0</v>
      </c>
      <c r="BQ13" s="248">
        <f t="shared" si="7"/>
        <v>0</v>
      </c>
      <c r="BR13" s="238">
        <f t="shared" si="8"/>
        <v>1.5</v>
      </c>
      <c r="BS13" s="238">
        <f t="shared" si="9"/>
        <v>25.159323702612586</v>
      </c>
    </row>
    <row r="14" spans="2:84" x14ac:dyDescent="0.35">
      <c r="B14" s="161" t="str">
        <f>'Tratamento de Dados'!B22</f>
        <v>V-50</v>
      </c>
      <c r="C14" s="161" t="str">
        <f>'Tratamento de Dados'!D22</f>
        <v>Casco</v>
      </c>
      <c r="D14" s="209" t="s">
        <v>245</v>
      </c>
      <c r="E14" s="209" t="s">
        <v>245</v>
      </c>
      <c r="F14" s="439">
        <v>0.02</v>
      </c>
      <c r="G14" s="209">
        <v>150</v>
      </c>
      <c r="H14" s="209" t="s">
        <v>244</v>
      </c>
      <c r="I14" s="209" t="s">
        <v>245</v>
      </c>
      <c r="J14" s="209" t="s">
        <v>244</v>
      </c>
      <c r="K14" s="209" t="s">
        <v>245</v>
      </c>
      <c r="L14" s="210">
        <v>39092</v>
      </c>
      <c r="M14" s="209">
        <v>0</v>
      </c>
      <c r="N14" s="209">
        <v>1</v>
      </c>
      <c r="O14" s="209">
        <v>1</v>
      </c>
      <c r="P14" s="209">
        <v>4</v>
      </c>
      <c r="Q14" s="253">
        <f>'Tratamento de Dados'!DA22</f>
        <v>0</v>
      </c>
      <c r="R14" s="253">
        <f>'Tratamento de Dados'!DB22</f>
        <v>0</v>
      </c>
      <c r="S14" s="256">
        <f t="shared" si="0"/>
        <v>2.5</v>
      </c>
      <c r="T14" s="246" t="str">
        <f t="shared" si="1"/>
        <v>B</v>
      </c>
      <c r="U14" s="238" t="str">
        <f t="shared" si="2"/>
        <v>Low</v>
      </c>
      <c r="V14" s="238">
        <f>(IF(AND(D14=$BX$2,E14&lt;&gt;$BX$2),"Fitness-For-Service",INDEX('Tables - Part 2'!$AT$4:$AT$7,MATCH(Caustic_Cracking!U14,'Tables - Part 2'!$AS$4:$AS$7,0))))</f>
        <v>50</v>
      </c>
      <c r="W14" s="238">
        <f>IF(L14=0,(Thinning!G15-Thinning!F15)/365.25,(Thinning!G15-L14)/365.25)</f>
        <v>12.980150581793293</v>
      </c>
      <c r="X14" s="248">
        <f t="shared" si="3"/>
        <v>0</v>
      </c>
      <c r="Y14" s="248">
        <f t="shared" si="4"/>
        <v>2.5</v>
      </c>
      <c r="Z14" s="248">
        <f t="shared" si="5"/>
        <v>3</v>
      </c>
      <c r="AA14" s="247">
        <f t="shared" si="6"/>
        <v>4</v>
      </c>
      <c r="AB14" s="248">
        <f>IF($S14=$AB$3,INDEX('Tables - Part 2'!$AX$6:$BA$13,MATCH(V14,'Tables - Part 2'!$AV$6:$AV$13,0),MATCH(T14,'Tables - Part 2'!$AX$5:$BA$5,0)),0)</f>
        <v>0</v>
      </c>
      <c r="AC14" s="248">
        <f>IF($S14=$AC$3,(INDEX('Tables - Part 2'!$AX$6:$BA$13,MATCH(V14,'Tables - Part 2'!$AV$6:$AV$13,0),MATCH(T14,'Tables - Part 2'!$AX$5:$BA$5,0))+(INDEX('Tables - Part 2'!$AX$6:$BA$13,MATCH(V14,'Tables - Part 2'!$AV$6:$AV$13,0),MATCH(T14,'Tables - Part 2'!$AX$5:$BA$5,0))+((INDEX('Tables - Part 2'!$AX$6:$BA$13,MATCH(V14,'Tables - Part 2'!$AV$6:$AV$13,0),MATCH(T14,'Tables - Part 2'!$AX$5:$BA$5,0))+INDEX('Tables - Part 2'!$BB$6:$BE$13,MATCH(V14,'Tables - Part 2'!$AV$6:$AV$13,0),MATCH(T14,'Tables - Part 2'!$AX$5:$BA$5,0)))/2))/2)/2,0)</f>
        <v>0</v>
      </c>
      <c r="AD14" s="248">
        <f>IF($S14=$AD$3,(INDEX('Tables - Part 2'!$AX$6:$BA$13,MATCH(V14,'Tables - Part 2'!$AV$6:$AV$13,0),MATCH(T14,'Tables - Part 2'!$AX$5:$BA$5,0))+((INDEX('Tables - Part 2'!$AX$6:$BA$13,MATCH(V14,'Tables - Part 2'!$AV$6:$AV$13,0),MATCH(T14,'Tables - Part 2'!$AX$5:$BA$5,0))+INDEX('Tables - Part 2'!$BB$6:$BE$13,MATCH(V14,'Tables - Part 2'!$AV$6:$AV$13,0),MATCH(T14,'Tables - Part 2'!$AX$5:$BA$5,0)))/2))/2,0)</f>
        <v>0</v>
      </c>
      <c r="AE14" s="248">
        <f>IF($S14=$AE$3,(((INDEX('Tables - Part 2'!$AX$6:$BA$13,MATCH(V14,'Tables - Part 2'!$AV$6:$AV$13,0),MATCH(T14,'Tables - Part 2'!$AX$5:$BA$5,0))+((INDEX('Tables - Part 2'!$AX$6:$BA$13,MATCH(V14,'Tables - Part 2'!$AV$6:$AV$13,0),MATCH(T14,'Tables - Part 2'!$AX$5:$BA$5,0))+INDEX('Tables - Part 2'!$BB$6:$BE$13,MATCH(V14,'Tables - Part 2'!$AV$6:$AV$13,0),MATCH(T14,'Tables - Part 2'!$AX$5:$BA$5,0)))/2))/2)+(INDEX('Tables - Part 2'!$AX$6:$BA$13,MATCH(V14,'Tables - Part 2'!$AV$6:$AV$13,0),MATCH(T14,'Tables - Part 2'!$AX$5:$BA$5,0))+INDEX('Tables - Part 2'!$BB$6:$BE$13,MATCH(V14,'Tables - Part 2'!$AV$6:$AV$13,0),MATCH(T14,'Tables - Part 2'!$AX$5:$BA$5,0)))/2)/2,0)</f>
        <v>0</v>
      </c>
      <c r="AF14" s="248">
        <f>IF($S14=$AF$3,(INDEX('Tables - Part 2'!$AX$6:$BA$13,MATCH(V14,'Tables - Part 2'!$AV$6:$AV$13,0),MATCH(T14,'Tables - Part 2'!$AX$5:$BA$5,0))+INDEX('Tables - Part 2'!$BB$6:$BE$13,MATCH(V14,'Tables - Part 2'!$AV$6:$AV$13,0),MATCH(T14,'Tables - Part 2'!$AX$5:$BA$5,0)))/2,0)</f>
        <v>0</v>
      </c>
      <c r="AG14" s="248">
        <f>IF($S14=$AG$3,(((INDEX('Tables - Part 2'!$AX$6:$BA$13,MATCH(V14,'Tables - Part 2'!$AV$6:$AV$13,0),MATCH(T14,'Tables - Part 2'!$AX$5:$BA$5,0))+INDEX('Tables - Part 2'!$BB$6:$BE$13,MATCH(V14,'Tables - Part 2'!$AV$6:$AV$13,0),MATCH(T14,'Tables - Part 2'!$AX$5:$BA$5,0)))/2)+(((INDEX('Tables - Part 2'!$AX$6:$BA$13,MATCH(V14,'Tables - Part 2'!$AV$6:$AV$13,0),MATCH(T14,'Tables - Part 2'!$AX$5:$BA$5,0))+INDEX('Tables - Part 2'!$BB$6:$BE$13,MATCH(V14,'Tables - Part 2'!$AV$6:$AV$13,0),MATCH(T14,'Tables - Part 2'!$AX$5:$BA$5,0)))/2)+INDEX('Tables - Part 2'!$BB$6:$BE$13,MATCH(V14,'Tables - Part 2'!$AV$6:$AV$13,0),MATCH(T14,'Tables - Part 2'!$AX$5:$BA$5,0)))/2)/2,0)</f>
        <v>0</v>
      </c>
      <c r="AH14" s="248">
        <f>IF($S14=$AH$3,(((INDEX('Tables - Part 2'!$AX$6:$BA$13,MATCH(V14,'Tables - Part 2'!$AV$6:$AV$13,0),MATCH(T14,'Tables - Part 2'!$AX$5:$BA$5,0))+INDEX('Tables - Part 2'!$BB$6:$BE$13,MATCH(V14,'Tables - Part 2'!$AV$6:$AV$13,0),MATCH(T14,'Tables - Part 2'!$AX$5:$BA$5,0)))/2)+INDEX('Tables - Part 2'!$BB$6:$BE$13,MATCH(V14,'Tables - Part 2'!$AV$6:$AV$13,0),MATCH(T14,'Tables - Part 2'!$AX$5:$BA$5,0)))/2,0)</f>
        <v>0</v>
      </c>
      <c r="AI14" s="248">
        <f>IF($S14=$AI$3,(((((INDEX('Tables - Part 2'!$AX$6:$BA$13,MATCH(V14,'Tables - Part 2'!$AV$6:$AV$13,0),MATCH(T14,'Tables - Part 2'!$AX$5:$BA$5,0))+INDEX('Tables - Part 2'!$BB$6:$BE$13,MATCH(V14,'Tables - Part 2'!$AV$6:$AV$13,0),MATCH(T14,'Tables - Part 2'!$AX$5:$BA$5,0)))/2)+INDEX('Tables - Part 2'!$BB$6:$BE$13,MATCH(V14,'Tables - Part 2'!$AV$6:$AV$13,0),MATCH(T14,'Tables - Part 2'!$AX$5:$BA$5,0)))/2)+INDEX('Tables - Part 2'!$BB$6:$BE$13,MATCH(V14,'Tables - Part 2'!$AV$6:$AV$13,0),MATCH(T14,'Tables - Part 2'!$AX$5:$BA$5,0)))/2,0)</f>
        <v>0</v>
      </c>
      <c r="AJ14" s="248">
        <f>IF($S14=$AJ$3,INDEX('Tables - Part 2'!$BB$6:$BE$13,MATCH(V14,'Tables - Part 2'!$AV$6:$AV$13,0),MATCH(T14,'Tables - Part 2'!$AX$5:$BA$5,0)),0)</f>
        <v>0</v>
      </c>
      <c r="AK14" s="248">
        <f>IF($S14=$AK$3,((INDEX('Tables - Part 2'!$BB$6:$BE$13,MATCH(V14,'Tables - Part 2'!$AV$6:$AV$13,0),MATCH(T14,'Tables - Part 2'!$AX$5:$BA$5,0)))+(INDEX('Tables - Part 2'!$BB$6:$BE$13,MATCH(V14,'Tables - Part 2'!$AV$6:$AV$13,0),MATCH(T14,'Tables - Part 2'!$AX$5:$BA$5,0))+(INDEX('Tables - Part 2'!$BB$6:$BE$13,MATCH(V14,'Tables - Part 2'!$AV$6:$AV$13,0),MATCH(T14,'Tables - Part 2'!$AX$5:$BA$5,0))+INDEX('Tables - Part 2'!$BF$6:$BI$13,MATCH(V14,'Tables - Part 2'!$AV$6:$AV$13,0),MATCH(T14,'Tables - Part 2'!$AX$5:$BA$5,0)))/2)/2)/2,0)</f>
        <v>0</v>
      </c>
      <c r="AL14" s="248">
        <f>IF($S14=$AL$3,(INDEX('Tables - Part 2'!$BB$6:$BE$13,MATCH(V14,'Tables - Part 2'!$AV$6:$AV$13,0),MATCH(T14,'Tables - Part 2'!$AX$5:$BA$5,0))+(INDEX('Tables - Part 2'!$BB$6:$BE$13,MATCH(V14,'Tables - Part 2'!$AV$6:$AV$13,0),MATCH(T14,'Tables - Part 2'!$AX$5:$BA$5,0))+INDEX('Tables - Part 2'!$BF$6:$BI$13,MATCH(V14,'Tables - Part 2'!$AV$6:$AV$13,0),MATCH(T14,'Tables - Part 2'!$AX$5:$BA$5,0)))/2)/2,0)</f>
        <v>0</v>
      </c>
      <c r="AM14" s="248">
        <f>IF($S14=$AM$3,(((INDEX('Tables - Part 2'!$BB$6:$BE$13,MATCH(V14,'Tables - Part 2'!$AV$6:$AV$13,0),MATCH(T14,'Tables - Part 2'!$AX$5:$BA$5,0))+(INDEX('Tables - Part 2'!$BB$6:$BE$13,MATCH(V14,'Tables - Part 2'!$AV$6:$AV$13,0),MATCH(T14,'Tables - Part 2'!$AX$5:$BA$5,0))+INDEX('Tables - Part 2'!$BF$6:$BI$13,MATCH(V14,'Tables - Part 2'!$AV$6:$AV$13,0),MATCH(T14,'Tables - Part 2'!$AX$5:$BA$5,0)))/2)/2)+((INDEX('Tables - Part 2'!$BB$6:$BE$13,MATCH(V14,'Tables - Part 2'!$AV$6:$AV$13,0),MATCH(T14,'Tables - Part 2'!$AX$5:$BA$5,0))+INDEX('Tables - Part 2'!$BF$6:$BI$13,MATCH(V14,'Tables - Part 2'!$AV$6:$AV$13,0),MATCH(T14,'Tables - Part 2'!$AX$5:$BA$5,0)))/2))/2,0)</f>
        <v>0</v>
      </c>
      <c r="AN14" s="248">
        <f>IF($S14=$AN$3,(INDEX('Tables - Part 2'!$BB$6:$BE$13,MATCH(V14,'Tables - Part 2'!$AV$6:$AV$13,0),MATCH(T14,'Tables - Part 2'!$AX$5:$BA$5,0))+INDEX('Tables - Part 2'!$BF$6:$BI$13,MATCH(V14,'Tables - Part 2'!$AV$6:$AV$13,0),MATCH(T14,'Tables - Part 2'!$AX$5:$BA$5,0)))/2,0)</f>
        <v>1.5</v>
      </c>
      <c r="AO14" s="248">
        <f>IF($S14=$AO$3,(((INDEX('Tables - Part 2'!$BB$6:$BE$13,MATCH(V14,'Tables - Part 2'!$AV$6:$AV$13,0),MATCH(T14,'Tables - Part 2'!$AX$5:$BA$5,0))+INDEX('Tables - Part 2'!$BF$6:$BI$13,MATCH(V14,'Tables - Part 2'!$AV$6:$AV$13,0),MATCH(T14,'Tables - Part 2'!$AX$5:$BA$5,0)))/2)+((((INDEX('Tables - Part 2'!$BB$6:$BE$13,MATCH(V14,'Tables - Part 2'!$AV$6:$AV$13,0),MATCH(T14,'Tables - Part 2'!$AX$5:$BA$5,0))+INDEX('Tables - Part 2'!$BF$6:$BI$13,MATCH(V14,'Tables - Part 2'!$AV$6:$AV$13,0),MATCH(T14,'Tables - Part 2'!$AX$5:$BA$5,0)))/2)+INDEX('Tables - Part 2'!$BF$6:$BI$13,MATCH(V14,'Tables - Part 2'!$AV$6:$AV$13,0),MATCH(T14,'Tables - Part 2'!$AX$5:$BA$5,0)))/2))/2,0)</f>
        <v>0</v>
      </c>
      <c r="AP14" s="248">
        <f>IF($S14=$AP$3,(((INDEX('Tables - Part 2'!$BB$6:$BE$13,MATCH(V14,'Tables - Part 2'!$AV$6:$AV$13,0),MATCH(T14,'Tables - Part 2'!$AX$5:$BA$5,0))+INDEX('Tables - Part 2'!$BF$6:$BI$13,MATCH(V14,'Tables - Part 2'!$AV$6:$AV$13,0),MATCH(T14,'Tables - Part 2'!$AX$5:$BA$5,0)))/2)+INDEX('Tables - Part 2'!$BF$6:$BI$13,MATCH(V14,'Tables - Part 2'!$AV$6:$AV$13,0),MATCH(T14,'Tables - Part 2'!$AX$5:$BA$5,0)))/2,0)</f>
        <v>0</v>
      </c>
      <c r="AQ14" s="248">
        <f>IF($S14=$AQ$3,(((((INDEX('Tables - Part 2'!$BB$6:$BE$13,MATCH(V14,'Tables - Part 2'!$AV$6:$AV$13,0),MATCH(T14,'Tables - Part 2'!$AX$5:$BA$5,0))+INDEX('Tables - Part 2'!$BF$6:$BI$13,MATCH(V14,'Tables - Part 2'!$AV$6:$AV$13,0),MATCH(T14,'Tables - Part 2'!$AX$5:$BA$5,0)))/2)+INDEX('Tables - Part 2'!$BF$6:$BI$13,MATCH(V14,'Tables - Part 2'!$AV$6:$AV$13,0),MATCH(T14,'Tables - Part 2'!$AX$5:$BA$5,0)))/2)+INDEX('Tables - Part 2'!$BF$6:$BI$13,MATCH(V14,'Tables - Part 2'!$AV$6:$AV$13,0),MATCH(T14,'Tables - Part 2'!$AX$5:$BA$5,0)))/2,0)</f>
        <v>0</v>
      </c>
      <c r="AR14" s="248">
        <f>IF($S14=$AR$3,INDEX('Tables - Part 2'!$BF$6:$BI$13,MATCH(V14,'Tables - Part 2'!$AV$6:$AV$13,0),MATCH(T14,'Tables - Part 2'!$AX$5:$BA$5,0)),0)</f>
        <v>0</v>
      </c>
      <c r="AS14" s="248">
        <f>IF($S14=$AS$3,(INDEX('Tables - Part 2'!$BF$6:$BI$13,MATCH(V14,'Tables - Part 2'!$AV$6:$AV$13,0),MATCH(T14,'Tables - Part 2'!$AX$5:$BA$5,0))+((INDEX('Tables - Part 2'!$BF$6:$BI$13,MATCH(V14,'Tables - Part 2'!$AV$6:$AV$13,0),MATCH(T14,'Tables - Part 2'!$AX$5:$BA$5,0))+(INDEX('Tables - Part 2'!$BF$6:$BI$13,MATCH(V14,'Tables - Part 2'!$AV$6:$AV$13,0),MATCH(T14,'Tables - Part 2'!$AX$5:$BA$5,0))+INDEX('Tables - Part 2'!$AX$17:$BA$24,MATCH(V14,'Tables - Part 2'!$AV$6:$AV$13,0),MATCH(T14,'Tables - Part 2'!$AX$5:$BA$5,0)))/2)/2))/2,0)</f>
        <v>0</v>
      </c>
      <c r="AT14" s="248">
        <f>IF($S14=$AT$3,(INDEX('Tables - Part 2'!$BF$6:$BI$13,MATCH(V14,'Tables - Part 2'!$AV$6:$AV$13,0),MATCH(T14,'Tables - Part 2'!$AX$5:$BA$5,0))+(INDEX('Tables - Part 2'!$BF$6:$BI$13,MATCH(V14,'Tables - Part 2'!$AV$6:$AV$13,0),MATCH(T14,'Tables - Part 2'!$AX$5:$BA$5,0))+INDEX('Tables - Part 2'!$AX$17:$BA$24,MATCH(V14,'Tables - Part 2'!$AV$6:$AV$13,0),MATCH(T14,'Tables - Part 2'!$AX$5:$BA$5,0)))/2)/2,0)</f>
        <v>0</v>
      </c>
      <c r="AU14" s="248">
        <f>IF($S14=$AU$3,(((INDEX('Tables - Part 2'!$BF$6:$BI$13,MATCH(V14,'Tables - Part 2'!$AV$6:$AV$13,0),MATCH(T14,'Tables - Part 2'!$AX$5:$BA$5,0))+(INDEX('Tables - Part 2'!$BF$6:$BI$13,MATCH(V14,'Tables - Part 2'!$AV$6:$AV$13,0),MATCH(T14,'Tables - Part 2'!$AX$5:$BA$5,0))+INDEX('Tables - Part 2'!$AX$17:$BA$24,MATCH(V14,'Tables - Part 2'!$AV$6:$AV$13,0),MATCH(T14,'Tables - Part 2'!$AX$5:$BA$5,0)))/2)/2)+((INDEX('Tables - Part 2'!$BF$6:$BI$13,MATCH(V14,'Tables - Part 2'!$AV$6:$AV$13,0),MATCH(T14,'Tables - Part 2'!$AX$5:$BA$5,0))+INDEX('Tables - Part 2'!$AX$17:$BA$24,MATCH(V14,'Tables - Part 2'!$AV$6:$AV$13,0),MATCH(T14,'Tables - Part 2'!$AX$5:$BA$5,0)))/2))/2,0)</f>
        <v>0</v>
      </c>
      <c r="AV14" s="248">
        <f>IF($S14=$AV$3,(INDEX('Tables - Part 2'!$BF$6:$BI$13,MATCH(V14,'Tables - Part 2'!$AV$6:$AV$13,0),MATCH(T14,'Tables - Part 2'!$AX$5:$BA$5,0))+INDEX('Tables - Part 2'!$AX$17:$BA$24,MATCH(V14,'Tables - Part 2'!$AV$6:$AV$13,0),MATCH(T14,'Tables - Part 2'!$AX$5:$BA$5,0)))/2,0)</f>
        <v>0</v>
      </c>
      <c r="AW14" s="248">
        <f>IF($S14=$AW$3,(((INDEX('Tables - Part 2'!$BF$6:$BI$13,MATCH(V14,'Tables - Part 2'!$AV$6:$AV$13,0),MATCH(T14,'Tables - Part 2'!$AX$5:$BA$5,0))+INDEX('Tables - Part 2'!$AX$17:$BA$24,MATCH(V14,'Tables - Part 2'!$AV$6:$AV$13,0),MATCH(T14,'Tables - Part 2'!$AX$5:$BA$5,0)))/2)+((((INDEX('Tables - Part 2'!$BF$6:$BI$13,MATCH(V14,'Tables - Part 2'!$AV$6:$AV$13,0),MATCH(T14,'Tables - Part 2'!$AX$5:$BA$5,0))+INDEX('Tables - Part 2'!$AX$17:$BA$24,MATCH(V14,'Tables - Part 2'!$AV$6:$AV$13,0),MATCH(T14,'Tables - Part 2'!$AX$5:$BA$5,0)))/2)+INDEX('Tables - Part 2'!$AX$17:$BA$24,MATCH(V14,'Tables - Part 2'!$AV$6:$AV$13,0),MATCH(T14,'Tables - Part 2'!$AX$5:$BA$5,0)))/2))/2,0)</f>
        <v>0</v>
      </c>
      <c r="AX14" s="248">
        <f>IF($S14=$AX$3,(((INDEX('Tables - Part 2'!$BF$6:$BI$13,MATCH(V14,'Tables - Part 2'!$AV$6:$AV$13,0),MATCH(T14,'Tables - Part 2'!$AX$5:$BA$5,0))+INDEX('Tables - Part 2'!$AX$17:$BA$24,MATCH(V14,'Tables - Part 2'!$AV$6:$AV$13,0),MATCH(T14,'Tables - Part 2'!$AX$5:$BA$5,0)))/2)+INDEX('Tables - Part 2'!$AX$17:$BA$24,MATCH(V14,'Tables - Part 2'!$AV$6:$AV$13,0),MATCH(T14,'Tables - Part 2'!$AX$5:$BA$5,0)))/2,0)</f>
        <v>0</v>
      </c>
      <c r="AY14" s="248">
        <f>IF($S14=$AY$3,(((((INDEX('Tables - Part 2'!$BF$6:$BI$13,MATCH(V14,'Tables - Part 2'!$AV$6:$AV$13,0),MATCH(T14,'Tables - Part 2'!$AX$5:$BA$5,0))+INDEX('Tables - Part 2'!$AX$17:$BA$24,MATCH(V14,'Tables - Part 2'!$AV$6:$AV$13,0),MATCH(T14,'Tables - Part 2'!$AX$5:$BA$5,0)))/2)+INDEX('Tables - Part 2'!$AX$17:$BA$24,MATCH(V14,'Tables - Part 2'!$AV$6:$AV$13,0),MATCH(T14,'Tables - Part 2'!$AX$5:$BA$5,0)))/2)+(INDEX('Tables - Part 2'!$AX$17:$BA$24,MATCH(V14,'Tables - Part 2'!$AV$6:$AV$13,0),MATCH(T14,'Tables - Part 2'!$AX$5:$BA$5,0))))/2,0)</f>
        <v>0</v>
      </c>
      <c r="AZ14" s="248">
        <f>IF($S14=$AZ$3,INDEX('Tables - Part 2'!$AX$17:$BA$24,MATCH(V14,'Tables - Part 2'!$AV$6:$AV$13,0),MATCH(T14,'Tables - Part 2'!$AX$5:$BA$5,0)),0)</f>
        <v>0</v>
      </c>
      <c r="BA14" s="248">
        <f>IF($S14=$BA$3,((INDEX('Tables - Part 2'!$AX$17:$BA$24,MATCH(V14,'Tables - Part 2'!$AV$6:$AV$13,0),MATCH(T14,'Tables - Part 2'!$AX$5:$BA$5,0)))+(((INDEX('Tables - Part 2'!$AX$17:$BA$24,MATCH(V14,'Tables - Part 2'!$AV$6:$AV$13,0),MATCH(T14,'Tables - Part 2'!$AX$5:$BA$5,0)))+(INDEX('Tables - Part 2'!$AX$17:$BA$24,MATCH(V14,'Tables - Part 2'!$AV$6:$AV$13,0),MATCH(T14,'Tables - Part 2'!$AX$5:$BA$5,0))+INDEX('Tables - Part 2'!$BB$17:$BE$24,MATCH(V14,'Tables - Part 2'!$AV$6:$AV$13,0),MATCH(T14,'Tables - Part 2'!$AX$5:$BA$5,0)))/2)/2))/2,0)</f>
        <v>0</v>
      </c>
      <c r="BB14" s="248">
        <f>IF($S14=$BB$3,((INDEX('Tables - Part 2'!$AX$17:$BA$24,MATCH(V14,'Tables - Part 2'!$AV$6:$AV$13,0),MATCH(T14,'Tables - Part 2'!$AX$5:$BA$5,0)))+(INDEX('Tables - Part 2'!$AX$17:$BA$24,MATCH(V14,'Tables - Part 2'!$AV$6:$AV$13,0),MATCH(T14,'Tables - Part 2'!$AX$5:$BA$5,0))+INDEX('Tables - Part 2'!$BB$17:$BE$24,MATCH(V14,'Tables - Part 2'!$AV$6:$AV$13,0),MATCH(T14,'Tables - Part 2'!$AX$5:$BA$5,0)))/2)/2,0)</f>
        <v>0</v>
      </c>
      <c r="BC14" s="248">
        <f>IF($S14=$BC$3,((((INDEX('Tables - Part 2'!$AX$17:$BA$24,MATCH(V14,'Tables - Part 2'!$AV$6:$AV$13,0),MATCH(T14,'Tables - Part 2'!$AX$5:$BA$5,0)))+(INDEX('Tables - Part 2'!$AX$17:$BA$24,MATCH(V14,'Tables - Part 2'!$AV$6:$AV$13,0),MATCH(T14,'Tables - Part 2'!$AX$5:$BA$5,0))+INDEX('Tables - Part 2'!$BB$17:$BE$24,MATCH(V14,'Tables - Part 2'!$AV$6:$AV$13,0),MATCH(T14,'Tables - Part 2'!$AX$5:$BA$5,0)))/2)/2)+((INDEX('Tables - Part 2'!$AX$17:$BA$24,MATCH(V14,'Tables - Part 2'!$AV$6:$AV$13,0),MATCH(T14,'Tables - Part 2'!$AX$5:$BA$5,0))+INDEX('Tables - Part 2'!$BB$17:$BE$24,MATCH(V14,'Tables - Part 2'!$AV$6:$AV$13,0),MATCH(T14,'Tables - Part 2'!$AX$5:$BA$5,0)))/2))/2,0)</f>
        <v>0</v>
      </c>
      <c r="BD14" s="248">
        <f>IF($S14=$BD$3,(INDEX('Tables - Part 2'!$AX$17:$BA$24,MATCH(V14,'Tables - Part 2'!$AV$6:$AV$13,0),MATCH(T14,'Tables - Part 2'!$AX$5:$BA$5,0))+INDEX('Tables - Part 2'!$BB$17:$BE$24,MATCH(V14,'Tables - Part 2'!$AV$6:$AV$13,0),MATCH(T14,'Tables - Part 2'!$AX$5:$BA$5,0)))/2,0)</f>
        <v>0</v>
      </c>
      <c r="BE14" s="248">
        <f>IF($S14=$BE$3,(((INDEX('Tables - Part 2'!$AX$17:$BA$24,MATCH(V14,'Tables - Part 2'!$AV$6:$AV$13,0),MATCH(T14,'Tables - Part 2'!$AX$5:$BA$5,0))+INDEX('Tables - Part 2'!$BB$17:$BE$24,MATCH(V14,'Tables - Part 2'!$AV$6:$AV$13,0),MATCH(T14,'Tables - Part 2'!$AX$5:$BA$5,0)))/2)+((((INDEX('Tables - Part 2'!$AX$17:$BA$24,MATCH(V14,'Tables - Part 2'!$AV$6:$AV$13,0),MATCH(T14,'Tables - Part 2'!$AX$5:$BA$5,0))+INDEX('Tables - Part 2'!$BB$17:$BE$24,MATCH(V14,'Tables - Part 2'!$AV$6:$AV$13,0),MATCH(T14,'Tables - Part 2'!$AX$5:$BA$5,0)))/2)+INDEX('Tables - Part 2'!$BB$17:$BE$24,MATCH(V14,'Tables - Part 2'!$AV$6:$AV$13,0),MATCH(T14,'Tables - Part 2'!$AX$5:$BA$5,0)))/2))/2,0)</f>
        <v>0</v>
      </c>
      <c r="BF14" s="248">
        <f>IF($S14=$BF$3,(((INDEX('Tables - Part 2'!$AX$17:$BA$24,MATCH(V14,'Tables - Part 2'!$AV$6:$AV$13,0),MATCH(T14,'Tables - Part 2'!$AX$5:$BA$5,0))+INDEX('Tables - Part 2'!$BB$17:$BE$24,MATCH(V14,'Tables - Part 2'!$AV$6:$AV$13,0),MATCH(T14,'Tables - Part 2'!$AX$5:$BA$5,0)))/2)+INDEX('Tables - Part 2'!$BB$17:$BE$24,MATCH(V14,'Tables - Part 2'!$AV$6:$AV$13,0),MATCH(T14,'Tables - Part 2'!$AX$5:$BA$5,0)))/2,0)</f>
        <v>0</v>
      </c>
      <c r="BG14" s="248">
        <f>IF($S14=$BG$3,(((((INDEX('Tables - Part 2'!$AX$17:$BA$24,MATCH(V14,'Tables - Part 2'!$AV$6:$AV$13,0),MATCH(T14,'Tables - Part 2'!$AX$5:$BA$5,0))+INDEX('Tables - Part 2'!$BB$17:$BE$24,MATCH(V14,'Tables - Part 2'!$AV$6:$AV$13,0),MATCH(T14,'Tables - Part 2'!$AX$5:$BA$5,0)))/2)+INDEX('Tables - Part 2'!$BB$17:$BE$24,MATCH(V14,'Tables - Part 2'!$AV$6:$AV$13,0),MATCH(T14,'Tables - Part 2'!$AX$5:$BA$5,0)))/2)+(INDEX('Tables - Part 2'!$BB$17:$BE$24,MATCH(V14,'Tables - Part 2'!$AV$6:$AV$13,0),MATCH(T14,'Tables - Part 2'!$AX$5:$BA$5,0))))/2,0)</f>
        <v>0</v>
      </c>
      <c r="BH14" s="248">
        <f>IF($S14=$BH$3,INDEX('Tables - Part 2'!$BB$17:$BE$24,MATCH(V14,'Tables - Part 2'!$AV$6:$AV$13,0),MATCH(T14,'Tables - Part 2'!$AX$5:$BA$5,0)),0)</f>
        <v>0</v>
      </c>
      <c r="BI14" s="248">
        <f>IF($S14=$BI$3,((INDEX('Tables - Part 2'!$BB$17:$BE$24,MATCH(V14,'Tables - Part 2'!$AV$6:$AV$13,0),MATCH(T14,'Tables - Part 2'!$AX$5:$BA$5,0)))+(((INDEX('Tables - Part 2'!$BB$17:$BE$24,MATCH(V14,'Tables - Part 2'!$AV$6:$AV$13,0),MATCH(T14,'Tables - Part 2'!$AX$5:$BA$5,0)))+(INDEX('Tables - Part 2'!$BB$17:$BE$24,MATCH(V14,'Tables - Part 2'!$AV$6:$AV$13,0),MATCH(T14,'Tables - Part 2'!$AX$5:$BA$5,0))+INDEX('Tables - Part 2'!$BF$17:$BI$24,MATCH(V14,'Tables - Part 2'!$AV$6:$AV$13,0),MATCH(T14,'Tables - Part 2'!$AX$5:$BA$5,0)))/2)/2))/2,0)</f>
        <v>0</v>
      </c>
      <c r="BJ14" s="248">
        <f>IF($S14=$BJ$3,((INDEX('Tables - Part 2'!$BB$17:$BE$24,MATCH(V14,'Tables - Part 2'!$AV$6:$AV$13,0),MATCH(T14,'Tables - Part 2'!$AX$5:$BA$5,0)))+(INDEX('Tables - Part 2'!$BB$17:$BE$24,MATCH(V14,'Tables - Part 2'!$AV$6:$AV$13,0),MATCH(T14,'Tables - Part 2'!$AX$5:$BA$5,0))+INDEX('Tables - Part 2'!$BF$17:$BI$24,MATCH(V14,'Tables - Part 2'!$AV$6:$AV$13,0),MATCH(T14,'Tables - Part 2'!$AX$5:$BA$5,0)))/2)/2,0)</f>
        <v>0</v>
      </c>
      <c r="BK14" s="248">
        <f>IF($S14=$BK$3,((((INDEX('Tables - Part 2'!$BB$17:$BE$24,MATCH(V14,'Tables - Part 2'!$AV$6:$AV$13,0),MATCH(T14,'Tables - Part 2'!$AX$5:$BA$5,0)))+(INDEX('Tables - Part 2'!$BB$17:$BE$24,MATCH(V14,'Tables - Part 2'!$AV$6:$AV$13,0),MATCH(T14,'Tables - Part 2'!$AX$5:$BA$5,0))+INDEX('Tables - Part 2'!$BF$17:$BI$24,MATCH(V14,'Tables - Part 2'!$AV$6:$AV$13,0),MATCH(T14,'Tables - Part 2'!$AX$5:$BA$5,0)))/2)/2)+((INDEX('Tables - Part 2'!$BB$17:$BE$24,MATCH(V14,'Tables - Part 2'!$AV$6:$AV$13,0),MATCH(T14,'Tables - Part 2'!$AX$5:$BA$5,0))+INDEX('Tables - Part 2'!$BF$17:$BI$24,MATCH(V14,'Tables - Part 2'!$AV$6:$AV$13,0),MATCH(T14,'Tables - Part 2'!$AX$5:$BA$5,0)))/2))/2,0)</f>
        <v>0</v>
      </c>
      <c r="BL14" s="248">
        <f>IF($S14=$BL$3,(INDEX('Tables - Part 2'!$BB$17:$BE$24,MATCH(V14,'Tables - Part 2'!$AV$6:$AV$13,0),MATCH(T14,'Tables - Part 2'!$AX$5:$BA$5,0))+INDEX('Tables - Part 2'!$BF$17:$BI$24,MATCH(V14,'Tables - Part 2'!$AV$6:$AV$13,0),MATCH(T14,'Tables - Part 2'!$AX$5:$BA$5,0)))/2,0)</f>
        <v>0</v>
      </c>
      <c r="BM14" s="248">
        <f>IF($S14=$BM$3,(((INDEX('Tables - Part 2'!$BB$17:$BE$24,MATCH(V14,'Tables - Part 2'!$AV$6:$AV$13,0),MATCH(T14,'Tables - Part 2'!$AX$5:$BA$5,0))+INDEX('Tables - Part 2'!$BF$17:$BI$24,MATCH(V14,'Tables - Part 2'!$AV$6:$AV$13,0),MATCH(T14,'Tables - Part 2'!$AX$5:$BA$5,0)))/2)+((((INDEX('Tables - Part 2'!$BB$17:$BE$24,MATCH(V14,'Tables - Part 2'!$AV$6:$AV$13,0),MATCH(T14,'Tables - Part 2'!$AX$5:$BA$5,0))+INDEX('Tables - Part 2'!$BF$17:$BI$24,MATCH(V14,'Tables - Part 2'!$AV$6:$AV$13,0),MATCH(T14,'Tables - Part 2'!$AX$5:$BA$5,0)))/2)+INDEX('Tables - Part 2'!$BF$17:$BI$24,MATCH(V14,'Tables - Part 2'!$AV$6:$AV$13,0),MATCH(T14,'Tables - Part 2'!$AX$5:$BA$5,0)))/2))/2,0)</f>
        <v>0</v>
      </c>
      <c r="BN14" s="248">
        <f>IF($S14=$BN$3,(((INDEX('Tables - Part 2'!$BB$17:$BE$24,MATCH(V14,'Tables - Part 2'!$AV$6:$AV$13,0),MATCH(T14,'Tables - Part 2'!$AX$5:$BA$5,0))+INDEX('Tables - Part 2'!$BF$17:$BI$24,MATCH(V14,'Tables - Part 2'!$AV$6:$AV$13,0),MATCH(T14,'Tables - Part 2'!$AX$5:$BA$5,0)))/2)+INDEX('Tables - Part 2'!$BF$17:$BI$24,MATCH(V14,'Tables - Part 2'!$AV$6:$AV$13,0),MATCH(T14,'Tables - Part 2'!$AX$5:$BA$5,0)))/2,0)</f>
        <v>0</v>
      </c>
      <c r="BO14" s="248">
        <f>IF($S14=$BO$3,(((((INDEX('Tables - Part 2'!$BB$17:$BE$24,MATCH(V14,'Tables - Part 2'!$AV$6:$AV$13,0),MATCH(T14,'Tables - Part 2'!$AX$5:$BA$5,0))+INDEX('Tables - Part 2'!$BF$17:$BI$24,MATCH(V14,'Tables - Part 2'!$AV$6:$AV$13,0),MATCH(T14,'Tables - Part 2'!$AX$5:$BA$5,0)))/2)+INDEX('Tables - Part 2'!$BF$17:$BI$24,MATCH(V14,'Tables - Part 2'!$AV$6:$AV$13,0),MATCH(T14,'Tables - Part 2'!$AX$5:$BA$5,0)))/2)+(INDEX('Tables - Part 2'!$BF$17:$BI$24,MATCH(V14,'Tables - Part 2'!$AV$6:$AV$13,0),MATCH(T14,'Tables - Part 2'!$AX$5:$BA$5,0))))/2,0)</f>
        <v>0</v>
      </c>
      <c r="BP14" s="248">
        <f>IF($S14=$BP$3,INDEX('Tables - Part 2'!$BF$17:$BI$24,MATCH(V14,'Tables - Part 2'!$AV$6:$AV$13,0),MATCH(T14,'Tables - Part 2'!$AX$5:$BA$5,0)),0)</f>
        <v>0</v>
      </c>
      <c r="BQ14" s="248">
        <f t="shared" si="7"/>
        <v>0</v>
      </c>
      <c r="BR14" s="238">
        <f t="shared" si="8"/>
        <v>1.5</v>
      </c>
      <c r="BS14" s="238">
        <f t="shared" si="9"/>
        <v>25.159323702612586</v>
      </c>
    </row>
    <row r="15" spans="2:84" x14ac:dyDescent="0.35">
      <c r="B15" s="161" t="str">
        <f>'Tratamento de Dados'!B23</f>
        <v>V-5</v>
      </c>
      <c r="C15" s="161" t="str">
        <f>'Tratamento de Dados'!D23</f>
        <v>Casco</v>
      </c>
      <c r="D15" s="209" t="s">
        <v>245</v>
      </c>
      <c r="E15" s="209" t="s">
        <v>245</v>
      </c>
      <c r="F15" s="439">
        <v>0.02</v>
      </c>
      <c r="G15" s="209">
        <v>150</v>
      </c>
      <c r="H15" s="209" t="s">
        <v>244</v>
      </c>
      <c r="I15" s="209" t="s">
        <v>245</v>
      </c>
      <c r="J15" s="209" t="s">
        <v>244</v>
      </c>
      <c r="K15" s="209" t="s">
        <v>245</v>
      </c>
      <c r="L15" s="210">
        <v>39092</v>
      </c>
      <c r="M15" s="209">
        <v>0</v>
      </c>
      <c r="N15" s="209">
        <v>1</v>
      </c>
      <c r="O15" s="209">
        <v>1</v>
      </c>
      <c r="P15" s="209">
        <v>4</v>
      </c>
      <c r="Q15" s="253">
        <f>'Tratamento de Dados'!DA23</f>
        <v>0</v>
      </c>
      <c r="R15" s="253">
        <f>'Tratamento de Dados'!DB23</f>
        <v>0</v>
      </c>
      <c r="S15" s="256">
        <f t="shared" si="0"/>
        <v>2.5</v>
      </c>
      <c r="T15" s="246" t="str">
        <f t="shared" si="1"/>
        <v>B</v>
      </c>
      <c r="U15" s="238" t="str">
        <f t="shared" si="2"/>
        <v>Low</v>
      </c>
      <c r="V15" s="238">
        <f>(IF(AND(D15=$BX$2,E15&lt;&gt;$BX$2),"Fitness-For-Service",INDEX('Tables - Part 2'!$AT$4:$AT$7,MATCH(Caustic_Cracking!U15,'Tables - Part 2'!$AS$4:$AS$7,0))))</f>
        <v>50</v>
      </c>
      <c r="W15" s="238">
        <f>IF(L15=0,(Thinning!G16-Thinning!F16)/365.25,(Thinning!G16-L15)/365.25)</f>
        <v>12.980150581793293</v>
      </c>
      <c r="X15" s="248">
        <f t="shared" si="3"/>
        <v>0</v>
      </c>
      <c r="Y15" s="248">
        <f t="shared" si="4"/>
        <v>2.5</v>
      </c>
      <c r="Z15" s="248">
        <f t="shared" si="5"/>
        <v>3</v>
      </c>
      <c r="AA15" s="247">
        <f t="shared" si="6"/>
        <v>4</v>
      </c>
      <c r="AB15" s="248">
        <f>IF($S15=$AB$3,INDEX('Tables - Part 2'!$AX$6:$BA$13,MATCH(V15,'Tables - Part 2'!$AV$6:$AV$13,0),MATCH(T15,'Tables - Part 2'!$AX$5:$BA$5,0)),0)</f>
        <v>0</v>
      </c>
      <c r="AC15" s="248">
        <f>IF($S15=$AC$3,(INDEX('Tables - Part 2'!$AX$6:$BA$13,MATCH(V15,'Tables - Part 2'!$AV$6:$AV$13,0),MATCH(T15,'Tables - Part 2'!$AX$5:$BA$5,0))+(INDEX('Tables - Part 2'!$AX$6:$BA$13,MATCH(V15,'Tables - Part 2'!$AV$6:$AV$13,0),MATCH(T15,'Tables - Part 2'!$AX$5:$BA$5,0))+((INDEX('Tables - Part 2'!$AX$6:$BA$13,MATCH(V15,'Tables - Part 2'!$AV$6:$AV$13,0),MATCH(T15,'Tables - Part 2'!$AX$5:$BA$5,0))+INDEX('Tables - Part 2'!$BB$6:$BE$13,MATCH(V15,'Tables - Part 2'!$AV$6:$AV$13,0),MATCH(T15,'Tables - Part 2'!$AX$5:$BA$5,0)))/2))/2)/2,0)</f>
        <v>0</v>
      </c>
      <c r="AD15" s="248">
        <f>IF($S15=$AD$3,(INDEX('Tables - Part 2'!$AX$6:$BA$13,MATCH(V15,'Tables - Part 2'!$AV$6:$AV$13,0),MATCH(T15,'Tables - Part 2'!$AX$5:$BA$5,0))+((INDEX('Tables - Part 2'!$AX$6:$BA$13,MATCH(V15,'Tables - Part 2'!$AV$6:$AV$13,0),MATCH(T15,'Tables - Part 2'!$AX$5:$BA$5,0))+INDEX('Tables - Part 2'!$BB$6:$BE$13,MATCH(V15,'Tables - Part 2'!$AV$6:$AV$13,0),MATCH(T15,'Tables - Part 2'!$AX$5:$BA$5,0)))/2))/2,0)</f>
        <v>0</v>
      </c>
      <c r="AE15" s="248">
        <f>IF($S15=$AE$3,(((INDEX('Tables - Part 2'!$AX$6:$BA$13,MATCH(V15,'Tables - Part 2'!$AV$6:$AV$13,0),MATCH(T15,'Tables - Part 2'!$AX$5:$BA$5,0))+((INDEX('Tables - Part 2'!$AX$6:$BA$13,MATCH(V15,'Tables - Part 2'!$AV$6:$AV$13,0),MATCH(T15,'Tables - Part 2'!$AX$5:$BA$5,0))+INDEX('Tables - Part 2'!$BB$6:$BE$13,MATCH(V15,'Tables - Part 2'!$AV$6:$AV$13,0),MATCH(T15,'Tables - Part 2'!$AX$5:$BA$5,0)))/2))/2)+(INDEX('Tables - Part 2'!$AX$6:$BA$13,MATCH(V15,'Tables - Part 2'!$AV$6:$AV$13,0),MATCH(T15,'Tables - Part 2'!$AX$5:$BA$5,0))+INDEX('Tables - Part 2'!$BB$6:$BE$13,MATCH(V15,'Tables - Part 2'!$AV$6:$AV$13,0),MATCH(T15,'Tables - Part 2'!$AX$5:$BA$5,0)))/2)/2,0)</f>
        <v>0</v>
      </c>
      <c r="AF15" s="248">
        <f>IF($S15=$AF$3,(INDEX('Tables - Part 2'!$AX$6:$BA$13,MATCH(V15,'Tables - Part 2'!$AV$6:$AV$13,0),MATCH(T15,'Tables - Part 2'!$AX$5:$BA$5,0))+INDEX('Tables - Part 2'!$BB$6:$BE$13,MATCH(V15,'Tables - Part 2'!$AV$6:$AV$13,0),MATCH(T15,'Tables - Part 2'!$AX$5:$BA$5,0)))/2,0)</f>
        <v>0</v>
      </c>
      <c r="AG15" s="248">
        <f>IF($S15=$AG$3,(((INDEX('Tables - Part 2'!$AX$6:$BA$13,MATCH(V15,'Tables - Part 2'!$AV$6:$AV$13,0),MATCH(T15,'Tables - Part 2'!$AX$5:$BA$5,0))+INDEX('Tables - Part 2'!$BB$6:$BE$13,MATCH(V15,'Tables - Part 2'!$AV$6:$AV$13,0),MATCH(T15,'Tables - Part 2'!$AX$5:$BA$5,0)))/2)+(((INDEX('Tables - Part 2'!$AX$6:$BA$13,MATCH(V15,'Tables - Part 2'!$AV$6:$AV$13,0),MATCH(T15,'Tables - Part 2'!$AX$5:$BA$5,0))+INDEX('Tables - Part 2'!$BB$6:$BE$13,MATCH(V15,'Tables - Part 2'!$AV$6:$AV$13,0),MATCH(T15,'Tables - Part 2'!$AX$5:$BA$5,0)))/2)+INDEX('Tables - Part 2'!$BB$6:$BE$13,MATCH(V15,'Tables - Part 2'!$AV$6:$AV$13,0),MATCH(T15,'Tables - Part 2'!$AX$5:$BA$5,0)))/2)/2,0)</f>
        <v>0</v>
      </c>
      <c r="AH15" s="248">
        <f>IF($S15=$AH$3,(((INDEX('Tables - Part 2'!$AX$6:$BA$13,MATCH(V15,'Tables - Part 2'!$AV$6:$AV$13,0),MATCH(T15,'Tables - Part 2'!$AX$5:$BA$5,0))+INDEX('Tables - Part 2'!$BB$6:$BE$13,MATCH(V15,'Tables - Part 2'!$AV$6:$AV$13,0),MATCH(T15,'Tables - Part 2'!$AX$5:$BA$5,0)))/2)+INDEX('Tables - Part 2'!$BB$6:$BE$13,MATCH(V15,'Tables - Part 2'!$AV$6:$AV$13,0),MATCH(T15,'Tables - Part 2'!$AX$5:$BA$5,0)))/2,0)</f>
        <v>0</v>
      </c>
      <c r="AI15" s="248">
        <f>IF($S15=$AI$3,(((((INDEX('Tables - Part 2'!$AX$6:$BA$13,MATCH(V15,'Tables - Part 2'!$AV$6:$AV$13,0),MATCH(T15,'Tables - Part 2'!$AX$5:$BA$5,0))+INDEX('Tables - Part 2'!$BB$6:$BE$13,MATCH(V15,'Tables - Part 2'!$AV$6:$AV$13,0),MATCH(T15,'Tables - Part 2'!$AX$5:$BA$5,0)))/2)+INDEX('Tables - Part 2'!$BB$6:$BE$13,MATCH(V15,'Tables - Part 2'!$AV$6:$AV$13,0),MATCH(T15,'Tables - Part 2'!$AX$5:$BA$5,0)))/2)+INDEX('Tables - Part 2'!$BB$6:$BE$13,MATCH(V15,'Tables - Part 2'!$AV$6:$AV$13,0),MATCH(T15,'Tables - Part 2'!$AX$5:$BA$5,0)))/2,0)</f>
        <v>0</v>
      </c>
      <c r="AJ15" s="248">
        <f>IF($S15=$AJ$3,INDEX('Tables - Part 2'!$BB$6:$BE$13,MATCH(V15,'Tables - Part 2'!$AV$6:$AV$13,0),MATCH(T15,'Tables - Part 2'!$AX$5:$BA$5,0)),0)</f>
        <v>0</v>
      </c>
      <c r="AK15" s="248">
        <f>IF($S15=$AK$3,((INDEX('Tables - Part 2'!$BB$6:$BE$13,MATCH(V15,'Tables - Part 2'!$AV$6:$AV$13,0),MATCH(T15,'Tables - Part 2'!$AX$5:$BA$5,0)))+(INDEX('Tables - Part 2'!$BB$6:$BE$13,MATCH(V15,'Tables - Part 2'!$AV$6:$AV$13,0),MATCH(T15,'Tables - Part 2'!$AX$5:$BA$5,0))+(INDEX('Tables - Part 2'!$BB$6:$BE$13,MATCH(V15,'Tables - Part 2'!$AV$6:$AV$13,0),MATCH(T15,'Tables - Part 2'!$AX$5:$BA$5,0))+INDEX('Tables - Part 2'!$BF$6:$BI$13,MATCH(V15,'Tables - Part 2'!$AV$6:$AV$13,0),MATCH(T15,'Tables - Part 2'!$AX$5:$BA$5,0)))/2)/2)/2,0)</f>
        <v>0</v>
      </c>
      <c r="AL15" s="248">
        <f>IF($S15=$AL$3,(INDEX('Tables - Part 2'!$BB$6:$BE$13,MATCH(V15,'Tables - Part 2'!$AV$6:$AV$13,0),MATCH(T15,'Tables - Part 2'!$AX$5:$BA$5,0))+(INDEX('Tables - Part 2'!$BB$6:$BE$13,MATCH(V15,'Tables - Part 2'!$AV$6:$AV$13,0),MATCH(T15,'Tables - Part 2'!$AX$5:$BA$5,0))+INDEX('Tables - Part 2'!$BF$6:$BI$13,MATCH(V15,'Tables - Part 2'!$AV$6:$AV$13,0),MATCH(T15,'Tables - Part 2'!$AX$5:$BA$5,0)))/2)/2,0)</f>
        <v>0</v>
      </c>
      <c r="AM15" s="248">
        <f>IF($S15=$AM$3,(((INDEX('Tables - Part 2'!$BB$6:$BE$13,MATCH(V15,'Tables - Part 2'!$AV$6:$AV$13,0),MATCH(T15,'Tables - Part 2'!$AX$5:$BA$5,0))+(INDEX('Tables - Part 2'!$BB$6:$BE$13,MATCH(V15,'Tables - Part 2'!$AV$6:$AV$13,0),MATCH(T15,'Tables - Part 2'!$AX$5:$BA$5,0))+INDEX('Tables - Part 2'!$BF$6:$BI$13,MATCH(V15,'Tables - Part 2'!$AV$6:$AV$13,0),MATCH(T15,'Tables - Part 2'!$AX$5:$BA$5,0)))/2)/2)+((INDEX('Tables - Part 2'!$BB$6:$BE$13,MATCH(V15,'Tables - Part 2'!$AV$6:$AV$13,0),MATCH(T15,'Tables - Part 2'!$AX$5:$BA$5,0))+INDEX('Tables - Part 2'!$BF$6:$BI$13,MATCH(V15,'Tables - Part 2'!$AV$6:$AV$13,0),MATCH(T15,'Tables - Part 2'!$AX$5:$BA$5,0)))/2))/2,0)</f>
        <v>0</v>
      </c>
      <c r="AN15" s="248">
        <f>IF($S15=$AN$3,(INDEX('Tables - Part 2'!$BB$6:$BE$13,MATCH(V15,'Tables - Part 2'!$AV$6:$AV$13,0),MATCH(T15,'Tables - Part 2'!$AX$5:$BA$5,0))+INDEX('Tables - Part 2'!$BF$6:$BI$13,MATCH(V15,'Tables - Part 2'!$AV$6:$AV$13,0),MATCH(T15,'Tables - Part 2'!$AX$5:$BA$5,0)))/2,0)</f>
        <v>1.5</v>
      </c>
      <c r="AO15" s="248">
        <f>IF($S15=$AO$3,(((INDEX('Tables - Part 2'!$BB$6:$BE$13,MATCH(V15,'Tables - Part 2'!$AV$6:$AV$13,0),MATCH(T15,'Tables - Part 2'!$AX$5:$BA$5,0))+INDEX('Tables - Part 2'!$BF$6:$BI$13,MATCH(V15,'Tables - Part 2'!$AV$6:$AV$13,0),MATCH(T15,'Tables - Part 2'!$AX$5:$BA$5,0)))/2)+((((INDEX('Tables - Part 2'!$BB$6:$BE$13,MATCH(V15,'Tables - Part 2'!$AV$6:$AV$13,0),MATCH(T15,'Tables - Part 2'!$AX$5:$BA$5,0))+INDEX('Tables - Part 2'!$BF$6:$BI$13,MATCH(V15,'Tables - Part 2'!$AV$6:$AV$13,0),MATCH(T15,'Tables - Part 2'!$AX$5:$BA$5,0)))/2)+INDEX('Tables - Part 2'!$BF$6:$BI$13,MATCH(V15,'Tables - Part 2'!$AV$6:$AV$13,0),MATCH(T15,'Tables - Part 2'!$AX$5:$BA$5,0)))/2))/2,0)</f>
        <v>0</v>
      </c>
      <c r="AP15" s="248">
        <f>IF($S15=$AP$3,(((INDEX('Tables - Part 2'!$BB$6:$BE$13,MATCH(V15,'Tables - Part 2'!$AV$6:$AV$13,0),MATCH(T15,'Tables - Part 2'!$AX$5:$BA$5,0))+INDEX('Tables - Part 2'!$BF$6:$BI$13,MATCH(V15,'Tables - Part 2'!$AV$6:$AV$13,0),MATCH(T15,'Tables - Part 2'!$AX$5:$BA$5,0)))/2)+INDEX('Tables - Part 2'!$BF$6:$BI$13,MATCH(V15,'Tables - Part 2'!$AV$6:$AV$13,0),MATCH(T15,'Tables - Part 2'!$AX$5:$BA$5,0)))/2,0)</f>
        <v>0</v>
      </c>
      <c r="AQ15" s="248">
        <f>IF($S15=$AQ$3,(((((INDEX('Tables - Part 2'!$BB$6:$BE$13,MATCH(V15,'Tables - Part 2'!$AV$6:$AV$13,0),MATCH(T15,'Tables - Part 2'!$AX$5:$BA$5,0))+INDEX('Tables - Part 2'!$BF$6:$BI$13,MATCH(V15,'Tables - Part 2'!$AV$6:$AV$13,0),MATCH(T15,'Tables - Part 2'!$AX$5:$BA$5,0)))/2)+INDEX('Tables - Part 2'!$BF$6:$BI$13,MATCH(V15,'Tables - Part 2'!$AV$6:$AV$13,0),MATCH(T15,'Tables - Part 2'!$AX$5:$BA$5,0)))/2)+INDEX('Tables - Part 2'!$BF$6:$BI$13,MATCH(V15,'Tables - Part 2'!$AV$6:$AV$13,0),MATCH(T15,'Tables - Part 2'!$AX$5:$BA$5,0)))/2,0)</f>
        <v>0</v>
      </c>
      <c r="AR15" s="248">
        <f>IF($S15=$AR$3,INDEX('Tables - Part 2'!$BF$6:$BI$13,MATCH(V15,'Tables - Part 2'!$AV$6:$AV$13,0),MATCH(T15,'Tables - Part 2'!$AX$5:$BA$5,0)),0)</f>
        <v>0</v>
      </c>
      <c r="AS15" s="248">
        <f>IF($S15=$AS$3,(INDEX('Tables - Part 2'!$BF$6:$BI$13,MATCH(V15,'Tables - Part 2'!$AV$6:$AV$13,0),MATCH(T15,'Tables - Part 2'!$AX$5:$BA$5,0))+((INDEX('Tables - Part 2'!$BF$6:$BI$13,MATCH(V15,'Tables - Part 2'!$AV$6:$AV$13,0),MATCH(T15,'Tables - Part 2'!$AX$5:$BA$5,0))+(INDEX('Tables - Part 2'!$BF$6:$BI$13,MATCH(V15,'Tables - Part 2'!$AV$6:$AV$13,0),MATCH(T15,'Tables - Part 2'!$AX$5:$BA$5,0))+INDEX('Tables - Part 2'!$AX$17:$BA$24,MATCH(V15,'Tables - Part 2'!$AV$6:$AV$13,0),MATCH(T15,'Tables - Part 2'!$AX$5:$BA$5,0)))/2)/2))/2,0)</f>
        <v>0</v>
      </c>
      <c r="AT15" s="248">
        <f>IF($S15=$AT$3,(INDEX('Tables - Part 2'!$BF$6:$BI$13,MATCH(V15,'Tables - Part 2'!$AV$6:$AV$13,0),MATCH(T15,'Tables - Part 2'!$AX$5:$BA$5,0))+(INDEX('Tables - Part 2'!$BF$6:$BI$13,MATCH(V15,'Tables - Part 2'!$AV$6:$AV$13,0),MATCH(T15,'Tables - Part 2'!$AX$5:$BA$5,0))+INDEX('Tables - Part 2'!$AX$17:$BA$24,MATCH(V15,'Tables - Part 2'!$AV$6:$AV$13,0),MATCH(T15,'Tables - Part 2'!$AX$5:$BA$5,0)))/2)/2,0)</f>
        <v>0</v>
      </c>
      <c r="AU15" s="248">
        <f>IF($S15=$AU$3,(((INDEX('Tables - Part 2'!$BF$6:$BI$13,MATCH(V15,'Tables - Part 2'!$AV$6:$AV$13,0),MATCH(T15,'Tables - Part 2'!$AX$5:$BA$5,0))+(INDEX('Tables - Part 2'!$BF$6:$BI$13,MATCH(V15,'Tables - Part 2'!$AV$6:$AV$13,0),MATCH(T15,'Tables - Part 2'!$AX$5:$BA$5,0))+INDEX('Tables - Part 2'!$AX$17:$BA$24,MATCH(V15,'Tables - Part 2'!$AV$6:$AV$13,0),MATCH(T15,'Tables - Part 2'!$AX$5:$BA$5,0)))/2)/2)+((INDEX('Tables - Part 2'!$BF$6:$BI$13,MATCH(V15,'Tables - Part 2'!$AV$6:$AV$13,0),MATCH(T15,'Tables - Part 2'!$AX$5:$BA$5,0))+INDEX('Tables - Part 2'!$AX$17:$BA$24,MATCH(V15,'Tables - Part 2'!$AV$6:$AV$13,0),MATCH(T15,'Tables - Part 2'!$AX$5:$BA$5,0)))/2))/2,0)</f>
        <v>0</v>
      </c>
      <c r="AV15" s="248">
        <f>IF($S15=$AV$3,(INDEX('Tables - Part 2'!$BF$6:$BI$13,MATCH(V15,'Tables - Part 2'!$AV$6:$AV$13,0),MATCH(T15,'Tables - Part 2'!$AX$5:$BA$5,0))+INDEX('Tables - Part 2'!$AX$17:$BA$24,MATCH(V15,'Tables - Part 2'!$AV$6:$AV$13,0),MATCH(T15,'Tables - Part 2'!$AX$5:$BA$5,0)))/2,0)</f>
        <v>0</v>
      </c>
      <c r="AW15" s="248">
        <f>IF($S15=$AW$3,(((INDEX('Tables - Part 2'!$BF$6:$BI$13,MATCH(V15,'Tables - Part 2'!$AV$6:$AV$13,0),MATCH(T15,'Tables - Part 2'!$AX$5:$BA$5,0))+INDEX('Tables - Part 2'!$AX$17:$BA$24,MATCH(V15,'Tables - Part 2'!$AV$6:$AV$13,0),MATCH(T15,'Tables - Part 2'!$AX$5:$BA$5,0)))/2)+((((INDEX('Tables - Part 2'!$BF$6:$BI$13,MATCH(V15,'Tables - Part 2'!$AV$6:$AV$13,0),MATCH(T15,'Tables - Part 2'!$AX$5:$BA$5,0))+INDEX('Tables - Part 2'!$AX$17:$BA$24,MATCH(V15,'Tables - Part 2'!$AV$6:$AV$13,0),MATCH(T15,'Tables - Part 2'!$AX$5:$BA$5,0)))/2)+INDEX('Tables - Part 2'!$AX$17:$BA$24,MATCH(V15,'Tables - Part 2'!$AV$6:$AV$13,0),MATCH(T15,'Tables - Part 2'!$AX$5:$BA$5,0)))/2))/2,0)</f>
        <v>0</v>
      </c>
      <c r="AX15" s="248">
        <f>IF($S15=$AX$3,(((INDEX('Tables - Part 2'!$BF$6:$BI$13,MATCH(V15,'Tables - Part 2'!$AV$6:$AV$13,0),MATCH(T15,'Tables - Part 2'!$AX$5:$BA$5,0))+INDEX('Tables - Part 2'!$AX$17:$BA$24,MATCH(V15,'Tables - Part 2'!$AV$6:$AV$13,0),MATCH(T15,'Tables - Part 2'!$AX$5:$BA$5,0)))/2)+INDEX('Tables - Part 2'!$AX$17:$BA$24,MATCH(V15,'Tables - Part 2'!$AV$6:$AV$13,0),MATCH(T15,'Tables - Part 2'!$AX$5:$BA$5,0)))/2,0)</f>
        <v>0</v>
      </c>
      <c r="AY15" s="248">
        <f>IF($S15=$AY$3,(((((INDEX('Tables - Part 2'!$BF$6:$BI$13,MATCH(V15,'Tables - Part 2'!$AV$6:$AV$13,0),MATCH(T15,'Tables - Part 2'!$AX$5:$BA$5,0))+INDEX('Tables - Part 2'!$AX$17:$BA$24,MATCH(V15,'Tables - Part 2'!$AV$6:$AV$13,0),MATCH(T15,'Tables - Part 2'!$AX$5:$BA$5,0)))/2)+INDEX('Tables - Part 2'!$AX$17:$BA$24,MATCH(V15,'Tables - Part 2'!$AV$6:$AV$13,0),MATCH(T15,'Tables - Part 2'!$AX$5:$BA$5,0)))/2)+(INDEX('Tables - Part 2'!$AX$17:$BA$24,MATCH(V15,'Tables - Part 2'!$AV$6:$AV$13,0),MATCH(T15,'Tables - Part 2'!$AX$5:$BA$5,0))))/2,0)</f>
        <v>0</v>
      </c>
      <c r="AZ15" s="248">
        <f>IF($S15=$AZ$3,INDEX('Tables - Part 2'!$AX$17:$BA$24,MATCH(V15,'Tables - Part 2'!$AV$6:$AV$13,0),MATCH(T15,'Tables - Part 2'!$AX$5:$BA$5,0)),0)</f>
        <v>0</v>
      </c>
      <c r="BA15" s="248">
        <f>IF($S15=$BA$3,((INDEX('Tables - Part 2'!$AX$17:$BA$24,MATCH(V15,'Tables - Part 2'!$AV$6:$AV$13,0),MATCH(T15,'Tables - Part 2'!$AX$5:$BA$5,0)))+(((INDEX('Tables - Part 2'!$AX$17:$BA$24,MATCH(V15,'Tables - Part 2'!$AV$6:$AV$13,0),MATCH(T15,'Tables - Part 2'!$AX$5:$BA$5,0)))+(INDEX('Tables - Part 2'!$AX$17:$BA$24,MATCH(V15,'Tables - Part 2'!$AV$6:$AV$13,0),MATCH(T15,'Tables - Part 2'!$AX$5:$BA$5,0))+INDEX('Tables - Part 2'!$BB$17:$BE$24,MATCH(V15,'Tables - Part 2'!$AV$6:$AV$13,0),MATCH(T15,'Tables - Part 2'!$AX$5:$BA$5,0)))/2)/2))/2,0)</f>
        <v>0</v>
      </c>
      <c r="BB15" s="248">
        <f>IF($S15=$BB$3,((INDEX('Tables - Part 2'!$AX$17:$BA$24,MATCH(V15,'Tables - Part 2'!$AV$6:$AV$13,0),MATCH(T15,'Tables - Part 2'!$AX$5:$BA$5,0)))+(INDEX('Tables - Part 2'!$AX$17:$BA$24,MATCH(V15,'Tables - Part 2'!$AV$6:$AV$13,0),MATCH(T15,'Tables - Part 2'!$AX$5:$BA$5,0))+INDEX('Tables - Part 2'!$BB$17:$BE$24,MATCH(V15,'Tables - Part 2'!$AV$6:$AV$13,0),MATCH(T15,'Tables - Part 2'!$AX$5:$BA$5,0)))/2)/2,0)</f>
        <v>0</v>
      </c>
      <c r="BC15" s="248">
        <f>IF($S15=$BC$3,((((INDEX('Tables - Part 2'!$AX$17:$BA$24,MATCH(V15,'Tables - Part 2'!$AV$6:$AV$13,0),MATCH(T15,'Tables - Part 2'!$AX$5:$BA$5,0)))+(INDEX('Tables - Part 2'!$AX$17:$BA$24,MATCH(V15,'Tables - Part 2'!$AV$6:$AV$13,0),MATCH(T15,'Tables - Part 2'!$AX$5:$BA$5,0))+INDEX('Tables - Part 2'!$BB$17:$BE$24,MATCH(V15,'Tables - Part 2'!$AV$6:$AV$13,0),MATCH(T15,'Tables - Part 2'!$AX$5:$BA$5,0)))/2)/2)+((INDEX('Tables - Part 2'!$AX$17:$BA$24,MATCH(V15,'Tables - Part 2'!$AV$6:$AV$13,0),MATCH(T15,'Tables - Part 2'!$AX$5:$BA$5,0))+INDEX('Tables - Part 2'!$BB$17:$BE$24,MATCH(V15,'Tables - Part 2'!$AV$6:$AV$13,0),MATCH(T15,'Tables - Part 2'!$AX$5:$BA$5,0)))/2))/2,0)</f>
        <v>0</v>
      </c>
      <c r="BD15" s="248">
        <f>IF($S15=$BD$3,(INDEX('Tables - Part 2'!$AX$17:$BA$24,MATCH(V15,'Tables - Part 2'!$AV$6:$AV$13,0),MATCH(T15,'Tables - Part 2'!$AX$5:$BA$5,0))+INDEX('Tables - Part 2'!$BB$17:$BE$24,MATCH(V15,'Tables - Part 2'!$AV$6:$AV$13,0),MATCH(T15,'Tables - Part 2'!$AX$5:$BA$5,0)))/2,0)</f>
        <v>0</v>
      </c>
      <c r="BE15" s="248">
        <f>IF($S15=$BE$3,(((INDEX('Tables - Part 2'!$AX$17:$BA$24,MATCH(V15,'Tables - Part 2'!$AV$6:$AV$13,0),MATCH(T15,'Tables - Part 2'!$AX$5:$BA$5,0))+INDEX('Tables - Part 2'!$BB$17:$BE$24,MATCH(V15,'Tables - Part 2'!$AV$6:$AV$13,0),MATCH(T15,'Tables - Part 2'!$AX$5:$BA$5,0)))/2)+((((INDEX('Tables - Part 2'!$AX$17:$BA$24,MATCH(V15,'Tables - Part 2'!$AV$6:$AV$13,0),MATCH(T15,'Tables - Part 2'!$AX$5:$BA$5,0))+INDEX('Tables - Part 2'!$BB$17:$BE$24,MATCH(V15,'Tables - Part 2'!$AV$6:$AV$13,0),MATCH(T15,'Tables - Part 2'!$AX$5:$BA$5,0)))/2)+INDEX('Tables - Part 2'!$BB$17:$BE$24,MATCH(V15,'Tables - Part 2'!$AV$6:$AV$13,0),MATCH(T15,'Tables - Part 2'!$AX$5:$BA$5,0)))/2))/2,0)</f>
        <v>0</v>
      </c>
      <c r="BF15" s="248">
        <f>IF($S15=$BF$3,(((INDEX('Tables - Part 2'!$AX$17:$BA$24,MATCH(V15,'Tables - Part 2'!$AV$6:$AV$13,0),MATCH(T15,'Tables - Part 2'!$AX$5:$BA$5,0))+INDEX('Tables - Part 2'!$BB$17:$BE$24,MATCH(V15,'Tables - Part 2'!$AV$6:$AV$13,0),MATCH(T15,'Tables - Part 2'!$AX$5:$BA$5,0)))/2)+INDEX('Tables - Part 2'!$BB$17:$BE$24,MATCH(V15,'Tables - Part 2'!$AV$6:$AV$13,0),MATCH(T15,'Tables - Part 2'!$AX$5:$BA$5,0)))/2,0)</f>
        <v>0</v>
      </c>
      <c r="BG15" s="248">
        <f>IF($S15=$BG$3,(((((INDEX('Tables - Part 2'!$AX$17:$BA$24,MATCH(V15,'Tables - Part 2'!$AV$6:$AV$13,0),MATCH(T15,'Tables - Part 2'!$AX$5:$BA$5,0))+INDEX('Tables - Part 2'!$BB$17:$BE$24,MATCH(V15,'Tables - Part 2'!$AV$6:$AV$13,0),MATCH(T15,'Tables - Part 2'!$AX$5:$BA$5,0)))/2)+INDEX('Tables - Part 2'!$BB$17:$BE$24,MATCH(V15,'Tables - Part 2'!$AV$6:$AV$13,0),MATCH(T15,'Tables - Part 2'!$AX$5:$BA$5,0)))/2)+(INDEX('Tables - Part 2'!$BB$17:$BE$24,MATCH(V15,'Tables - Part 2'!$AV$6:$AV$13,0),MATCH(T15,'Tables - Part 2'!$AX$5:$BA$5,0))))/2,0)</f>
        <v>0</v>
      </c>
      <c r="BH15" s="248">
        <f>IF($S15=$BH$3,INDEX('Tables - Part 2'!$BB$17:$BE$24,MATCH(V15,'Tables - Part 2'!$AV$6:$AV$13,0),MATCH(T15,'Tables - Part 2'!$AX$5:$BA$5,0)),0)</f>
        <v>0</v>
      </c>
      <c r="BI15" s="248">
        <f>IF($S15=$BI$3,((INDEX('Tables - Part 2'!$BB$17:$BE$24,MATCH(V15,'Tables - Part 2'!$AV$6:$AV$13,0),MATCH(T15,'Tables - Part 2'!$AX$5:$BA$5,0)))+(((INDEX('Tables - Part 2'!$BB$17:$BE$24,MATCH(V15,'Tables - Part 2'!$AV$6:$AV$13,0),MATCH(T15,'Tables - Part 2'!$AX$5:$BA$5,0)))+(INDEX('Tables - Part 2'!$BB$17:$BE$24,MATCH(V15,'Tables - Part 2'!$AV$6:$AV$13,0),MATCH(T15,'Tables - Part 2'!$AX$5:$BA$5,0))+INDEX('Tables - Part 2'!$BF$17:$BI$24,MATCH(V15,'Tables - Part 2'!$AV$6:$AV$13,0),MATCH(T15,'Tables - Part 2'!$AX$5:$BA$5,0)))/2)/2))/2,0)</f>
        <v>0</v>
      </c>
      <c r="BJ15" s="248">
        <f>IF($S15=$BJ$3,((INDEX('Tables - Part 2'!$BB$17:$BE$24,MATCH(V15,'Tables - Part 2'!$AV$6:$AV$13,0),MATCH(T15,'Tables - Part 2'!$AX$5:$BA$5,0)))+(INDEX('Tables - Part 2'!$BB$17:$BE$24,MATCH(V15,'Tables - Part 2'!$AV$6:$AV$13,0),MATCH(T15,'Tables - Part 2'!$AX$5:$BA$5,0))+INDEX('Tables - Part 2'!$BF$17:$BI$24,MATCH(V15,'Tables - Part 2'!$AV$6:$AV$13,0),MATCH(T15,'Tables - Part 2'!$AX$5:$BA$5,0)))/2)/2,0)</f>
        <v>0</v>
      </c>
      <c r="BK15" s="248">
        <f>IF($S15=$BK$3,((((INDEX('Tables - Part 2'!$BB$17:$BE$24,MATCH(V15,'Tables - Part 2'!$AV$6:$AV$13,0),MATCH(T15,'Tables - Part 2'!$AX$5:$BA$5,0)))+(INDEX('Tables - Part 2'!$BB$17:$BE$24,MATCH(V15,'Tables - Part 2'!$AV$6:$AV$13,0),MATCH(T15,'Tables - Part 2'!$AX$5:$BA$5,0))+INDEX('Tables - Part 2'!$BF$17:$BI$24,MATCH(V15,'Tables - Part 2'!$AV$6:$AV$13,0),MATCH(T15,'Tables - Part 2'!$AX$5:$BA$5,0)))/2)/2)+((INDEX('Tables - Part 2'!$BB$17:$BE$24,MATCH(V15,'Tables - Part 2'!$AV$6:$AV$13,0),MATCH(T15,'Tables - Part 2'!$AX$5:$BA$5,0))+INDEX('Tables - Part 2'!$BF$17:$BI$24,MATCH(V15,'Tables - Part 2'!$AV$6:$AV$13,0),MATCH(T15,'Tables - Part 2'!$AX$5:$BA$5,0)))/2))/2,0)</f>
        <v>0</v>
      </c>
      <c r="BL15" s="248">
        <f>IF($S15=$BL$3,(INDEX('Tables - Part 2'!$BB$17:$BE$24,MATCH(V15,'Tables - Part 2'!$AV$6:$AV$13,0),MATCH(T15,'Tables - Part 2'!$AX$5:$BA$5,0))+INDEX('Tables - Part 2'!$BF$17:$BI$24,MATCH(V15,'Tables - Part 2'!$AV$6:$AV$13,0),MATCH(T15,'Tables - Part 2'!$AX$5:$BA$5,0)))/2,0)</f>
        <v>0</v>
      </c>
      <c r="BM15" s="248">
        <f>IF($S15=$BM$3,(((INDEX('Tables - Part 2'!$BB$17:$BE$24,MATCH(V15,'Tables - Part 2'!$AV$6:$AV$13,0),MATCH(T15,'Tables - Part 2'!$AX$5:$BA$5,0))+INDEX('Tables - Part 2'!$BF$17:$BI$24,MATCH(V15,'Tables - Part 2'!$AV$6:$AV$13,0),MATCH(T15,'Tables - Part 2'!$AX$5:$BA$5,0)))/2)+((((INDEX('Tables - Part 2'!$BB$17:$BE$24,MATCH(V15,'Tables - Part 2'!$AV$6:$AV$13,0),MATCH(T15,'Tables - Part 2'!$AX$5:$BA$5,0))+INDEX('Tables - Part 2'!$BF$17:$BI$24,MATCH(V15,'Tables - Part 2'!$AV$6:$AV$13,0),MATCH(T15,'Tables - Part 2'!$AX$5:$BA$5,0)))/2)+INDEX('Tables - Part 2'!$BF$17:$BI$24,MATCH(V15,'Tables - Part 2'!$AV$6:$AV$13,0),MATCH(T15,'Tables - Part 2'!$AX$5:$BA$5,0)))/2))/2,0)</f>
        <v>0</v>
      </c>
      <c r="BN15" s="248">
        <f>IF($S15=$BN$3,(((INDEX('Tables - Part 2'!$BB$17:$BE$24,MATCH(V15,'Tables - Part 2'!$AV$6:$AV$13,0),MATCH(T15,'Tables - Part 2'!$AX$5:$BA$5,0))+INDEX('Tables - Part 2'!$BF$17:$BI$24,MATCH(V15,'Tables - Part 2'!$AV$6:$AV$13,0),MATCH(T15,'Tables - Part 2'!$AX$5:$BA$5,0)))/2)+INDEX('Tables - Part 2'!$BF$17:$BI$24,MATCH(V15,'Tables - Part 2'!$AV$6:$AV$13,0),MATCH(T15,'Tables - Part 2'!$AX$5:$BA$5,0)))/2,0)</f>
        <v>0</v>
      </c>
      <c r="BO15" s="248">
        <f>IF($S15=$BO$3,(((((INDEX('Tables - Part 2'!$BB$17:$BE$24,MATCH(V15,'Tables - Part 2'!$AV$6:$AV$13,0),MATCH(T15,'Tables - Part 2'!$AX$5:$BA$5,0))+INDEX('Tables - Part 2'!$BF$17:$BI$24,MATCH(V15,'Tables - Part 2'!$AV$6:$AV$13,0),MATCH(T15,'Tables - Part 2'!$AX$5:$BA$5,0)))/2)+INDEX('Tables - Part 2'!$BF$17:$BI$24,MATCH(V15,'Tables - Part 2'!$AV$6:$AV$13,0),MATCH(T15,'Tables - Part 2'!$AX$5:$BA$5,0)))/2)+(INDEX('Tables - Part 2'!$BF$17:$BI$24,MATCH(V15,'Tables - Part 2'!$AV$6:$AV$13,0),MATCH(T15,'Tables - Part 2'!$AX$5:$BA$5,0))))/2,0)</f>
        <v>0</v>
      </c>
      <c r="BP15" s="248">
        <f>IF($S15=$BP$3,INDEX('Tables - Part 2'!$BF$17:$BI$24,MATCH(V15,'Tables - Part 2'!$AV$6:$AV$13,0),MATCH(T15,'Tables - Part 2'!$AX$5:$BA$5,0)),0)</f>
        <v>0</v>
      </c>
      <c r="BQ15" s="248">
        <f t="shared" si="7"/>
        <v>0</v>
      </c>
      <c r="BR15" s="238">
        <f t="shared" si="8"/>
        <v>1.5</v>
      </c>
      <c r="BS15" s="238">
        <f t="shared" si="9"/>
        <v>25.159323702612586</v>
      </c>
    </row>
    <row r="16" spans="2:84" x14ac:dyDescent="0.35">
      <c r="B16" s="161" t="str">
        <f>'Tratamento de Dados'!B24</f>
        <v>V-6</v>
      </c>
      <c r="C16" s="161" t="str">
        <f>'Tratamento de Dados'!D24</f>
        <v>Casco</v>
      </c>
      <c r="D16" s="209" t="s">
        <v>245</v>
      </c>
      <c r="E16" s="209" t="s">
        <v>245</v>
      </c>
      <c r="F16" s="439">
        <v>0.02</v>
      </c>
      <c r="G16" s="209">
        <v>150</v>
      </c>
      <c r="H16" s="209" t="s">
        <v>244</v>
      </c>
      <c r="I16" s="209" t="s">
        <v>245</v>
      </c>
      <c r="J16" s="209" t="s">
        <v>244</v>
      </c>
      <c r="K16" s="209" t="s">
        <v>245</v>
      </c>
      <c r="L16" s="210">
        <v>39092</v>
      </c>
      <c r="M16" s="209">
        <v>0</v>
      </c>
      <c r="N16" s="209">
        <v>1</v>
      </c>
      <c r="O16" s="209">
        <v>1</v>
      </c>
      <c r="P16" s="209">
        <v>4</v>
      </c>
      <c r="Q16" s="253">
        <f>'Tratamento de Dados'!DA24</f>
        <v>0</v>
      </c>
      <c r="R16" s="253">
        <f>'Tratamento de Dados'!DB24</f>
        <v>0</v>
      </c>
      <c r="S16" s="256">
        <f t="shared" si="0"/>
        <v>2.5</v>
      </c>
      <c r="T16" s="246" t="str">
        <f t="shared" si="1"/>
        <v>B</v>
      </c>
      <c r="U16" s="238" t="str">
        <f t="shared" si="2"/>
        <v>Low</v>
      </c>
      <c r="V16" s="238">
        <f>(IF(AND(D16=$BX$2,E16&lt;&gt;$BX$2),"Fitness-For-Service",INDEX('Tables - Part 2'!$AT$4:$AT$7,MATCH(Caustic_Cracking!U16,'Tables - Part 2'!$AS$4:$AS$7,0))))</f>
        <v>50</v>
      </c>
      <c r="W16" s="238">
        <f>IF(L16=0,(Thinning!G17-Thinning!F17)/365.25,(Thinning!G17-L16)/365.25)</f>
        <v>12.980150581793293</v>
      </c>
      <c r="X16" s="248">
        <f t="shared" si="3"/>
        <v>0</v>
      </c>
      <c r="Y16" s="248">
        <f t="shared" si="4"/>
        <v>2.5</v>
      </c>
      <c r="Z16" s="248">
        <f t="shared" si="5"/>
        <v>3</v>
      </c>
      <c r="AA16" s="247">
        <f t="shared" si="6"/>
        <v>4</v>
      </c>
      <c r="AB16" s="248">
        <f>IF($S16=$AB$3,INDEX('Tables - Part 2'!$AX$6:$BA$13,MATCH(V16,'Tables - Part 2'!$AV$6:$AV$13,0),MATCH(T16,'Tables - Part 2'!$AX$5:$BA$5,0)),0)</f>
        <v>0</v>
      </c>
      <c r="AC16" s="248">
        <f>IF($S16=$AC$3,(INDEX('Tables - Part 2'!$AX$6:$BA$13,MATCH(V16,'Tables - Part 2'!$AV$6:$AV$13,0),MATCH(T16,'Tables - Part 2'!$AX$5:$BA$5,0))+(INDEX('Tables - Part 2'!$AX$6:$BA$13,MATCH(V16,'Tables - Part 2'!$AV$6:$AV$13,0),MATCH(T16,'Tables - Part 2'!$AX$5:$BA$5,0))+((INDEX('Tables - Part 2'!$AX$6:$BA$13,MATCH(V16,'Tables - Part 2'!$AV$6:$AV$13,0),MATCH(T16,'Tables - Part 2'!$AX$5:$BA$5,0))+INDEX('Tables - Part 2'!$BB$6:$BE$13,MATCH(V16,'Tables - Part 2'!$AV$6:$AV$13,0),MATCH(T16,'Tables - Part 2'!$AX$5:$BA$5,0)))/2))/2)/2,0)</f>
        <v>0</v>
      </c>
      <c r="AD16" s="248">
        <f>IF($S16=$AD$3,(INDEX('Tables - Part 2'!$AX$6:$BA$13,MATCH(V16,'Tables - Part 2'!$AV$6:$AV$13,0),MATCH(T16,'Tables - Part 2'!$AX$5:$BA$5,0))+((INDEX('Tables - Part 2'!$AX$6:$BA$13,MATCH(V16,'Tables - Part 2'!$AV$6:$AV$13,0),MATCH(T16,'Tables - Part 2'!$AX$5:$BA$5,0))+INDEX('Tables - Part 2'!$BB$6:$BE$13,MATCH(V16,'Tables - Part 2'!$AV$6:$AV$13,0),MATCH(T16,'Tables - Part 2'!$AX$5:$BA$5,0)))/2))/2,0)</f>
        <v>0</v>
      </c>
      <c r="AE16" s="248">
        <f>IF($S16=$AE$3,(((INDEX('Tables - Part 2'!$AX$6:$BA$13,MATCH(V16,'Tables - Part 2'!$AV$6:$AV$13,0),MATCH(T16,'Tables - Part 2'!$AX$5:$BA$5,0))+((INDEX('Tables - Part 2'!$AX$6:$BA$13,MATCH(V16,'Tables - Part 2'!$AV$6:$AV$13,0),MATCH(T16,'Tables - Part 2'!$AX$5:$BA$5,0))+INDEX('Tables - Part 2'!$BB$6:$BE$13,MATCH(V16,'Tables - Part 2'!$AV$6:$AV$13,0),MATCH(T16,'Tables - Part 2'!$AX$5:$BA$5,0)))/2))/2)+(INDEX('Tables - Part 2'!$AX$6:$BA$13,MATCH(V16,'Tables - Part 2'!$AV$6:$AV$13,0),MATCH(T16,'Tables - Part 2'!$AX$5:$BA$5,0))+INDEX('Tables - Part 2'!$BB$6:$BE$13,MATCH(V16,'Tables - Part 2'!$AV$6:$AV$13,0),MATCH(T16,'Tables - Part 2'!$AX$5:$BA$5,0)))/2)/2,0)</f>
        <v>0</v>
      </c>
      <c r="AF16" s="248">
        <f>IF($S16=$AF$3,(INDEX('Tables - Part 2'!$AX$6:$BA$13,MATCH(V16,'Tables - Part 2'!$AV$6:$AV$13,0),MATCH(T16,'Tables - Part 2'!$AX$5:$BA$5,0))+INDEX('Tables - Part 2'!$BB$6:$BE$13,MATCH(V16,'Tables - Part 2'!$AV$6:$AV$13,0),MATCH(T16,'Tables - Part 2'!$AX$5:$BA$5,0)))/2,0)</f>
        <v>0</v>
      </c>
      <c r="AG16" s="248">
        <f>IF($S16=$AG$3,(((INDEX('Tables - Part 2'!$AX$6:$BA$13,MATCH(V16,'Tables - Part 2'!$AV$6:$AV$13,0),MATCH(T16,'Tables - Part 2'!$AX$5:$BA$5,0))+INDEX('Tables - Part 2'!$BB$6:$BE$13,MATCH(V16,'Tables - Part 2'!$AV$6:$AV$13,0),MATCH(T16,'Tables - Part 2'!$AX$5:$BA$5,0)))/2)+(((INDEX('Tables - Part 2'!$AX$6:$BA$13,MATCH(V16,'Tables - Part 2'!$AV$6:$AV$13,0),MATCH(T16,'Tables - Part 2'!$AX$5:$BA$5,0))+INDEX('Tables - Part 2'!$BB$6:$BE$13,MATCH(V16,'Tables - Part 2'!$AV$6:$AV$13,0),MATCH(T16,'Tables - Part 2'!$AX$5:$BA$5,0)))/2)+INDEX('Tables - Part 2'!$BB$6:$BE$13,MATCH(V16,'Tables - Part 2'!$AV$6:$AV$13,0),MATCH(T16,'Tables - Part 2'!$AX$5:$BA$5,0)))/2)/2,0)</f>
        <v>0</v>
      </c>
      <c r="AH16" s="248">
        <f>IF($S16=$AH$3,(((INDEX('Tables - Part 2'!$AX$6:$BA$13,MATCH(V16,'Tables - Part 2'!$AV$6:$AV$13,0),MATCH(T16,'Tables - Part 2'!$AX$5:$BA$5,0))+INDEX('Tables - Part 2'!$BB$6:$BE$13,MATCH(V16,'Tables - Part 2'!$AV$6:$AV$13,0),MATCH(T16,'Tables - Part 2'!$AX$5:$BA$5,0)))/2)+INDEX('Tables - Part 2'!$BB$6:$BE$13,MATCH(V16,'Tables - Part 2'!$AV$6:$AV$13,0),MATCH(T16,'Tables - Part 2'!$AX$5:$BA$5,0)))/2,0)</f>
        <v>0</v>
      </c>
      <c r="AI16" s="248">
        <f>IF($S16=$AI$3,(((((INDEX('Tables - Part 2'!$AX$6:$BA$13,MATCH(V16,'Tables - Part 2'!$AV$6:$AV$13,0),MATCH(T16,'Tables - Part 2'!$AX$5:$BA$5,0))+INDEX('Tables - Part 2'!$BB$6:$BE$13,MATCH(V16,'Tables - Part 2'!$AV$6:$AV$13,0),MATCH(T16,'Tables - Part 2'!$AX$5:$BA$5,0)))/2)+INDEX('Tables - Part 2'!$BB$6:$BE$13,MATCH(V16,'Tables - Part 2'!$AV$6:$AV$13,0),MATCH(T16,'Tables - Part 2'!$AX$5:$BA$5,0)))/2)+INDEX('Tables - Part 2'!$BB$6:$BE$13,MATCH(V16,'Tables - Part 2'!$AV$6:$AV$13,0),MATCH(T16,'Tables - Part 2'!$AX$5:$BA$5,0)))/2,0)</f>
        <v>0</v>
      </c>
      <c r="AJ16" s="248">
        <f>IF($S16=$AJ$3,INDEX('Tables - Part 2'!$BB$6:$BE$13,MATCH(V16,'Tables - Part 2'!$AV$6:$AV$13,0),MATCH(T16,'Tables - Part 2'!$AX$5:$BA$5,0)),0)</f>
        <v>0</v>
      </c>
      <c r="AK16" s="248">
        <f>IF($S16=$AK$3,((INDEX('Tables - Part 2'!$BB$6:$BE$13,MATCH(V16,'Tables - Part 2'!$AV$6:$AV$13,0),MATCH(T16,'Tables - Part 2'!$AX$5:$BA$5,0)))+(INDEX('Tables - Part 2'!$BB$6:$BE$13,MATCH(V16,'Tables - Part 2'!$AV$6:$AV$13,0),MATCH(T16,'Tables - Part 2'!$AX$5:$BA$5,0))+(INDEX('Tables - Part 2'!$BB$6:$BE$13,MATCH(V16,'Tables - Part 2'!$AV$6:$AV$13,0),MATCH(T16,'Tables - Part 2'!$AX$5:$BA$5,0))+INDEX('Tables - Part 2'!$BF$6:$BI$13,MATCH(V16,'Tables - Part 2'!$AV$6:$AV$13,0),MATCH(T16,'Tables - Part 2'!$AX$5:$BA$5,0)))/2)/2)/2,0)</f>
        <v>0</v>
      </c>
      <c r="AL16" s="248">
        <f>IF($S16=$AL$3,(INDEX('Tables - Part 2'!$BB$6:$BE$13,MATCH(V16,'Tables - Part 2'!$AV$6:$AV$13,0),MATCH(T16,'Tables - Part 2'!$AX$5:$BA$5,0))+(INDEX('Tables - Part 2'!$BB$6:$BE$13,MATCH(V16,'Tables - Part 2'!$AV$6:$AV$13,0),MATCH(T16,'Tables - Part 2'!$AX$5:$BA$5,0))+INDEX('Tables - Part 2'!$BF$6:$BI$13,MATCH(V16,'Tables - Part 2'!$AV$6:$AV$13,0),MATCH(T16,'Tables - Part 2'!$AX$5:$BA$5,0)))/2)/2,0)</f>
        <v>0</v>
      </c>
      <c r="AM16" s="248">
        <f>IF($S16=$AM$3,(((INDEX('Tables - Part 2'!$BB$6:$BE$13,MATCH(V16,'Tables - Part 2'!$AV$6:$AV$13,0),MATCH(T16,'Tables - Part 2'!$AX$5:$BA$5,0))+(INDEX('Tables - Part 2'!$BB$6:$BE$13,MATCH(V16,'Tables - Part 2'!$AV$6:$AV$13,0),MATCH(T16,'Tables - Part 2'!$AX$5:$BA$5,0))+INDEX('Tables - Part 2'!$BF$6:$BI$13,MATCH(V16,'Tables - Part 2'!$AV$6:$AV$13,0),MATCH(T16,'Tables - Part 2'!$AX$5:$BA$5,0)))/2)/2)+((INDEX('Tables - Part 2'!$BB$6:$BE$13,MATCH(V16,'Tables - Part 2'!$AV$6:$AV$13,0),MATCH(T16,'Tables - Part 2'!$AX$5:$BA$5,0))+INDEX('Tables - Part 2'!$BF$6:$BI$13,MATCH(V16,'Tables - Part 2'!$AV$6:$AV$13,0),MATCH(T16,'Tables - Part 2'!$AX$5:$BA$5,0)))/2))/2,0)</f>
        <v>0</v>
      </c>
      <c r="AN16" s="248">
        <f>IF($S16=$AN$3,(INDEX('Tables - Part 2'!$BB$6:$BE$13,MATCH(V16,'Tables - Part 2'!$AV$6:$AV$13,0),MATCH(T16,'Tables - Part 2'!$AX$5:$BA$5,0))+INDEX('Tables - Part 2'!$BF$6:$BI$13,MATCH(V16,'Tables - Part 2'!$AV$6:$AV$13,0),MATCH(T16,'Tables - Part 2'!$AX$5:$BA$5,0)))/2,0)</f>
        <v>1.5</v>
      </c>
      <c r="AO16" s="248">
        <f>IF($S16=$AO$3,(((INDEX('Tables - Part 2'!$BB$6:$BE$13,MATCH(V16,'Tables - Part 2'!$AV$6:$AV$13,0),MATCH(T16,'Tables - Part 2'!$AX$5:$BA$5,0))+INDEX('Tables - Part 2'!$BF$6:$BI$13,MATCH(V16,'Tables - Part 2'!$AV$6:$AV$13,0),MATCH(T16,'Tables - Part 2'!$AX$5:$BA$5,0)))/2)+((((INDEX('Tables - Part 2'!$BB$6:$BE$13,MATCH(V16,'Tables - Part 2'!$AV$6:$AV$13,0),MATCH(T16,'Tables - Part 2'!$AX$5:$BA$5,0))+INDEX('Tables - Part 2'!$BF$6:$BI$13,MATCH(V16,'Tables - Part 2'!$AV$6:$AV$13,0),MATCH(T16,'Tables - Part 2'!$AX$5:$BA$5,0)))/2)+INDEX('Tables - Part 2'!$BF$6:$BI$13,MATCH(V16,'Tables - Part 2'!$AV$6:$AV$13,0),MATCH(T16,'Tables - Part 2'!$AX$5:$BA$5,0)))/2))/2,0)</f>
        <v>0</v>
      </c>
      <c r="AP16" s="248">
        <f>IF($S16=$AP$3,(((INDEX('Tables - Part 2'!$BB$6:$BE$13,MATCH(V16,'Tables - Part 2'!$AV$6:$AV$13,0),MATCH(T16,'Tables - Part 2'!$AX$5:$BA$5,0))+INDEX('Tables - Part 2'!$BF$6:$BI$13,MATCH(V16,'Tables - Part 2'!$AV$6:$AV$13,0),MATCH(T16,'Tables - Part 2'!$AX$5:$BA$5,0)))/2)+INDEX('Tables - Part 2'!$BF$6:$BI$13,MATCH(V16,'Tables - Part 2'!$AV$6:$AV$13,0),MATCH(T16,'Tables - Part 2'!$AX$5:$BA$5,0)))/2,0)</f>
        <v>0</v>
      </c>
      <c r="AQ16" s="248">
        <f>IF($S16=$AQ$3,(((((INDEX('Tables - Part 2'!$BB$6:$BE$13,MATCH(V16,'Tables - Part 2'!$AV$6:$AV$13,0),MATCH(T16,'Tables - Part 2'!$AX$5:$BA$5,0))+INDEX('Tables - Part 2'!$BF$6:$BI$13,MATCH(V16,'Tables - Part 2'!$AV$6:$AV$13,0),MATCH(T16,'Tables - Part 2'!$AX$5:$BA$5,0)))/2)+INDEX('Tables - Part 2'!$BF$6:$BI$13,MATCH(V16,'Tables - Part 2'!$AV$6:$AV$13,0),MATCH(T16,'Tables - Part 2'!$AX$5:$BA$5,0)))/2)+INDEX('Tables - Part 2'!$BF$6:$BI$13,MATCH(V16,'Tables - Part 2'!$AV$6:$AV$13,0),MATCH(T16,'Tables - Part 2'!$AX$5:$BA$5,0)))/2,0)</f>
        <v>0</v>
      </c>
      <c r="AR16" s="248">
        <f>IF($S16=$AR$3,INDEX('Tables - Part 2'!$BF$6:$BI$13,MATCH(V16,'Tables - Part 2'!$AV$6:$AV$13,0),MATCH(T16,'Tables - Part 2'!$AX$5:$BA$5,0)),0)</f>
        <v>0</v>
      </c>
      <c r="AS16" s="248">
        <f>IF($S16=$AS$3,(INDEX('Tables - Part 2'!$BF$6:$BI$13,MATCH(V16,'Tables - Part 2'!$AV$6:$AV$13,0),MATCH(T16,'Tables - Part 2'!$AX$5:$BA$5,0))+((INDEX('Tables - Part 2'!$BF$6:$BI$13,MATCH(V16,'Tables - Part 2'!$AV$6:$AV$13,0),MATCH(T16,'Tables - Part 2'!$AX$5:$BA$5,0))+(INDEX('Tables - Part 2'!$BF$6:$BI$13,MATCH(V16,'Tables - Part 2'!$AV$6:$AV$13,0),MATCH(T16,'Tables - Part 2'!$AX$5:$BA$5,0))+INDEX('Tables - Part 2'!$AX$17:$BA$24,MATCH(V16,'Tables - Part 2'!$AV$6:$AV$13,0),MATCH(T16,'Tables - Part 2'!$AX$5:$BA$5,0)))/2)/2))/2,0)</f>
        <v>0</v>
      </c>
      <c r="AT16" s="248">
        <f>IF($S16=$AT$3,(INDEX('Tables - Part 2'!$BF$6:$BI$13,MATCH(V16,'Tables - Part 2'!$AV$6:$AV$13,0),MATCH(T16,'Tables - Part 2'!$AX$5:$BA$5,0))+(INDEX('Tables - Part 2'!$BF$6:$BI$13,MATCH(V16,'Tables - Part 2'!$AV$6:$AV$13,0),MATCH(T16,'Tables - Part 2'!$AX$5:$BA$5,0))+INDEX('Tables - Part 2'!$AX$17:$BA$24,MATCH(V16,'Tables - Part 2'!$AV$6:$AV$13,0),MATCH(T16,'Tables - Part 2'!$AX$5:$BA$5,0)))/2)/2,0)</f>
        <v>0</v>
      </c>
      <c r="AU16" s="248">
        <f>IF($S16=$AU$3,(((INDEX('Tables - Part 2'!$BF$6:$BI$13,MATCH(V16,'Tables - Part 2'!$AV$6:$AV$13,0),MATCH(T16,'Tables - Part 2'!$AX$5:$BA$5,0))+(INDEX('Tables - Part 2'!$BF$6:$BI$13,MATCH(V16,'Tables - Part 2'!$AV$6:$AV$13,0),MATCH(T16,'Tables - Part 2'!$AX$5:$BA$5,0))+INDEX('Tables - Part 2'!$AX$17:$BA$24,MATCH(V16,'Tables - Part 2'!$AV$6:$AV$13,0),MATCH(T16,'Tables - Part 2'!$AX$5:$BA$5,0)))/2)/2)+((INDEX('Tables - Part 2'!$BF$6:$BI$13,MATCH(V16,'Tables - Part 2'!$AV$6:$AV$13,0),MATCH(T16,'Tables - Part 2'!$AX$5:$BA$5,0))+INDEX('Tables - Part 2'!$AX$17:$BA$24,MATCH(V16,'Tables - Part 2'!$AV$6:$AV$13,0),MATCH(T16,'Tables - Part 2'!$AX$5:$BA$5,0)))/2))/2,0)</f>
        <v>0</v>
      </c>
      <c r="AV16" s="248">
        <f>IF($S16=$AV$3,(INDEX('Tables - Part 2'!$BF$6:$BI$13,MATCH(V16,'Tables - Part 2'!$AV$6:$AV$13,0),MATCH(T16,'Tables - Part 2'!$AX$5:$BA$5,0))+INDEX('Tables - Part 2'!$AX$17:$BA$24,MATCH(V16,'Tables - Part 2'!$AV$6:$AV$13,0),MATCH(T16,'Tables - Part 2'!$AX$5:$BA$5,0)))/2,0)</f>
        <v>0</v>
      </c>
      <c r="AW16" s="248">
        <f>IF($S16=$AW$3,(((INDEX('Tables - Part 2'!$BF$6:$BI$13,MATCH(V16,'Tables - Part 2'!$AV$6:$AV$13,0),MATCH(T16,'Tables - Part 2'!$AX$5:$BA$5,0))+INDEX('Tables - Part 2'!$AX$17:$BA$24,MATCH(V16,'Tables - Part 2'!$AV$6:$AV$13,0),MATCH(T16,'Tables - Part 2'!$AX$5:$BA$5,0)))/2)+((((INDEX('Tables - Part 2'!$BF$6:$BI$13,MATCH(V16,'Tables - Part 2'!$AV$6:$AV$13,0),MATCH(T16,'Tables - Part 2'!$AX$5:$BA$5,0))+INDEX('Tables - Part 2'!$AX$17:$BA$24,MATCH(V16,'Tables - Part 2'!$AV$6:$AV$13,0),MATCH(T16,'Tables - Part 2'!$AX$5:$BA$5,0)))/2)+INDEX('Tables - Part 2'!$AX$17:$BA$24,MATCH(V16,'Tables - Part 2'!$AV$6:$AV$13,0),MATCH(T16,'Tables - Part 2'!$AX$5:$BA$5,0)))/2))/2,0)</f>
        <v>0</v>
      </c>
      <c r="AX16" s="248">
        <f>IF($S16=$AX$3,(((INDEX('Tables - Part 2'!$BF$6:$BI$13,MATCH(V16,'Tables - Part 2'!$AV$6:$AV$13,0),MATCH(T16,'Tables - Part 2'!$AX$5:$BA$5,0))+INDEX('Tables - Part 2'!$AX$17:$BA$24,MATCH(V16,'Tables - Part 2'!$AV$6:$AV$13,0),MATCH(T16,'Tables - Part 2'!$AX$5:$BA$5,0)))/2)+INDEX('Tables - Part 2'!$AX$17:$BA$24,MATCH(V16,'Tables - Part 2'!$AV$6:$AV$13,0),MATCH(T16,'Tables - Part 2'!$AX$5:$BA$5,0)))/2,0)</f>
        <v>0</v>
      </c>
      <c r="AY16" s="248">
        <f>IF($S16=$AY$3,(((((INDEX('Tables - Part 2'!$BF$6:$BI$13,MATCH(V16,'Tables - Part 2'!$AV$6:$AV$13,0),MATCH(T16,'Tables - Part 2'!$AX$5:$BA$5,0))+INDEX('Tables - Part 2'!$AX$17:$BA$24,MATCH(V16,'Tables - Part 2'!$AV$6:$AV$13,0),MATCH(T16,'Tables - Part 2'!$AX$5:$BA$5,0)))/2)+INDEX('Tables - Part 2'!$AX$17:$BA$24,MATCH(V16,'Tables - Part 2'!$AV$6:$AV$13,0),MATCH(T16,'Tables - Part 2'!$AX$5:$BA$5,0)))/2)+(INDEX('Tables - Part 2'!$AX$17:$BA$24,MATCH(V16,'Tables - Part 2'!$AV$6:$AV$13,0),MATCH(T16,'Tables - Part 2'!$AX$5:$BA$5,0))))/2,0)</f>
        <v>0</v>
      </c>
      <c r="AZ16" s="248">
        <f>IF($S16=$AZ$3,INDEX('Tables - Part 2'!$AX$17:$BA$24,MATCH(V16,'Tables - Part 2'!$AV$6:$AV$13,0),MATCH(T16,'Tables - Part 2'!$AX$5:$BA$5,0)),0)</f>
        <v>0</v>
      </c>
      <c r="BA16" s="248">
        <f>IF($S16=$BA$3,((INDEX('Tables - Part 2'!$AX$17:$BA$24,MATCH(V16,'Tables - Part 2'!$AV$6:$AV$13,0),MATCH(T16,'Tables - Part 2'!$AX$5:$BA$5,0)))+(((INDEX('Tables - Part 2'!$AX$17:$BA$24,MATCH(V16,'Tables - Part 2'!$AV$6:$AV$13,0),MATCH(T16,'Tables - Part 2'!$AX$5:$BA$5,0)))+(INDEX('Tables - Part 2'!$AX$17:$BA$24,MATCH(V16,'Tables - Part 2'!$AV$6:$AV$13,0),MATCH(T16,'Tables - Part 2'!$AX$5:$BA$5,0))+INDEX('Tables - Part 2'!$BB$17:$BE$24,MATCH(V16,'Tables - Part 2'!$AV$6:$AV$13,0),MATCH(T16,'Tables - Part 2'!$AX$5:$BA$5,0)))/2)/2))/2,0)</f>
        <v>0</v>
      </c>
      <c r="BB16" s="248">
        <f>IF($S16=$BB$3,((INDEX('Tables - Part 2'!$AX$17:$BA$24,MATCH(V16,'Tables - Part 2'!$AV$6:$AV$13,0),MATCH(T16,'Tables - Part 2'!$AX$5:$BA$5,0)))+(INDEX('Tables - Part 2'!$AX$17:$BA$24,MATCH(V16,'Tables - Part 2'!$AV$6:$AV$13,0),MATCH(T16,'Tables - Part 2'!$AX$5:$BA$5,0))+INDEX('Tables - Part 2'!$BB$17:$BE$24,MATCH(V16,'Tables - Part 2'!$AV$6:$AV$13,0),MATCH(T16,'Tables - Part 2'!$AX$5:$BA$5,0)))/2)/2,0)</f>
        <v>0</v>
      </c>
      <c r="BC16" s="248">
        <f>IF($S16=$BC$3,((((INDEX('Tables - Part 2'!$AX$17:$BA$24,MATCH(V16,'Tables - Part 2'!$AV$6:$AV$13,0),MATCH(T16,'Tables - Part 2'!$AX$5:$BA$5,0)))+(INDEX('Tables - Part 2'!$AX$17:$BA$24,MATCH(V16,'Tables - Part 2'!$AV$6:$AV$13,0),MATCH(T16,'Tables - Part 2'!$AX$5:$BA$5,0))+INDEX('Tables - Part 2'!$BB$17:$BE$24,MATCH(V16,'Tables - Part 2'!$AV$6:$AV$13,0),MATCH(T16,'Tables - Part 2'!$AX$5:$BA$5,0)))/2)/2)+((INDEX('Tables - Part 2'!$AX$17:$BA$24,MATCH(V16,'Tables - Part 2'!$AV$6:$AV$13,0),MATCH(T16,'Tables - Part 2'!$AX$5:$BA$5,0))+INDEX('Tables - Part 2'!$BB$17:$BE$24,MATCH(V16,'Tables - Part 2'!$AV$6:$AV$13,0),MATCH(T16,'Tables - Part 2'!$AX$5:$BA$5,0)))/2))/2,0)</f>
        <v>0</v>
      </c>
      <c r="BD16" s="248">
        <f>IF($S16=$BD$3,(INDEX('Tables - Part 2'!$AX$17:$BA$24,MATCH(V16,'Tables - Part 2'!$AV$6:$AV$13,0),MATCH(T16,'Tables - Part 2'!$AX$5:$BA$5,0))+INDEX('Tables - Part 2'!$BB$17:$BE$24,MATCH(V16,'Tables - Part 2'!$AV$6:$AV$13,0),MATCH(T16,'Tables - Part 2'!$AX$5:$BA$5,0)))/2,0)</f>
        <v>0</v>
      </c>
      <c r="BE16" s="248">
        <f>IF($S16=$BE$3,(((INDEX('Tables - Part 2'!$AX$17:$BA$24,MATCH(V16,'Tables - Part 2'!$AV$6:$AV$13,0),MATCH(T16,'Tables - Part 2'!$AX$5:$BA$5,0))+INDEX('Tables - Part 2'!$BB$17:$BE$24,MATCH(V16,'Tables - Part 2'!$AV$6:$AV$13,0),MATCH(T16,'Tables - Part 2'!$AX$5:$BA$5,0)))/2)+((((INDEX('Tables - Part 2'!$AX$17:$BA$24,MATCH(V16,'Tables - Part 2'!$AV$6:$AV$13,0),MATCH(T16,'Tables - Part 2'!$AX$5:$BA$5,0))+INDEX('Tables - Part 2'!$BB$17:$BE$24,MATCH(V16,'Tables - Part 2'!$AV$6:$AV$13,0),MATCH(T16,'Tables - Part 2'!$AX$5:$BA$5,0)))/2)+INDEX('Tables - Part 2'!$BB$17:$BE$24,MATCH(V16,'Tables - Part 2'!$AV$6:$AV$13,0),MATCH(T16,'Tables - Part 2'!$AX$5:$BA$5,0)))/2))/2,0)</f>
        <v>0</v>
      </c>
      <c r="BF16" s="248">
        <f>IF($S16=$BF$3,(((INDEX('Tables - Part 2'!$AX$17:$BA$24,MATCH(V16,'Tables - Part 2'!$AV$6:$AV$13,0),MATCH(T16,'Tables - Part 2'!$AX$5:$BA$5,0))+INDEX('Tables - Part 2'!$BB$17:$BE$24,MATCH(V16,'Tables - Part 2'!$AV$6:$AV$13,0),MATCH(T16,'Tables - Part 2'!$AX$5:$BA$5,0)))/2)+INDEX('Tables - Part 2'!$BB$17:$BE$24,MATCH(V16,'Tables - Part 2'!$AV$6:$AV$13,0),MATCH(T16,'Tables - Part 2'!$AX$5:$BA$5,0)))/2,0)</f>
        <v>0</v>
      </c>
      <c r="BG16" s="248">
        <f>IF($S16=$BG$3,(((((INDEX('Tables - Part 2'!$AX$17:$BA$24,MATCH(V16,'Tables - Part 2'!$AV$6:$AV$13,0),MATCH(T16,'Tables - Part 2'!$AX$5:$BA$5,0))+INDEX('Tables - Part 2'!$BB$17:$BE$24,MATCH(V16,'Tables - Part 2'!$AV$6:$AV$13,0),MATCH(T16,'Tables - Part 2'!$AX$5:$BA$5,0)))/2)+INDEX('Tables - Part 2'!$BB$17:$BE$24,MATCH(V16,'Tables - Part 2'!$AV$6:$AV$13,0),MATCH(T16,'Tables - Part 2'!$AX$5:$BA$5,0)))/2)+(INDEX('Tables - Part 2'!$BB$17:$BE$24,MATCH(V16,'Tables - Part 2'!$AV$6:$AV$13,0),MATCH(T16,'Tables - Part 2'!$AX$5:$BA$5,0))))/2,0)</f>
        <v>0</v>
      </c>
      <c r="BH16" s="248">
        <f>IF($S16=$BH$3,INDEX('Tables - Part 2'!$BB$17:$BE$24,MATCH(V16,'Tables - Part 2'!$AV$6:$AV$13,0),MATCH(T16,'Tables - Part 2'!$AX$5:$BA$5,0)),0)</f>
        <v>0</v>
      </c>
      <c r="BI16" s="248">
        <f>IF($S16=$BI$3,((INDEX('Tables - Part 2'!$BB$17:$BE$24,MATCH(V16,'Tables - Part 2'!$AV$6:$AV$13,0),MATCH(T16,'Tables - Part 2'!$AX$5:$BA$5,0)))+(((INDEX('Tables - Part 2'!$BB$17:$BE$24,MATCH(V16,'Tables - Part 2'!$AV$6:$AV$13,0),MATCH(T16,'Tables - Part 2'!$AX$5:$BA$5,0)))+(INDEX('Tables - Part 2'!$BB$17:$BE$24,MATCH(V16,'Tables - Part 2'!$AV$6:$AV$13,0),MATCH(T16,'Tables - Part 2'!$AX$5:$BA$5,0))+INDEX('Tables - Part 2'!$BF$17:$BI$24,MATCH(V16,'Tables - Part 2'!$AV$6:$AV$13,0),MATCH(T16,'Tables - Part 2'!$AX$5:$BA$5,0)))/2)/2))/2,0)</f>
        <v>0</v>
      </c>
      <c r="BJ16" s="248">
        <f>IF($S16=$BJ$3,((INDEX('Tables - Part 2'!$BB$17:$BE$24,MATCH(V16,'Tables - Part 2'!$AV$6:$AV$13,0),MATCH(T16,'Tables - Part 2'!$AX$5:$BA$5,0)))+(INDEX('Tables - Part 2'!$BB$17:$BE$24,MATCH(V16,'Tables - Part 2'!$AV$6:$AV$13,0),MATCH(T16,'Tables - Part 2'!$AX$5:$BA$5,0))+INDEX('Tables - Part 2'!$BF$17:$BI$24,MATCH(V16,'Tables - Part 2'!$AV$6:$AV$13,0),MATCH(T16,'Tables - Part 2'!$AX$5:$BA$5,0)))/2)/2,0)</f>
        <v>0</v>
      </c>
      <c r="BK16" s="248">
        <f>IF($S16=$BK$3,((((INDEX('Tables - Part 2'!$BB$17:$BE$24,MATCH(V16,'Tables - Part 2'!$AV$6:$AV$13,0),MATCH(T16,'Tables - Part 2'!$AX$5:$BA$5,0)))+(INDEX('Tables - Part 2'!$BB$17:$BE$24,MATCH(V16,'Tables - Part 2'!$AV$6:$AV$13,0),MATCH(T16,'Tables - Part 2'!$AX$5:$BA$5,0))+INDEX('Tables - Part 2'!$BF$17:$BI$24,MATCH(V16,'Tables - Part 2'!$AV$6:$AV$13,0),MATCH(T16,'Tables - Part 2'!$AX$5:$BA$5,0)))/2)/2)+((INDEX('Tables - Part 2'!$BB$17:$BE$24,MATCH(V16,'Tables - Part 2'!$AV$6:$AV$13,0),MATCH(T16,'Tables - Part 2'!$AX$5:$BA$5,0))+INDEX('Tables - Part 2'!$BF$17:$BI$24,MATCH(V16,'Tables - Part 2'!$AV$6:$AV$13,0),MATCH(T16,'Tables - Part 2'!$AX$5:$BA$5,0)))/2))/2,0)</f>
        <v>0</v>
      </c>
      <c r="BL16" s="248">
        <f>IF($S16=$BL$3,(INDEX('Tables - Part 2'!$BB$17:$BE$24,MATCH(V16,'Tables - Part 2'!$AV$6:$AV$13,0),MATCH(T16,'Tables - Part 2'!$AX$5:$BA$5,0))+INDEX('Tables - Part 2'!$BF$17:$BI$24,MATCH(V16,'Tables - Part 2'!$AV$6:$AV$13,0),MATCH(T16,'Tables - Part 2'!$AX$5:$BA$5,0)))/2,0)</f>
        <v>0</v>
      </c>
      <c r="BM16" s="248">
        <f>IF($S16=$BM$3,(((INDEX('Tables - Part 2'!$BB$17:$BE$24,MATCH(V16,'Tables - Part 2'!$AV$6:$AV$13,0),MATCH(T16,'Tables - Part 2'!$AX$5:$BA$5,0))+INDEX('Tables - Part 2'!$BF$17:$BI$24,MATCH(V16,'Tables - Part 2'!$AV$6:$AV$13,0),MATCH(T16,'Tables - Part 2'!$AX$5:$BA$5,0)))/2)+((((INDEX('Tables - Part 2'!$BB$17:$BE$24,MATCH(V16,'Tables - Part 2'!$AV$6:$AV$13,0),MATCH(T16,'Tables - Part 2'!$AX$5:$BA$5,0))+INDEX('Tables - Part 2'!$BF$17:$BI$24,MATCH(V16,'Tables - Part 2'!$AV$6:$AV$13,0),MATCH(T16,'Tables - Part 2'!$AX$5:$BA$5,0)))/2)+INDEX('Tables - Part 2'!$BF$17:$BI$24,MATCH(V16,'Tables - Part 2'!$AV$6:$AV$13,0),MATCH(T16,'Tables - Part 2'!$AX$5:$BA$5,0)))/2))/2,0)</f>
        <v>0</v>
      </c>
      <c r="BN16" s="248">
        <f>IF($S16=$BN$3,(((INDEX('Tables - Part 2'!$BB$17:$BE$24,MATCH(V16,'Tables - Part 2'!$AV$6:$AV$13,0),MATCH(T16,'Tables - Part 2'!$AX$5:$BA$5,0))+INDEX('Tables - Part 2'!$BF$17:$BI$24,MATCH(V16,'Tables - Part 2'!$AV$6:$AV$13,0),MATCH(T16,'Tables - Part 2'!$AX$5:$BA$5,0)))/2)+INDEX('Tables - Part 2'!$BF$17:$BI$24,MATCH(V16,'Tables - Part 2'!$AV$6:$AV$13,0),MATCH(T16,'Tables - Part 2'!$AX$5:$BA$5,0)))/2,0)</f>
        <v>0</v>
      </c>
      <c r="BO16" s="248">
        <f>IF($S16=$BO$3,(((((INDEX('Tables - Part 2'!$BB$17:$BE$24,MATCH(V16,'Tables - Part 2'!$AV$6:$AV$13,0),MATCH(T16,'Tables - Part 2'!$AX$5:$BA$5,0))+INDEX('Tables - Part 2'!$BF$17:$BI$24,MATCH(V16,'Tables - Part 2'!$AV$6:$AV$13,0),MATCH(T16,'Tables - Part 2'!$AX$5:$BA$5,0)))/2)+INDEX('Tables - Part 2'!$BF$17:$BI$24,MATCH(V16,'Tables - Part 2'!$AV$6:$AV$13,0),MATCH(T16,'Tables - Part 2'!$AX$5:$BA$5,0)))/2)+(INDEX('Tables - Part 2'!$BF$17:$BI$24,MATCH(V16,'Tables - Part 2'!$AV$6:$AV$13,0),MATCH(T16,'Tables - Part 2'!$AX$5:$BA$5,0))))/2,0)</f>
        <v>0</v>
      </c>
      <c r="BP16" s="248">
        <f>IF($S16=$BP$3,INDEX('Tables - Part 2'!$BF$17:$BI$24,MATCH(V16,'Tables - Part 2'!$AV$6:$AV$13,0),MATCH(T16,'Tables - Part 2'!$AX$5:$BA$5,0)),0)</f>
        <v>0</v>
      </c>
      <c r="BQ16" s="248">
        <f t="shared" si="7"/>
        <v>0</v>
      </c>
      <c r="BR16" s="238">
        <f t="shared" si="8"/>
        <v>1.5</v>
      </c>
      <c r="BS16" s="238">
        <f t="shared" si="9"/>
        <v>25.159323702612586</v>
      </c>
    </row>
    <row r="17" spans="2:71" x14ac:dyDescent="0.35">
      <c r="B17" s="161" t="str">
        <f>'Tratamento de Dados'!B25</f>
        <v>V-7</v>
      </c>
      <c r="C17" s="161" t="str">
        <f>'Tratamento de Dados'!D25</f>
        <v>Casco</v>
      </c>
      <c r="D17" s="209" t="s">
        <v>245</v>
      </c>
      <c r="E17" s="209" t="s">
        <v>245</v>
      </c>
      <c r="F17" s="439">
        <v>0.02</v>
      </c>
      <c r="G17" s="209">
        <v>150</v>
      </c>
      <c r="H17" s="209" t="s">
        <v>244</v>
      </c>
      <c r="I17" s="209" t="s">
        <v>245</v>
      </c>
      <c r="J17" s="209" t="s">
        <v>244</v>
      </c>
      <c r="K17" s="209" t="s">
        <v>245</v>
      </c>
      <c r="L17" s="210">
        <v>39092</v>
      </c>
      <c r="M17" s="209">
        <v>0</v>
      </c>
      <c r="N17" s="209">
        <v>1</v>
      </c>
      <c r="O17" s="209">
        <v>1</v>
      </c>
      <c r="P17" s="209">
        <v>4</v>
      </c>
      <c r="Q17" s="253">
        <f>'Tratamento de Dados'!DA25</f>
        <v>0</v>
      </c>
      <c r="R17" s="253">
        <f>'Tratamento de Dados'!DB25</f>
        <v>0</v>
      </c>
      <c r="S17" s="256">
        <f t="shared" si="0"/>
        <v>2.5</v>
      </c>
      <c r="T17" s="246" t="str">
        <f t="shared" si="1"/>
        <v>B</v>
      </c>
      <c r="U17" s="238" t="str">
        <f t="shared" si="2"/>
        <v>Low</v>
      </c>
      <c r="V17" s="238">
        <f>(IF(AND(D17=$BX$2,E17&lt;&gt;$BX$2),"Fitness-For-Service",INDEX('Tables - Part 2'!$AT$4:$AT$7,MATCH(Caustic_Cracking!U17,'Tables - Part 2'!$AS$4:$AS$7,0))))</f>
        <v>50</v>
      </c>
      <c r="W17" s="238">
        <f>IF(L17=0,(Thinning!G18-Thinning!F18)/365.25,(Thinning!G18-L17)/365.25)</f>
        <v>12.980150581793293</v>
      </c>
      <c r="X17" s="248">
        <f t="shared" si="3"/>
        <v>0</v>
      </c>
      <c r="Y17" s="248">
        <f t="shared" si="4"/>
        <v>2.5</v>
      </c>
      <c r="Z17" s="248">
        <f t="shared" si="5"/>
        <v>3</v>
      </c>
      <c r="AA17" s="247">
        <f t="shared" si="6"/>
        <v>4</v>
      </c>
      <c r="AB17" s="248">
        <f>IF($S17=$AB$3,INDEX('Tables - Part 2'!$AX$6:$BA$13,MATCH(V17,'Tables - Part 2'!$AV$6:$AV$13,0),MATCH(T17,'Tables - Part 2'!$AX$5:$BA$5,0)),0)</f>
        <v>0</v>
      </c>
      <c r="AC17" s="248">
        <f>IF($S17=$AC$3,(INDEX('Tables - Part 2'!$AX$6:$BA$13,MATCH(V17,'Tables - Part 2'!$AV$6:$AV$13,0),MATCH(T17,'Tables - Part 2'!$AX$5:$BA$5,0))+(INDEX('Tables - Part 2'!$AX$6:$BA$13,MATCH(V17,'Tables - Part 2'!$AV$6:$AV$13,0),MATCH(T17,'Tables - Part 2'!$AX$5:$BA$5,0))+((INDEX('Tables - Part 2'!$AX$6:$BA$13,MATCH(V17,'Tables - Part 2'!$AV$6:$AV$13,0),MATCH(T17,'Tables - Part 2'!$AX$5:$BA$5,0))+INDEX('Tables - Part 2'!$BB$6:$BE$13,MATCH(V17,'Tables - Part 2'!$AV$6:$AV$13,0),MATCH(T17,'Tables - Part 2'!$AX$5:$BA$5,0)))/2))/2)/2,0)</f>
        <v>0</v>
      </c>
      <c r="AD17" s="248">
        <f>IF($S17=$AD$3,(INDEX('Tables - Part 2'!$AX$6:$BA$13,MATCH(V17,'Tables - Part 2'!$AV$6:$AV$13,0),MATCH(T17,'Tables - Part 2'!$AX$5:$BA$5,0))+((INDEX('Tables - Part 2'!$AX$6:$BA$13,MATCH(V17,'Tables - Part 2'!$AV$6:$AV$13,0),MATCH(T17,'Tables - Part 2'!$AX$5:$BA$5,0))+INDEX('Tables - Part 2'!$BB$6:$BE$13,MATCH(V17,'Tables - Part 2'!$AV$6:$AV$13,0),MATCH(T17,'Tables - Part 2'!$AX$5:$BA$5,0)))/2))/2,0)</f>
        <v>0</v>
      </c>
      <c r="AE17" s="248">
        <f>IF($S17=$AE$3,(((INDEX('Tables - Part 2'!$AX$6:$BA$13,MATCH(V17,'Tables - Part 2'!$AV$6:$AV$13,0),MATCH(T17,'Tables - Part 2'!$AX$5:$BA$5,0))+((INDEX('Tables - Part 2'!$AX$6:$BA$13,MATCH(V17,'Tables - Part 2'!$AV$6:$AV$13,0),MATCH(T17,'Tables - Part 2'!$AX$5:$BA$5,0))+INDEX('Tables - Part 2'!$BB$6:$BE$13,MATCH(V17,'Tables - Part 2'!$AV$6:$AV$13,0),MATCH(T17,'Tables - Part 2'!$AX$5:$BA$5,0)))/2))/2)+(INDEX('Tables - Part 2'!$AX$6:$BA$13,MATCH(V17,'Tables - Part 2'!$AV$6:$AV$13,0),MATCH(T17,'Tables - Part 2'!$AX$5:$BA$5,0))+INDEX('Tables - Part 2'!$BB$6:$BE$13,MATCH(V17,'Tables - Part 2'!$AV$6:$AV$13,0),MATCH(T17,'Tables - Part 2'!$AX$5:$BA$5,0)))/2)/2,0)</f>
        <v>0</v>
      </c>
      <c r="AF17" s="248">
        <f>IF($S17=$AF$3,(INDEX('Tables - Part 2'!$AX$6:$BA$13,MATCH(V17,'Tables - Part 2'!$AV$6:$AV$13,0),MATCH(T17,'Tables - Part 2'!$AX$5:$BA$5,0))+INDEX('Tables - Part 2'!$BB$6:$BE$13,MATCH(V17,'Tables - Part 2'!$AV$6:$AV$13,0),MATCH(T17,'Tables - Part 2'!$AX$5:$BA$5,0)))/2,0)</f>
        <v>0</v>
      </c>
      <c r="AG17" s="248">
        <f>IF($S17=$AG$3,(((INDEX('Tables - Part 2'!$AX$6:$BA$13,MATCH(V17,'Tables - Part 2'!$AV$6:$AV$13,0),MATCH(T17,'Tables - Part 2'!$AX$5:$BA$5,0))+INDEX('Tables - Part 2'!$BB$6:$BE$13,MATCH(V17,'Tables - Part 2'!$AV$6:$AV$13,0),MATCH(T17,'Tables - Part 2'!$AX$5:$BA$5,0)))/2)+(((INDEX('Tables - Part 2'!$AX$6:$BA$13,MATCH(V17,'Tables - Part 2'!$AV$6:$AV$13,0),MATCH(T17,'Tables - Part 2'!$AX$5:$BA$5,0))+INDEX('Tables - Part 2'!$BB$6:$BE$13,MATCH(V17,'Tables - Part 2'!$AV$6:$AV$13,0),MATCH(T17,'Tables - Part 2'!$AX$5:$BA$5,0)))/2)+INDEX('Tables - Part 2'!$BB$6:$BE$13,MATCH(V17,'Tables - Part 2'!$AV$6:$AV$13,0),MATCH(T17,'Tables - Part 2'!$AX$5:$BA$5,0)))/2)/2,0)</f>
        <v>0</v>
      </c>
      <c r="AH17" s="248">
        <f>IF($S17=$AH$3,(((INDEX('Tables - Part 2'!$AX$6:$BA$13,MATCH(V17,'Tables - Part 2'!$AV$6:$AV$13,0),MATCH(T17,'Tables - Part 2'!$AX$5:$BA$5,0))+INDEX('Tables - Part 2'!$BB$6:$BE$13,MATCH(V17,'Tables - Part 2'!$AV$6:$AV$13,0),MATCH(T17,'Tables - Part 2'!$AX$5:$BA$5,0)))/2)+INDEX('Tables - Part 2'!$BB$6:$BE$13,MATCH(V17,'Tables - Part 2'!$AV$6:$AV$13,0),MATCH(T17,'Tables - Part 2'!$AX$5:$BA$5,0)))/2,0)</f>
        <v>0</v>
      </c>
      <c r="AI17" s="248">
        <f>IF($S17=$AI$3,(((((INDEX('Tables - Part 2'!$AX$6:$BA$13,MATCH(V17,'Tables - Part 2'!$AV$6:$AV$13,0),MATCH(T17,'Tables - Part 2'!$AX$5:$BA$5,0))+INDEX('Tables - Part 2'!$BB$6:$BE$13,MATCH(V17,'Tables - Part 2'!$AV$6:$AV$13,0),MATCH(T17,'Tables - Part 2'!$AX$5:$BA$5,0)))/2)+INDEX('Tables - Part 2'!$BB$6:$BE$13,MATCH(V17,'Tables - Part 2'!$AV$6:$AV$13,0),MATCH(T17,'Tables - Part 2'!$AX$5:$BA$5,0)))/2)+INDEX('Tables - Part 2'!$BB$6:$BE$13,MATCH(V17,'Tables - Part 2'!$AV$6:$AV$13,0),MATCH(T17,'Tables - Part 2'!$AX$5:$BA$5,0)))/2,0)</f>
        <v>0</v>
      </c>
      <c r="AJ17" s="248">
        <f>IF($S17=$AJ$3,INDEX('Tables - Part 2'!$BB$6:$BE$13,MATCH(V17,'Tables - Part 2'!$AV$6:$AV$13,0),MATCH(T17,'Tables - Part 2'!$AX$5:$BA$5,0)),0)</f>
        <v>0</v>
      </c>
      <c r="AK17" s="248">
        <f>IF($S17=$AK$3,((INDEX('Tables - Part 2'!$BB$6:$BE$13,MATCH(V17,'Tables - Part 2'!$AV$6:$AV$13,0),MATCH(T17,'Tables - Part 2'!$AX$5:$BA$5,0)))+(INDEX('Tables - Part 2'!$BB$6:$BE$13,MATCH(V17,'Tables - Part 2'!$AV$6:$AV$13,0),MATCH(T17,'Tables - Part 2'!$AX$5:$BA$5,0))+(INDEX('Tables - Part 2'!$BB$6:$BE$13,MATCH(V17,'Tables - Part 2'!$AV$6:$AV$13,0),MATCH(T17,'Tables - Part 2'!$AX$5:$BA$5,0))+INDEX('Tables - Part 2'!$BF$6:$BI$13,MATCH(V17,'Tables - Part 2'!$AV$6:$AV$13,0),MATCH(T17,'Tables - Part 2'!$AX$5:$BA$5,0)))/2)/2)/2,0)</f>
        <v>0</v>
      </c>
      <c r="AL17" s="248">
        <f>IF($S17=$AL$3,(INDEX('Tables - Part 2'!$BB$6:$BE$13,MATCH(V17,'Tables - Part 2'!$AV$6:$AV$13,0),MATCH(T17,'Tables - Part 2'!$AX$5:$BA$5,0))+(INDEX('Tables - Part 2'!$BB$6:$BE$13,MATCH(V17,'Tables - Part 2'!$AV$6:$AV$13,0),MATCH(T17,'Tables - Part 2'!$AX$5:$BA$5,0))+INDEX('Tables - Part 2'!$BF$6:$BI$13,MATCH(V17,'Tables - Part 2'!$AV$6:$AV$13,0),MATCH(T17,'Tables - Part 2'!$AX$5:$BA$5,0)))/2)/2,0)</f>
        <v>0</v>
      </c>
      <c r="AM17" s="248">
        <f>IF($S17=$AM$3,(((INDEX('Tables - Part 2'!$BB$6:$BE$13,MATCH(V17,'Tables - Part 2'!$AV$6:$AV$13,0),MATCH(T17,'Tables - Part 2'!$AX$5:$BA$5,0))+(INDEX('Tables - Part 2'!$BB$6:$BE$13,MATCH(V17,'Tables - Part 2'!$AV$6:$AV$13,0),MATCH(T17,'Tables - Part 2'!$AX$5:$BA$5,0))+INDEX('Tables - Part 2'!$BF$6:$BI$13,MATCH(V17,'Tables - Part 2'!$AV$6:$AV$13,0),MATCH(T17,'Tables - Part 2'!$AX$5:$BA$5,0)))/2)/2)+((INDEX('Tables - Part 2'!$BB$6:$BE$13,MATCH(V17,'Tables - Part 2'!$AV$6:$AV$13,0),MATCH(T17,'Tables - Part 2'!$AX$5:$BA$5,0))+INDEX('Tables - Part 2'!$BF$6:$BI$13,MATCH(V17,'Tables - Part 2'!$AV$6:$AV$13,0),MATCH(T17,'Tables - Part 2'!$AX$5:$BA$5,0)))/2))/2,0)</f>
        <v>0</v>
      </c>
      <c r="AN17" s="248">
        <f>IF($S17=$AN$3,(INDEX('Tables - Part 2'!$BB$6:$BE$13,MATCH(V17,'Tables - Part 2'!$AV$6:$AV$13,0),MATCH(T17,'Tables - Part 2'!$AX$5:$BA$5,0))+INDEX('Tables - Part 2'!$BF$6:$BI$13,MATCH(V17,'Tables - Part 2'!$AV$6:$AV$13,0),MATCH(T17,'Tables - Part 2'!$AX$5:$BA$5,0)))/2,0)</f>
        <v>1.5</v>
      </c>
      <c r="AO17" s="248">
        <f>IF($S17=$AO$3,(((INDEX('Tables - Part 2'!$BB$6:$BE$13,MATCH(V17,'Tables - Part 2'!$AV$6:$AV$13,0),MATCH(T17,'Tables - Part 2'!$AX$5:$BA$5,0))+INDEX('Tables - Part 2'!$BF$6:$BI$13,MATCH(V17,'Tables - Part 2'!$AV$6:$AV$13,0),MATCH(T17,'Tables - Part 2'!$AX$5:$BA$5,0)))/2)+((((INDEX('Tables - Part 2'!$BB$6:$BE$13,MATCH(V17,'Tables - Part 2'!$AV$6:$AV$13,0),MATCH(T17,'Tables - Part 2'!$AX$5:$BA$5,0))+INDEX('Tables - Part 2'!$BF$6:$BI$13,MATCH(V17,'Tables - Part 2'!$AV$6:$AV$13,0),MATCH(T17,'Tables - Part 2'!$AX$5:$BA$5,0)))/2)+INDEX('Tables - Part 2'!$BF$6:$BI$13,MATCH(V17,'Tables - Part 2'!$AV$6:$AV$13,0),MATCH(T17,'Tables - Part 2'!$AX$5:$BA$5,0)))/2))/2,0)</f>
        <v>0</v>
      </c>
      <c r="AP17" s="248">
        <f>IF($S17=$AP$3,(((INDEX('Tables - Part 2'!$BB$6:$BE$13,MATCH(V17,'Tables - Part 2'!$AV$6:$AV$13,0),MATCH(T17,'Tables - Part 2'!$AX$5:$BA$5,0))+INDEX('Tables - Part 2'!$BF$6:$BI$13,MATCH(V17,'Tables - Part 2'!$AV$6:$AV$13,0),MATCH(T17,'Tables - Part 2'!$AX$5:$BA$5,0)))/2)+INDEX('Tables - Part 2'!$BF$6:$BI$13,MATCH(V17,'Tables - Part 2'!$AV$6:$AV$13,0),MATCH(T17,'Tables - Part 2'!$AX$5:$BA$5,0)))/2,0)</f>
        <v>0</v>
      </c>
      <c r="AQ17" s="248">
        <f>IF($S17=$AQ$3,(((((INDEX('Tables - Part 2'!$BB$6:$BE$13,MATCH(V17,'Tables - Part 2'!$AV$6:$AV$13,0),MATCH(T17,'Tables - Part 2'!$AX$5:$BA$5,0))+INDEX('Tables - Part 2'!$BF$6:$BI$13,MATCH(V17,'Tables - Part 2'!$AV$6:$AV$13,0),MATCH(T17,'Tables - Part 2'!$AX$5:$BA$5,0)))/2)+INDEX('Tables - Part 2'!$BF$6:$BI$13,MATCH(V17,'Tables - Part 2'!$AV$6:$AV$13,0),MATCH(T17,'Tables - Part 2'!$AX$5:$BA$5,0)))/2)+INDEX('Tables - Part 2'!$BF$6:$BI$13,MATCH(V17,'Tables - Part 2'!$AV$6:$AV$13,0),MATCH(T17,'Tables - Part 2'!$AX$5:$BA$5,0)))/2,0)</f>
        <v>0</v>
      </c>
      <c r="AR17" s="248">
        <f>IF($S17=$AR$3,INDEX('Tables - Part 2'!$BF$6:$BI$13,MATCH(V17,'Tables - Part 2'!$AV$6:$AV$13,0),MATCH(T17,'Tables - Part 2'!$AX$5:$BA$5,0)),0)</f>
        <v>0</v>
      </c>
      <c r="AS17" s="248">
        <f>IF($S17=$AS$3,(INDEX('Tables - Part 2'!$BF$6:$BI$13,MATCH(V17,'Tables - Part 2'!$AV$6:$AV$13,0),MATCH(T17,'Tables - Part 2'!$AX$5:$BA$5,0))+((INDEX('Tables - Part 2'!$BF$6:$BI$13,MATCH(V17,'Tables - Part 2'!$AV$6:$AV$13,0),MATCH(T17,'Tables - Part 2'!$AX$5:$BA$5,0))+(INDEX('Tables - Part 2'!$BF$6:$BI$13,MATCH(V17,'Tables - Part 2'!$AV$6:$AV$13,0),MATCH(T17,'Tables - Part 2'!$AX$5:$BA$5,0))+INDEX('Tables - Part 2'!$AX$17:$BA$24,MATCH(V17,'Tables - Part 2'!$AV$6:$AV$13,0),MATCH(T17,'Tables - Part 2'!$AX$5:$BA$5,0)))/2)/2))/2,0)</f>
        <v>0</v>
      </c>
      <c r="AT17" s="248">
        <f>IF($S17=$AT$3,(INDEX('Tables - Part 2'!$BF$6:$BI$13,MATCH(V17,'Tables - Part 2'!$AV$6:$AV$13,0),MATCH(T17,'Tables - Part 2'!$AX$5:$BA$5,0))+(INDEX('Tables - Part 2'!$BF$6:$BI$13,MATCH(V17,'Tables - Part 2'!$AV$6:$AV$13,0),MATCH(T17,'Tables - Part 2'!$AX$5:$BA$5,0))+INDEX('Tables - Part 2'!$AX$17:$BA$24,MATCH(V17,'Tables - Part 2'!$AV$6:$AV$13,0),MATCH(T17,'Tables - Part 2'!$AX$5:$BA$5,0)))/2)/2,0)</f>
        <v>0</v>
      </c>
      <c r="AU17" s="248">
        <f>IF($S17=$AU$3,(((INDEX('Tables - Part 2'!$BF$6:$BI$13,MATCH(V17,'Tables - Part 2'!$AV$6:$AV$13,0),MATCH(T17,'Tables - Part 2'!$AX$5:$BA$5,0))+(INDEX('Tables - Part 2'!$BF$6:$BI$13,MATCH(V17,'Tables - Part 2'!$AV$6:$AV$13,0),MATCH(T17,'Tables - Part 2'!$AX$5:$BA$5,0))+INDEX('Tables - Part 2'!$AX$17:$BA$24,MATCH(V17,'Tables - Part 2'!$AV$6:$AV$13,0),MATCH(T17,'Tables - Part 2'!$AX$5:$BA$5,0)))/2)/2)+((INDEX('Tables - Part 2'!$BF$6:$BI$13,MATCH(V17,'Tables - Part 2'!$AV$6:$AV$13,0),MATCH(T17,'Tables - Part 2'!$AX$5:$BA$5,0))+INDEX('Tables - Part 2'!$AX$17:$BA$24,MATCH(V17,'Tables - Part 2'!$AV$6:$AV$13,0),MATCH(T17,'Tables - Part 2'!$AX$5:$BA$5,0)))/2))/2,0)</f>
        <v>0</v>
      </c>
      <c r="AV17" s="248">
        <f>IF($S17=$AV$3,(INDEX('Tables - Part 2'!$BF$6:$BI$13,MATCH(V17,'Tables - Part 2'!$AV$6:$AV$13,0),MATCH(T17,'Tables - Part 2'!$AX$5:$BA$5,0))+INDEX('Tables - Part 2'!$AX$17:$BA$24,MATCH(V17,'Tables - Part 2'!$AV$6:$AV$13,0),MATCH(T17,'Tables - Part 2'!$AX$5:$BA$5,0)))/2,0)</f>
        <v>0</v>
      </c>
      <c r="AW17" s="248">
        <f>IF($S17=$AW$3,(((INDEX('Tables - Part 2'!$BF$6:$BI$13,MATCH(V17,'Tables - Part 2'!$AV$6:$AV$13,0),MATCH(T17,'Tables - Part 2'!$AX$5:$BA$5,0))+INDEX('Tables - Part 2'!$AX$17:$BA$24,MATCH(V17,'Tables - Part 2'!$AV$6:$AV$13,0),MATCH(T17,'Tables - Part 2'!$AX$5:$BA$5,0)))/2)+((((INDEX('Tables - Part 2'!$BF$6:$BI$13,MATCH(V17,'Tables - Part 2'!$AV$6:$AV$13,0),MATCH(T17,'Tables - Part 2'!$AX$5:$BA$5,0))+INDEX('Tables - Part 2'!$AX$17:$BA$24,MATCH(V17,'Tables - Part 2'!$AV$6:$AV$13,0),MATCH(T17,'Tables - Part 2'!$AX$5:$BA$5,0)))/2)+INDEX('Tables - Part 2'!$AX$17:$BA$24,MATCH(V17,'Tables - Part 2'!$AV$6:$AV$13,0),MATCH(T17,'Tables - Part 2'!$AX$5:$BA$5,0)))/2))/2,0)</f>
        <v>0</v>
      </c>
      <c r="AX17" s="248">
        <f>IF($S17=$AX$3,(((INDEX('Tables - Part 2'!$BF$6:$BI$13,MATCH(V17,'Tables - Part 2'!$AV$6:$AV$13,0),MATCH(T17,'Tables - Part 2'!$AX$5:$BA$5,0))+INDEX('Tables - Part 2'!$AX$17:$BA$24,MATCH(V17,'Tables - Part 2'!$AV$6:$AV$13,0),MATCH(T17,'Tables - Part 2'!$AX$5:$BA$5,0)))/2)+INDEX('Tables - Part 2'!$AX$17:$BA$24,MATCH(V17,'Tables - Part 2'!$AV$6:$AV$13,0),MATCH(T17,'Tables - Part 2'!$AX$5:$BA$5,0)))/2,0)</f>
        <v>0</v>
      </c>
      <c r="AY17" s="248">
        <f>IF($S17=$AY$3,(((((INDEX('Tables - Part 2'!$BF$6:$BI$13,MATCH(V17,'Tables - Part 2'!$AV$6:$AV$13,0),MATCH(T17,'Tables - Part 2'!$AX$5:$BA$5,0))+INDEX('Tables - Part 2'!$AX$17:$BA$24,MATCH(V17,'Tables - Part 2'!$AV$6:$AV$13,0),MATCH(T17,'Tables - Part 2'!$AX$5:$BA$5,0)))/2)+INDEX('Tables - Part 2'!$AX$17:$BA$24,MATCH(V17,'Tables - Part 2'!$AV$6:$AV$13,0),MATCH(T17,'Tables - Part 2'!$AX$5:$BA$5,0)))/2)+(INDEX('Tables - Part 2'!$AX$17:$BA$24,MATCH(V17,'Tables - Part 2'!$AV$6:$AV$13,0),MATCH(T17,'Tables - Part 2'!$AX$5:$BA$5,0))))/2,0)</f>
        <v>0</v>
      </c>
      <c r="AZ17" s="248">
        <f>IF($S17=$AZ$3,INDEX('Tables - Part 2'!$AX$17:$BA$24,MATCH(V17,'Tables - Part 2'!$AV$6:$AV$13,0),MATCH(T17,'Tables - Part 2'!$AX$5:$BA$5,0)),0)</f>
        <v>0</v>
      </c>
      <c r="BA17" s="248">
        <f>IF($S17=$BA$3,((INDEX('Tables - Part 2'!$AX$17:$BA$24,MATCH(V17,'Tables - Part 2'!$AV$6:$AV$13,0),MATCH(T17,'Tables - Part 2'!$AX$5:$BA$5,0)))+(((INDEX('Tables - Part 2'!$AX$17:$BA$24,MATCH(V17,'Tables - Part 2'!$AV$6:$AV$13,0),MATCH(T17,'Tables - Part 2'!$AX$5:$BA$5,0)))+(INDEX('Tables - Part 2'!$AX$17:$BA$24,MATCH(V17,'Tables - Part 2'!$AV$6:$AV$13,0),MATCH(T17,'Tables - Part 2'!$AX$5:$BA$5,0))+INDEX('Tables - Part 2'!$BB$17:$BE$24,MATCH(V17,'Tables - Part 2'!$AV$6:$AV$13,0),MATCH(T17,'Tables - Part 2'!$AX$5:$BA$5,0)))/2)/2))/2,0)</f>
        <v>0</v>
      </c>
      <c r="BB17" s="248">
        <f>IF($S17=$BB$3,((INDEX('Tables - Part 2'!$AX$17:$BA$24,MATCH(V17,'Tables - Part 2'!$AV$6:$AV$13,0),MATCH(T17,'Tables - Part 2'!$AX$5:$BA$5,0)))+(INDEX('Tables - Part 2'!$AX$17:$BA$24,MATCH(V17,'Tables - Part 2'!$AV$6:$AV$13,0),MATCH(T17,'Tables - Part 2'!$AX$5:$BA$5,0))+INDEX('Tables - Part 2'!$BB$17:$BE$24,MATCH(V17,'Tables - Part 2'!$AV$6:$AV$13,0),MATCH(T17,'Tables - Part 2'!$AX$5:$BA$5,0)))/2)/2,0)</f>
        <v>0</v>
      </c>
      <c r="BC17" s="248">
        <f>IF($S17=$BC$3,((((INDEX('Tables - Part 2'!$AX$17:$BA$24,MATCH(V17,'Tables - Part 2'!$AV$6:$AV$13,0),MATCH(T17,'Tables - Part 2'!$AX$5:$BA$5,0)))+(INDEX('Tables - Part 2'!$AX$17:$BA$24,MATCH(V17,'Tables - Part 2'!$AV$6:$AV$13,0),MATCH(T17,'Tables - Part 2'!$AX$5:$BA$5,0))+INDEX('Tables - Part 2'!$BB$17:$BE$24,MATCH(V17,'Tables - Part 2'!$AV$6:$AV$13,0),MATCH(T17,'Tables - Part 2'!$AX$5:$BA$5,0)))/2)/2)+((INDEX('Tables - Part 2'!$AX$17:$BA$24,MATCH(V17,'Tables - Part 2'!$AV$6:$AV$13,0),MATCH(T17,'Tables - Part 2'!$AX$5:$BA$5,0))+INDEX('Tables - Part 2'!$BB$17:$BE$24,MATCH(V17,'Tables - Part 2'!$AV$6:$AV$13,0),MATCH(T17,'Tables - Part 2'!$AX$5:$BA$5,0)))/2))/2,0)</f>
        <v>0</v>
      </c>
      <c r="BD17" s="248">
        <f>IF($S17=$BD$3,(INDEX('Tables - Part 2'!$AX$17:$BA$24,MATCH(V17,'Tables - Part 2'!$AV$6:$AV$13,0),MATCH(T17,'Tables - Part 2'!$AX$5:$BA$5,0))+INDEX('Tables - Part 2'!$BB$17:$BE$24,MATCH(V17,'Tables - Part 2'!$AV$6:$AV$13,0),MATCH(T17,'Tables - Part 2'!$AX$5:$BA$5,0)))/2,0)</f>
        <v>0</v>
      </c>
      <c r="BE17" s="248">
        <f>IF($S17=$BE$3,(((INDEX('Tables - Part 2'!$AX$17:$BA$24,MATCH(V17,'Tables - Part 2'!$AV$6:$AV$13,0),MATCH(T17,'Tables - Part 2'!$AX$5:$BA$5,0))+INDEX('Tables - Part 2'!$BB$17:$BE$24,MATCH(V17,'Tables - Part 2'!$AV$6:$AV$13,0),MATCH(T17,'Tables - Part 2'!$AX$5:$BA$5,0)))/2)+((((INDEX('Tables - Part 2'!$AX$17:$BA$24,MATCH(V17,'Tables - Part 2'!$AV$6:$AV$13,0),MATCH(T17,'Tables - Part 2'!$AX$5:$BA$5,0))+INDEX('Tables - Part 2'!$BB$17:$BE$24,MATCH(V17,'Tables - Part 2'!$AV$6:$AV$13,0),MATCH(T17,'Tables - Part 2'!$AX$5:$BA$5,0)))/2)+INDEX('Tables - Part 2'!$BB$17:$BE$24,MATCH(V17,'Tables - Part 2'!$AV$6:$AV$13,0),MATCH(T17,'Tables - Part 2'!$AX$5:$BA$5,0)))/2))/2,0)</f>
        <v>0</v>
      </c>
      <c r="BF17" s="248">
        <f>IF($S17=$BF$3,(((INDEX('Tables - Part 2'!$AX$17:$BA$24,MATCH(V17,'Tables - Part 2'!$AV$6:$AV$13,0),MATCH(T17,'Tables - Part 2'!$AX$5:$BA$5,0))+INDEX('Tables - Part 2'!$BB$17:$BE$24,MATCH(V17,'Tables - Part 2'!$AV$6:$AV$13,0),MATCH(T17,'Tables - Part 2'!$AX$5:$BA$5,0)))/2)+INDEX('Tables - Part 2'!$BB$17:$BE$24,MATCH(V17,'Tables - Part 2'!$AV$6:$AV$13,0),MATCH(T17,'Tables - Part 2'!$AX$5:$BA$5,0)))/2,0)</f>
        <v>0</v>
      </c>
      <c r="BG17" s="248">
        <f>IF($S17=$BG$3,(((((INDEX('Tables - Part 2'!$AX$17:$BA$24,MATCH(V17,'Tables - Part 2'!$AV$6:$AV$13,0),MATCH(T17,'Tables - Part 2'!$AX$5:$BA$5,0))+INDEX('Tables - Part 2'!$BB$17:$BE$24,MATCH(V17,'Tables - Part 2'!$AV$6:$AV$13,0),MATCH(T17,'Tables - Part 2'!$AX$5:$BA$5,0)))/2)+INDEX('Tables - Part 2'!$BB$17:$BE$24,MATCH(V17,'Tables - Part 2'!$AV$6:$AV$13,0),MATCH(T17,'Tables - Part 2'!$AX$5:$BA$5,0)))/2)+(INDEX('Tables - Part 2'!$BB$17:$BE$24,MATCH(V17,'Tables - Part 2'!$AV$6:$AV$13,0),MATCH(T17,'Tables - Part 2'!$AX$5:$BA$5,0))))/2,0)</f>
        <v>0</v>
      </c>
      <c r="BH17" s="248">
        <f>IF($S17=$BH$3,INDEX('Tables - Part 2'!$BB$17:$BE$24,MATCH(V17,'Tables - Part 2'!$AV$6:$AV$13,0),MATCH(T17,'Tables - Part 2'!$AX$5:$BA$5,0)),0)</f>
        <v>0</v>
      </c>
      <c r="BI17" s="248">
        <f>IF($S17=$BI$3,((INDEX('Tables - Part 2'!$BB$17:$BE$24,MATCH(V17,'Tables - Part 2'!$AV$6:$AV$13,0),MATCH(T17,'Tables - Part 2'!$AX$5:$BA$5,0)))+(((INDEX('Tables - Part 2'!$BB$17:$BE$24,MATCH(V17,'Tables - Part 2'!$AV$6:$AV$13,0),MATCH(T17,'Tables - Part 2'!$AX$5:$BA$5,0)))+(INDEX('Tables - Part 2'!$BB$17:$BE$24,MATCH(V17,'Tables - Part 2'!$AV$6:$AV$13,0),MATCH(T17,'Tables - Part 2'!$AX$5:$BA$5,0))+INDEX('Tables - Part 2'!$BF$17:$BI$24,MATCH(V17,'Tables - Part 2'!$AV$6:$AV$13,0),MATCH(T17,'Tables - Part 2'!$AX$5:$BA$5,0)))/2)/2))/2,0)</f>
        <v>0</v>
      </c>
      <c r="BJ17" s="248">
        <f>IF($S17=$BJ$3,((INDEX('Tables - Part 2'!$BB$17:$BE$24,MATCH(V17,'Tables - Part 2'!$AV$6:$AV$13,0),MATCH(T17,'Tables - Part 2'!$AX$5:$BA$5,0)))+(INDEX('Tables - Part 2'!$BB$17:$BE$24,MATCH(V17,'Tables - Part 2'!$AV$6:$AV$13,0),MATCH(T17,'Tables - Part 2'!$AX$5:$BA$5,0))+INDEX('Tables - Part 2'!$BF$17:$BI$24,MATCH(V17,'Tables - Part 2'!$AV$6:$AV$13,0),MATCH(T17,'Tables - Part 2'!$AX$5:$BA$5,0)))/2)/2,0)</f>
        <v>0</v>
      </c>
      <c r="BK17" s="248">
        <f>IF($S17=$BK$3,((((INDEX('Tables - Part 2'!$BB$17:$BE$24,MATCH(V17,'Tables - Part 2'!$AV$6:$AV$13,0),MATCH(T17,'Tables - Part 2'!$AX$5:$BA$5,0)))+(INDEX('Tables - Part 2'!$BB$17:$BE$24,MATCH(V17,'Tables - Part 2'!$AV$6:$AV$13,0),MATCH(T17,'Tables - Part 2'!$AX$5:$BA$5,0))+INDEX('Tables - Part 2'!$BF$17:$BI$24,MATCH(V17,'Tables - Part 2'!$AV$6:$AV$13,0),MATCH(T17,'Tables - Part 2'!$AX$5:$BA$5,0)))/2)/2)+((INDEX('Tables - Part 2'!$BB$17:$BE$24,MATCH(V17,'Tables - Part 2'!$AV$6:$AV$13,0),MATCH(T17,'Tables - Part 2'!$AX$5:$BA$5,0))+INDEX('Tables - Part 2'!$BF$17:$BI$24,MATCH(V17,'Tables - Part 2'!$AV$6:$AV$13,0),MATCH(T17,'Tables - Part 2'!$AX$5:$BA$5,0)))/2))/2,0)</f>
        <v>0</v>
      </c>
      <c r="BL17" s="248">
        <f>IF($S17=$BL$3,(INDEX('Tables - Part 2'!$BB$17:$BE$24,MATCH(V17,'Tables - Part 2'!$AV$6:$AV$13,0),MATCH(T17,'Tables - Part 2'!$AX$5:$BA$5,0))+INDEX('Tables - Part 2'!$BF$17:$BI$24,MATCH(V17,'Tables - Part 2'!$AV$6:$AV$13,0),MATCH(T17,'Tables - Part 2'!$AX$5:$BA$5,0)))/2,0)</f>
        <v>0</v>
      </c>
      <c r="BM17" s="248">
        <f>IF($S17=$BM$3,(((INDEX('Tables - Part 2'!$BB$17:$BE$24,MATCH(V17,'Tables - Part 2'!$AV$6:$AV$13,0),MATCH(T17,'Tables - Part 2'!$AX$5:$BA$5,0))+INDEX('Tables - Part 2'!$BF$17:$BI$24,MATCH(V17,'Tables - Part 2'!$AV$6:$AV$13,0),MATCH(T17,'Tables - Part 2'!$AX$5:$BA$5,0)))/2)+((((INDEX('Tables - Part 2'!$BB$17:$BE$24,MATCH(V17,'Tables - Part 2'!$AV$6:$AV$13,0),MATCH(T17,'Tables - Part 2'!$AX$5:$BA$5,0))+INDEX('Tables - Part 2'!$BF$17:$BI$24,MATCH(V17,'Tables - Part 2'!$AV$6:$AV$13,0),MATCH(T17,'Tables - Part 2'!$AX$5:$BA$5,0)))/2)+INDEX('Tables - Part 2'!$BF$17:$BI$24,MATCH(V17,'Tables - Part 2'!$AV$6:$AV$13,0),MATCH(T17,'Tables - Part 2'!$AX$5:$BA$5,0)))/2))/2,0)</f>
        <v>0</v>
      </c>
      <c r="BN17" s="248">
        <f>IF($S17=$BN$3,(((INDEX('Tables - Part 2'!$BB$17:$BE$24,MATCH(V17,'Tables - Part 2'!$AV$6:$AV$13,0),MATCH(T17,'Tables - Part 2'!$AX$5:$BA$5,0))+INDEX('Tables - Part 2'!$BF$17:$BI$24,MATCH(V17,'Tables - Part 2'!$AV$6:$AV$13,0),MATCH(T17,'Tables - Part 2'!$AX$5:$BA$5,0)))/2)+INDEX('Tables - Part 2'!$BF$17:$BI$24,MATCH(V17,'Tables - Part 2'!$AV$6:$AV$13,0),MATCH(T17,'Tables - Part 2'!$AX$5:$BA$5,0)))/2,0)</f>
        <v>0</v>
      </c>
      <c r="BO17" s="248">
        <f>IF($S17=$BO$3,(((((INDEX('Tables - Part 2'!$BB$17:$BE$24,MATCH(V17,'Tables - Part 2'!$AV$6:$AV$13,0),MATCH(T17,'Tables - Part 2'!$AX$5:$BA$5,0))+INDEX('Tables - Part 2'!$BF$17:$BI$24,MATCH(V17,'Tables - Part 2'!$AV$6:$AV$13,0),MATCH(T17,'Tables - Part 2'!$AX$5:$BA$5,0)))/2)+INDEX('Tables - Part 2'!$BF$17:$BI$24,MATCH(V17,'Tables - Part 2'!$AV$6:$AV$13,0),MATCH(T17,'Tables - Part 2'!$AX$5:$BA$5,0)))/2)+(INDEX('Tables - Part 2'!$BF$17:$BI$24,MATCH(V17,'Tables - Part 2'!$AV$6:$AV$13,0),MATCH(T17,'Tables - Part 2'!$AX$5:$BA$5,0))))/2,0)</f>
        <v>0</v>
      </c>
      <c r="BP17" s="248">
        <f>IF($S17=$BP$3,INDEX('Tables - Part 2'!$BF$17:$BI$24,MATCH(V17,'Tables - Part 2'!$AV$6:$AV$13,0),MATCH(T17,'Tables - Part 2'!$AX$5:$BA$5,0)),0)</f>
        <v>0</v>
      </c>
      <c r="BQ17" s="248">
        <f t="shared" si="7"/>
        <v>0</v>
      </c>
      <c r="BR17" s="238">
        <f t="shared" si="8"/>
        <v>1.5</v>
      </c>
      <c r="BS17" s="238">
        <f t="shared" si="9"/>
        <v>25.159323702612586</v>
      </c>
    </row>
    <row r="18" spans="2:71" x14ac:dyDescent="0.35">
      <c r="B18" s="161" t="str">
        <f>'Tratamento de Dados'!B26</f>
        <v>V-80</v>
      </c>
      <c r="C18" s="161" t="str">
        <f>'Tratamento de Dados'!D26</f>
        <v>Casco</v>
      </c>
      <c r="D18" s="209" t="s">
        <v>245</v>
      </c>
      <c r="E18" s="209" t="s">
        <v>245</v>
      </c>
      <c r="F18" s="439">
        <v>0.02</v>
      </c>
      <c r="G18" s="209">
        <v>150</v>
      </c>
      <c r="H18" s="209" t="s">
        <v>244</v>
      </c>
      <c r="I18" s="209" t="s">
        <v>245</v>
      </c>
      <c r="J18" s="209" t="s">
        <v>244</v>
      </c>
      <c r="K18" s="209" t="s">
        <v>245</v>
      </c>
      <c r="L18" s="210">
        <v>39092</v>
      </c>
      <c r="M18" s="209">
        <v>0</v>
      </c>
      <c r="N18" s="209">
        <v>1</v>
      </c>
      <c r="O18" s="209">
        <v>1</v>
      </c>
      <c r="P18" s="209">
        <v>4</v>
      </c>
      <c r="Q18" s="253">
        <f>'Tratamento de Dados'!DA26</f>
        <v>0</v>
      </c>
      <c r="R18" s="253">
        <f>'Tratamento de Dados'!DB26</f>
        <v>0</v>
      </c>
      <c r="S18" s="256">
        <f t="shared" si="0"/>
        <v>2.5</v>
      </c>
      <c r="T18" s="246" t="str">
        <f t="shared" si="1"/>
        <v>B</v>
      </c>
      <c r="U18" s="238" t="str">
        <f t="shared" si="2"/>
        <v>Low</v>
      </c>
      <c r="V18" s="238">
        <f>(IF(AND(D18=$BX$2,E18&lt;&gt;$BX$2),"Fitness-For-Service",INDEX('Tables - Part 2'!$AT$4:$AT$7,MATCH(Caustic_Cracking!U18,'Tables - Part 2'!$AS$4:$AS$7,0))))</f>
        <v>50</v>
      </c>
      <c r="W18" s="238">
        <f>IF(L18=0,(Thinning!G19-Thinning!F19)/365.25,(Thinning!G19-L18)/365.25)</f>
        <v>12.980150581793293</v>
      </c>
      <c r="X18" s="248">
        <f t="shared" si="3"/>
        <v>0</v>
      </c>
      <c r="Y18" s="248">
        <f t="shared" si="4"/>
        <v>2.5</v>
      </c>
      <c r="Z18" s="248">
        <f t="shared" si="5"/>
        <v>3</v>
      </c>
      <c r="AA18" s="247">
        <f t="shared" si="6"/>
        <v>4</v>
      </c>
      <c r="AB18" s="248">
        <f>IF($S18=$AB$3,INDEX('Tables - Part 2'!$AX$6:$BA$13,MATCH(V18,'Tables - Part 2'!$AV$6:$AV$13,0),MATCH(T18,'Tables - Part 2'!$AX$5:$BA$5,0)),0)</f>
        <v>0</v>
      </c>
      <c r="AC18" s="248">
        <f>IF($S18=$AC$3,(INDEX('Tables - Part 2'!$AX$6:$BA$13,MATCH(V18,'Tables - Part 2'!$AV$6:$AV$13,0),MATCH(T18,'Tables - Part 2'!$AX$5:$BA$5,0))+(INDEX('Tables - Part 2'!$AX$6:$BA$13,MATCH(V18,'Tables - Part 2'!$AV$6:$AV$13,0),MATCH(T18,'Tables - Part 2'!$AX$5:$BA$5,0))+((INDEX('Tables - Part 2'!$AX$6:$BA$13,MATCH(V18,'Tables - Part 2'!$AV$6:$AV$13,0),MATCH(T18,'Tables - Part 2'!$AX$5:$BA$5,0))+INDEX('Tables - Part 2'!$BB$6:$BE$13,MATCH(V18,'Tables - Part 2'!$AV$6:$AV$13,0),MATCH(T18,'Tables - Part 2'!$AX$5:$BA$5,0)))/2))/2)/2,0)</f>
        <v>0</v>
      </c>
      <c r="AD18" s="248">
        <f>IF($S18=$AD$3,(INDEX('Tables - Part 2'!$AX$6:$BA$13,MATCH(V18,'Tables - Part 2'!$AV$6:$AV$13,0),MATCH(T18,'Tables - Part 2'!$AX$5:$BA$5,0))+((INDEX('Tables - Part 2'!$AX$6:$BA$13,MATCH(V18,'Tables - Part 2'!$AV$6:$AV$13,0),MATCH(T18,'Tables - Part 2'!$AX$5:$BA$5,0))+INDEX('Tables - Part 2'!$BB$6:$BE$13,MATCH(V18,'Tables - Part 2'!$AV$6:$AV$13,0),MATCH(T18,'Tables - Part 2'!$AX$5:$BA$5,0)))/2))/2,0)</f>
        <v>0</v>
      </c>
      <c r="AE18" s="248">
        <f>IF($S18=$AE$3,(((INDEX('Tables - Part 2'!$AX$6:$BA$13,MATCH(V18,'Tables - Part 2'!$AV$6:$AV$13,0),MATCH(T18,'Tables - Part 2'!$AX$5:$BA$5,0))+((INDEX('Tables - Part 2'!$AX$6:$BA$13,MATCH(V18,'Tables - Part 2'!$AV$6:$AV$13,0),MATCH(T18,'Tables - Part 2'!$AX$5:$BA$5,0))+INDEX('Tables - Part 2'!$BB$6:$BE$13,MATCH(V18,'Tables - Part 2'!$AV$6:$AV$13,0),MATCH(T18,'Tables - Part 2'!$AX$5:$BA$5,0)))/2))/2)+(INDEX('Tables - Part 2'!$AX$6:$BA$13,MATCH(V18,'Tables - Part 2'!$AV$6:$AV$13,0),MATCH(T18,'Tables - Part 2'!$AX$5:$BA$5,0))+INDEX('Tables - Part 2'!$BB$6:$BE$13,MATCH(V18,'Tables - Part 2'!$AV$6:$AV$13,0),MATCH(T18,'Tables - Part 2'!$AX$5:$BA$5,0)))/2)/2,0)</f>
        <v>0</v>
      </c>
      <c r="AF18" s="248">
        <f>IF($S18=$AF$3,(INDEX('Tables - Part 2'!$AX$6:$BA$13,MATCH(V18,'Tables - Part 2'!$AV$6:$AV$13,0),MATCH(T18,'Tables - Part 2'!$AX$5:$BA$5,0))+INDEX('Tables - Part 2'!$BB$6:$BE$13,MATCH(V18,'Tables - Part 2'!$AV$6:$AV$13,0),MATCH(T18,'Tables - Part 2'!$AX$5:$BA$5,0)))/2,0)</f>
        <v>0</v>
      </c>
      <c r="AG18" s="248">
        <f>IF($S18=$AG$3,(((INDEX('Tables - Part 2'!$AX$6:$BA$13,MATCH(V18,'Tables - Part 2'!$AV$6:$AV$13,0),MATCH(T18,'Tables - Part 2'!$AX$5:$BA$5,0))+INDEX('Tables - Part 2'!$BB$6:$BE$13,MATCH(V18,'Tables - Part 2'!$AV$6:$AV$13,0),MATCH(T18,'Tables - Part 2'!$AX$5:$BA$5,0)))/2)+(((INDEX('Tables - Part 2'!$AX$6:$BA$13,MATCH(V18,'Tables - Part 2'!$AV$6:$AV$13,0),MATCH(T18,'Tables - Part 2'!$AX$5:$BA$5,0))+INDEX('Tables - Part 2'!$BB$6:$BE$13,MATCH(V18,'Tables - Part 2'!$AV$6:$AV$13,0),MATCH(T18,'Tables - Part 2'!$AX$5:$BA$5,0)))/2)+INDEX('Tables - Part 2'!$BB$6:$BE$13,MATCH(V18,'Tables - Part 2'!$AV$6:$AV$13,0),MATCH(T18,'Tables - Part 2'!$AX$5:$BA$5,0)))/2)/2,0)</f>
        <v>0</v>
      </c>
      <c r="AH18" s="248">
        <f>IF($S18=$AH$3,(((INDEX('Tables - Part 2'!$AX$6:$BA$13,MATCH(V18,'Tables - Part 2'!$AV$6:$AV$13,0),MATCH(T18,'Tables - Part 2'!$AX$5:$BA$5,0))+INDEX('Tables - Part 2'!$BB$6:$BE$13,MATCH(V18,'Tables - Part 2'!$AV$6:$AV$13,0),MATCH(T18,'Tables - Part 2'!$AX$5:$BA$5,0)))/2)+INDEX('Tables - Part 2'!$BB$6:$BE$13,MATCH(V18,'Tables - Part 2'!$AV$6:$AV$13,0),MATCH(T18,'Tables - Part 2'!$AX$5:$BA$5,0)))/2,0)</f>
        <v>0</v>
      </c>
      <c r="AI18" s="248">
        <f>IF($S18=$AI$3,(((((INDEX('Tables - Part 2'!$AX$6:$BA$13,MATCH(V18,'Tables - Part 2'!$AV$6:$AV$13,0),MATCH(T18,'Tables - Part 2'!$AX$5:$BA$5,0))+INDEX('Tables - Part 2'!$BB$6:$BE$13,MATCH(V18,'Tables - Part 2'!$AV$6:$AV$13,0),MATCH(T18,'Tables - Part 2'!$AX$5:$BA$5,0)))/2)+INDEX('Tables - Part 2'!$BB$6:$BE$13,MATCH(V18,'Tables - Part 2'!$AV$6:$AV$13,0),MATCH(T18,'Tables - Part 2'!$AX$5:$BA$5,0)))/2)+INDEX('Tables - Part 2'!$BB$6:$BE$13,MATCH(V18,'Tables - Part 2'!$AV$6:$AV$13,0),MATCH(T18,'Tables - Part 2'!$AX$5:$BA$5,0)))/2,0)</f>
        <v>0</v>
      </c>
      <c r="AJ18" s="248">
        <f>IF($S18=$AJ$3,INDEX('Tables - Part 2'!$BB$6:$BE$13,MATCH(V18,'Tables - Part 2'!$AV$6:$AV$13,0),MATCH(T18,'Tables - Part 2'!$AX$5:$BA$5,0)),0)</f>
        <v>0</v>
      </c>
      <c r="AK18" s="248">
        <f>IF($S18=$AK$3,((INDEX('Tables - Part 2'!$BB$6:$BE$13,MATCH(V18,'Tables - Part 2'!$AV$6:$AV$13,0),MATCH(T18,'Tables - Part 2'!$AX$5:$BA$5,0)))+(INDEX('Tables - Part 2'!$BB$6:$BE$13,MATCH(V18,'Tables - Part 2'!$AV$6:$AV$13,0),MATCH(T18,'Tables - Part 2'!$AX$5:$BA$5,0))+(INDEX('Tables - Part 2'!$BB$6:$BE$13,MATCH(V18,'Tables - Part 2'!$AV$6:$AV$13,0),MATCH(T18,'Tables - Part 2'!$AX$5:$BA$5,0))+INDEX('Tables - Part 2'!$BF$6:$BI$13,MATCH(V18,'Tables - Part 2'!$AV$6:$AV$13,0),MATCH(T18,'Tables - Part 2'!$AX$5:$BA$5,0)))/2)/2)/2,0)</f>
        <v>0</v>
      </c>
      <c r="AL18" s="248">
        <f>IF($S18=$AL$3,(INDEX('Tables - Part 2'!$BB$6:$BE$13,MATCH(V18,'Tables - Part 2'!$AV$6:$AV$13,0),MATCH(T18,'Tables - Part 2'!$AX$5:$BA$5,0))+(INDEX('Tables - Part 2'!$BB$6:$BE$13,MATCH(V18,'Tables - Part 2'!$AV$6:$AV$13,0),MATCH(T18,'Tables - Part 2'!$AX$5:$BA$5,0))+INDEX('Tables - Part 2'!$BF$6:$BI$13,MATCH(V18,'Tables - Part 2'!$AV$6:$AV$13,0),MATCH(T18,'Tables - Part 2'!$AX$5:$BA$5,0)))/2)/2,0)</f>
        <v>0</v>
      </c>
      <c r="AM18" s="248">
        <f>IF($S18=$AM$3,(((INDEX('Tables - Part 2'!$BB$6:$BE$13,MATCH(V18,'Tables - Part 2'!$AV$6:$AV$13,0),MATCH(T18,'Tables - Part 2'!$AX$5:$BA$5,0))+(INDEX('Tables - Part 2'!$BB$6:$BE$13,MATCH(V18,'Tables - Part 2'!$AV$6:$AV$13,0),MATCH(T18,'Tables - Part 2'!$AX$5:$BA$5,0))+INDEX('Tables - Part 2'!$BF$6:$BI$13,MATCH(V18,'Tables - Part 2'!$AV$6:$AV$13,0),MATCH(T18,'Tables - Part 2'!$AX$5:$BA$5,0)))/2)/2)+((INDEX('Tables - Part 2'!$BB$6:$BE$13,MATCH(V18,'Tables - Part 2'!$AV$6:$AV$13,0),MATCH(T18,'Tables - Part 2'!$AX$5:$BA$5,0))+INDEX('Tables - Part 2'!$BF$6:$BI$13,MATCH(V18,'Tables - Part 2'!$AV$6:$AV$13,0),MATCH(T18,'Tables - Part 2'!$AX$5:$BA$5,0)))/2))/2,0)</f>
        <v>0</v>
      </c>
      <c r="AN18" s="248">
        <f>IF($S18=$AN$3,(INDEX('Tables - Part 2'!$BB$6:$BE$13,MATCH(V18,'Tables - Part 2'!$AV$6:$AV$13,0),MATCH(T18,'Tables - Part 2'!$AX$5:$BA$5,0))+INDEX('Tables - Part 2'!$BF$6:$BI$13,MATCH(V18,'Tables - Part 2'!$AV$6:$AV$13,0),MATCH(T18,'Tables - Part 2'!$AX$5:$BA$5,0)))/2,0)</f>
        <v>1.5</v>
      </c>
      <c r="AO18" s="248">
        <f>IF($S18=$AO$3,(((INDEX('Tables - Part 2'!$BB$6:$BE$13,MATCH(V18,'Tables - Part 2'!$AV$6:$AV$13,0),MATCH(T18,'Tables - Part 2'!$AX$5:$BA$5,0))+INDEX('Tables - Part 2'!$BF$6:$BI$13,MATCH(V18,'Tables - Part 2'!$AV$6:$AV$13,0),MATCH(T18,'Tables - Part 2'!$AX$5:$BA$5,0)))/2)+((((INDEX('Tables - Part 2'!$BB$6:$BE$13,MATCH(V18,'Tables - Part 2'!$AV$6:$AV$13,0),MATCH(T18,'Tables - Part 2'!$AX$5:$BA$5,0))+INDEX('Tables - Part 2'!$BF$6:$BI$13,MATCH(V18,'Tables - Part 2'!$AV$6:$AV$13,0),MATCH(T18,'Tables - Part 2'!$AX$5:$BA$5,0)))/2)+INDEX('Tables - Part 2'!$BF$6:$BI$13,MATCH(V18,'Tables - Part 2'!$AV$6:$AV$13,0),MATCH(T18,'Tables - Part 2'!$AX$5:$BA$5,0)))/2))/2,0)</f>
        <v>0</v>
      </c>
      <c r="AP18" s="248">
        <f>IF($S18=$AP$3,(((INDEX('Tables - Part 2'!$BB$6:$BE$13,MATCH(V18,'Tables - Part 2'!$AV$6:$AV$13,0),MATCH(T18,'Tables - Part 2'!$AX$5:$BA$5,0))+INDEX('Tables - Part 2'!$BF$6:$BI$13,MATCH(V18,'Tables - Part 2'!$AV$6:$AV$13,0),MATCH(T18,'Tables - Part 2'!$AX$5:$BA$5,0)))/2)+INDEX('Tables - Part 2'!$BF$6:$BI$13,MATCH(V18,'Tables - Part 2'!$AV$6:$AV$13,0),MATCH(T18,'Tables - Part 2'!$AX$5:$BA$5,0)))/2,0)</f>
        <v>0</v>
      </c>
      <c r="AQ18" s="248">
        <f>IF($S18=$AQ$3,(((((INDEX('Tables - Part 2'!$BB$6:$BE$13,MATCH(V18,'Tables - Part 2'!$AV$6:$AV$13,0),MATCH(T18,'Tables - Part 2'!$AX$5:$BA$5,0))+INDEX('Tables - Part 2'!$BF$6:$BI$13,MATCH(V18,'Tables - Part 2'!$AV$6:$AV$13,0),MATCH(T18,'Tables - Part 2'!$AX$5:$BA$5,0)))/2)+INDEX('Tables - Part 2'!$BF$6:$BI$13,MATCH(V18,'Tables - Part 2'!$AV$6:$AV$13,0),MATCH(T18,'Tables - Part 2'!$AX$5:$BA$5,0)))/2)+INDEX('Tables - Part 2'!$BF$6:$BI$13,MATCH(V18,'Tables - Part 2'!$AV$6:$AV$13,0),MATCH(T18,'Tables - Part 2'!$AX$5:$BA$5,0)))/2,0)</f>
        <v>0</v>
      </c>
      <c r="AR18" s="248">
        <f>IF($S18=$AR$3,INDEX('Tables - Part 2'!$BF$6:$BI$13,MATCH(V18,'Tables - Part 2'!$AV$6:$AV$13,0),MATCH(T18,'Tables - Part 2'!$AX$5:$BA$5,0)),0)</f>
        <v>0</v>
      </c>
      <c r="AS18" s="248">
        <f>IF($S18=$AS$3,(INDEX('Tables - Part 2'!$BF$6:$BI$13,MATCH(V18,'Tables - Part 2'!$AV$6:$AV$13,0),MATCH(T18,'Tables - Part 2'!$AX$5:$BA$5,0))+((INDEX('Tables - Part 2'!$BF$6:$BI$13,MATCH(V18,'Tables - Part 2'!$AV$6:$AV$13,0),MATCH(T18,'Tables - Part 2'!$AX$5:$BA$5,0))+(INDEX('Tables - Part 2'!$BF$6:$BI$13,MATCH(V18,'Tables - Part 2'!$AV$6:$AV$13,0),MATCH(T18,'Tables - Part 2'!$AX$5:$BA$5,0))+INDEX('Tables - Part 2'!$AX$17:$BA$24,MATCH(V18,'Tables - Part 2'!$AV$6:$AV$13,0),MATCH(T18,'Tables - Part 2'!$AX$5:$BA$5,0)))/2)/2))/2,0)</f>
        <v>0</v>
      </c>
      <c r="AT18" s="248">
        <f>IF($S18=$AT$3,(INDEX('Tables - Part 2'!$BF$6:$BI$13,MATCH(V18,'Tables - Part 2'!$AV$6:$AV$13,0),MATCH(T18,'Tables - Part 2'!$AX$5:$BA$5,0))+(INDEX('Tables - Part 2'!$BF$6:$BI$13,MATCH(V18,'Tables - Part 2'!$AV$6:$AV$13,0),MATCH(T18,'Tables - Part 2'!$AX$5:$BA$5,0))+INDEX('Tables - Part 2'!$AX$17:$BA$24,MATCH(V18,'Tables - Part 2'!$AV$6:$AV$13,0),MATCH(T18,'Tables - Part 2'!$AX$5:$BA$5,0)))/2)/2,0)</f>
        <v>0</v>
      </c>
      <c r="AU18" s="248">
        <f>IF($S18=$AU$3,(((INDEX('Tables - Part 2'!$BF$6:$BI$13,MATCH(V18,'Tables - Part 2'!$AV$6:$AV$13,0),MATCH(T18,'Tables - Part 2'!$AX$5:$BA$5,0))+(INDEX('Tables - Part 2'!$BF$6:$BI$13,MATCH(V18,'Tables - Part 2'!$AV$6:$AV$13,0),MATCH(T18,'Tables - Part 2'!$AX$5:$BA$5,0))+INDEX('Tables - Part 2'!$AX$17:$BA$24,MATCH(V18,'Tables - Part 2'!$AV$6:$AV$13,0),MATCH(T18,'Tables - Part 2'!$AX$5:$BA$5,0)))/2)/2)+((INDEX('Tables - Part 2'!$BF$6:$BI$13,MATCH(V18,'Tables - Part 2'!$AV$6:$AV$13,0),MATCH(T18,'Tables - Part 2'!$AX$5:$BA$5,0))+INDEX('Tables - Part 2'!$AX$17:$BA$24,MATCH(V18,'Tables - Part 2'!$AV$6:$AV$13,0),MATCH(T18,'Tables - Part 2'!$AX$5:$BA$5,0)))/2))/2,0)</f>
        <v>0</v>
      </c>
      <c r="AV18" s="248">
        <f>IF($S18=$AV$3,(INDEX('Tables - Part 2'!$BF$6:$BI$13,MATCH(V18,'Tables - Part 2'!$AV$6:$AV$13,0),MATCH(T18,'Tables - Part 2'!$AX$5:$BA$5,0))+INDEX('Tables - Part 2'!$AX$17:$BA$24,MATCH(V18,'Tables - Part 2'!$AV$6:$AV$13,0),MATCH(T18,'Tables - Part 2'!$AX$5:$BA$5,0)))/2,0)</f>
        <v>0</v>
      </c>
      <c r="AW18" s="248">
        <f>IF($S18=$AW$3,(((INDEX('Tables - Part 2'!$BF$6:$BI$13,MATCH(V18,'Tables - Part 2'!$AV$6:$AV$13,0),MATCH(T18,'Tables - Part 2'!$AX$5:$BA$5,0))+INDEX('Tables - Part 2'!$AX$17:$BA$24,MATCH(V18,'Tables - Part 2'!$AV$6:$AV$13,0),MATCH(T18,'Tables - Part 2'!$AX$5:$BA$5,0)))/2)+((((INDEX('Tables - Part 2'!$BF$6:$BI$13,MATCH(V18,'Tables - Part 2'!$AV$6:$AV$13,0),MATCH(T18,'Tables - Part 2'!$AX$5:$BA$5,0))+INDEX('Tables - Part 2'!$AX$17:$BA$24,MATCH(V18,'Tables - Part 2'!$AV$6:$AV$13,0),MATCH(T18,'Tables - Part 2'!$AX$5:$BA$5,0)))/2)+INDEX('Tables - Part 2'!$AX$17:$BA$24,MATCH(V18,'Tables - Part 2'!$AV$6:$AV$13,0),MATCH(T18,'Tables - Part 2'!$AX$5:$BA$5,0)))/2))/2,0)</f>
        <v>0</v>
      </c>
      <c r="AX18" s="248">
        <f>IF($S18=$AX$3,(((INDEX('Tables - Part 2'!$BF$6:$BI$13,MATCH(V18,'Tables - Part 2'!$AV$6:$AV$13,0),MATCH(T18,'Tables - Part 2'!$AX$5:$BA$5,0))+INDEX('Tables - Part 2'!$AX$17:$BA$24,MATCH(V18,'Tables - Part 2'!$AV$6:$AV$13,0),MATCH(T18,'Tables - Part 2'!$AX$5:$BA$5,0)))/2)+INDEX('Tables - Part 2'!$AX$17:$BA$24,MATCH(V18,'Tables - Part 2'!$AV$6:$AV$13,0),MATCH(T18,'Tables - Part 2'!$AX$5:$BA$5,0)))/2,0)</f>
        <v>0</v>
      </c>
      <c r="AY18" s="248">
        <f>IF($S18=$AY$3,(((((INDEX('Tables - Part 2'!$BF$6:$BI$13,MATCH(V18,'Tables - Part 2'!$AV$6:$AV$13,0),MATCH(T18,'Tables - Part 2'!$AX$5:$BA$5,0))+INDEX('Tables - Part 2'!$AX$17:$BA$24,MATCH(V18,'Tables - Part 2'!$AV$6:$AV$13,0),MATCH(T18,'Tables - Part 2'!$AX$5:$BA$5,0)))/2)+INDEX('Tables - Part 2'!$AX$17:$BA$24,MATCH(V18,'Tables - Part 2'!$AV$6:$AV$13,0),MATCH(T18,'Tables - Part 2'!$AX$5:$BA$5,0)))/2)+(INDEX('Tables - Part 2'!$AX$17:$BA$24,MATCH(V18,'Tables - Part 2'!$AV$6:$AV$13,0),MATCH(T18,'Tables - Part 2'!$AX$5:$BA$5,0))))/2,0)</f>
        <v>0</v>
      </c>
      <c r="AZ18" s="248">
        <f>IF($S18=$AZ$3,INDEX('Tables - Part 2'!$AX$17:$BA$24,MATCH(V18,'Tables - Part 2'!$AV$6:$AV$13,0),MATCH(T18,'Tables - Part 2'!$AX$5:$BA$5,0)),0)</f>
        <v>0</v>
      </c>
      <c r="BA18" s="248">
        <f>IF($S18=$BA$3,((INDEX('Tables - Part 2'!$AX$17:$BA$24,MATCH(V18,'Tables - Part 2'!$AV$6:$AV$13,0),MATCH(T18,'Tables - Part 2'!$AX$5:$BA$5,0)))+(((INDEX('Tables - Part 2'!$AX$17:$BA$24,MATCH(V18,'Tables - Part 2'!$AV$6:$AV$13,0),MATCH(T18,'Tables - Part 2'!$AX$5:$BA$5,0)))+(INDEX('Tables - Part 2'!$AX$17:$BA$24,MATCH(V18,'Tables - Part 2'!$AV$6:$AV$13,0),MATCH(T18,'Tables - Part 2'!$AX$5:$BA$5,0))+INDEX('Tables - Part 2'!$BB$17:$BE$24,MATCH(V18,'Tables - Part 2'!$AV$6:$AV$13,0),MATCH(T18,'Tables - Part 2'!$AX$5:$BA$5,0)))/2)/2))/2,0)</f>
        <v>0</v>
      </c>
      <c r="BB18" s="248">
        <f>IF($S18=$BB$3,((INDEX('Tables - Part 2'!$AX$17:$BA$24,MATCH(V18,'Tables - Part 2'!$AV$6:$AV$13,0),MATCH(T18,'Tables - Part 2'!$AX$5:$BA$5,0)))+(INDEX('Tables - Part 2'!$AX$17:$BA$24,MATCH(V18,'Tables - Part 2'!$AV$6:$AV$13,0),MATCH(T18,'Tables - Part 2'!$AX$5:$BA$5,0))+INDEX('Tables - Part 2'!$BB$17:$BE$24,MATCH(V18,'Tables - Part 2'!$AV$6:$AV$13,0),MATCH(T18,'Tables - Part 2'!$AX$5:$BA$5,0)))/2)/2,0)</f>
        <v>0</v>
      </c>
      <c r="BC18" s="248">
        <f>IF($S18=$BC$3,((((INDEX('Tables - Part 2'!$AX$17:$BA$24,MATCH(V18,'Tables - Part 2'!$AV$6:$AV$13,0),MATCH(T18,'Tables - Part 2'!$AX$5:$BA$5,0)))+(INDEX('Tables - Part 2'!$AX$17:$BA$24,MATCH(V18,'Tables - Part 2'!$AV$6:$AV$13,0),MATCH(T18,'Tables - Part 2'!$AX$5:$BA$5,0))+INDEX('Tables - Part 2'!$BB$17:$BE$24,MATCH(V18,'Tables - Part 2'!$AV$6:$AV$13,0),MATCH(T18,'Tables - Part 2'!$AX$5:$BA$5,0)))/2)/2)+((INDEX('Tables - Part 2'!$AX$17:$BA$24,MATCH(V18,'Tables - Part 2'!$AV$6:$AV$13,0),MATCH(T18,'Tables - Part 2'!$AX$5:$BA$5,0))+INDEX('Tables - Part 2'!$BB$17:$BE$24,MATCH(V18,'Tables - Part 2'!$AV$6:$AV$13,0),MATCH(T18,'Tables - Part 2'!$AX$5:$BA$5,0)))/2))/2,0)</f>
        <v>0</v>
      </c>
      <c r="BD18" s="248">
        <f>IF($S18=$BD$3,(INDEX('Tables - Part 2'!$AX$17:$BA$24,MATCH(V18,'Tables - Part 2'!$AV$6:$AV$13,0),MATCH(T18,'Tables - Part 2'!$AX$5:$BA$5,0))+INDEX('Tables - Part 2'!$BB$17:$BE$24,MATCH(V18,'Tables - Part 2'!$AV$6:$AV$13,0),MATCH(T18,'Tables - Part 2'!$AX$5:$BA$5,0)))/2,0)</f>
        <v>0</v>
      </c>
      <c r="BE18" s="248">
        <f>IF($S18=$BE$3,(((INDEX('Tables - Part 2'!$AX$17:$BA$24,MATCH(V18,'Tables - Part 2'!$AV$6:$AV$13,0),MATCH(T18,'Tables - Part 2'!$AX$5:$BA$5,0))+INDEX('Tables - Part 2'!$BB$17:$BE$24,MATCH(V18,'Tables - Part 2'!$AV$6:$AV$13,0),MATCH(T18,'Tables - Part 2'!$AX$5:$BA$5,0)))/2)+((((INDEX('Tables - Part 2'!$AX$17:$BA$24,MATCH(V18,'Tables - Part 2'!$AV$6:$AV$13,0),MATCH(T18,'Tables - Part 2'!$AX$5:$BA$5,0))+INDEX('Tables - Part 2'!$BB$17:$BE$24,MATCH(V18,'Tables - Part 2'!$AV$6:$AV$13,0),MATCH(T18,'Tables - Part 2'!$AX$5:$BA$5,0)))/2)+INDEX('Tables - Part 2'!$BB$17:$BE$24,MATCH(V18,'Tables - Part 2'!$AV$6:$AV$13,0),MATCH(T18,'Tables - Part 2'!$AX$5:$BA$5,0)))/2))/2,0)</f>
        <v>0</v>
      </c>
      <c r="BF18" s="248">
        <f>IF($S18=$BF$3,(((INDEX('Tables - Part 2'!$AX$17:$BA$24,MATCH(V18,'Tables - Part 2'!$AV$6:$AV$13,0),MATCH(T18,'Tables - Part 2'!$AX$5:$BA$5,0))+INDEX('Tables - Part 2'!$BB$17:$BE$24,MATCH(V18,'Tables - Part 2'!$AV$6:$AV$13,0),MATCH(T18,'Tables - Part 2'!$AX$5:$BA$5,0)))/2)+INDEX('Tables - Part 2'!$BB$17:$BE$24,MATCH(V18,'Tables - Part 2'!$AV$6:$AV$13,0),MATCH(T18,'Tables - Part 2'!$AX$5:$BA$5,0)))/2,0)</f>
        <v>0</v>
      </c>
      <c r="BG18" s="248">
        <f>IF($S18=$BG$3,(((((INDEX('Tables - Part 2'!$AX$17:$BA$24,MATCH(V18,'Tables - Part 2'!$AV$6:$AV$13,0),MATCH(T18,'Tables - Part 2'!$AX$5:$BA$5,0))+INDEX('Tables - Part 2'!$BB$17:$BE$24,MATCH(V18,'Tables - Part 2'!$AV$6:$AV$13,0),MATCH(T18,'Tables - Part 2'!$AX$5:$BA$5,0)))/2)+INDEX('Tables - Part 2'!$BB$17:$BE$24,MATCH(V18,'Tables - Part 2'!$AV$6:$AV$13,0),MATCH(T18,'Tables - Part 2'!$AX$5:$BA$5,0)))/2)+(INDEX('Tables - Part 2'!$BB$17:$BE$24,MATCH(V18,'Tables - Part 2'!$AV$6:$AV$13,0),MATCH(T18,'Tables - Part 2'!$AX$5:$BA$5,0))))/2,0)</f>
        <v>0</v>
      </c>
      <c r="BH18" s="248">
        <f>IF($S18=$BH$3,INDEX('Tables - Part 2'!$BB$17:$BE$24,MATCH(V18,'Tables - Part 2'!$AV$6:$AV$13,0),MATCH(T18,'Tables - Part 2'!$AX$5:$BA$5,0)),0)</f>
        <v>0</v>
      </c>
      <c r="BI18" s="248">
        <f>IF($S18=$BI$3,((INDEX('Tables - Part 2'!$BB$17:$BE$24,MATCH(V18,'Tables - Part 2'!$AV$6:$AV$13,0),MATCH(T18,'Tables - Part 2'!$AX$5:$BA$5,0)))+(((INDEX('Tables - Part 2'!$BB$17:$BE$24,MATCH(V18,'Tables - Part 2'!$AV$6:$AV$13,0),MATCH(T18,'Tables - Part 2'!$AX$5:$BA$5,0)))+(INDEX('Tables - Part 2'!$BB$17:$BE$24,MATCH(V18,'Tables - Part 2'!$AV$6:$AV$13,0),MATCH(T18,'Tables - Part 2'!$AX$5:$BA$5,0))+INDEX('Tables - Part 2'!$BF$17:$BI$24,MATCH(V18,'Tables - Part 2'!$AV$6:$AV$13,0),MATCH(T18,'Tables - Part 2'!$AX$5:$BA$5,0)))/2)/2))/2,0)</f>
        <v>0</v>
      </c>
      <c r="BJ18" s="248">
        <f>IF($S18=$BJ$3,((INDEX('Tables - Part 2'!$BB$17:$BE$24,MATCH(V18,'Tables - Part 2'!$AV$6:$AV$13,0),MATCH(T18,'Tables - Part 2'!$AX$5:$BA$5,0)))+(INDEX('Tables - Part 2'!$BB$17:$BE$24,MATCH(V18,'Tables - Part 2'!$AV$6:$AV$13,0),MATCH(T18,'Tables - Part 2'!$AX$5:$BA$5,0))+INDEX('Tables - Part 2'!$BF$17:$BI$24,MATCH(V18,'Tables - Part 2'!$AV$6:$AV$13,0),MATCH(T18,'Tables - Part 2'!$AX$5:$BA$5,0)))/2)/2,0)</f>
        <v>0</v>
      </c>
      <c r="BK18" s="248">
        <f>IF($S18=$BK$3,((((INDEX('Tables - Part 2'!$BB$17:$BE$24,MATCH(V18,'Tables - Part 2'!$AV$6:$AV$13,0),MATCH(T18,'Tables - Part 2'!$AX$5:$BA$5,0)))+(INDEX('Tables - Part 2'!$BB$17:$BE$24,MATCH(V18,'Tables - Part 2'!$AV$6:$AV$13,0),MATCH(T18,'Tables - Part 2'!$AX$5:$BA$5,0))+INDEX('Tables - Part 2'!$BF$17:$BI$24,MATCH(V18,'Tables - Part 2'!$AV$6:$AV$13,0),MATCH(T18,'Tables - Part 2'!$AX$5:$BA$5,0)))/2)/2)+((INDEX('Tables - Part 2'!$BB$17:$BE$24,MATCH(V18,'Tables - Part 2'!$AV$6:$AV$13,0),MATCH(T18,'Tables - Part 2'!$AX$5:$BA$5,0))+INDEX('Tables - Part 2'!$BF$17:$BI$24,MATCH(V18,'Tables - Part 2'!$AV$6:$AV$13,0),MATCH(T18,'Tables - Part 2'!$AX$5:$BA$5,0)))/2))/2,0)</f>
        <v>0</v>
      </c>
      <c r="BL18" s="248">
        <f>IF($S18=$BL$3,(INDEX('Tables - Part 2'!$BB$17:$BE$24,MATCH(V18,'Tables - Part 2'!$AV$6:$AV$13,0),MATCH(T18,'Tables - Part 2'!$AX$5:$BA$5,0))+INDEX('Tables - Part 2'!$BF$17:$BI$24,MATCH(V18,'Tables - Part 2'!$AV$6:$AV$13,0),MATCH(T18,'Tables - Part 2'!$AX$5:$BA$5,0)))/2,0)</f>
        <v>0</v>
      </c>
      <c r="BM18" s="248">
        <f>IF($S18=$BM$3,(((INDEX('Tables - Part 2'!$BB$17:$BE$24,MATCH(V18,'Tables - Part 2'!$AV$6:$AV$13,0),MATCH(T18,'Tables - Part 2'!$AX$5:$BA$5,0))+INDEX('Tables - Part 2'!$BF$17:$BI$24,MATCH(V18,'Tables - Part 2'!$AV$6:$AV$13,0),MATCH(T18,'Tables - Part 2'!$AX$5:$BA$5,0)))/2)+((((INDEX('Tables - Part 2'!$BB$17:$BE$24,MATCH(V18,'Tables - Part 2'!$AV$6:$AV$13,0),MATCH(T18,'Tables - Part 2'!$AX$5:$BA$5,0))+INDEX('Tables - Part 2'!$BF$17:$BI$24,MATCH(V18,'Tables - Part 2'!$AV$6:$AV$13,0),MATCH(T18,'Tables - Part 2'!$AX$5:$BA$5,0)))/2)+INDEX('Tables - Part 2'!$BF$17:$BI$24,MATCH(V18,'Tables - Part 2'!$AV$6:$AV$13,0),MATCH(T18,'Tables - Part 2'!$AX$5:$BA$5,0)))/2))/2,0)</f>
        <v>0</v>
      </c>
      <c r="BN18" s="248">
        <f>IF($S18=$BN$3,(((INDEX('Tables - Part 2'!$BB$17:$BE$24,MATCH(V18,'Tables - Part 2'!$AV$6:$AV$13,0),MATCH(T18,'Tables - Part 2'!$AX$5:$BA$5,0))+INDEX('Tables - Part 2'!$BF$17:$BI$24,MATCH(V18,'Tables - Part 2'!$AV$6:$AV$13,0),MATCH(T18,'Tables - Part 2'!$AX$5:$BA$5,0)))/2)+INDEX('Tables - Part 2'!$BF$17:$BI$24,MATCH(V18,'Tables - Part 2'!$AV$6:$AV$13,0),MATCH(T18,'Tables - Part 2'!$AX$5:$BA$5,0)))/2,0)</f>
        <v>0</v>
      </c>
      <c r="BO18" s="248">
        <f>IF($S18=$BO$3,(((((INDEX('Tables - Part 2'!$BB$17:$BE$24,MATCH(V18,'Tables - Part 2'!$AV$6:$AV$13,0),MATCH(T18,'Tables - Part 2'!$AX$5:$BA$5,0))+INDEX('Tables - Part 2'!$BF$17:$BI$24,MATCH(V18,'Tables - Part 2'!$AV$6:$AV$13,0),MATCH(T18,'Tables - Part 2'!$AX$5:$BA$5,0)))/2)+INDEX('Tables - Part 2'!$BF$17:$BI$24,MATCH(V18,'Tables - Part 2'!$AV$6:$AV$13,0),MATCH(T18,'Tables - Part 2'!$AX$5:$BA$5,0)))/2)+(INDEX('Tables - Part 2'!$BF$17:$BI$24,MATCH(V18,'Tables - Part 2'!$AV$6:$AV$13,0),MATCH(T18,'Tables - Part 2'!$AX$5:$BA$5,0))))/2,0)</f>
        <v>0</v>
      </c>
      <c r="BP18" s="248">
        <f>IF($S18=$BP$3,INDEX('Tables - Part 2'!$BF$17:$BI$24,MATCH(V18,'Tables - Part 2'!$AV$6:$AV$13,0),MATCH(T18,'Tables - Part 2'!$AX$5:$BA$5,0)),0)</f>
        <v>0</v>
      </c>
      <c r="BQ18" s="248">
        <f t="shared" si="7"/>
        <v>0</v>
      </c>
      <c r="BR18" s="238">
        <f t="shared" si="8"/>
        <v>1.5</v>
      </c>
      <c r="BS18" s="238">
        <f t="shared" si="9"/>
        <v>25.159323702612586</v>
      </c>
    </row>
    <row r="19" spans="2:71" x14ac:dyDescent="0.35">
      <c r="B19" s="161" t="str">
        <f>'Tratamento de Dados'!B27</f>
        <v>V-8</v>
      </c>
      <c r="C19" s="161" t="str">
        <f>'Tratamento de Dados'!D27</f>
        <v>Casco</v>
      </c>
      <c r="D19" s="209" t="s">
        <v>245</v>
      </c>
      <c r="E19" s="209" t="s">
        <v>245</v>
      </c>
      <c r="F19" s="439">
        <v>0.02</v>
      </c>
      <c r="G19" s="209">
        <v>150</v>
      </c>
      <c r="H19" s="209" t="s">
        <v>244</v>
      </c>
      <c r="I19" s="209" t="s">
        <v>245</v>
      </c>
      <c r="J19" s="209" t="s">
        <v>244</v>
      </c>
      <c r="K19" s="209" t="s">
        <v>245</v>
      </c>
      <c r="L19" s="210">
        <v>39092</v>
      </c>
      <c r="M19" s="209">
        <v>0</v>
      </c>
      <c r="N19" s="209">
        <v>1</v>
      </c>
      <c r="O19" s="209">
        <v>1</v>
      </c>
      <c r="P19" s="209">
        <v>4</v>
      </c>
      <c r="Q19" s="253">
        <f>'Tratamento de Dados'!DA27</f>
        <v>0</v>
      </c>
      <c r="R19" s="253">
        <f>'Tratamento de Dados'!DB27</f>
        <v>0</v>
      </c>
      <c r="S19" s="256">
        <f t="shared" si="0"/>
        <v>2.5</v>
      </c>
      <c r="T19" s="246" t="str">
        <f t="shared" si="1"/>
        <v>B</v>
      </c>
      <c r="U19" s="238" t="str">
        <f t="shared" si="2"/>
        <v>Low</v>
      </c>
      <c r="V19" s="238">
        <f>(IF(AND(D19=$BX$2,E19&lt;&gt;$BX$2),"Fitness-For-Service",INDEX('Tables - Part 2'!$AT$4:$AT$7,MATCH(Caustic_Cracking!U19,'Tables - Part 2'!$AS$4:$AS$7,0))))</f>
        <v>50</v>
      </c>
      <c r="W19" s="238">
        <f>IF(L19=0,(Thinning!G20-Thinning!F20)/365.25,(Thinning!G20-L19)/365.25)</f>
        <v>12.980150581793293</v>
      </c>
      <c r="X19" s="248">
        <f t="shared" si="3"/>
        <v>0</v>
      </c>
      <c r="Y19" s="248">
        <f t="shared" si="4"/>
        <v>2.5</v>
      </c>
      <c r="Z19" s="248">
        <f t="shared" si="5"/>
        <v>3</v>
      </c>
      <c r="AA19" s="247">
        <f t="shared" si="6"/>
        <v>4</v>
      </c>
      <c r="AB19" s="248">
        <f>IF($S19=$AB$3,INDEX('Tables - Part 2'!$AX$6:$BA$13,MATCH(V19,'Tables - Part 2'!$AV$6:$AV$13,0),MATCH(T19,'Tables - Part 2'!$AX$5:$BA$5,0)),0)</f>
        <v>0</v>
      </c>
      <c r="AC19" s="248">
        <f>IF($S19=$AC$3,(INDEX('Tables - Part 2'!$AX$6:$BA$13,MATCH(V19,'Tables - Part 2'!$AV$6:$AV$13,0),MATCH(T19,'Tables - Part 2'!$AX$5:$BA$5,0))+(INDEX('Tables - Part 2'!$AX$6:$BA$13,MATCH(V19,'Tables - Part 2'!$AV$6:$AV$13,0),MATCH(T19,'Tables - Part 2'!$AX$5:$BA$5,0))+((INDEX('Tables - Part 2'!$AX$6:$BA$13,MATCH(V19,'Tables - Part 2'!$AV$6:$AV$13,0),MATCH(T19,'Tables - Part 2'!$AX$5:$BA$5,0))+INDEX('Tables - Part 2'!$BB$6:$BE$13,MATCH(V19,'Tables - Part 2'!$AV$6:$AV$13,0),MATCH(T19,'Tables - Part 2'!$AX$5:$BA$5,0)))/2))/2)/2,0)</f>
        <v>0</v>
      </c>
      <c r="AD19" s="248">
        <f>IF($S19=$AD$3,(INDEX('Tables - Part 2'!$AX$6:$BA$13,MATCH(V19,'Tables - Part 2'!$AV$6:$AV$13,0),MATCH(T19,'Tables - Part 2'!$AX$5:$BA$5,0))+((INDEX('Tables - Part 2'!$AX$6:$BA$13,MATCH(V19,'Tables - Part 2'!$AV$6:$AV$13,0),MATCH(T19,'Tables - Part 2'!$AX$5:$BA$5,0))+INDEX('Tables - Part 2'!$BB$6:$BE$13,MATCH(V19,'Tables - Part 2'!$AV$6:$AV$13,0),MATCH(T19,'Tables - Part 2'!$AX$5:$BA$5,0)))/2))/2,0)</f>
        <v>0</v>
      </c>
      <c r="AE19" s="248">
        <f>IF($S19=$AE$3,(((INDEX('Tables - Part 2'!$AX$6:$BA$13,MATCH(V19,'Tables - Part 2'!$AV$6:$AV$13,0),MATCH(T19,'Tables - Part 2'!$AX$5:$BA$5,0))+((INDEX('Tables - Part 2'!$AX$6:$BA$13,MATCH(V19,'Tables - Part 2'!$AV$6:$AV$13,0),MATCH(T19,'Tables - Part 2'!$AX$5:$BA$5,0))+INDEX('Tables - Part 2'!$BB$6:$BE$13,MATCH(V19,'Tables - Part 2'!$AV$6:$AV$13,0),MATCH(T19,'Tables - Part 2'!$AX$5:$BA$5,0)))/2))/2)+(INDEX('Tables - Part 2'!$AX$6:$BA$13,MATCH(V19,'Tables - Part 2'!$AV$6:$AV$13,0),MATCH(T19,'Tables - Part 2'!$AX$5:$BA$5,0))+INDEX('Tables - Part 2'!$BB$6:$BE$13,MATCH(V19,'Tables - Part 2'!$AV$6:$AV$13,0),MATCH(T19,'Tables - Part 2'!$AX$5:$BA$5,0)))/2)/2,0)</f>
        <v>0</v>
      </c>
      <c r="AF19" s="248">
        <f>IF($S19=$AF$3,(INDEX('Tables - Part 2'!$AX$6:$BA$13,MATCH(V19,'Tables - Part 2'!$AV$6:$AV$13,0),MATCH(T19,'Tables - Part 2'!$AX$5:$BA$5,0))+INDEX('Tables - Part 2'!$BB$6:$BE$13,MATCH(V19,'Tables - Part 2'!$AV$6:$AV$13,0),MATCH(T19,'Tables - Part 2'!$AX$5:$BA$5,0)))/2,0)</f>
        <v>0</v>
      </c>
      <c r="AG19" s="248">
        <f>IF($S19=$AG$3,(((INDEX('Tables - Part 2'!$AX$6:$BA$13,MATCH(V19,'Tables - Part 2'!$AV$6:$AV$13,0),MATCH(T19,'Tables - Part 2'!$AX$5:$BA$5,0))+INDEX('Tables - Part 2'!$BB$6:$BE$13,MATCH(V19,'Tables - Part 2'!$AV$6:$AV$13,0),MATCH(T19,'Tables - Part 2'!$AX$5:$BA$5,0)))/2)+(((INDEX('Tables - Part 2'!$AX$6:$BA$13,MATCH(V19,'Tables - Part 2'!$AV$6:$AV$13,0),MATCH(T19,'Tables - Part 2'!$AX$5:$BA$5,0))+INDEX('Tables - Part 2'!$BB$6:$BE$13,MATCH(V19,'Tables - Part 2'!$AV$6:$AV$13,0),MATCH(T19,'Tables - Part 2'!$AX$5:$BA$5,0)))/2)+INDEX('Tables - Part 2'!$BB$6:$BE$13,MATCH(V19,'Tables - Part 2'!$AV$6:$AV$13,0),MATCH(T19,'Tables - Part 2'!$AX$5:$BA$5,0)))/2)/2,0)</f>
        <v>0</v>
      </c>
      <c r="AH19" s="248">
        <f>IF($S19=$AH$3,(((INDEX('Tables - Part 2'!$AX$6:$BA$13,MATCH(V19,'Tables - Part 2'!$AV$6:$AV$13,0),MATCH(T19,'Tables - Part 2'!$AX$5:$BA$5,0))+INDEX('Tables - Part 2'!$BB$6:$BE$13,MATCH(V19,'Tables - Part 2'!$AV$6:$AV$13,0),MATCH(T19,'Tables - Part 2'!$AX$5:$BA$5,0)))/2)+INDEX('Tables - Part 2'!$BB$6:$BE$13,MATCH(V19,'Tables - Part 2'!$AV$6:$AV$13,0),MATCH(T19,'Tables - Part 2'!$AX$5:$BA$5,0)))/2,0)</f>
        <v>0</v>
      </c>
      <c r="AI19" s="248">
        <f>IF($S19=$AI$3,(((((INDEX('Tables - Part 2'!$AX$6:$BA$13,MATCH(V19,'Tables - Part 2'!$AV$6:$AV$13,0),MATCH(T19,'Tables - Part 2'!$AX$5:$BA$5,0))+INDEX('Tables - Part 2'!$BB$6:$BE$13,MATCH(V19,'Tables - Part 2'!$AV$6:$AV$13,0),MATCH(T19,'Tables - Part 2'!$AX$5:$BA$5,0)))/2)+INDEX('Tables - Part 2'!$BB$6:$BE$13,MATCH(V19,'Tables - Part 2'!$AV$6:$AV$13,0),MATCH(T19,'Tables - Part 2'!$AX$5:$BA$5,0)))/2)+INDEX('Tables - Part 2'!$BB$6:$BE$13,MATCH(V19,'Tables - Part 2'!$AV$6:$AV$13,0),MATCH(T19,'Tables - Part 2'!$AX$5:$BA$5,0)))/2,0)</f>
        <v>0</v>
      </c>
      <c r="AJ19" s="248">
        <f>IF($S19=$AJ$3,INDEX('Tables - Part 2'!$BB$6:$BE$13,MATCH(V19,'Tables - Part 2'!$AV$6:$AV$13,0),MATCH(T19,'Tables - Part 2'!$AX$5:$BA$5,0)),0)</f>
        <v>0</v>
      </c>
      <c r="AK19" s="248">
        <f>IF($S19=$AK$3,((INDEX('Tables - Part 2'!$BB$6:$BE$13,MATCH(V19,'Tables - Part 2'!$AV$6:$AV$13,0),MATCH(T19,'Tables - Part 2'!$AX$5:$BA$5,0)))+(INDEX('Tables - Part 2'!$BB$6:$BE$13,MATCH(V19,'Tables - Part 2'!$AV$6:$AV$13,0),MATCH(T19,'Tables - Part 2'!$AX$5:$BA$5,0))+(INDEX('Tables - Part 2'!$BB$6:$BE$13,MATCH(V19,'Tables - Part 2'!$AV$6:$AV$13,0),MATCH(T19,'Tables - Part 2'!$AX$5:$BA$5,0))+INDEX('Tables - Part 2'!$BF$6:$BI$13,MATCH(V19,'Tables - Part 2'!$AV$6:$AV$13,0),MATCH(T19,'Tables - Part 2'!$AX$5:$BA$5,0)))/2)/2)/2,0)</f>
        <v>0</v>
      </c>
      <c r="AL19" s="248">
        <f>IF($S19=$AL$3,(INDEX('Tables - Part 2'!$BB$6:$BE$13,MATCH(V19,'Tables - Part 2'!$AV$6:$AV$13,0),MATCH(T19,'Tables - Part 2'!$AX$5:$BA$5,0))+(INDEX('Tables - Part 2'!$BB$6:$BE$13,MATCH(V19,'Tables - Part 2'!$AV$6:$AV$13,0),MATCH(T19,'Tables - Part 2'!$AX$5:$BA$5,0))+INDEX('Tables - Part 2'!$BF$6:$BI$13,MATCH(V19,'Tables - Part 2'!$AV$6:$AV$13,0),MATCH(T19,'Tables - Part 2'!$AX$5:$BA$5,0)))/2)/2,0)</f>
        <v>0</v>
      </c>
      <c r="AM19" s="248">
        <f>IF($S19=$AM$3,(((INDEX('Tables - Part 2'!$BB$6:$BE$13,MATCH(V19,'Tables - Part 2'!$AV$6:$AV$13,0),MATCH(T19,'Tables - Part 2'!$AX$5:$BA$5,0))+(INDEX('Tables - Part 2'!$BB$6:$BE$13,MATCH(V19,'Tables - Part 2'!$AV$6:$AV$13,0),MATCH(T19,'Tables - Part 2'!$AX$5:$BA$5,0))+INDEX('Tables - Part 2'!$BF$6:$BI$13,MATCH(V19,'Tables - Part 2'!$AV$6:$AV$13,0),MATCH(T19,'Tables - Part 2'!$AX$5:$BA$5,0)))/2)/2)+((INDEX('Tables - Part 2'!$BB$6:$BE$13,MATCH(V19,'Tables - Part 2'!$AV$6:$AV$13,0),MATCH(T19,'Tables - Part 2'!$AX$5:$BA$5,0))+INDEX('Tables - Part 2'!$BF$6:$BI$13,MATCH(V19,'Tables - Part 2'!$AV$6:$AV$13,0),MATCH(T19,'Tables - Part 2'!$AX$5:$BA$5,0)))/2))/2,0)</f>
        <v>0</v>
      </c>
      <c r="AN19" s="248">
        <f>IF($S19=$AN$3,(INDEX('Tables - Part 2'!$BB$6:$BE$13,MATCH(V19,'Tables - Part 2'!$AV$6:$AV$13,0),MATCH(T19,'Tables - Part 2'!$AX$5:$BA$5,0))+INDEX('Tables - Part 2'!$BF$6:$BI$13,MATCH(V19,'Tables - Part 2'!$AV$6:$AV$13,0),MATCH(T19,'Tables - Part 2'!$AX$5:$BA$5,0)))/2,0)</f>
        <v>1.5</v>
      </c>
      <c r="AO19" s="248">
        <f>IF($S19=$AO$3,(((INDEX('Tables - Part 2'!$BB$6:$BE$13,MATCH(V19,'Tables - Part 2'!$AV$6:$AV$13,0),MATCH(T19,'Tables - Part 2'!$AX$5:$BA$5,0))+INDEX('Tables - Part 2'!$BF$6:$BI$13,MATCH(V19,'Tables - Part 2'!$AV$6:$AV$13,0),MATCH(T19,'Tables - Part 2'!$AX$5:$BA$5,0)))/2)+((((INDEX('Tables - Part 2'!$BB$6:$BE$13,MATCH(V19,'Tables - Part 2'!$AV$6:$AV$13,0),MATCH(T19,'Tables - Part 2'!$AX$5:$BA$5,0))+INDEX('Tables - Part 2'!$BF$6:$BI$13,MATCH(V19,'Tables - Part 2'!$AV$6:$AV$13,0),MATCH(T19,'Tables - Part 2'!$AX$5:$BA$5,0)))/2)+INDEX('Tables - Part 2'!$BF$6:$BI$13,MATCH(V19,'Tables - Part 2'!$AV$6:$AV$13,0),MATCH(T19,'Tables - Part 2'!$AX$5:$BA$5,0)))/2))/2,0)</f>
        <v>0</v>
      </c>
      <c r="AP19" s="248">
        <f>IF($S19=$AP$3,(((INDEX('Tables - Part 2'!$BB$6:$BE$13,MATCH(V19,'Tables - Part 2'!$AV$6:$AV$13,0),MATCH(T19,'Tables - Part 2'!$AX$5:$BA$5,0))+INDEX('Tables - Part 2'!$BF$6:$BI$13,MATCH(V19,'Tables - Part 2'!$AV$6:$AV$13,0),MATCH(T19,'Tables - Part 2'!$AX$5:$BA$5,0)))/2)+INDEX('Tables - Part 2'!$BF$6:$BI$13,MATCH(V19,'Tables - Part 2'!$AV$6:$AV$13,0),MATCH(T19,'Tables - Part 2'!$AX$5:$BA$5,0)))/2,0)</f>
        <v>0</v>
      </c>
      <c r="AQ19" s="248">
        <f>IF($S19=$AQ$3,(((((INDEX('Tables - Part 2'!$BB$6:$BE$13,MATCH(V19,'Tables - Part 2'!$AV$6:$AV$13,0),MATCH(T19,'Tables - Part 2'!$AX$5:$BA$5,0))+INDEX('Tables - Part 2'!$BF$6:$BI$13,MATCH(V19,'Tables - Part 2'!$AV$6:$AV$13,0),MATCH(T19,'Tables - Part 2'!$AX$5:$BA$5,0)))/2)+INDEX('Tables - Part 2'!$BF$6:$BI$13,MATCH(V19,'Tables - Part 2'!$AV$6:$AV$13,0),MATCH(T19,'Tables - Part 2'!$AX$5:$BA$5,0)))/2)+INDEX('Tables - Part 2'!$BF$6:$BI$13,MATCH(V19,'Tables - Part 2'!$AV$6:$AV$13,0),MATCH(T19,'Tables - Part 2'!$AX$5:$BA$5,0)))/2,0)</f>
        <v>0</v>
      </c>
      <c r="AR19" s="248">
        <f>IF($S19=$AR$3,INDEX('Tables - Part 2'!$BF$6:$BI$13,MATCH(V19,'Tables - Part 2'!$AV$6:$AV$13,0),MATCH(T19,'Tables - Part 2'!$AX$5:$BA$5,0)),0)</f>
        <v>0</v>
      </c>
      <c r="AS19" s="248">
        <f>IF($S19=$AS$3,(INDEX('Tables - Part 2'!$BF$6:$BI$13,MATCH(V19,'Tables - Part 2'!$AV$6:$AV$13,0),MATCH(T19,'Tables - Part 2'!$AX$5:$BA$5,0))+((INDEX('Tables - Part 2'!$BF$6:$BI$13,MATCH(V19,'Tables - Part 2'!$AV$6:$AV$13,0),MATCH(T19,'Tables - Part 2'!$AX$5:$BA$5,0))+(INDEX('Tables - Part 2'!$BF$6:$BI$13,MATCH(V19,'Tables - Part 2'!$AV$6:$AV$13,0),MATCH(T19,'Tables - Part 2'!$AX$5:$BA$5,0))+INDEX('Tables - Part 2'!$AX$17:$BA$24,MATCH(V19,'Tables - Part 2'!$AV$6:$AV$13,0),MATCH(T19,'Tables - Part 2'!$AX$5:$BA$5,0)))/2)/2))/2,0)</f>
        <v>0</v>
      </c>
      <c r="AT19" s="248">
        <f>IF($S19=$AT$3,(INDEX('Tables - Part 2'!$BF$6:$BI$13,MATCH(V19,'Tables - Part 2'!$AV$6:$AV$13,0),MATCH(T19,'Tables - Part 2'!$AX$5:$BA$5,0))+(INDEX('Tables - Part 2'!$BF$6:$BI$13,MATCH(V19,'Tables - Part 2'!$AV$6:$AV$13,0),MATCH(T19,'Tables - Part 2'!$AX$5:$BA$5,0))+INDEX('Tables - Part 2'!$AX$17:$BA$24,MATCH(V19,'Tables - Part 2'!$AV$6:$AV$13,0),MATCH(T19,'Tables - Part 2'!$AX$5:$BA$5,0)))/2)/2,0)</f>
        <v>0</v>
      </c>
      <c r="AU19" s="248">
        <f>IF($S19=$AU$3,(((INDEX('Tables - Part 2'!$BF$6:$BI$13,MATCH(V19,'Tables - Part 2'!$AV$6:$AV$13,0),MATCH(T19,'Tables - Part 2'!$AX$5:$BA$5,0))+(INDEX('Tables - Part 2'!$BF$6:$BI$13,MATCH(V19,'Tables - Part 2'!$AV$6:$AV$13,0),MATCH(T19,'Tables - Part 2'!$AX$5:$BA$5,0))+INDEX('Tables - Part 2'!$AX$17:$BA$24,MATCH(V19,'Tables - Part 2'!$AV$6:$AV$13,0),MATCH(T19,'Tables - Part 2'!$AX$5:$BA$5,0)))/2)/2)+((INDEX('Tables - Part 2'!$BF$6:$BI$13,MATCH(V19,'Tables - Part 2'!$AV$6:$AV$13,0),MATCH(T19,'Tables - Part 2'!$AX$5:$BA$5,0))+INDEX('Tables - Part 2'!$AX$17:$BA$24,MATCH(V19,'Tables - Part 2'!$AV$6:$AV$13,0),MATCH(T19,'Tables - Part 2'!$AX$5:$BA$5,0)))/2))/2,0)</f>
        <v>0</v>
      </c>
      <c r="AV19" s="248">
        <f>IF($S19=$AV$3,(INDEX('Tables - Part 2'!$BF$6:$BI$13,MATCH(V19,'Tables - Part 2'!$AV$6:$AV$13,0),MATCH(T19,'Tables - Part 2'!$AX$5:$BA$5,0))+INDEX('Tables - Part 2'!$AX$17:$BA$24,MATCH(V19,'Tables - Part 2'!$AV$6:$AV$13,0),MATCH(T19,'Tables - Part 2'!$AX$5:$BA$5,0)))/2,0)</f>
        <v>0</v>
      </c>
      <c r="AW19" s="248">
        <f>IF($S19=$AW$3,(((INDEX('Tables - Part 2'!$BF$6:$BI$13,MATCH(V19,'Tables - Part 2'!$AV$6:$AV$13,0),MATCH(T19,'Tables - Part 2'!$AX$5:$BA$5,0))+INDEX('Tables - Part 2'!$AX$17:$BA$24,MATCH(V19,'Tables - Part 2'!$AV$6:$AV$13,0),MATCH(T19,'Tables - Part 2'!$AX$5:$BA$5,0)))/2)+((((INDEX('Tables - Part 2'!$BF$6:$BI$13,MATCH(V19,'Tables - Part 2'!$AV$6:$AV$13,0),MATCH(T19,'Tables - Part 2'!$AX$5:$BA$5,0))+INDEX('Tables - Part 2'!$AX$17:$BA$24,MATCH(V19,'Tables - Part 2'!$AV$6:$AV$13,0),MATCH(T19,'Tables - Part 2'!$AX$5:$BA$5,0)))/2)+INDEX('Tables - Part 2'!$AX$17:$BA$24,MATCH(V19,'Tables - Part 2'!$AV$6:$AV$13,0),MATCH(T19,'Tables - Part 2'!$AX$5:$BA$5,0)))/2))/2,0)</f>
        <v>0</v>
      </c>
      <c r="AX19" s="248">
        <f>IF($S19=$AX$3,(((INDEX('Tables - Part 2'!$BF$6:$BI$13,MATCH(V19,'Tables - Part 2'!$AV$6:$AV$13,0),MATCH(T19,'Tables - Part 2'!$AX$5:$BA$5,0))+INDEX('Tables - Part 2'!$AX$17:$BA$24,MATCH(V19,'Tables - Part 2'!$AV$6:$AV$13,0),MATCH(T19,'Tables - Part 2'!$AX$5:$BA$5,0)))/2)+INDEX('Tables - Part 2'!$AX$17:$BA$24,MATCH(V19,'Tables - Part 2'!$AV$6:$AV$13,0),MATCH(T19,'Tables - Part 2'!$AX$5:$BA$5,0)))/2,0)</f>
        <v>0</v>
      </c>
      <c r="AY19" s="248">
        <f>IF($S19=$AY$3,(((((INDEX('Tables - Part 2'!$BF$6:$BI$13,MATCH(V19,'Tables - Part 2'!$AV$6:$AV$13,0),MATCH(T19,'Tables - Part 2'!$AX$5:$BA$5,0))+INDEX('Tables - Part 2'!$AX$17:$BA$24,MATCH(V19,'Tables - Part 2'!$AV$6:$AV$13,0),MATCH(T19,'Tables - Part 2'!$AX$5:$BA$5,0)))/2)+INDEX('Tables - Part 2'!$AX$17:$BA$24,MATCH(V19,'Tables - Part 2'!$AV$6:$AV$13,0),MATCH(T19,'Tables - Part 2'!$AX$5:$BA$5,0)))/2)+(INDEX('Tables - Part 2'!$AX$17:$BA$24,MATCH(V19,'Tables - Part 2'!$AV$6:$AV$13,0),MATCH(T19,'Tables - Part 2'!$AX$5:$BA$5,0))))/2,0)</f>
        <v>0</v>
      </c>
      <c r="AZ19" s="248">
        <f>IF($S19=$AZ$3,INDEX('Tables - Part 2'!$AX$17:$BA$24,MATCH(V19,'Tables - Part 2'!$AV$6:$AV$13,0),MATCH(T19,'Tables - Part 2'!$AX$5:$BA$5,0)),0)</f>
        <v>0</v>
      </c>
      <c r="BA19" s="248">
        <f>IF($S19=$BA$3,((INDEX('Tables - Part 2'!$AX$17:$BA$24,MATCH(V19,'Tables - Part 2'!$AV$6:$AV$13,0),MATCH(T19,'Tables - Part 2'!$AX$5:$BA$5,0)))+(((INDEX('Tables - Part 2'!$AX$17:$BA$24,MATCH(V19,'Tables - Part 2'!$AV$6:$AV$13,0),MATCH(T19,'Tables - Part 2'!$AX$5:$BA$5,0)))+(INDEX('Tables - Part 2'!$AX$17:$BA$24,MATCH(V19,'Tables - Part 2'!$AV$6:$AV$13,0),MATCH(T19,'Tables - Part 2'!$AX$5:$BA$5,0))+INDEX('Tables - Part 2'!$BB$17:$BE$24,MATCH(V19,'Tables - Part 2'!$AV$6:$AV$13,0),MATCH(T19,'Tables - Part 2'!$AX$5:$BA$5,0)))/2)/2))/2,0)</f>
        <v>0</v>
      </c>
      <c r="BB19" s="248">
        <f>IF($S19=$BB$3,((INDEX('Tables - Part 2'!$AX$17:$BA$24,MATCH(V19,'Tables - Part 2'!$AV$6:$AV$13,0),MATCH(T19,'Tables - Part 2'!$AX$5:$BA$5,0)))+(INDEX('Tables - Part 2'!$AX$17:$BA$24,MATCH(V19,'Tables - Part 2'!$AV$6:$AV$13,0),MATCH(T19,'Tables - Part 2'!$AX$5:$BA$5,0))+INDEX('Tables - Part 2'!$BB$17:$BE$24,MATCH(V19,'Tables - Part 2'!$AV$6:$AV$13,0),MATCH(T19,'Tables - Part 2'!$AX$5:$BA$5,0)))/2)/2,0)</f>
        <v>0</v>
      </c>
      <c r="BC19" s="248">
        <f>IF($S19=$BC$3,((((INDEX('Tables - Part 2'!$AX$17:$BA$24,MATCH(V19,'Tables - Part 2'!$AV$6:$AV$13,0),MATCH(T19,'Tables - Part 2'!$AX$5:$BA$5,0)))+(INDEX('Tables - Part 2'!$AX$17:$BA$24,MATCH(V19,'Tables - Part 2'!$AV$6:$AV$13,0),MATCH(T19,'Tables - Part 2'!$AX$5:$BA$5,0))+INDEX('Tables - Part 2'!$BB$17:$BE$24,MATCH(V19,'Tables - Part 2'!$AV$6:$AV$13,0),MATCH(T19,'Tables - Part 2'!$AX$5:$BA$5,0)))/2)/2)+((INDEX('Tables - Part 2'!$AX$17:$BA$24,MATCH(V19,'Tables - Part 2'!$AV$6:$AV$13,0),MATCH(T19,'Tables - Part 2'!$AX$5:$BA$5,0))+INDEX('Tables - Part 2'!$BB$17:$BE$24,MATCH(V19,'Tables - Part 2'!$AV$6:$AV$13,0),MATCH(T19,'Tables - Part 2'!$AX$5:$BA$5,0)))/2))/2,0)</f>
        <v>0</v>
      </c>
      <c r="BD19" s="248">
        <f>IF($S19=$BD$3,(INDEX('Tables - Part 2'!$AX$17:$BA$24,MATCH(V19,'Tables - Part 2'!$AV$6:$AV$13,0),MATCH(T19,'Tables - Part 2'!$AX$5:$BA$5,0))+INDEX('Tables - Part 2'!$BB$17:$BE$24,MATCH(V19,'Tables - Part 2'!$AV$6:$AV$13,0),MATCH(T19,'Tables - Part 2'!$AX$5:$BA$5,0)))/2,0)</f>
        <v>0</v>
      </c>
      <c r="BE19" s="248">
        <f>IF($S19=$BE$3,(((INDEX('Tables - Part 2'!$AX$17:$BA$24,MATCH(V19,'Tables - Part 2'!$AV$6:$AV$13,0),MATCH(T19,'Tables - Part 2'!$AX$5:$BA$5,0))+INDEX('Tables - Part 2'!$BB$17:$BE$24,MATCH(V19,'Tables - Part 2'!$AV$6:$AV$13,0),MATCH(T19,'Tables - Part 2'!$AX$5:$BA$5,0)))/2)+((((INDEX('Tables - Part 2'!$AX$17:$BA$24,MATCH(V19,'Tables - Part 2'!$AV$6:$AV$13,0),MATCH(T19,'Tables - Part 2'!$AX$5:$BA$5,0))+INDEX('Tables - Part 2'!$BB$17:$BE$24,MATCH(V19,'Tables - Part 2'!$AV$6:$AV$13,0),MATCH(T19,'Tables - Part 2'!$AX$5:$BA$5,0)))/2)+INDEX('Tables - Part 2'!$BB$17:$BE$24,MATCH(V19,'Tables - Part 2'!$AV$6:$AV$13,0),MATCH(T19,'Tables - Part 2'!$AX$5:$BA$5,0)))/2))/2,0)</f>
        <v>0</v>
      </c>
      <c r="BF19" s="248">
        <f>IF($S19=$BF$3,(((INDEX('Tables - Part 2'!$AX$17:$BA$24,MATCH(V19,'Tables - Part 2'!$AV$6:$AV$13,0),MATCH(T19,'Tables - Part 2'!$AX$5:$BA$5,0))+INDEX('Tables - Part 2'!$BB$17:$BE$24,MATCH(V19,'Tables - Part 2'!$AV$6:$AV$13,0),MATCH(T19,'Tables - Part 2'!$AX$5:$BA$5,0)))/2)+INDEX('Tables - Part 2'!$BB$17:$BE$24,MATCH(V19,'Tables - Part 2'!$AV$6:$AV$13,0),MATCH(T19,'Tables - Part 2'!$AX$5:$BA$5,0)))/2,0)</f>
        <v>0</v>
      </c>
      <c r="BG19" s="248">
        <f>IF($S19=$BG$3,(((((INDEX('Tables - Part 2'!$AX$17:$BA$24,MATCH(V19,'Tables - Part 2'!$AV$6:$AV$13,0),MATCH(T19,'Tables - Part 2'!$AX$5:$BA$5,0))+INDEX('Tables - Part 2'!$BB$17:$BE$24,MATCH(V19,'Tables - Part 2'!$AV$6:$AV$13,0),MATCH(T19,'Tables - Part 2'!$AX$5:$BA$5,0)))/2)+INDEX('Tables - Part 2'!$BB$17:$BE$24,MATCH(V19,'Tables - Part 2'!$AV$6:$AV$13,0),MATCH(T19,'Tables - Part 2'!$AX$5:$BA$5,0)))/2)+(INDEX('Tables - Part 2'!$BB$17:$BE$24,MATCH(V19,'Tables - Part 2'!$AV$6:$AV$13,0),MATCH(T19,'Tables - Part 2'!$AX$5:$BA$5,0))))/2,0)</f>
        <v>0</v>
      </c>
      <c r="BH19" s="248">
        <f>IF($S19=$BH$3,INDEX('Tables - Part 2'!$BB$17:$BE$24,MATCH(V19,'Tables - Part 2'!$AV$6:$AV$13,0),MATCH(T19,'Tables - Part 2'!$AX$5:$BA$5,0)),0)</f>
        <v>0</v>
      </c>
      <c r="BI19" s="248">
        <f>IF($S19=$BI$3,((INDEX('Tables - Part 2'!$BB$17:$BE$24,MATCH(V19,'Tables - Part 2'!$AV$6:$AV$13,0),MATCH(T19,'Tables - Part 2'!$AX$5:$BA$5,0)))+(((INDEX('Tables - Part 2'!$BB$17:$BE$24,MATCH(V19,'Tables - Part 2'!$AV$6:$AV$13,0),MATCH(T19,'Tables - Part 2'!$AX$5:$BA$5,0)))+(INDEX('Tables - Part 2'!$BB$17:$BE$24,MATCH(V19,'Tables - Part 2'!$AV$6:$AV$13,0),MATCH(T19,'Tables - Part 2'!$AX$5:$BA$5,0))+INDEX('Tables - Part 2'!$BF$17:$BI$24,MATCH(V19,'Tables - Part 2'!$AV$6:$AV$13,0),MATCH(T19,'Tables - Part 2'!$AX$5:$BA$5,0)))/2)/2))/2,0)</f>
        <v>0</v>
      </c>
      <c r="BJ19" s="248">
        <f>IF($S19=$BJ$3,((INDEX('Tables - Part 2'!$BB$17:$BE$24,MATCH(V19,'Tables - Part 2'!$AV$6:$AV$13,0),MATCH(T19,'Tables - Part 2'!$AX$5:$BA$5,0)))+(INDEX('Tables - Part 2'!$BB$17:$BE$24,MATCH(V19,'Tables - Part 2'!$AV$6:$AV$13,0),MATCH(T19,'Tables - Part 2'!$AX$5:$BA$5,0))+INDEX('Tables - Part 2'!$BF$17:$BI$24,MATCH(V19,'Tables - Part 2'!$AV$6:$AV$13,0),MATCH(T19,'Tables - Part 2'!$AX$5:$BA$5,0)))/2)/2,0)</f>
        <v>0</v>
      </c>
      <c r="BK19" s="248">
        <f>IF($S19=$BK$3,((((INDEX('Tables - Part 2'!$BB$17:$BE$24,MATCH(V19,'Tables - Part 2'!$AV$6:$AV$13,0),MATCH(T19,'Tables - Part 2'!$AX$5:$BA$5,0)))+(INDEX('Tables - Part 2'!$BB$17:$BE$24,MATCH(V19,'Tables - Part 2'!$AV$6:$AV$13,0),MATCH(T19,'Tables - Part 2'!$AX$5:$BA$5,0))+INDEX('Tables - Part 2'!$BF$17:$BI$24,MATCH(V19,'Tables - Part 2'!$AV$6:$AV$13,0),MATCH(T19,'Tables - Part 2'!$AX$5:$BA$5,0)))/2)/2)+((INDEX('Tables - Part 2'!$BB$17:$BE$24,MATCH(V19,'Tables - Part 2'!$AV$6:$AV$13,0),MATCH(T19,'Tables - Part 2'!$AX$5:$BA$5,0))+INDEX('Tables - Part 2'!$BF$17:$BI$24,MATCH(V19,'Tables - Part 2'!$AV$6:$AV$13,0),MATCH(T19,'Tables - Part 2'!$AX$5:$BA$5,0)))/2))/2,0)</f>
        <v>0</v>
      </c>
      <c r="BL19" s="248">
        <f>IF($S19=$BL$3,(INDEX('Tables - Part 2'!$BB$17:$BE$24,MATCH(V19,'Tables - Part 2'!$AV$6:$AV$13,0),MATCH(T19,'Tables - Part 2'!$AX$5:$BA$5,0))+INDEX('Tables - Part 2'!$BF$17:$BI$24,MATCH(V19,'Tables - Part 2'!$AV$6:$AV$13,0),MATCH(T19,'Tables - Part 2'!$AX$5:$BA$5,0)))/2,0)</f>
        <v>0</v>
      </c>
      <c r="BM19" s="248">
        <f>IF($S19=$BM$3,(((INDEX('Tables - Part 2'!$BB$17:$BE$24,MATCH(V19,'Tables - Part 2'!$AV$6:$AV$13,0),MATCH(T19,'Tables - Part 2'!$AX$5:$BA$5,0))+INDEX('Tables - Part 2'!$BF$17:$BI$24,MATCH(V19,'Tables - Part 2'!$AV$6:$AV$13,0),MATCH(T19,'Tables - Part 2'!$AX$5:$BA$5,0)))/2)+((((INDEX('Tables - Part 2'!$BB$17:$BE$24,MATCH(V19,'Tables - Part 2'!$AV$6:$AV$13,0),MATCH(T19,'Tables - Part 2'!$AX$5:$BA$5,0))+INDEX('Tables - Part 2'!$BF$17:$BI$24,MATCH(V19,'Tables - Part 2'!$AV$6:$AV$13,0),MATCH(T19,'Tables - Part 2'!$AX$5:$BA$5,0)))/2)+INDEX('Tables - Part 2'!$BF$17:$BI$24,MATCH(V19,'Tables - Part 2'!$AV$6:$AV$13,0),MATCH(T19,'Tables - Part 2'!$AX$5:$BA$5,0)))/2))/2,0)</f>
        <v>0</v>
      </c>
      <c r="BN19" s="248">
        <f>IF($S19=$BN$3,(((INDEX('Tables - Part 2'!$BB$17:$BE$24,MATCH(V19,'Tables - Part 2'!$AV$6:$AV$13,0),MATCH(T19,'Tables - Part 2'!$AX$5:$BA$5,0))+INDEX('Tables - Part 2'!$BF$17:$BI$24,MATCH(V19,'Tables - Part 2'!$AV$6:$AV$13,0),MATCH(T19,'Tables - Part 2'!$AX$5:$BA$5,0)))/2)+INDEX('Tables - Part 2'!$BF$17:$BI$24,MATCH(V19,'Tables - Part 2'!$AV$6:$AV$13,0),MATCH(T19,'Tables - Part 2'!$AX$5:$BA$5,0)))/2,0)</f>
        <v>0</v>
      </c>
      <c r="BO19" s="248">
        <f>IF($S19=$BO$3,(((((INDEX('Tables - Part 2'!$BB$17:$BE$24,MATCH(V19,'Tables - Part 2'!$AV$6:$AV$13,0),MATCH(T19,'Tables - Part 2'!$AX$5:$BA$5,0))+INDEX('Tables - Part 2'!$BF$17:$BI$24,MATCH(V19,'Tables - Part 2'!$AV$6:$AV$13,0),MATCH(T19,'Tables - Part 2'!$AX$5:$BA$5,0)))/2)+INDEX('Tables - Part 2'!$BF$17:$BI$24,MATCH(V19,'Tables - Part 2'!$AV$6:$AV$13,0),MATCH(T19,'Tables - Part 2'!$AX$5:$BA$5,0)))/2)+(INDEX('Tables - Part 2'!$BF$17:$BI$24,MATCH(V19,'Tables - Part 2'!$AV$6:$AV$13,0),MATCH(T19,'Tables - Part 2'!$AX$5:$BA$5,0))))/2,0)</f>
        <v>0</v>
      </c>
      <c r="BP19" s="248">
        <f>IF($S19=$BP$3,INDEX('Tables - Part 2'!$BF$17:$BI$24,MATCH(V19,'Tables - Part 2'!$AV$6:$AV$13,0),MATCH(T19,'Tables - Part 2'!$AX$5:$BA$5,0)),0)</f>
        <v>0</v>
      </c>
      <c r="BQ19" s="248">
        <f t="shared" si="7"/>
        <v>0</v>
      </c>
      <c r="BR19" s="238">
        <f t="shared" si="8"/>
        <v>1.5</v>
      </c>
      <c r="BS19" s="238">
        <f t="shared" si="9"/>
        <v>25.159323702612586</v>
      </c>
    </row>
    <row r="20" spans="2:71" x14ac:dyDescent="0.35">
      <c r="B20" s="161" t="str">
        <f>'Tratamento de Dados'!B28</f>
        <v>V-90</v>
      </c>
      <c r="C20" s="161" t="str">
        <f>'Tratamento de Dados'!D28</f>
        <v>Casco</v>
      </c>
      <c r="D20" s="209" t="s">
        <v>245</v>
      </c>
      <c r="E20" s="209" t="s">
        <v>245</v>
      </c>
      <c r="F20" s="439">
        <v>0.02</v>
      </c>
      <c r="G20" s="209">
        <v>150</v>
      </c>
      <c r="H20" s="209" t="s">
        <v>244</v>
      </c>
      <c r="I20" s="209" t="s">
        <v>245</v>
      </c>
      <c r="J20" s="209" t="s">
        <v>244</v>
      </c>
      <c r="K20" s="209" t="s">
        <v>245</v>
      </c>
      <c r="L20" s="210">
        <v>39092</v>
      </c>
      <c r="M20" s="209">
        <v>0</v>
      </c>
      <c r="N20" s="209">
        <v>1</v>
      </c>
      <c r="O20" s="209">
        <v>1</v>
      </c>
      <c r="P20" s="209">
        <v>4</v>
      </c>
      <c r="Q20" s="253">
        <f>'Tratamento de Dados'!DA28</f>
        <v>0</v>
      </c>
      <c r="R20" s="253">
        <f>'Tratamento de Dados'!DB28</f>
        <v>0</v>
      </c>
      <c r="S20" s="256">
        <f t="shared" si="0"/>
        <v>2.5</v>
      </c>
      <c r="T20" s="246" t="str">
        <f t="shared" si="1"/>
        <v>B</v>
      </c>
      <c r="U20" s="238" t="str">
        <f t="shared" si="2"/>
        <v>Low</v>
      </c>
      <c r="V20" s="238">
        <f>(IF(AND(D20=$BX$2,E20&lt;&gt;$BX$2),"Fitness-For-Service",INDEX('Tables - Part 2'!$AT$4:$AT$7,MATCH(Caustic_Cracking!U20,'Tables - Part 2'!$AS$4:$AS$7,0))))</f>
        <v>50</v>
      </c>
      <c r="W20" s="238">
        <f>IF(L20=0,(Thinning!G21-Thinning!F21)/365.25,(Thinning!G21-L20)/365.25)</f>
        <v>12.980150581793293</v>
      </c>
      <c r="X20" s="248">
        <f t="shared" si="3"/>
        <v>0</v>
      </c>
      <c r="Y20" s="248">
        <f t="shared" si="4"/>
        <v>2.5</v>
      </c>
      <c r="Z20" s="248">
        <f t="shared" si="5"/>
        <v>3</v>
      </c>
      <c r="AA20" s="247">
        <f t="shared" si="6"/>
        <v>4</v>
      </c>
      <c r="AB20" s="248">
        <f>IF($S20=$AB$3,INDEX('Tables - Part 2'!$AX$6:$BA$13,MATCH(V20,'Tables - Part 2'!$AV$6:$AV$13,0),MATCH(T20,'Tables - Part 2'!$AX$5:$BA$5,0)),0)</f>
        <v>0</v>
      </c>
      <c r="AC20" s="248">
        <f>IF($S20=$AC$3,(INDEX('Tables - Part 2'!$AX$6:$BA$13,MATCH(V20,'Tables - Part 2'!$AV$6:$AV$13,0),MATCH(T20,'Tables - Part 2'!$AX$5:$BA$5,0))+(INDEX('Tables - Part 2'!$AX$6:$BA$13,MATCH(V20,'Tables - Part 2'!$AV$6:$AV$13,0),MATCH(T20,'Tables - Part 2'!$AX$5:$BA$5,0))+((INDEX('Tables - Part 2'!$AX$6:$BA$13,MATCH(V20,'Tables - Part 2'!$AV$6:$AV$13,0),MATCH(T20,'Tables - Part 2'!$AX$5:$BA$5,0))+INDEX('Tables - Part 2'!$BB$6:$BE$13,MATCH(V20,'Tables - Part 2'!$AV$6:$AV$13,0),MATCH(T20,'Tables - Part 2'!$AX$5:$BA$5,0)))/2))/2)/2,0)</f>
        <v>0</v>
      </c>
      <c r="AD20" s="248">
        <f>IF($S20=$AD$3,(INDEX('Tables - Part 2'!$AX$6:$BA$13,MATCH(V20,'Tables - Part 2'!$AV$6:$AV$13,0),MATCH(T20,'Tables - Part 2'!$AX$5:$BA$5,0))+((INDEX('Tables - Part 2'!$AX$6:$BA$13,MATCH(V20,'Tables - Part 2'!$AV$6:$AV$13,0),MATCH(T20,'Tables - Part 2'!$AX$5:$BA$5,0))+INDEX('Tables - Part 2'!$BB$6:$BE$13,MATCH(V20,'Tables - Part 2'!$AV$6:$AV$13,0),MATCH(T20,'Tables - Part 2'!$AX$5:$BA$5,0)))/2))/2,0)</f>
        <v>0</v>
      </c>
      <c r="AE20" s="248">
        <f>IF($S20=$AE$3,(((INDEX('Tables - Part 2'!$AX$6:$BA$13,MATCH(V20,'Tables - Part 2'!$AV$6:$AV$13,0),MATCH(T20,'Tables - Part 2'!$AX$5:$BA$5,0))+((INDEX('Tables - Part 2'!$AX$6:$BA$13,MATCH(V20,'Tables - Part 2'!$AV$6:$AV$13,0),MATCH(T20,'Tables - Part 2'!$AX$5:$BA$5,0))+INDEX('Tables - Part 2'!$BB$6:$BE$13,MATCH(V20,'Tables - Part 2'!$AV$6:$AV$13,0),MATCH(T20,'Tables - Part 2'!$AX$5:$BA$5,0)))/2))/2)+(INDEX('Tables - Part 2'!$AX$6:$BA$13,MATCH(V20,'Tables - Part 2'!$AV$6:$AV$13,0),MATCH(T20,'Tables - Part 2'!$AX$5:$BA$5,0))+INDEX('Tables - Part 2'!$BB$6:$BE$13,MATCH(V20,'Tables - Part 2'!$AV$6:$AV$13,0),MATCH(T20,'Tables - Part 2'!$AX$5:$BA$5,0)))/2)/2,0)</f>
        <v>0</v>
      </c>
      <c r="AF20" s="248">
        <f>IF($S20=$AF$3,(INDEX('Tables - Part 2'!$AX$6:$BA$13,MATCH(V20,'Tables - Part 2'!$AV$6:$AV$13,0),MATCH(T20,'Tables - Part 2'!$AX$5:$BA$5,0))+INDEX('Tables - Part 2'!$BB$6:$BE$13,MATCH(V20,'Tables - Part 2'!$AV$6:$AV$13,0),MATCH(T20,'Tables - Part 2'!$AX$5:$BA$5,0)))/2,0)</f>
        <v>0</v>
      </c>
      <c r="AG20" s="248">
        <f>IF($S20=$AG$3,(((INDEX('Tables - Part 2'!$AX$6:$BA$13,MATCH(V20,'Tables - Part 2'!$AV$6:$AV$13,0),MATCH(T20,'Tables - Part 2'!$AX$5:$BA$5,0))+INDEX('Tables - Part 2'!$BB$6:$BE$13,MATCH(V20,'Tables - Part 2'!$AV$6:$AV$13,0),MATCH(T20,'Tables - Part 2'!$AX$5:$BA$5,0)))/2)+(((INDEX('Tables - Part 2'!$AX$6:$BA$13,MATCH(V20,'Tables - Part 2'!$AV$6:$AV$13,0),MATCH(T20,'Tables - Part 2'!$AX$5:$BA$5,0))+INDEX('Tables - Part 2'!$BB$6:$BE$13,MATCH(V20,'Tables - Part 2'!$AV$6:$AV$13,0),MATCH(T20,'Tables - Part 2'!$AX$5:$BA$5,0)))/2)+INDEX('Tables - Part 2'!$BB$6:$BE$13,MATCH(V20,'Tables - Part 2'!$AV$6:$AV$13,0),MATCH(T20,'Tables - Part 2'!$AX$5:$BA$5,0)))/2)/2,0)</f>
        <v>0</v>
      </c>
      <c r="AH20" s="248">
        <f>IF($S20=$AH$3,(((INDEX('Tables - Part 2'!$AX$6:$BA$13,MATCH(V20,'Tables - Part 2'!$AV$6:$AV$13,0),MATCH(T20,'Tables - Part 2'!$AX$5:$BA$5,0))+INDEX('Tables - Part 2'!$BB$6:$BE$13,MATCH(V20,'Tables - Part 2'!$AV$6:$AV$13,0),MATCH(T20,'Tables - Part 2'!$AX$5:$BA$5,0)))/2)+INDEX('Tables - Part 2'!$BB$6:$BE$13,MATCH(V20,'Tables - Part 2'!$AV$6:$AV$13,0),MATCH(T20,'Tables - Part 2'!$AX$5:$BA$5,0)))/2,0)</f>
        <v>0</v>
      </c>
      <c r="AI20" s="248">
        <f>IF($S20=$AI$3,(((((INDEX('Tables - Part 2'!$AX$6:$BA$13,MATCH(V20,'Tables - Part 2'!$AV$6:$AV$13,0),MATCH(T20,'Tables - Part 2'!$AX$5:$BA$5,0))+INDEX('Tables - Part 2'!$BB$6:$BE$13,MATCH(V20,'Tables - Part 2'!$AV$6:$AV$13,0),MATCH(T20,'Tables - Part 2'!$AX$5:$BA$5,0)))/2)+INDEX('Tables - Part 2'!$BB$6:$BE$13,MATCH(V20,'Tables - Part 2'!$AV$6:$AV$13,0),MATCH(T20,'Tables - Part 2'!$AX$5:$BA$5,0)))/2)+INDEX('Tables - Part 2'!$BB$6:$BE$13,MATCH(V20,'Tables - Part 2'!$AV$6:$AV$13,0),MATCH(T20,'Tables - Part 2'!$AX$5:$BA$5,0)))/2,0)</f>
        <v>0</v>
      </c>
      <c r="AJ20" s="248">
        <f>IF($S20=$AJ$3,INDEX('Tables - Part 2'!$BB$6:$BE$13,MATCH(V20,'Tables - Part 2'!$AV$6:$AV$13,0),MATCH(T20,'Tables - Part 2'!$AX$5:$BA$5,0)),0)</f>
        <v>0</v>
      </c>
      <c r="AK20" s="248">
        <f>IF($S20=$AK$3,((INDEX('Tables - Part 2'!$BB$6:$BE$13,MATCH(V20,'Tables - Part 2'!$AV$6:$AV$13,0),MATCH(T20,'Tables - Part 2'!$AX$5:$BA$5,0)))+(INDEX('Tables - Part 2'!$BB$6:$BE$13,MATCH(V20,'Tables - Part 2'!$AV$6:$AV$13,0),MATCH(T20,'Tables - Part 2'!$AX$5:$BA$5,0))+(INDEX('Tables - Part 2'!$BB$6:$BE$13,MATCH(V20,'Tables - Part 2'!$AV$6:$AV$13,0),MATCH(T20,'Tables - Part 2'!$AX$5:$BA$5,0))+INDEX('Tables - Part 2'!$BF$6:$BI$13,MATCH(V20,'Tables - Part 2'!$AV$6:$AV$13,0),MATCH(T20,'Tables - Part 2'!$AX$5:$BA$5,0)))/2)/2)/2,0)</f>
        <v>0</v>
      </c>
      <c r="AL20" s="248">
        <f>IF($S20=$AL$3,(INDEX('Tables - Part 2'!$BB$6:$BE$13,MATCH(V20,'Tables - Part 2'!$AV$6:$AV$13,0),MATCH(T20,'Tables - Part 2'!$AX$5:$BA$5,0))+(INDEX('Tables - Part 2'!$BB$6:$BE$13,MATCH(V20,'Tables - Part 2'!$AV$6:$AV$13,0),MATCH(T20,'Tables - Part 2'!$AX$5:$BA$5,0))+INDEX('Tables - Part 2'!$BF$6:$BI$13,MATCH(V20,'Tables - Part 2'!$AV$6:$AV$13,0),MATCH(T20,'Tables - Part 2'!$AX$5:$BA$5,0)))/2)/2,0)</f>
        <v>0</v>
      </c>
      <c r="AM20" s="248">
        <f>IF($S20=$AM$3,(((INDEX('Tables - Part 2'!$BB$6:$BE$13,MATCH(V20,'Tables - Part 2'!$AV$6:$AV$13,0),MATCH(T20,'Tables - Part 2'!$AX$5:$BA$5,0))+(INDEX('Tables - Part 2'!$BB$6:$BE$13,MATCH(V20,'Tables - Part 2'!$AV$6:$AV$13,0),MATCH(T20,'Tables - Part 2'!$AX$5:$BA$5,0))+INDEX('Tables - Part 2'!$BF$6:$BI$13,MATCH(V20,'Tables - Part 2'!$AV$6:$AV$13,0),MATCH(T20,'Tables - Part 2'!$AX$5:$BA$5,0)))/2)/2)+((INDEX('Tables - Part 2'!$BB$6:$BE$13,MATCH(V20,'Tables - Part 2'!$AV$6:$AV$13,0),MATCH(T20,'Tables - Part 2'!$AX$5:$BA$5,0))+INDEX('Tables - Part 2'!$BF$6:$BI$13,MATCH(V20,'Tables - Part 2'!$AV$6:$AV$13,0),MATCH(T20,'Tables - Part 2'!$AX$5:$BA$5,0)))/2))/2,0)</f>
        <v>0</v>
      </c>
      <c r="AN20" s="248">
        <f>IF($S20=$AN$3,(INDEX('Tables - Part 2'!$BB$6:$BE$13,MATCH(V20,'Tables - Part 2'!$AV$6:$AV$13,0),MATCH(T20,'Tables - Part 2'!$AX$5:$BA$5,0))+INDEX('Tables - Part 2'!$BF$6:$BI$13,MATCH(V20,'Tables - Part 2'!$AV$6:$AV$13,0),MATCH(T20,'Tables - Part 2'!$AX$5:$BA$5,0)))/2,0)</f>
        <v>1.5</v>
      </c>
      <c r="AO20" s="248">
        <f>IF($S20=$AO$3,(((INDEX('Tables - Part 2'!$BB$6:$BE$13,MATCH(V20,'Tables - Part 2'!$AV$6:$AV$13,0),MATCH(T20,'Tables - Part 2'!$AX$5:$BA$5,0))+INDEX('Tables - Part 2'!$BF$6:$BI$13,MATCH(V20,'Tables - Part 2'!$AV$6:$AV$13,0),MATCH(T20,'Tables - Part 2'!$AX$5:$BA$5,0)))/2)+((((INDEX('Tables - Part 2'!$BB$6:$BE$13,MATCH(V20,'Tables - Part 2'!$AV$6:$AV$13,0),MATCH(T20,'Tables - Part 2'!$AX$5:$BA$5,0))+INDEX('Tables - Part 2'!$BF$6:$BI$13,MATCH(V20,'Tables - Part 2'!$AV$6:$AV$13,0),MATCH(T20,'Tables - Part 2'!$AX$5:$BA$5,0)))/2)+INDEX('Tables - Part 2'!$BF$6:$BI$13,MATCH(V20,'Tables - Part 2'!$AV$6:$AV$13,0),MATCH(T20,'Tables - Part 2'!$AX$5:$BA$5,0)))/2))/2,0)</f>
        <v>0</v>
      </c>
      <c r="AP20" s="248">
        <f>IF($S20=$AP$3,(((INDEX('Tables - Part 2'!$BB$6:$BE$13,MATCH(V20,'Tables - Part 2'!$AV$6:$AV$13,0),MATCH(T20,'Tables - Part 2'!$AX$5:$BA$5,0))+INDEX('Tables - Part 2'!$BF$6:$BI$13,MATCH(V20,'Tables - Part 2'!$AV$6:$AV$13,0),MATCH(T20,'Tables - Part 2'!$AX$5:$BA$5,0)))/2)+INDEX('Tables - Part 2'!$BF$6:$BI$13,MATCH(V20,'Tables - Part 2'!$AV$6:$AV$13,0),MATCH(T20,'Tables - Part 2'!$AX$5:$BA$5,0)))/2,0)</f>
        <v>0</v>
      </c>
      <c r="AQ20" s="248">
        <f>IF($S20=$AQ$3,(((((INDEX('Tables - Part 2'!$BB$6:$BE$13,MATCH(V20,'Tables - Part 2'!$AV$6:$AV$13,0),MATCH(T20,'Tables - Part 2'!$AX$5:$BA$5,0))+INDEX('Tables - Part 2'!$BF$6:$BI$13,MATCH(V20,'Tables - Part 2'!$AV$6:$AV$13,0),MATCH(T20,'Tables - Part 2'!$AX$5:$BA$5,0)))/2)+INDEX('Tables - Part 2'!$BF$6:$BI$13,MATCH(V20,'Tables - Part 2'!$AV$6:$AV$13,0),MATCH(T20,'Tables - Part 2'!$AX$5:$BA$5,0)))/2)+INDEX('Tables - Part 2'!$BF$6:$BI$13,MATCH(V20,'Tables - Part 2'!$AV$6:$AV$13,0),MATCH(T20,'Tables - Part 2'!$AX$5:$BA$5,0)))/2,0)</f>
        <v>0</v>
      </c>
      <c r="AR20" s="248">
        <f>IF($S20=$AR$3,INDEX('Tables - Part 2'!$BF$6:$BI$13,MATCH(V20,'Tables - Part 2'!$AV$6:$AV$13,0),MATCH(T20,'Tables - Part 2'!$AX$5:$BA$5,0)),0)</f>
        <v>0</v>
      </c>
      <c r="AS20" s="248">
        <f>IF($S20=$AS$3,(INDEX('Tables - Part 2'!$BF$6:$BI$13,MATCH(V20,'Tables - Part 2'!$AV$6:$AV$13,0),MATCH(T20,'Tables - Part 2'!$AX$5:$BA$5,0))+((INDEX('Tables - Part 2'!$BF$6:$BI$13,MATCH(V20,'Tables - Part 2'!$AV$6:$AV$13,0),MATCH(T20,'Tables - Part 2'!$AX$5:$BA$5,0))+(INDEX('Tables - Part 2'!$BF$6:$BI$13,MATCH(V20,'Tables - Part 2'!$AV$6:$AV$13,0),MATCH(T20,'Tables - Part 2'!$AX$5:$BA$5,0))+INDEX('Tables - Part 2'!$AX$17:$BA$24,MATCH(V20,'Tables - Part 2'!$AV$6:$AV$13,0),MATCH(T20,'Tables - Part 2'!$AX$5:$BA$5,0)))/2)/2))/2,0)</f>
        <v>0</v>
      </c>
      <c r="AT20" s="248">
        <f>IF($S20=$AT$3,(INDEX('Tables - Part 2'!$BF$6:$BI$13,MATCH(V20,'Tables - Part 2'!$AV$6:$AV$13,0),MATCH(T20,'Tables - Part 2'!$AX$5:$BA$5,0))+(INDEX('Tables - Part 2'!$BF$6:$BI$13,MATCH(V20,'Tables - Part 2'!$AV$6:$AV$13,0),MATCH(T20,'Tables - Part 2'!$AX$5:$BA$5,0))+INDEX('Tables - Part 2'!$AX$17:$BA$24,MATCH(V20,'Tables - Part 2'!$AV$6:$AV$13,0),MATCH(T20,'Tables - Part 2'!$AX$5:$BA$5,0)))/2)/2,0)</f>
        <v>0</v>
      </c>
      <c r="AU20" s="248">
        <f>IF($S20=$AU$3,(((INDEX('Tables - Part 2'!$BF$6:$BI$13,MATCH(V20,'Tables - Part 2'!$AV$6:$AV$13,0),MATCH(T20,'Tables - Part 2'!$AX$5:$BA$5,0))+(INDEX('Tables - Part 2'!$BF$6:$BI$13,MATCH(V20,'Tables - Part 2'!$AV$6:$AV$13,0),MATCH(T20,'Tables - Part 2'!$AX$5:$BA$5,0))+INDEX('Tables - Part 2'!$AX$17:$BA$24,MATCH(V20,'Tables - Part 2'!$AV$6:$AV$13,0),MATCH(T20,'Tables - Part 2'!$AX$5:$BA$5,0)))/2)/2)+((INDEX('Tables - Part 2'!$BF$6:$BI$13,MATCH(V20,'Tables - Part 2'!$AV$6:$AV$13,0),MATCH(T20,'Tables - Part 2'!$AX$5:$BA$5,0))+INDEX('Tables - Part 2'!$AX$17:$BA$24,MATCH(V20,'Tables - Part 2'!$AV$6:$AV$13,0),MATCH(T20,'Tables - Part 2'!$AX$5:$BA$5,0)))/2))/2,0)</f>
        <v>0</v>
      </c>
      <c r="AV20" s="248">
        <f>IF($S20=$AV$3,(INDEX('Tables - Part 2'!$BF$6:$BI$13,MATCH(V20,'Tables - Part 2'!$AV$6:$AV$13,0),MATCH(T20,'Tables - Part 2'!$AX$5:$BA$5,0))+INDEX('Tables - Part 2'!$AX$17:$BA$24,MATCH(V20,'Tables - Part 2'!$AV$6:$AV$13,0),MATCH(T20,'Tables - Part 2'!$AX$5:$BA$5,0)))/2,0)</f>
        <v>0</v>
      </c>
      <c r="AW20" s="248">
        <f>IF($S20=$AW$3,(((INDEX('Tables - Part 2'!$BF$6:$BI$13,MATCH(V20,'Tables - Part 2'!$AV$6:$AV$13,0),MATCH(T20,'Tables - Part 2'!$AX$5:$BA$5,0))+INDEX('Tables - Part 2'!$AX$17:$BA$24,MATCH(V20,'Tables - Part 2'!$AV$6:$AV$13,0),MATCH(T20,'Tables - Part 2'!$AX$5:$BA$5,0)))/2)+((((INDEX('Tables - Part 2'!$BF$6:$BI$13,MATCH(V20,'Tables - Part 2'!$AV$6:$AV$13,0),MATCH(T20,'Tables - Part 2'!$AX$5:$BA$5,0))+INDEX('Tables - Part 2'!$AX$17:$BA$24,MATCH(V20,'Tables - Part 2'!$AV$6:$AV$13,0),MATCH(T20,'Tables - Part 2'!$AX$5:$BA$5,0)))/2)+INDEX('Tables - Part 2'!$AX$17:$BA$24,MATCH(V20,'Tables - Part 2'!$AV$6:$AV$13,0),MATCH(T20,'Tables - Part 2'!$AX$5:$BA$5,0)))/2))/2,0)</f>
        <v>0</v>
      </c>
      <c r="AX20" s="248">
        <f>IF($S20=$AX$3,(((INDEX('Tables - Part 2'!$BF$6:$BI$13,MATCH(V20,'Tables - Part 2'!$AV$6:$AV$13,0),MATCH(T20,'Tables - Part 2'!$AX$5:$BA$5,0))+INDEX('Tables - Part 2'!$AX$17:$BA$24,MATCH(V20,'Tables - Part 2'!$AV$6:$AV$13,0),MATCH(T20,'Tables - Part 2'!$AX$5:$BA$5,0)))/2)+INDEX('Tables - Part 2'!$AX$17:$BA$24,MATCH(V20,'Tables - Part 2'!$AV$6:$AV$13,0),MATCH(T20,'Tables - Part 2'!$AX$5:$BA$5,0)))/2,0)</f>
        <v>0</v>
      </c>
      <c r="AY20" s="248">
        <f>IF($S20=$AY$3,(((((INDEX('Tables - Part 2'!$BF$6:$BI$13,MATCH(V20,'Tables - Part 2'!$AV$6:$AV$13,0),MATCH(T20,'Tables - Part 2'!$AX$5:$BA$5,0))+INDEX('Tables - Part 2'!$AX$17:$BA$24,MATCH(V20,'Tables - Part 2'!$AV$6:$AV$13,0),MATCH(T20,'Tables - Part 2'!$AX$5:$BA$5,0)))/2)+INDEX('Tables - Part 2'!$AX$17:$BA$24,MATCH(V20,'Tables - Part 2'!$AV$6:$AV$13,0),MATCH(T20,'Tables - Part 2'!$AX$5:$BA$5,0)))/2)+(INDEX('Tables - Part 2'!$AX$17:$BA$24,MATCH(V20,'Tables - Part 2'!$AV$6:$AV$13,0),MATCH(T20,'Tables - Part 2'!$AX$5:$BA$5,0))))/2,0)</f>
        <v>0</v>
      </c>
      <c r="AZ20" s="248">
        <f>IF($S20=$AZ$3,INDEX('Tables - Part 2'!$AX$17:$BA$24,MATCH(V20,'Tables - Part 2'!$AV$6:$AV$13,0),MATCH(T20,'Tables - Part 2'!$AX$5:$BA$5,0)),0)</f>
        <v>0</v>
      </c>
      <c r="BA20" s="248">
        <f>IF($S20=$BA$3,((INDEX('Tables - Part 2'!$AX$17:$BA$24,MATCH(V20,'Tables - Part 2'!$AV$6:$AV$13,0),MATCH(T20,'Tables - Part 2'!$AX$5:$BA$5,0)))+(((INDEX('Tables - Part 2'!$AX$17:$BA$24,MATCH(V20,'Tables - Part 2'!$AV$6:$AV$13,0),MATCH(T20,'Tables - Part 2'!$AX$5:$BA$5,0)))+(INDEX('Tables - Part 2'!$AX$17:$BA$24,MATCH(V20,'Tables - Part 2'!$AV$6:$AV$13,0),MATCH(T20,'Tables - Part 2'!$AX$5:$BA$5,0))+INDEX('Tables - Part 2'!$BB$17:$BE$24,MATCH(V20,'Tables - Part 2'!$AV$6:$AV$13,0),MATCH(T20,'Tables - Part 2'!$AX$5:$BA$5,0)))/2)/2))/2,0)</f>
        <v>0</v>
      </c>
      <c r="BB20" s="248">
        <f>IF($S20=$BB$3,((INDEX('Tables - Part 2'!$AX$17:$BA$24,MATCH(V20,'Tables - Part 2'!$AV$6:$AV$13,0),MATCH(T20,'Tables - Part 2'!$AX$5:$BA$5,0)))+(INDEX('Tables - Part 2'!$AX$17:$BA$24,MATCH(V20,'Tables - Part 2'!$AV$6:$AV$13,0),MATCH(T20,'Tables - Part 2'!$AX$5:$BA$5,0))+INDEX('Tables - Part 2'!$BB$17:$BE$24,MATCH(V20,'Tables - Part 2'!$AV$6:$AV$13,0),MATCH(T20,'Tables - Part 2'!$AX$5:$BA$5,0)))/2)/2,0)</f>
        <v>0</v>
      </c>
      <c r="BC20" s="248">
        <f>IF($S20=$BC$3,((((INDEX('Tables - Part 2'!$AX$17:$BA$24,MATCH(V20,'Tables - Part 2'!$AV$6:$AV$13,0),MATCH(T20,'Tables - Part 2'!$AX$5:$BA$5,0)))+(INDEX('Tables - Part 2'!$AX$17:$BA$24,MATCH(V20,'Tables - Part 2'!$AV$6:$AV$13,0),MATCH(T20,'Tables - Part 2'!$AX$5:$BA$5,0))+INDEX('Tables - Part 2'!$BB$17:$BE$24,MATCH(V20,'Tables - Part 2'!$AV$6:$AV$13,0),MATCH(T20,'Tables - Part 2'!$AX$5:$BA$5,0)))/2)/2)+((INDEX('Tables - Part 2'!$AX$17:$BA$24,MATCH(V20,'Tables - Part 2'!$AV$6:$AV$13,0),MATCH(T20,'Tables - Part 2'!$AX$5:$BA$5,0))+INDEX('Tables - Part 2'!$BB$17:$BE$24,MATCH(V20,'Tables - Part 2'!$AV$6:$AV$13,0),MATCH(T20,'Tables - Part 2'!$AX$5:$BA$5,0)))/2))/2,0)</f>
        <v>0</v>
      </c>
      <c r="BD20" s="248">
        <f>IF($S20=$BD$3,(INDEX('Tables - Part 2'!$AX$17:$BA$24,MATCH(V20,'Tables - Part 2'!$AV$6:$AV$13,0),MATCH(T20,'Tables - Part 2'!$AX$5:$BA$5,0))+INDEX('Tables - Part 2'!$BB$17:$BE$24,MATCH(V20,'Tables - Part 2'!$AV$6:$AV$13,0),MATCH(T20,'Tables - Part 2'!$AX$5:$BA$5,0)))/2,0)</f>
        <v>0</v>
      </c>
      <c r="BE20" s="248">
        <f>IF($S20=$BE$3,(((INDEX('Tables - Part 2'!$AX$17:$BA$24,MATCH(V20,'Tables - Part 2'!$AV$6:$AV$13,0),MATCH(T20,'Tables - Part 2'!$AX$5:$BA$5,0))+INDEX('Tables - Part 2'!$BB$17:$BE$24,MATCH(V20,'Tables - Part 2'!$AV$6:$AV$13,0),MATCH(T20,'Tables - Part 2'!$AX$5:$BA$5,0)))/2)+((((INDEX('Tables - Part 2'!$AX$17:$BA$24,MATCH(V20,'Tables - Part 2'!$AV$6:$AV$13,0),MATCH(T20,'Tables - Part 2'!$AX$5:$BA$5,0))+INDEX('Tables - Part 2'!$BB$17:$BE$24,MATCH(V20,'Tables - Part 2'!$AV$6:$AV$13,0),MATCH(T20,'Tables - Part 2'!$AX$5:$BA$5,0)))/2)+INDEX('Tables - Part 2'!$BB$17:$BE$24,MATCH(V20,'Tables - Part 2'!$AV$6:$AV$13,0),MATCH(T20,'Tables - Part 2'!$AX$5:$BA$5,0)))/2))/2,0)</f>
        <v>0</v>
      </c>
      <c r="BF20" s="248">
        <f>IF($S20=$BF$3,(((INDEX('Tables - Part 2'!$AX$17:$BA$24,MATCH(V20,'Tables - Part 2'!$AV$6:$AV$13,0),MATCH(T20,'Tables - Part 2'!$AX$5:$BA$5,0))+INDEX('Tables - Part 2'!$BB$17:$BE$24,MATCH(V20,'Tables - Part 2'!$AV$6:$AV$13,0),MATCH(T20,'Tables - Part 2'!$AX$5:$BA$5,0)))/2)+INDEX('Tables - Part 2'!$BB$17:$BE$24,MATCH(V20,'Tables - Part 2'!$AV$6:$AV$13,0),MATCH(T20,'Tables - Part 2'!$AX$5:$BA$5,0)))/2,0)</f>
        <v>0</v>
      </c>
      <c r="BG20" s="248">
        <f>IF($S20=$BG$3,(((((INDEX('Tables - Part 2'!$AX$17:$BA$24,MATCH(V20,'Tables - Part 2'!$AV$6:$AV$13,0),MATCH(T20,'Tables - Part 2'!$AX$5:$BA$5,0))+INDEX('Tables - Part 2'!$BB$17:$BE$24,MATCH(V20,'Tables - Part 2'!$AV$6:$AV$13,0),MATCH(T20,'Tables - Part 2'!$AX$5:$BA$5,0)))/2)+INDEX('Tables - Part 2'!$BB$17:$BE$24,MATCH(V20,'Tables - Part 2'!$AV$6:$AV$13,0),MATCH(T20,'Tables - Part 2'!$AX$5:$BA$5,0)))/2)+(INDEX('Tables - Part 2'!$BB$17:$BE$24,MATCH(V20,'Tables - Part 2'!$AV$6:$AV$13,0),MATCH(T20,'Tables - Part 2'!$AX$5:$BA$5,0))))/2,0)</f>
        <v>0</v>
      </c>
      <c r="BH20" s="248">
        <f>IF($S20=$BH$3,INDEX('Tables - Part 2'!$BB$17:$BE$24,MATCH(V20,'Tables - Part 2'!$AV$6:$AV$13,0),MATCH(T20,'Tables - Part 2'!$AX$5:$BA$5,0)),0)</f>
        <v>0</v>
      </c>
      <c r="BI20" s="248">
        <f>IF($S20=$BI$3,((INDEX('Tables - Part 2'!$BB$17:$BE$24,MATCH(V20,'Tables - Part 2'!$AV$6:$AV$13,0),MATCH(T20,'Tables - Part 2'!$AX$5:$BA$5,0)))+(((INDEX('Tables - Part 2'!$BB$17:$BE$24,MATCH(V20,'Tables - Part 2'!$AV$6:$AV$13,0),MATCH(T20,'Tables - Part 2'!$AX$5:$BA$5,0)))+(INDEX('Tables - Part 2'!$BB$17:$BE$24,MATCH(V20,'Tables - Part 2'!$AV$6:$AV$13,0),MATCH(T20,'Tables - Part 2'!$AX$5:$BA$5,0))+INDEX('Tables - Part 2'!$BF$17:$BI$24,MATCH(V20,'Tables - Part 2'!$AV$6:$AV$13,0),MATCH(T20,'Tables - Part 2'!$AX$5:$BA$5,0)))/2)/2))/2,0)</f>
        <v>0</v>
      </c>
      <c r="BJ20" s="248">
        <f>IF($S20=$BJ$3,((INDEX('Tables - Part 2'!$BB$17:$BE$24,MATCH(V20,'Tables - Part 2'!$AV$6:$AV$13,0),MATCH(T20,'Tables - Part 2'!$AX$5:$BA$5,0)))+(INDEX('Tables - Part 2'!$BB$17:$BE$24,MATCH(V20,'Tables - Part 2'!$AV$6:$AV$13,0),MATCH(T20,'Tables - Part 2'!$AX$5:$BA$5,0))+INDEX('Tables - Part 2'!$BF$17:$BI$24,MATCH(V20,'Tables - Part 2'!$AV$6:$AV$13,0),MATCH(T20,'Tables - Part 2'!$AX$5:$BA$5,0)))/2)/2,0)</f>
        <v>0</v>
      </c>
      <c r="BK20" s="248">
        <f>IF($S20=$BK$3,((((INDEX('Tables - Part 2'!$BB$17:$BE$24,MATCH(V20,'Tables - Part 2'!$AV$6:$AV$13,0),MATCH(T20,'Tables - Part 2'!$AX$5:$BA$5,0)))+(INDEX('Tables - Part 2'!$BB$17:$BE$24,MATCH(V20,'Tables - Part 2'!$AV$6:$AV$13,0),MATCH(T20,'Tables - Part 2'!$AX$5:$BA$5,0))+INDEX('Tables - Part 2'!$BF$17:$BI$24,MATCH(V20,'Tables - Part 2'!$AV$6:$AV$13,0),MATCH(T20,'Tables - Part 2'!$AX$5:$BA$5,0)))/2)/2)+((INDEX('Tables - Part 2'!$BB$17:$BE$24,MATCH(V20,'Tables - Part 2'!$AV$6:$AV$13,0),MATCH(T20,'Tables - Part 2'!$AX$5:$BA$5,0))+INDEX('Tables - Part 2'!$BF$17:$BI$24,MATCH(V20,'Tables - Part 2'!$AV$6:$AV$13,0),MATCH(T20,'Tables - Part 2'!$AX$5:$BA$5,0)))/2))/2,0)</f>
        <v>0</v>
      </c>
      <c r="BL20" s="248">
        <f>IF($S20=$BL$3,(INDEX('Tables - Part 2'!$BB$17:$BE$24,MATCH(V20,'Tables - Part 2'!$AV$6:$AV$13,0),MATCH(T20,'Tables - Part 2'!$AX$5:$BA$5,0))+INDEX('Tables - Part 2'!$BF$17:$BI$24,MATCH(V20,'Tables - Part 2'!$AV$6:$AV$13,0),MATCH(T20,'Tables - Part 2'!$AX$5:$BA$5,0)))/2,0)</f>
        <v>0</v>
      </c>
      <c r="BM20" s="248">
        <f>IF($S20=$BM$3,(((INDEX('Tables - Part 2'!$BB$17:$BE$24,MATCH(V20,'Tables - Part 2'!$AV$6:$AV$13,0),MATCH(T20,'Tables - Part 2'!$AX$5:$BA$5,0))+INDEX('Tables - Part 2'!$BF$17:$BI$24,MATCH(V20,'Tables - Part 2'!$AV$6:$AV$13,0),MATCH(T20,'Tables - Part 2'!$AX$5:$BA$5,0)))/2)+((((INDEX('Tables - Part 2'!$BB$17:$BE$24,MATCH(V20,'Tables - Part 2'!$AV$6:$AV$13,0),MATCH(T20,'Tables - Part 2'!$AX$5:$BA$5,0))+INDEX('Tables - Part 2'!$BF$17:$BI$24,MATCH(V20,'Tables - Part 2'!$AV$6:$AV$13,0),MATCH(T20,'Tables - Part 2'!$AX$5:$BA$5,0)))/2)+INDEX('Tables - Part 2'!$BF$17:$BI$24,MATCH(V20,'Tables - Part 2'!$AV$6:$AV$13,0),MATCH(T20,'Tables - Part 2'!$AX$5:$BA$5,0)))/2))/2,0)</f>
        <v>0</v>
      </c>
      <c r="BN20" s="248">
        <f>IF($S20=$BN$3,(((INDEX('Tables - Part 2'!$BB$17:$BE$24,MATCH(V20,'Tables - Part 2'!$AV$6:$AV$13,0),MATCH(T20,'Tables - Part 2'!$AX$5:$BA$5,0))+INDEX('Tables - Part 2'!$BF$17:$BI$24,MATCH(V20,'Tables - Part 2'!$AV$6:$AV$13,0),MATCH(T20,'Tables - Part 2'!$AX$5:$BA$5,0)))/2)+INDEX('Tables - Part 2'!$BF$17:$BI$24,MATCH(V20,'Tables - Part 2'!$AV$6:$AV$13,0),MATCH(T20,'Tables - Part 2'!$AX$5:$BA$5,0)))/2,0)</f>
        <v>0</v>
      </c>
      <c r="BO20" s="248">
        <f>IF($S20=$BO$3,(((((INDEX('Tables - Part 2'!$BB$17:$BE$24,MATCH(V20,'Tables - Part 2'!$AV$6:$AV$13,0),MATCH(T20,'Tables - Part 2'!$AX$5:$BA$5,0))+INDEX('Tables - Part 2'!$BF$17:$BI$24,MATCH(V20,'Tables - Part 2'!$AV$6:$AV$13,0),MATCH(T20,'Tables - Part 2'!$AX$5:$BA$5,0)))/2)+INDEX('Tables - Part 2'!$BF$17:$BI$24,MATCH(V20,'Tables - Part 2'!$AV$6:$AV$13,0),MATCH(T20,'Tables - Part 2'!$AX$5:$BA$5,0)))/2)+(INDEX('Tables - Part 2'!$BF$17:$BI$24,MATCH(V20,'Tables - Part 2'!$AV$6:$AV$13,0),MATCH(T20,'Tables - Part 2'!$AX$5:$BA$5,0))))/2,0)</f>
        <v>0</v>
      </c>
      <c r="BP20" s="248">
        <f>IF($S20=$BP$3,INDEX('Tables - Part 2'!$BF$17:$BI$24,MATCH(V20,'Tables - Part 2'!$AV$6:$AV$13,0),MATCH(T20,'Tables - Part 2'!$AX$5:$BA$5,0)),0)</f>
        <v>0</v>
      </c>
      <c r="BQ20" s="248">
        <f t="shared" si="7"/>
        <v>0</v>
      </c>
      <c r="BR20" s="238">
        <f t="shared" si="8"/>
        <v>1.5</v>
      </c>
      <c r="BS20" s="238">
        <f t="shared" si="9"/>
        <v>25.159323702612586</v>
      </c>
    </row>
    <row r="21" spans="2:71" x14ac:dyDescent="0.35">
      <c r="B21" s="161" t="str">
        <f>'Tratamento de Dados'!B29</f>
        <v>V-9</v>
      </c>
      <c r="C21" s="161" t="str">
        <f>'Tratamento de Dados'!D29</f>
        <v>Casco</v>
      </c>
      <c r="D21" s="209" t="s">
        <v>245</v>
      </c>
      <c r="E21" s="209" t="s">
        <v>245</v>
      </c>
      <c r="F21" s="439">
        <v>0.02</v>
      </c>
      <c r="G21" s="209">
        <v>150</v>
      </c>
      <c r="H21" s="209" t="s">
        <v>244</v>
      </c>
      <c r="I21" s="209" t="s">
        <v>245</v>
      </c>
      <c r="J21" s="209" t="s">
        <v>244</v>
      </c>
      <c r="K21" s="209" t="s">
        <v>245</v>
      </c>
      <c r="L21" s="210">
        <v>39092</v>
      </c>
      <c r="M21" s="209">
        <v>0</v>
      </c>
      <c r="N21" s="209">
        <v>1</v>
      </c>
      <c r="O21" s="209">
        <v>1</v>
      </c>
      <c r="P21" s="209">
        <v>4</v>
      </c>
      <c r="Q21" s="253">
        <f>'Tratamento de Dados'!DA29</f>
        <v>0</v>
      </c>
      <c r="R21" s="253">
        <f>'Tratamento de Dados'!DB29</f>
        <v>0</v>
      </c>
      <c r="S21" s="256">
        <f t="shared" si="0"/>
        <v>2.5</v>
      </c>
      <c r="T21" s="246" t="str">
        <f t="shared" si="1"/>
        <v>B</v>
      </c>
      <c r="U21" s="238" t="str">
        <f t="shared" si="2"/>
        <v>Low</v>
      </c>
      <c r="V21" s="238">
        <f>(IF(AND(D21=$BX$2,E21&lt;&gt;$BX$2),"Fitness-For-Service",INDEX('Tables - Part 2'!$AT$4:$AT$7,MATCH(Caustic_Cracking!U21,'Tables - Part 2'!$AS$4:$AS$7,0))))</f>
        <v>50</v>
      </c>
      <c r="W21" s="238">
        <f>IF(L21=0,(Thinning!G22-Thinning!F22)/365.25,(Thinning!G22-L21)/365.25)</f>
        <v>12.980150581793293</v>
      </c>
      <c r="X21" s="248">
        <f t="shared" si="3"/>
        <v>0</v>
      </c>
      <c r="Y21" s="248">
        <f t="shared" si="4"/>
        <v>2.5</v>
      </c>
      <c r="Z21" s="248">
        <f t="shared" si="5"/>
        <v>3</v>
      </c>
      <c r="AA21" s="247">
        <f t="shared" si="6"/>
        <v>4</v>
      </c>
      <c r="AB21" s="248">
        <f>IF($S21=$AB$3,INDEX('Tables - Part 2'!$AX$6:$BA$13,MATCH(V21,'Tables - Part 2'!$AV$6:$AV$13,0),MATCH(T21,'Tables - Part 2'!$AX$5:$BA$5,0)),0)</f>
        <v>0</v>
      </c>
      <c r="AC21" s="248">
        <f>IF($S21=$AC$3,(INDEX('Tables - Part 2'!$AX$6:$BA$13,MATCH(V21,'Tables - Part 2'!$AV$6:$AV$13,0),MATCH(T21,'Tables - Part 2'!$AX$5:$BA$5,0))+(INDEX('Tables - Part 2'!$AX$6:$BA$13,MATCH(V21,'Tables - Part 2'!$AV$6:$AV$13,0),MATCH(T21,'Tables - Part 2'!$AX$5:$BA$5,0))+((INDEX('Tables - Part 2'!$AX$6:$BA$13,MATCH(V21,'Tables - Part 2'!$AV$6:$AV$13,0),MATCH(T21,'Tables - Part 2'!$AX$5:$BA$5,0))+INDEX('Tables - Part 2'!$BB$6:$BE$13,MATCH(V21,'Tables - Part 2'!$AV$6:$AV$13,0),MATCH(T21,'Tables - Part 2'!$AX$5:$BA$5,0)))/2))/2)/2,0)</f>
        <v>0</v>
      </c>
      <c r="AD21" s="248">
        <f>IF($S21=$AD$3,(INDEX('Tables - Part 2'!$AX$6:$BA$13,MATCH(V21,'Tables - Part 2'!$AV$6:$AV$13,0),MATCH(T21,'Tables - Part 2'!$AX$5:$BA$5,0))+((INDEX('Tables - Part 2'!$AX$6:$BA$13,MATCH(V21,'Tables - Part 2'!$AV$6:$AV$13,0),MATCH(T21,'Tables - Part 2'!$AX$5:$BA$5,0))+INDEX('Tables - Part 2'!$BB$6:$BE$13,MATCH(V21,'Tables - Part 2'!$AV$6:$AV$13,0),MATCH(T21,'Tables - Part 2'!$AX$5:$BA$5,0)))/2))/2,0)</f>
        <v>0</v>
      </c>
      <c r="AE21" s="248">
        <f>IF($S21=$AE$3,(((INDEX('Tables - Part 2'!$AX$6:$BA$13,MATCH(V21,'Tables - Part 2'!$AV$6:$AV$13,0),MATCH(T21,'Tables - Part 2'!$AX$5:$BA$5,0))+((INDEX('Tables - Part 2'!$AX$6:$BA$13,MATCH(V21,'Tables - Part 2'!$AV$6:$AV$13,0),MATCH(T21,'Tables - Part 2'!$AX$5:$BA$5,0))+INDEX('Tables - Part 2'!$BB$6:$BE$13,MATCH(V21,'Tables - Part 2'!$AV$6:$AV$13,0),MATCH(T21,'Tables - Part 2'!$AX$5:$BA$5,0)))/2))/2)+(INDEX('Tables - Part 2'!$AX$6:$BA$13,MATCH(V21,'Tables - Part 2'!$AV$6:$AV$13,0),MATCH(T21,'Tables - Part 2'!$AX$5:$BA$5,0))+INDEX('Tables - Part 2'!$BB$6:$BE$13,MATCH(V21,'Tables - Part 2'!$AV$6:$AV$13,0),MATCH(T21,'Tables - Part 2'!$AX$5:$BA$5,0)))/2)/2,0)</f>
        <v>0</v>
      </c>
      <c r="AF21" s="248">
        <f>IF($S21=$AF$3,(INDEX('Tables - Part 2'!$AX$6:$BA$13,MATCH(V21,'Tables - Part 2'!$AV$6:$AV$13,0),MATCH(T21,'Tables - Part 2'!$AX$5:$BA$5,0))+INDEX('Tables - Part 2'!$BB$6:$BE$13,MATCH(V21,'Tables - Part 2'!$AV$6:$AV$13,0),MATCH(T21,'Tables - Part 2'!$AX$5:$BA$5,0)))/2,0)</f>
        <v>0</v>
      </c>
      <c r="AG21" s="248">
        <f>IF($S21=$AG$3,(((INDEX('Tables - Part 2'!$AX$6:$BA$13,MATCH(V21,'Tables - Part 2'!$AV$6:$AV$13,0),MATCH(T21,'Tables - Part 2'!$AX$5:$BA$5,0))+INDEX('Tables - Part 2'!$BB$6:$BE$13,MATCH(V21,'Tables - Part 2'!$AV$6:$AV$13,0),MATCH(T21,'Tables - Part 2'!$AX$5:$BA$5,0)))/2)+(((INDEX('Tables - Part 2'!$AX$6:$BA$13,MATCH(V21,'Tables - Part 2'!$AV$6:$AV$13,0),MATCH(T21,'Tables - Part 2'!$AX$5:$BA$5,0))+INDEX('Tables - Part 2'!$BB$6:$BE$13,MATCH(V21,'Tables - Part 2'!$AV$6:$AV$13,0),MATCH(T21,'Tables - Part 2'!$AX$5:$BA$5,0)))/2)+INDEX('Tables - Part 2'!$BB$6:$BE$13,MATCH(V21,'Tables - Part 2'!$AV$6:$AV$13,0),MATCH(T21,'Tables - Part 2'!$AX$5:$BA$5,0)))/2)/2,0)</f>
        <v>0</v>
      </c>
      <c r="AH21" s="248">
        <f>IF($S21=$AH$3,(((INDEX('Tables - Part 2'!$AX$6:$BA$13,MATCH(V21,'Tables - Part 2'!$AV$6:$AV$13,0),MATCH(T21,'Tables - Part 2'!$AX$5:$BA$5,0))+INDEX('Tables - Part 2'!$BB$6:$BE$13,MATCH(V21,'Tables - Part 2'!$AV$6:$AV$13,0),MATCH(T21,'Tables - Part 2'!$AX$5:$BA$5,0)))/2)+INDEX('Tables - Part 2'!$BB$6:$BE$13,MATCH(V21,'Tables - Part 2'!$AV$6:$AV$13,0),MATCH(T21,'Tables - Part 2'!$AX$5:$BA$5,0)))/2,0)</f>
        <v>0</v>
      </c>
      <c r="AI21" s="248">
        <f>IF($S21=$AI$3,(((((INDEX('Tables - Part 2'!$AX$6:$BA$13,MATCH(V21,'Tables - Part 2'!$AV$6:$AV$13,0),MATCH(T21,'Tables - Part 2'!$AX$5:$BA$5,0))+INDEX('Tables - Part 2'!$BB$6:$BE$13,MATCH(V21,'Tables - Part 2'!$AV$6:$AV$13,0),MATCH(T21,'Tables - Part 2'!$AX$5:$BA$5,0)))/2)+INDEX('Tables - Part 2'!$BB$6:$BE$13,MATCH(V21,'Tables - Part 2'!$AV$6:$AV$13,0),MATCH(T21,'Tables - Part 2'!$AX$5:$BA$5,0)))/2)+INDEX('Tables - Part 2'!$BB$6:$BE$13,MATCH(V21,'Tables - Part 2'!$AV$6:$AV$13,0),MATCH(T21,'Tables - Part 2'!$AX$5:$BA$5,0)))/2,0)</f>
        <v>0</v>
      </c>
      <c r="AJ21" s="248">
        <f>IF($S21=$AJ$3,INDEX('Tables - Part 2'!$BB$6:$BE$13,MATCH(V21,'Tables - Part 2'!$AV$6:$AV$13,0),MATCH(T21,'Tables - Part 2'!$AX$5:$BA$5,0)),0)</f>
        <v>0</v>
      </c>
      <c r="AK21" s="248">
        <f>IF($S21=$AK$3,((INDEX('Tables - Part 2'!$BB$6:$BE$13,MATCH(V21,'Tables - Part 2'!$AV$6:$AV$13,0),MATCH(T21,'Tables - Part 2'!$AX$5:$BA$5,0)))+(INDEX('Tables - Part 2'!$BB$6:$BE$13,MATCH(V21,'Tables - Part 2'!$AV$6:$AV$13,0),MATCH(T21,'Tables - Part 2'!$AX$5:$BA$5,0))+(INDEX('Tables - Part 2'!$BB$6:$BE$13,MATCH(V21,'Tables - Part 2'!$AV$6:$AV$13,0),MATCH(T21,'Tables - Part 2'!$AX$5:$BA$5,0))+INDEX('Tables - Part 2'!$BF$6:$BI$13,MATCH(V21,'Tables - Part 2'!$AV$6:$AV$13,0),MATCH(T21,'Tables - Part 2'!$AX$5:$BA$5,0)))/2)/2)/2,0)</f>
        <v>0</v>
      </c>
      <c r="AL21" s="248">
        <f>IF($S21=$AL$3,(INDEX('Tables - Part 2'!$BB$6:$BE$13,MATCH(V21,'Tables - Part 2'!$AV$6:$AV$13,0),MATCH(T21,'Tables - Part 2'!$AX$5:$BA$5,0))+(INDEX('Tables - Part 2'!$BB$6:$BE$13,MATCH(V21,'Tables - Part 2'!$AV$6:$AV$13,0),MATCH(T21,'Tables - Part 2'!$AX$5:$BA$5,0))+INDEX('Tables - Part 2'!$BF$6:$BI$13,MATCH(V21,'Tables - Part 2'!$AV$6:$AV$13,0),MATCH(T21,'Tables - Part 2'!$AX$5:$BA$5,0)))/2)/2,0)</f>
        <v>0</v>
      </c>
      <c r="AM21" s="248">
        <f>IF($S21=$AM$3,(((INDEX('Tables - Part 2'!$BB$6:$BE$13,MATCH(V21,'Tables - Part 2'!$AV$6:$AV$13,0),MATCH(T21,'Tables - Part 2'!$AX$5:$BA$5,0))+(INDEX('Tables - Part 2'!$BB$6:$BE$13,MATCH(V21,'Tables - Part 2'!$AV$6:$AV$13,0),MATCH(T21,'Tables - Part 2'!$AX$5:$BA$5,0))+INDEX('Tables - Part 2'!$BF$6:$BI$13,MATCH(V21,'Tables - Part 2'!$AV$6:$AV$13,0),MATCH(T21,'Tables - Part 2'!$AX$5:$BA$5,0)))/2)/2)+((INDEX('Tables - Part 2'!$BB$6:$BE$13,MATCH(V21,'Tables - Part 2'!$AV$6:$AV$13,0),MATCH(T21,'Tables - Part 2'!$AX$5:$BA$5,0))+INDEX('Tables - Part 2'!$BF$6:$BI$13,MATCH(V21,'Tables - Part 2'!$AV$6:$AV$13,0),MATCH(T21,'Tables - Part 2'!$AX$5:$BA$5,0)))/2))/2,0)</f>
        <v>0</v>
      </c>
      <c r="AN21" s="248">
        <f>IF($S21=$AN$3,(INDEX('Tables - Part 2'!$BB$6:$BE$13,MATCH(V21,'Tables - Part 2'!$AV$6:$AV$13,0),MATCH(T21,'Tables - Part 2'!$AX$5:$BA$5,0))+INDEX('Tables - Part 2'!$BF$6:$BI$13,MATCH(V21,'Tables - Part 2'!$AV$6:$AV$13,0),MATCH(T21,'Tables - Part 2'!$AX$5:$BA$5,0)))/2,0)</f>
        <v>1.5</v>
      </c>
      <c r="AO21" s="248">
        <f>IF($S21=$AO$3,(((INDEX('Tables - Part 2'!$BB$6:$BE$13,MATCH(V21,'Tables - Part 2'!$AV$6:$AV$13,0),MATCH(T21,'Tables - Part 2'!$AX$5:$BA$5,0))+INDEX('Tables - Part 2'!$BF$6:$BI$13,MATCH(V21,'Tables - Part 2'!$AV$6:$AV$13,0),MATCH(T21,'Tables - Part 2'!$AX$5:$BA$5,0)))/2)+((((INDEX('Tables - Part 2'!$BB$6:$BE$13,MATCH(V21,'Tables - Part 2'!$AV$6:$AV$13,0),MATCH(T21,'Tables - Part 2'!$AX$5:$BA$5,0))+INDEX('Tables - Part 2'!$BF$6:$BI$13,MATCH(V21,'Tables - Part 2'!$AV$6:$AV$13,0),MATCH(T21,'Tables - Part 2'!$AX$5:$BA$5,0)))/2)+INDEX('Tables - Part 2'!$BF$6:$BI$13,MATCH(V21,'Tables - Part 2'!$AV$6:$AV$13,0),MATCH(T21,'Tables - Part 2'!$AX$5:$BA$5,0)))/2))/2,0)</f>
        <v>0</v>
      </c>
      <c r="AP21" s="248">
        <f>IF($S21=$AP$3,(((INDEX('Tables - Part 2'!$BB$6:$BE$13,MATCH(V21,'Tables - Part 2'!$AV$6:$AV$13,0),MATCH(T21,'Tables - Part 2'!$AX$5:$BA$5,0))+INDEX('Tables - Part 2'!$BF$6:$BI$13,MATCH(V21,'Tables - Part 2'!$AV$6:$AV$13,0),MATCH(T21,'Tables - Part 2'!$AX$5:$BA$5,0)))/2)+INDEX('Tables - Part 2'!$BF$6:$BI$13,MATCH(V21,'Tables - Part 2'!$AV$6:$AV$13,0),MATCH(T21,'Tables - Part 2'!$AX$5:$BA$5,0)))/2,0)</f>
        <v>0</v>
      </c>
      <c r="AQ21" s="248">
        <f>IF($S21=$AQ$3,(((((INDEX('Tables - Part 2'!$BB$6:$BE$13,MATCH(V21,'Tables - Part 2'!$AV$6:$AV$13,0),MATCH(T21,'Tables - Part 2'!$AX$5:$BA$5,0))+INDEX('Tables - Part 2'!$BF$6:$BI$13,MATCH(V21,'Tables - Part 2'!$AV$6:$AV$13,0),MATCH(T21,'Tables - Part 2'!$AX$5:$BA$5,0)))/2)+INDEX('Tables - Part 2'!$BF$6:$BI$13,MATCH(V21,'Tables - Part 2'!$AV$6:$AV$13,0),MATCH(T21,'Tables - Part 2'!$AX$5:$BA$5,0)))/2)+INDEX('Tables - Part 2'!$BF$6:$BI$13,MATCH(V21,'Tables - Part 2'!$AV$6:$AV$13,0),MATCH(T21,'Tables - Part 2'!$AX$5:$BA$5,0)))/2,0)</f>
        <v>0</v>
      </c>
      <c r="AR21" s="248">
        <f>IF($S21=$AR$3,INDEX('Tables - Part 2'!$BF$6:$BI$13,MATCH(V21,'Tables - Part 2'!$AV$6:$AV$13,0),MATCH(T21,'Tables - Part 2'!$AX$5:$BA$5,0)),0)</f>
        <v>0</v>
      </c>
      <c r="AS21" s="248">
        <f>IF($S21=$AS$3,(INDEX('Tables - Part 2'!$BF$6:$BI$13,MATCH(V21,'Tables - Part 2'!$AV$6:$AV$13,0),MATCH(T21,'Tables - Part 2'!$AX$5:$BA$5,0))+((INDEX('Tables - Part 2'!$BF$6:$BI$13,MATCH(V21,'Tables - Part 2'!$AV$6:$AV$13,0),MATCH(T21,'Tables - Part 2'!$AX$5:$BA$5,0))+(INDEX('Tables - Part 2'!$BF$6:$BI$13,MATCH(V21,'Tables - Part 2'!$AV$6:$AV$13,0),MATCH(T21,'Tables - Part 2'!$AX$5:$BA$5,0))+INDEX('Tables - Part 2'!$AX$17:$BA$24,MATCH(V21,'Tables - Part 2'!$AV$6:$AV$13,0),MATCH(T21,'Tables - Part 2'!$AX$5:$BA$5,0)))/2)/2))/2,0)</f>
        <v>0</v>
      </c>
      <c r="AT21" s="248">
        <f>IF($S21=$AT$3,(INDEX('Tables - Part 2'!$BF$6:$BI$13,MATCH(V21,'Tables - Part 2'!$AV$6:$AV$13,0),MATCH(T21,'Tables - Part 2'!$AX$5:$BA$5,0))+(INDEX('Tables - Part 2'!$BF$6:$BI$13,MATCH(V21,'Tables - Part 2'!$AV$6:$AV$13,0),MATCH(T21,'Tables - Part 2'!$AX$5:$BA$5,0))+INDEX('Tables - Part 2'!$AX$17:$BA$24,MATCH(V21,'Tables - Part 2'!$AV$6:$AV$13,0),MATCH(T21,'Tables - Part 2'!$AX$5:$BA$5,0)))/2)/2,0)</f>
        <v>0</v>
      </c>
      <c r="AU21" s="248">
        <f>IF($S21=$AU$3,(((INDEX('Tables - Part 2'!$BF$6:$BI$13,MATCH(V21,'Tables - Part 2'!$AV$6:$AV$13,0),MATCH(T21,'Tables - Part 2'!$AX$5:$BA$5,0))+(INDEX('Tables - Part 2'!$BF$6:$BI$13,MATCH(V21,'Tables - Part 2'!$AV$6:$AV$13,0),MATCH(T21,'Tables - Part 2'!$AX$5:$BA$5,0))+INDEX('Tables - Part 2'!$AX$17:$BA$24,MATCH(V21,'Tables - Part 2'!$AV$6:$AV$13,0),MATCH(T21,'Tables - Part 2'!$AX$5:$BA$5,0)))/2)/2)+((INDEX('Tables - Part 2'!$BF$6:$BI$13,MATCH(V21,'Tables - Part 2'!$AV$6:$AV$13,0),MATCH(T21,'Tables - Part 2'!$AX$5:$BA$5,0))+INDEX('Tables - Part 2'!$AX$17:$BA$24,MATCH(V21,'Tables - Part 2'!$AV$6:$AV$13,0),MATCH(T21,'Tables - Part 2'!$AX$5:$BA$5,0)))/2))/2,0)</f>
        <v>0</v>
      </c>
      <c r="AV21" s="248">
        <f>IF($S21=$AV$3,(INDEX('Tables - Part 2'!$BF$6:$BI$13,MATCH(V21,'Tables - Part 2'!$AV$6:$AV$13,0),MATCH(T21,'Tables - Part 2'!$AX$5:$BA$5,0))+INDEX('Tables - Part 2'!$AX$17:$BA$24,MATCH(V21,'Tables - Part 2'!$AV$6:$AV$13,0),MATCH(T21,'Tables - Part 2'!$AX$5:$BA$5,0)))/2,0)</f>
        <v>0</v>
      </c>
      <c r="AW21" s="248">
        <f>IF($S21=$AW$3,(((INDEX('Tables - Part 2'!$BF$6:$BI$13,MATCH(V21,'Tables - Part 2'!$AV$6:$AV$13,0),MATCH(T21,'Tables - Part 2'!$AX$5:$BA$5,0))+INDEX('Tables - Part 2'!$AX$17:$BA$24,MATCH(V21,'Tables - Part 2'!$AV$6:$AV$13,0),MATCH(T21,'Tables - Part 2'!$AX$5:$BA$5,0)))/2)+((((INDEX('Tables - Part 2'!$BF$6:$BI$13,MATCH(V21,'Tables - Part 2'!$AV$6:$AV$13,0),MATCH(T21,'Tables - Part 2'!$AX$5:$BA$5,0))+INDEX('Tables - Part 2'!$AX$17:$BA$24,MATCH(V21,'Tables - Part 2'!$AV$6:$AV$13,0),MATCH(T21,'Tables - Part 2'!$AX$5:$BA$5,0)))/2)+INDEX('Tables - Part 2'!$AX$17:$BA$24,MATCH(V21,'Tables - Part 2'!$AV$6:$AV$13,0),MATCH(T21,'Tables - Part 2'!$AX$5:$BA$5,0)))/2))/2,0)</f>
        <v>0</v>
      </c>
      <c r="AX21" s="248">
        <f>IF($S21=$AX$3,(((INDEX('Tables - Part 2'!$BF$6:$BI$13,MATCH(V21,'Tables - Part 2'!$AV$6:$AV$13,0),MATCH(T21,'Tables - Part 2'!$AX$5:$BA$5,0))+INDEX('Tables - Part 2'!$AX$17:$BA$24,MATCH(V21,'Tables - Part 2'!$AV$6:$AV$13,0),MATCH(T21,'Tables - Part 2'!$AX$5:$BA$5,0)))/2)+INDEX('Tables - Part 2'!$AX$17:$BA$24,MATCH(V21,'Tables - Part 2'!$AV$6:$AV$13,0),MATCH(T21,'Tables - Part 2'!$AX$5:$BA$5,0)))/2,0)</f>
        <v>0</v>
      </c>
      <c r="AY21" s="248">
        <f>IF($S21=$AY$3,(((((INDEX('Tables - Part 2'!$BF$6:$BI$13,MATCH(V21,'Tables - Part 2'!$AV$6:$AV$13,0),MATCH(T21,'Tables - Part 2'!$AX$5:$BA$5,0))+INDEX('Tables - Part 2'!$AX$17:$BA$24,MATCH(V21,'Tables - Part 2'!$AV$6:$AV$13,0),MATCH(T21,'Tables - Part 2'!$AX$5:$BA$5,0)))/2)+INDEX('Tables - Part 2'!$AX$17:$BA$24,MATCH(V21,'Tables - Part 2'!$AV$6:$AV$13,0),MATCH(T21,'Tables - Part 2'!$AX$5:$BA$5,0)))/2)+(INDEX('Tables - Part 2'!$AX$17:$BA$24,MATCH(V21,'Tables - Part 2'!$AV$6:$AV$13,0),MATCH(T21,'Tables - Part 2'!$AX$5:$BA$5,0))))/2,0)</f>
        <v>0</v>
      </c>
      <c r="AZ21" s="248">
        <f>IF($S21=$AZ$3,INDEX('Tables - Part 2'!$AX$17:$BA$24,MATCH(V21,'Tables - Part 2'!$AV$6:$AV$13,0),MATCH(T21,'Tables - Part 2'!$AX$5:$BA$5,0)),0)</f>
        <v>0</v>
      </c>
      <c r="BA21" s="248">
        <f>IF($S21=$BA$3,((INDEX('Tables - Part 2'!$AX$17:$BA$24,MATCH(V21,'Tables - Part 2'!$AV$6:$AV$13,0),MATCH(T21,'Tables - Part 2'!$AX$5:$BA$5,0)))+(((INDEX('Tables - Part 2'!$AX$17:$BA$24,MATCH(V21,'Tables - Part 2'!$AV$6:$AV$13,0),MATCH(T21,'Tables - Part 2'!$AX$5:$BA$5,0)))+(INDEX('Tables - Part 2'!$AX$17:$BA$24,MATCH(V21,'Tables - Part 2'!$AV$6:$AV$13,0),MATCH(T21,'Tables - Part 2'!$AX$5:$BA$5,0))+INDEX('Tables - Part 2'!$BB$17:$BE$24,MATCH(V21,'Tables - Part 2'!$AV$6:$AV$13,0),MATCH(T21,'Tables - Part 2'!$AX$5:$BA$5,0)))/2)/2))/2,0)</f>
        <v>0</v>
      </c>
      <c r="BB21" s="248">
        <f>IF($S21=$BB$3,((INDEX('Tables - Part 2'!$AX$17:$BA$24,MATCH(V21,'Tables - Part 2'!$AV$6:$AV$13,0),MATCH(T21,'Tables - Part 2'!$AX$5:$BA$5,0)))+(INDEX('Tables - Part 2'!$AX$17:$BA$24,MATCH(V21,'Tables - Part 2'!$AV$6:$AV$13,0),MATCH(T21,'Tables - Part 2'!$AX$5:$BA$5,0))+INDEX('Tables - Part 2'!$BB$17:$BE$24,MATCH(V21,'Tables - Part 2'!$AV$6:$AV$13,0),MATCH(T21,'Tables - Part 2'!$AX$5:$BA$5,0)))/2)/2,0)</f>
        <v>0</v>
      </c>
      <c r="BC21" s="248">
        <f>IF($S21=$BC$3,((((INDEX('Tables - Part 2'!$AX$17:$BA$24,MATCH(V21,'Tables - Part 2'!$AV$6:$AV$13,0),MATCH(T21,'Tables - Part 2'!$AX$5:$BA$5,0)))+(INDEX('Tables - Part 2'!$AX$17:$BA$24,MATCH(V21,'Tables - Part 2'!$AV$6:$AV$13,0),MATCH(T21,'Tables - Part 2'!$AX$5:$BA$5,0))+INDEX('Tables - Part 2'!$BB$17:$BE$24,MATCH(V21,'Tables - Part 2'!$AV$6:$AV$13,0),MATCH(T21,'Tables - Part 2'!$AX$5:$BA$5,0)))/2)/2)+((INDEX('Tables - Part 2'!$AX$17:$BA$24,MATCH(V21,'Tables - Part 2'!$AV$6:$AV$13,0),MATCH(T21,'Tables - Part 2'!$AX$5:$BA$5,0))+INDEX('Tables - Part 2'!$BB$17:$BE$24,MATCH(V21,'Tables - Part 2'!$AV$6:$AV$13,0),MATCH(T21,'Tables - Part 2'!$AX$5:$BA$5,0)))/2))/2,0)</f>
        <v>0</v>
      </c>
      <c r="BD21" s="248">
        <f>IF($S21=$BD$3,(INDEX('Tables - Part 2'!$AX$17:$BA$24,MATCH(V21,'Tables - Part 2'!$AV$6:$AV$13,0),MATCH(T21,'Tables - Part 2'!$AX$5:$BA$5,0))+INDEX('Tables - Part 2'!$BB$17:$BE$24,MATCH(V21,'Tables - Part 2'!$AV$6:$AV$13,0),MATCH(T21,'Tables - Part 2'!$AX$5:$BA$5,0)))/2,0)</f>
        <v>0</v>
      </c>
      <c r="BE21" s="248">
        <f>IF($S21=$BE$3,(((INDEX('Tables - Part 2'!$AX$17:$BA$24,MATCH(V21,'Tables - Part 2'!$AV$6:$AV$13,0),MATCH(T21,'Tables - Part 2'!$AX$5:$BA$5,0))+INDEX('Tables - Part 2'!$BB$17:$BE$24,MATCH(V21,'Tables - Part 2'!$AV$6:$AV$13,0),MATCH(T21,'Tables - Part 2'!$AX$5:$BA$5,0)))/2)+((((INDEX('Tables - Part 2'!$AX$17:$BA$24,MATCH(V21,'Tables - Part 2'!$AV$6:$AV$13,0),MATCH(T21,'Tables - Part 2'!$AX$5:$BA$5,0))+INDEX('Tables - Part 2'!$BB$17:$BE$24,MATCH(V21,'Tables - Part 2'!$AV$6:$AV$13,0),MATCH(T21,'Tables - Part 2'!$AX$5:$BA$5,0)))/2)+INDEX('Tables - Part 2'!$BB$17:$BE$24,MATCH(V21,'Tables - Part 2'!$AV$6:$AV$13,0),MATCH(T21,'Tables - Part 2'!$AX$5:$BA$5,0)))/2))/2,0)</f>
        <v>0</v>
      </c>
      <c r="BF21" s="248">
        <f>IF($S21=$BF$3,(((INDEX('Tables - Part 2'!$AX$17:$BA$24,MATCH(V21,'Tables - Part 2'!$AV$6:$AV$13,0),MATCH(T21,'Tables - Part 2'!$AX$5:$BA$5,0))+INDEX('Tables - Part 2'!$BB$17:$BE$24,MATCH(V21,'Tables - Part 2'!$AV$6:$AV$13,0),MATCH(T21,'Tables - Part 2'!$AX$5:$BA$5,0)))/2)+INDEX('Tables - Part 2'!$BB$17:$BE$24,MATCH(V21,'Tables - Part 2'!$AV$6:$AV$13,0),MATCH(T21,'Tables - Part 2'!$AX$5:$BA$5,0)))/2,0)</f>
        <v>0</v>
      </c>
      <c r="BG21" s="248">
        <f>IF($S21=$BG$3,(((((INDEX('Tables - Part 2'!$AX$17:$BA$24,MATCH(V21,'Tables - Part 2'!$AV$6:$AV$13,0),MATCH(T21,'Tables - Part 2'!$AX$5:$BA$5,0))+INDEX('Tables - Part 2'!$BB$17:$BE$24,MATCH(V21,'Tables - Part 2'!$AV$6:$AV$13,0),MATCH(T21,'Tables - Part 2'!$AX$5:$BA$5,0)))/2)+INDEX('Tables - Part 2'!$BB$17:$BE$24,MATCH(V21,'Tables - Part 2'!$AV$6:$AV$13,0),MATCH(T21,'Tables - Part 2'!$AX$5:$BA$5,0)))/2)+(INDEX('Tables - Part 2'!$BB$17:$BE$24,MATCH(V21,'Tables - Part 2'!$AV$6:$AV$13,0),MATCH(T21,'Tables - Part 2'!$AX$5:$BA$5,0))))/2,0)</f>
        <v>0</v>
      </c>
      <c r="BH21" s="248">
        <f>IF($S21=$BH$3,INDEX('Tables - Part 2'!$BB$17:$BE$24,MATCH(V21,'Tables - Part 2'!$AV$6:$AV$13,0),MATCH(T21,'Tables - Part 2'!$AX$5:$BA$5,0)),0)</f>
        <v>0</v>
      </c>
      <c r="BI21" s="248">
        <f>IF($S21=$BI$3,((INDEX('Tables - Part 2'!$BB$17:$BE$24,MATCH(V21,'Tables - Part 2'!$AV$6:$AV$13,0),MATCH(T21,'Tables - Part 2'!$AX$5:$BA$5,0)))+(((INDEX('Tables - Part 2'!$BB$17:$BE$24,MATCH(V21,'Tables - Part 2'!$AV$6:$AV$13,0),MATCH(T21,'Tables - Part 2'!$AX$5:$BA$5,0)))+(INDEX('Tables - Part 2'!$BB$17:$BE$24,MATCH(V21,'Tables - Part 2'!$AV$6:$AV$13,0),MATCH(T21,'Tables - Part 2'!$AX$5:$BA$5,0))+INDEX('Tables - Part 2'!$BF$17:$BI$24,MATCH(V21,'Tables - Part 2'!$AV$6:$AV$13,0),MATCH(T21,'Tables - Part 2'!$AX$5:$BA$5,0)))/2)/2))/2,0)</f>
        <v>0</v>
      </c>
      <c r="BJ21" s="248">
        <f>IF($S21=$BJ$3,((INDEX('Tables - Part 2'!$BB$17:$BE$24,MATCH(V21,'Tables - Part 2'!$AV$6:$AV$13,0),MATCH(T21,'Tables - Part 2'!$AX$5:$BA$5,0)))+(INDEX('Tables - Part 2'!$BB$17:$BE$24,MATCH(V21,'Tables - Part 2'!$AV$6:$AV$13,0),MATCH(T21,'Tables - Part 2'!$AX$5:$BA$5,0))+INDEX('Tables - Part 2'!$BF$17:$BI$24,MATCH(V21,'Tables - Part 2'!$AV$6:$AV$13,0),MATCH(T21,'Tables - Part 2'!$AX$5:$BA$5,0)))/2)/2,0)</f>
        <v>0</v>
      </c>
      <c r="BK21" s="248">
        <f>IF($S21=$BK$3,((((INDEX('Tables - Part 2'!$BB$17:$BE$24,MATCH(V21,'Tables - Part 2'!$AV$6:$AV$13,0),MATCH(T21,'Tables - Part 2'!$AX$5:$BA$5,0)))+(INDEX('Tables - Part 2'!$BB$17:$BE$24,MATCH(V21,'Tables - Part 2'!$AV$6:$AV$13,0),MATCH(T21,'Tables - Part 2'!$AX$5:$BA$5,0))+INDEX('Tables - Part 2'!$BF$17:$BI$24,MATCH(V21,'Tables - Part 2'!$AV$6:$AV$13,0),MATCH(T21,'Tables - Part 2'!$AX$5:$BA$5,0)))/2)/2)+((INDEX('Tables - Part 2'!$BB$17:$BE$24,MATCH(V21,'Tables - Part 2'!$AV$6:$AV$13,0),MATCH(T21,'Tables - Part 2'!$AX$5:$BA$5,0))+INDEX('Tables - Part 2'!$BF$17:$BI$24,MATCH(V21,'Tables - Part 2'!$AV$6:$AV$13,0),MATCH(T21,'Tables - Part 2'!$AX$5:$BA$5,0)))/2))/2,0)</f>
        <v>0</v>
      </c>
      <c r="BL21" s="248">
        <f>IF($S21=$BL$3,(INDEX('Tables - Part 2'!$BB$17:$BE$24,MATCH(V21,'Tables - Part 2'!$AV$6:$AV$13,0),MATCH(T21,'Tables - Part 2'!$AX$5:$BA$5,0))+INDEX('Tables - Part 2'!$BF$17:$BI$24,MATCH(V21,'Tables - Part 2'!$AV$6:$AV$13,0),MATCH(T21,'Tables - Part 2'!$AX$5:$BA$5,0)))/2,0)</f>
        <v>0</v>
      </c>
      <c r="BM21" s="248">
        <f>IF($S21=$BM$3,(((INDEX('Tables - Part 2'!$BB$17:$BE$24,MATCH(V21,'Tables - Part 2'!$AV$6:$AV$13,0),MATCH(T21,'Tables - Part 2'!$AX$5:$BA$5,0))+INDEX('Tables - Part 2'!$BF$17:$BI$24,MATCH(V21,'Tables - Part 2'!$AV$6:$AV$13,0),MATCH(T21,'Tables - Part 2'!$AX$5:$BA$5,0)))/2)+((((INDEX('Tables - Part 2'!$BB$17:$BE$24,MATCH(V21,'Tables - Part 2'!$AV$6:$AV$13,0),MATCH(T21,'Tables - Part 2'!$AX$5:$BA$5,0))+INDEX('Tables - Part 2'!$BF$17:$BI$24,MATCH(V21,'Tables - Part 2'!$AV$6:$AV$13,0),MATCH(T21,'Tables - Part 2'!$AX$5:$BA$5,0)))/2)+INDEX('Tables - Part 2'!$BF$17:$BI$24,MATCH(V21,'Tables - Part 2'!$AV$6:$AV$13,0),MATCH(T21,'Tables - Part 2'!$AX$5:$BA$5,0)))/2))/2,0)</f>
        <v>0</v>
      </c>
      <c r="BN21" s="248">
        <f>IF($S21=$BN$3,(((INDEX('Tables - Part 2'!$BB$17:$BE$24,MATCH(V21,'Tables - Part 2'!$AV$6:$AV$13,0),MATCH(T21,'Tables - Part 2'!$AX$5:$BA$5,0))+INDEX('Tables - Part 2'!$BF$17:$BI$24,MATCH(V21,'Tables - Part 2'!$AV$6:$AV$13,0),MATCH(T21,'Tables - Part 2'!$AX$5:$BA$5,0)))/2)+INDEX('Tables - Part 2'!$BF$17:$BI$24,MATCH(V21,'Tables - Part 2'!$AV$6:$AV$13,0),MATCH(T21,'Tables - Part 2'!$AX$5:$BA$5,0)))/2,0)</f>
        <v>0</v>
      </c>
      <c r="BO21" s="248">
        <f>IF($S21=$BO$3,(((((INDEX('Tables - Part 2'!$BB$17:$BE$24,MATCH(V21,'Tables - Part 2'!$AV$6:$AV$13,0),MATCH(T21,'Tables - Part 2'!$AX$5:$BA$5,0))+INDEX('Tables - Part 2'!$BF$17:$BI$24,MATCH(V21,'Tables - Part 2'!$AV$6:$AV$13,0),MATCH(T21,'Tables - Part 2'!$AX$5:$BA$5,0)))/2)+INDEX('Tables - Part 2'!$BF$17:$BI$24,MATCH(V21,'Tables - Part 2'!$AV$6:$AV$13,0),MATCH(T21,'Tables - Part 2'!$AX$5:$BA$5,0)))/2)+(INDEX('Tables - Part 2'!$BF$17:$BI$24,MATCH(V21,'Tables - Part 2'!$AV$6:$AV$13,0),MATCH(T21,'Tables - Part 2'!$AX$5:$BA$5,0))))/2,0)</f>
        <v>0</v>
      </c>
      <c r="BP21" s="248">
        <f>IF($S21=$BP$3,INDEX('Tables - Part 2'!$BF$17:$BI$24,MATCH(V21,'Tables - Part 2'!$AV$6:$AV$13,0),MATCH(T21,'Tables - Part 2'!$AX$5:$BA$5,0)),0)</f>
        <v>0</v>
      </c>
      <c r="BQ21" s="248">
        <f t="shared" si="7"/>
        <v>0</v>
      </c>
      <c r="BR21" s="238">
        <f t="shared" si="8"/>
        <v>1.5</v>
      </c>
      <c r="BS21" s="238">
        <f t="shared" si="9"/>
        <v>25.159323702612586</v>
      </c>
    </row>
  </sheetData>
  <mergeCells count="1">
    <mergeCell ref="X2:AA2"/>
  </mergeCells>
  <dataValidations count="2">
    <dataValidation type="list" allowBlank="1" showInputMessage="1" showErrorMessage="1" sqref="D4:D21 H4:K21" xr:uid="{00000000-0002-0000-0F00-000000000000}">
      <formula1>$BX$2:$BX$3</formula1>
    </dataValidation>
    <dataValidation type="list" allowBlank="1" showInputMessage="1" showErrorMessage="1" sqref="E4:E21" xr:uid="{00000000-0002-0000-0F00-000001000000}">
      <formula1>$BX$2:$BX$4</formula1>
    </dataValidation>
  </dataValidations>
  <pageMargins left="0.511811024" right="0.511811024" top="0.78740157499999996" bottom="0.78740157499999996" header="0.31496062000000002" footer="0.31496062000000002"/>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8">
    <tabColor rgb="FFFFFF00"/>
  </sheetPr>
  <dimension ref="B1:CG21"/>
  <sheetViews>
    <sheetView zoomScale="70" zoomScaleNormal="70" workbookViewId="0">
      <selection activeCell="V4" sqref="V4"/>
    </sheetView>
  </sheetViews>
  <sheetFormatPr defaultRowHeight="14.5" x14ac:dyDescent="0.35"/>
  <cols>
    <col min="1" max="1" width="1.26953125" customWidth="1"/>
    <col min="2" max="3" width="18.26953125" customWidth="1"/>
    <col min="4" max="4" width="21.26953125" customWidth="1"/>
    <col min="5" max="5" width="10.453125" customWidth="1"/>
    <col min="6" max="8" width="17.81640625" customWidth="1"/>
    <col min="9" max="9" width="21.7265625" customWidth="1"/>
    <col min="10" max="10" width="12.1796875" customWidth="1"/>
    <col min="11" max="11" width="37.26953125" customWidth="1"/>
    <col min="12" max="12" width="7.26953125" customWidth="1"/>
    <col min="13" max="13" width="23.54296875" customWidth="1"/>
    <col min="14" max="14" width="13.453125" customWidth="1"/>
    <col min="15" max="17" width="12.81640625" customWidth="1"/>
    <col min="18" max="18" width="16.1796875" customWidth="1"/>
    <col min="19" max="19" width="12.81640625" customWidth="1"/>
    <col min="20" max="20" width="16.453125" customWidth="1"/>
    <col min="21" max="21" width="12.1796875" customWidth="1"/>
    <col min="22" max="22" width="19.1796875" customWidth="1"/>
    <col min="23" max="23" width="11" customWidth="1"/>
    <col min="24" max="28" width="19.81640625" customWidth="1"/>
    <col min="29" max="29" width="5.7265625" bestFit="1" customWidth="1"/>
    <col min="30" max="30" width="6" customWidth="1"/>
    <col min="31" max="31" width="5.54296875" customWidth="1"/>
    <col min="32" max="32" width="6.7265625" customWidth="1"/>
    <col min="33" max="33" width="6" customWidth="1"/>
    <col min="34" max="34" width="6.7265625" customWidth="1"/>
    <col min="35" max="35" width="5.54296875" customWidth="1"/>
    <col min="36" max="36" width="6" customWidth="1"/>
    <col min="37" max="37" width="5.7265625" bestFit="1" customWidth="1"/>
    <col min="38" max="38" width="6.7265625" customWidth="1"/>
    <col min="39" max="39" width="6" customWidth="1"/>
    <col min="40" max="40" width="6.7265625" customWidth="1"/>
    <col min="41" max="41" width="6" bestFit="1" customWidth="1"/>
    <col min="42" max="42" width="6" customWidth="1"/>
    <col min="43" max="43" width="5.54296875" customWidth="1"/>
    <col min="44" max="44" width="6.7265625" customWidth="1"/>
    <col min="45" max="45" width="6" customWidth="1"/>
    <col min="46" max="46" width="6.7265625" customWidth="1"/>
    <col min="47" max="49" width="6" customWidth="1"/>
    <col min="50" max="50" width="6.7265625" customWidth="1"/>
    <col min="51" max="51" width="6" customWidth="1"/>
    <col min="52" max="52" width="6.7265625" customWidth="1"/>
    <col min="53" max="55" width="6" customWidth="1"/>
    <col min="56" max="56" width="6.7265625" customWidth="1"/>
    <col min="57" max="57" width="6" customWidth="1"/>
    <col min="58" max="58" width="6.7265625" customWidth="1"/>
    <col min="59" max="61" width="6" customWidth="1"/>
    <col min="62" max="62" width="6.7265625" customWidth="1"/>
    <col min="63" max="63" width="6" customWidth="1"/>
    <col min="64" max="64" width="6.7265625" customWidth="1"/>
    <col min="65" max="65" width="4.81640625" customWidth="1"/>
    <col min="66" max="66" width="6" customWidth="1"/>
    <col min="67" max="67" width="5.54296875" customWidth="1"/>
    <col min="68" max="68" width="6.7265625" customWidth="1"/>
    <col min="69" max="70" width="4.81640625" customWidth="1"/>
    <col min="71" max="72" width="19.81640625" customWidth="1"/>
    <col min="73" max="74" width="9.1796875" customWidth="1"/>
    <col min="75" max="75" width="26.81640625" customWidth="1"/>
    <col min="76" max="76" width="23.54296875" customWidth="1"/>
    <col min="77" max="77" width="35.54296875" customWidth="1"/>
  </cols>
  <sheetData>
    <row r="1" spans="2:85" ht="3.75" customHeight="1" x14ac:dyDescent="0.35"/>
    <row r="2" spans="2:85" x14ac:dyDescent="0.35">
      <c r="Y2" s="702" t="s">
        <v>897</v>
      </c>
      <c r="Z2" s="702"/>
      <c r="AA2" s="702"/>
      <c r="AB2" s="702"/>
      <c r="AC2" s="449"/>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0"/>
      <c r="BS2" s="451"/>
      <c r="BW2" s="237" t="s">
        <v>839</v>
      </c>
      <c r="BY2" s="158" t="s">
        <v>244</v>
      </c>
      <c r="BZ2" t="s">
        <v>1101</v>
      </c>
      <c r="CA2" t="s">
        <v>1101</v>
      </c>
      <c r="CB2" t="s">
        <v>1102</v>
      </c>
      <c r="CC2" t="s">
        <v>1102</v>
      </c>
      <c r="CD2" s="208"/>
      <c r="CE2" s="208"/>
      <c r="CG2" s="208"/>
    </row>
    <row r="3" spans="2:85" ht="29.25" customHeight="1" x14ac:dyDescent="0.35">
      <c r="B3" s="346" t="s">
        <v>968</v>
      </c>
      <c r="C3" s="346" t="s">
        <v>969</v>
      </c>
      <c r="D3" s="139" t="s">
        <v>843</v>
      </c>
      <c r="E3" s="139" t="s">
        <v>860</v>
      </c>
      <c r="F3" s="139" t="s">
        <v>1098</v>
      </c>
      <c r="G3" s="139" t="s">
        <v>1099</v>
      </c>
      <c r="H3" s="139" t="s">
        <v>1100</v>
      </c>
      <c r="I3" s="139" t="s">
        <v>1092</v>
      </c>
      <c r="J3" s="139" t="s">
        <v>1096</v>
      </c>
      <c r="K3" s="346" t="s">
        <v>1097</v>
      </c>
      <c r="L3" s="346" t="s">
        <v>858</v>
      </c>
      <c r="M3" s="139" t="s">
        <v>867</v>
      </c>
      <c r="N3" s="139" t="s">
        <v>893</v>
      </c>
      <c r="O3" s="139" t="s">
        <v>894</v>
      </c>
      <c r="P3" s="139" t="s">
        <v>895</v>
      </c>
      <c r="Q3" s="139" t="s">
        <v>896</v>
      </c>
      <c r="R3" s="139" t="s">
        <v>882</v>
      </c>
      <c r="S3" s="139" t="s">
        <v>880</v>
      </c>
      <c r="T3" s="139" t="s">
        <v>882</v>
      </c>
      <c r="U3" s="139" t="s">
        <v>880</v>
      </c>
      <c r="V3" s="346" t="s">
        <v>1095</v>
      </c>
      <c r="W3" s="244" t="s">
        <v>861</v>
      </c>
      <c r="X3" s="346" t="s">
        <v>869</v>
      </c>
      <c r="Y3" s="346" t="s">
        <v>278</v>
      </c>
      <c r="Z3" s="346" t="s">
        <v>279</v>
      </c>
      <c r="AA3" s="346" t="s">
        <v>280</v>
      </c>
      <c r="AB3" s="346" t="s">
        <v>274</v>
      </c>
      <c r="AC3" s="346">
        <v>1</v>
      </c>
      <c r="AD3" s="252">
        <v>1.125</v>
      </c>
      <c r="AE3" s="346">
        <v>1.25</v>
      </c>
      <c r="AF3" s="346">
        <v>1.375</v>
      </c>
      <c r="AG3" s="254">
        <v>1.5</v>
      </c>
      <c r="AH3" s="346">
        <v>1.625</v>
      </c>
      <c r="AI3" s="346">
        <v>1.75</v>
      </c>
      <c r="AJ3" s="252">
        <v>1.875</v>
      </c>
      <c r="AK3" s="346">
        <v>2</v>
      </c>
      <c r="AL3" s="346">
        <v>2.125</v>
      </c>
      <c r="AM3" s="252">
        <v>2.25</v>
      </c>
      <c r="AN3" s="346">
        <v>2.375</v>
      </c>
      <c r="AO3" s="346">
        <v>2.5</v>
      </c>
      <c r="AP3" s="252">
        <v>2.625</v>
      </c>
      <c r="AQ3" s="346">
        <v>2.75</v>
      </c>
      <c r="AR3" s="346">
        <v>2.875</v>
      </c>
      <c r="AS3" s="255">
        <v>3</v>
      </c>
      <c r="AT3" s="346">
        <v>3.125</v>
      </c>
      <c r="AU3" s="346">
        <v>3.25</v>
      </c>
      <c r="AV3" s="252">
        <v>3.375</v>
      </c>
      <c r="AW3" s="346">
        <v>3.5</v>
      </c>
      <c r="AX3" s="346">
        <v>3.625</v>
      </c>
      <c r="AY3" s="252">
        <v>3.75</v>
      </c>
      <c r="AZ3" s="346">
        <v>3.875</v>
      </c>
      <c r="BA3" s="346">
        <v>4</v>
      </c>
      <c r="BB3" s="252">
        <v>4.125</v>
      </c>
      <c r="BC3" s="346">
        <v>4.25</v>
      </c>
      <c r="BD3" s="346">
        <v>4.375</v>
      </c>
      <c r="BE3" s="254">
        <v>4.5</v>
      </c>
      <c r="BF3" s="346">
        <v>4.625</v>
      </c>
      <c r="BG3" s="346">
        <v>4.75</v>
      </c>
      <c r="BH3" s="252">
        <v>4.875</v>
      </c>
      <c r="BI3" s="346">
        <v>5</v>
      </c>
      <c r="BJ3" s="346">
        <v>5.125</v>
      </c>
      <c r="BK3" s="252">
        <v>5.25</v>
      </c>
      <c r="BL3" s="346">
        <v>5.375</v>
      </c>
      <c r="BM3" s="346">
        <v>5.5</v>
      </c>
      <c r="BN3" s="252">
        <v>5.625</v>
      </c>
      <c r="BO3" s="346">
        <v>5.75</v>
      </c>
      <c r="BP3" s="346">
        <v>5.875</v>
      </c>
      <c r="BQ3" s="346">
        <v>6</v>
      </c>
      <c r="BR3" s="346" t="s">
        <v>281</v>
      </c>
      <c r="BS3" s="346" t="s">
        <v>1191</v>
      </c>
      <c r="BT3" s="141" t="s">
        <v>1192</v>
      </c>
      <c r="BW3" s="237" t="s">
        <v>111</v>
      </c>
      <c r="BY3" s="158" t="s">
        <v>245</v>
      </c>
      <c r="BZ3">
        <v>180</v>
      </c>
      <c r="CA3" t="s">
        <v>1103</v>
      </c>
      <c r="CB3">
        <v>82.222200000000001</v>
      </c>
      <c r="CC3" s="208" t="s">
        <v>1103</v>
      </c>
    </row>
    <row r="4" spans="2:85" x14ac:dyDescent="0.35">
      <c r="B4" s="161" t="str">
        <f>'Tratamento de Dados'!B12</f>
        <v>V-90</v>
      </c>
      <c r="C4" s="161" t="str">
        <f>'Tratamento de Dados'!D12</f>
        <v>Casco</v>
      </c>
      <c r="D4" s="209" t="s">
        <v>245</v>
      </c>
      <c r="E4" s="209" t="s">
        <v>245</v>
      </c>
      <c r="F4" s="209" t="s">
        <v>244</v>
      </c>
      <c r="G4" s="209" t="s">
        <v>244</v>
      </c>
      <c r="H4" s="209" t="s">
        <v>245</v>
      </c>
      <c r="I4" s="209">
        <v>100</v>
      </c>
      <c r="J4" s="209" t="s">
        <v>245</v>
      </c>
      <c r="K4" s="209" t="s">
        <v>245</v>
      </c>
      <c r="L4" s="209" t="s">
        <v>245</v>
      </c>
      <c r="M4" s="210">
        <v>39092</v>
      </c>
      <c r="N4" s="209">
        <v>0</v>
      </c>
      <c r="O4" s="209">
        <v>1</v>
      </c>
      <c r="P4" s="209">
        <v>1</v>
      </c>
      <c r="Q4" s="209">
        <v>4</v>
      </c>
      <c r="R4" s="253">
        <f>'Tratamento de Dados'!DA12</f>
        <v>0</v>
      </c>
      <c r="S4" s="253">
        <f>'Tratamento de Dados'!DB12</f>
        <v>0</v>
      </c>
      <c r="T4" s="256">
        <f t="shared" ref="T4:T21" si="0">IF(R4=0,IF(Y4&gt;=1,Y4,IF(Z4&gt;=1,Z4,IF(AA4&gt;=1,AA4,IF(AB4&gt;=1,AB4,0)))),R4)</f>
        <v>2.5</v>
      </c>
      <c r="U4" s="246" t="str">
        <f t="shared" ref="U4:U21" si="1">IF(S4=0,IF(Y4&gt;=1,$Y$3,IF(Z4&gt;=1,$Z$3,IF(AA4&gt;=1,$AA$3,IF(AB4&gt;=1,$AB$3,"E")))),S4)</f>
        <v>B</v>
      </c>
      <c r="V4" s="238" t="str">
        <f>IF(D4=$BY$2,$BW$4,IF(L4=$BY$2,$BW$5,IF(F4=$BY$3,$BW$5,IF(G4=$BY$2,IF(I4&gt;$CB$3,$BW$4,IF(OR(AND(I4&lt;=$CC$4,I4&gt;=CB4),J4=$BY$2,K4=$BY$2),$BW$3,$BW$2)),IF(H4=$BY$2,IF(I4&gt;$CB$3,$BW$3,IF(OR(I4&gt;=$CB$5,J4=$BY$2,K4=$BY$2),$BW$2,$BW$5)),IF(OR(I4&gt;$CB$3,J4=$BY$2,K4=$BY$2),$BW$2,$BW$5))))))</f>
        <v>High</v>
      </c>
      <c r="W4" s="238">
        <f>IF(AND(D4=$BY$2,E4&lt;&gt;$BY$2),"Fitness-For-Service",INDEX('Tables - Part 2'!$BL$4:$BL$7,MATCH(Amine_Cracking!V4,'Tables - Part 2'!$BK$4:$BK$7,0),))</f>
        <v>100</v>
      </c>
      <c r="X4" s="238">
        <f>IF(M4=0,(Thinning!G5-Thinning!F5)/365.25,(Thinning!G5-M4)/365.25)</f>
        <v>12.980150581793293</v>
      </c>
      <c r="Y4" s="248">
        <f t="shared" ref="Y4:Y21" si="2">IF(N4=0,0,_xlfn.FLOOR.MATH((Z4/2)+N4,0.25))</f>
        <v>0</v>
      </c>
      <c r="Z4" s="248">
        <f t="shared" ref="Z4:Z21" si="3">IF(AND(N4=0,O4=0),0,_xlfn.FLOOR.MATH((AA4/2)+O4,0.25))</f>
        <v>2.5</v>
      </c>
      <c r="AA4" s="248">
        <f>_xlfn.FLOOR.MATH((AB4/2)+P4,0.25)</f>
        <v>3</v>
      </c>
      <c r="AB4" s="247">
        <f t="shared" ref="AB4:AB21" si="4">Q4</f>
        <v>4</v>
      </c>
      <c r="AC4" s="248">
        <f>IF($T4=$AC$3,INDEX('Tables - Part 2'!$AX$6:$BA$13,MATCH(Amine_Cracking!W4,'Tables - Part 2'!$AV$6:$AV$13,0),MATCH(Amine_Cracking!U4,'Tables - Part 2'!$AX$5:$BA$5,0)),0)</f>
        <v>0</v>
      </c>
      <c r="AD4" s="248">
        <f>IF($T4=$AD$3,(INDEX('Tables - Part 2'!$AX$6:$BA$13,MATCH(Amine_Cracking!W4,'Tables - Part 2'!$AV$6:$AV$13,0),MATCH(Amine_Cracking!U4,'Tables - Part 2'!$AX$5:$BA$5,0))+(INDEX('Tables - Part 2'!$AX$6:$BA$13,MATCH(Amine_Cracking!W4,'Tables - Part 2'!$AV$6:$AV$13,0),MATCH(Amine_Cracking!U4,'Tables - Part 2'!$AX$5:$BA$5,0))+((INDEX('Tables - Part 2'!$AX$6:$BA$13,MATCH(Amine_Cracking!W4,'Tables - Part 2'!$AV$6:$AV$13,0),MATCH(Amine_Cracking!U4,'Tables - Part 2'!$AX$5:$BA$5,0))+INDEX('Tables - Part 2'!$BB$6:$BE$13,MATCH(Amine_Cracking!$W4,'Tables - Part 2'!$AV$6:$AV$13,0),MATCH(Amine_Cracking!$U4,'Tables - Part 2'!$AX$5:$BA$5,0)))/2))/2)/2,0)</f>
        <v>0</v>
      </c>
      <c r="AE4" s="248">
        <f>IF($T4=$AE$3,(INDEX('Tables - Part 2'!$AX$6:$BA$13,MATCH(Amine_Cracking!W4,'Tables - Part 2'!$AV$6:$AV$13,0),MATCH(Amine_Cracking!U4,'Tables - Part 2'!$AX$5:$BA$5,0))+((INDEX('Tables - Part 2'!$AX$6:$BA$13,MATCH(Amine_Cracking!W4,'Tables - Part 2'!$AV$6:$AV$13,0),MATCH(Amine_Cracking!U4,'Tables - Part 2'!$AX$5:$BA$5,0))+INDEX('Tables - Part 2'!$BB$6:$BE$13,MATCH(Amine_Cracking!$W4,'Tables - Part 2'!$AV$6:$AV$13,0),MATCH(Amine_Cracking!$U4,'Tables - Part 2'!$AX$5:$BA$5,0)))/2))/2,0)</f>
        <v>0</v>
      </c>
      <c r="AF4" s="248">
        <f>IF($T4=$AF$3,(((INDEX('Tables - Part 2'!$AX$6:$BA$13,MATCH(Amine_Cracking!W4,'Tables - Part 2'!$AV$6:$AV$13,0),MATCH(Amine_Cracking!U4,'Tables - Part 2'!$AX$5:$BA$5,0))+((INDEX('Tables - Part 2'!$AX$6:$BA$13,MATCH(Amine_Cracking!W4,'Tables - Part 2'!$AV$6:$AV$13,0),MATCH(Amine_Cracking!U4,'Tables - Part 2'!$AX$5:$BA$5,0))+INDEX('Tables - Part 2'!$BB$6:$BE$13,MATCH(Amine_Cracking!$W4,'Tables - Part 2'!$AV$6:$AV$13,0),MATCH(Amine_Cracking!$U4,'Tables - Part 2'!$AX$5:$BA$5,0)))/2))/2)+(INDEX('Tables - Part 2'!$AX$6:$BA$13,MATCH(Amine_Cracking!W4,'Tables - Part 2'!$AV$6:$AV$13,0),MATCH(Amine_Cracking!U4,'Tables - Part 2'!$AX$5:$BA$5,0))+INDEX('Tables - Part 2'!$BB$6:$BE$13,MATCH(Amine_Cracking!$W4,'Tables - Part 2'!$AV$6:$AV$13,0),MATCH(Amine_Cracking!$U4,'Tables - Part 2'!$AX$5:$BA$5,0)))/2)/2,0)</f>
        <v>0</v>
      </c>
      <c r="AG4" s="248">
        <f>IF($T4=$AG$3,(INDEX('Tables - Part 2'!$AX$6:$BA$13,MATCH(Amine_Cracking!W4,'Tables - Part 2'!$AV$6:$AV$13,0),MATCH(Amine_Cracking!U4,'Tables - Part 2'!$AX$5:$BA$5,0))+INDEX('Tables - Part 2'!$BB$6:$BE$13,MATCH(Amine_Cracking!$W4,'Tables - Part 2'!$AV$6:$AV$13,0),MATCH(Amine_Cracking!$U4,'Tables - Part 2'!$AX$5:$BA$5,0)))/2,0)</f>
        <v>0</v>
      </c>
      <c r="AH4" s="248">
        <f>IF($T4=$AH$3,(((INDEX('Tables - Part 2'!$AX$6:$BA$13,MATCH(Amine_Cracking!W4,'Tables - Part 2'!$AV$6:$AV$13,0),MATCH(Amine_Cracking!U4,'Tables - Part 2'!$AX$5:$BA$5,0))+INDEX('Tables - Part 2'!$BB$6:$BE$13,MATCH(Amine_Cracking!$W4,'Tables - Part 2'!$AV$6:$AV$13,0),MATCH(Amine_Cracking!$U4,'Tables - Part 2'!$AX$5:$BA$5,0)))/2)+(((INDEX('Tables - Part 2'!$AX$6:$BA$13,MATCH(Amine_Cracking!W4,'Tables - Part 2'!$AV$6:$AV$13,0),MATCH(Amine_Cracking!U4,'Tables - Part 2'!$AX$5:$BA$5,0))+INDEX('Tables - Part 2'!$BB$6:$BE$13,MATCH(Amine_Cracking!$W4,'Tables - Part 2'!$AV$6:$AV$13,0),MATCH(Amine_Cracking!$U4,'Tables - Part 2'!$AX$5:$BA$5,0)))/2)+INDEX('Tables - Part 2'!$BB$6:$BE$13,MATCH(Amine_Cracking!$W4,'Tables - Part 2'!$AV$6:$AV$13,0),MATCH(Amine_Cracking!$U4,'Tables - Part 2'!$AX$5:$BA$5,0)))/2)/2,0)</f>
        <v>0</v>
      </c>
      <c r="AI4" s="248">
        <f>IF($T4=$AI$3,(((INDEX('Tables - Part 2'!$AX$6:$BA$13,MATCH(Amine_Cracking!W4,'Tables - Part 2'!$AV$6:$AV$13,0),MATCH(Amine_Cracking!U4,'Tables - Part 2'!$AX$5:$BA$5,0))+INDEX('Tables - Part 2'!$BB$6:$BE$13,MATCH(Amine_Cracking!$W4,'Tables - Part 2'!$AV$6:$AV$13,0),MATCH(Amine_Cracking!$U4,'Tables - Part 2'!$AX$5:$BA$5,0)))/2)+INDEX('Tables - Part 2'!$BB$6:$BE$13,MATCH(Amine_Cracking!$W4,'Tables - Part 2'!$AV$6:$AV$13,0),MATCH(Amine_Cracking!$U4,'Tables - Part 2'!$AX$5:$BA$5,0)))/2,0)</f>
        <v>0</v>
      </c>
      <c r="AJ4" s="248">
        <f>IF($T4=$AJ$3,(((((INDEX('Tables - Part 2'!$AX$6:$BA$13,MATCH(Amine_Cracking!W4,'Tables - Part 2'!$AV$6:$AV$13,0),MATCH(Amine_Cracking!U4,'Tables - Part 2'!$AX$5:$BA$5,0))+INDEX('Tables - Part 2'!$BB$6:$BE$13,MATCH(Amine_Cracking!$W4,'Tables - Part 2'!$AV$6:$AV$13,0),MATCH(Amine_Cracking!$U4,'Tables - Part 2'!$AX$5:$BA$5,0)))/2)+INDEX('Tables - Part 2'!$BB$6:$BE$13,MATCH(Amine_Cracking!$W4,'Tables - Part 2'!$AV$6:$AV$13,0),MATCH(Amine_Cracking!$U4,'Tables - Part 2'!$AX$5:$BA$5,0)))/2)+INDEX('Tables - Part 2'!$BB$6:$BE$13,MATCH(Amine_Cracking!$W4,'Tables - Part 2'!$AV$6:$AV$13,0),MATCH(Amine_Cracking!$U4,'Tables - Part 2'!$AX$5:$BA$5,0)))/2,0)</f>
        <v>0</v>
      </c>
      <c r="AK4" s="248">
        <f>IF($T4=$AK$3,INDEX('Tables - Part 2'!$BB$6:$BE$13,MATCH(Amine_Cracking!$W4,'Tables - Part 2'!$AV$6:$AV$13,0),MATCH(Amine_Cracking!$U4,'Tables - Part 2'!$AX$5:$BA$5,0)),0)</f>
        <v>0</v>
      </c>
      <c r="AL4" s="248">
        <f>IF($T4=$AL$3,((INDEX('Tables - Part 2'!$BB$6:$BE$13,MATCH(Amine_Cracking!$W4,'Tables - Part 2'!$AV$6:$AV$13,0),MATCH(Amine_Cracking!$U4,'Tables - Part 2'!$AX$5:$BA$5,0)))+(INDEX('Tables - Part 2'!$BB$6:$BE$13,MATCH(Amine_Cracking!$W4,'Tables - Part 2'!$AV$6:$AV$13,0),MATCH(Amine_Cracking!$U4,'Tables - Part 2'!$AX$5:$BA$5,0))+(INDEX('Tables - Part 2'!$BB$6:$BE$13,MATCH(Amine_Cracking!$W4,'Tables - Part 2'!$AV$6:$AV$13,0),MATCH(Amine_Cracking!$U4,'Tables - Part 2'!$AX$5:$BA$5,0))+INDEX('Tables - Part 2'!$BF$6:$BI$13,MATCH(Amine_Cracking!$W4,'Tables - Part 2'!$AV$6:$AV$13,0),MATCH(Amine_Cracking!$U4,'Tables - Part 2'!$AX$5:$BA$5,0)))/2)/2)/2,0)</f>
        <v>0</v>
      </c>
      <c r="AM4" s="248">
        <f>IF($T4=$AM$3,(INDEX('Tables - Part 2'!$BB$6:$BE$13,MATCH(Amine_Cracking!$W4,'Tables - Part 2'!$AV$6:$AV$13,0),MATCH(Amine_Cracking!$U4,'Tables - Part 2'!$AX$5:$BA$5,0))+(INDEX('Tables - Part 2'!$BB$6:$BE$13,MATCH(Amine_Cracking!$W4,'Tables - Part 2'!$AV$6:$AV$13,0),MATCH(Amine_Cracking!$U4,'Tables - Part 2'!$AX$5:$BA$5,0))+INDEX('Tables - Part 2'!$BF$6:$BI$13,MATCH(Amine_Cracking!$W4,'Tables - Part 2'!$AV$6:$AV$13,0),MATCH(Amine_Cracking!$U4,'Tables - Part 2'!$AX$5:$BA$5,0)))/2)/2,0)</f>
        <v>0</v>
      </c>
      <c r="AN4" s="248">
        <f>IF($T4=$AN$3,(((INDEX('Tables - Part 2'!$BB$6:$BE$13,MATCH(Amine_Cracking!$W4,'Tables - Part 2'!$AV$6:$AV$13,0),MATCH(Amine_Cracking!$U4,'Tables - Part 2'!$AX$5:$BA$5,0))+(INDEX('Tables - Part 2'!$BB$6:$BE$13,MATCH(Amine_Cracking!$W4,'Tables - Part 2'!$AV$6:$AV$13,0),MATCH(Amine_Cracking!$U4,'Tables - Part 2'!$AX$5:$BA$5,0))+INDEX('Tables - Part 2'!$BF$6:$BI$13,MATCH(Amine_Cracking!$W4,'Tables - Part 2'!$AV$6:$AV$13,0),MATCH(Amine_Cracking!$U4,'Tables - Part 2'!$AX$5:$BA$5,0)))/2)/2)+((INDEX('Tables - Part 2'!$BB$6:$BE$13,MATCH(Amine_Cracking!$W4,'Tables - Part 2'!$AV$6:$AV$13,0),MATCH(Amine_Cracking!$U4,'Tables - Part 2'!$AX$5:$BA$5,0))+INDEX('Tables - Part 2'!$BF$6:$BI$13,MATCH(Amine_Cracking!$W4,'Tables - Part 2'!$AV$6:$AV$13,0),MATCH(Amine_Cracking!$U4,'Tables - Part 2'!$AX$5:$BA$5,0)))/2))/2,0)</f>
        <v>0</v>
      </c>
      <c r="AO4" s="248">
        <f>IF($T4=$AO$3,(INDEX('Tables - Part 2'!$BB$6:$BE$13,MATCH(Amine_Cracking!$W4,'Tables - Part 2'!$AV$6:$AV$13,0),MATCH(Amine_Cracking!$U4,'Tables - Part 2'!$AX$5:$BA$5,0))+INDEX('Tables - Part 2'!$BF$6:$BI$13,MATCH(Amine_Cracking!$W4,'Tables - Part 2'!$AV$6:$AV$13,0),MATCH(Amine_Cracking!$U4,'Tables - Part 2'!$AX$5:$BA$5,0)))/2,0)</f>
        <v>3</v>
      </c>
      <c r="AP4" s="248">
        <f>IF($T4=$AP$3,(((INDEX('Tables - Part 2'!$BB$6:$BE$13,MATCH(Amine_Cracking!$W4,'Tables - Part 2'!$AV$6:$AV$13,0),MATCH(Amine_Cracking!$U4,'Tables - Part 2'!$AX$5:$BA$5,0))+INDEX('Tables - Part 2'!$BF$6:$BI$13,MATCH(Amine_Cracking!$W4,'Tables - Part 2'!$AV$6:$AV$13,0),MATCH(Amine_Cracking!$U4,'Tables - Part 2'!$AX$5:$BA$5,0)))/2)+((((INDEX('Tables - Part 2'!$BB$6:$BE$13,MATCH(Amine_Cracking!$W4,'Tables - Part 2'!$AV$6:$AV$13,0),MATCH(Amine_Cracking!$U4,'Tables - Part 2'!$AX$5:$BA$5,0))+INDEX('Tables - Part 2'!$BF$6:$BI$13,MATCH(Amine_Cracking!$W4,'Tables - Part 2'!$AV$6:$AV$13,0),MATCH(Amine_Cracking!$U4,'Tables - Part 2'!$AX$5:$BA$5,0)))/2)+INDEX('Tables - Part 2'!$BF$6:$BI$13,MATCH(Amine_Cracking!$W4,'Tables - Part 2'!$AV$6:$AV$13,0),MATCH(Amine_Cracking!$U4,'Tables - Part 2'!$AX$5:$BA$5,0)))/2))/2,0)</f>
        <v>0</v>
      </c>
      <c r="AQ4" s="248">
        <f>IF($T4=$AQ$3,(((INDEX('Tables - Part 2'!$BB$6:$BE$13,MATCH(Amine_Cracking!$W4,'Tables - Part 2'!$AV$6:$AV$13,0),MATCH(Amine_Cracking!$U4,'Tables - Part 2'!$AX$5:$BA$5,0))+INDEX('Tables - Part 2'!$BF$6:$BI$13,MATCH(Amine_Cracking!$W4,'Tables - Part 2'!$AV$6:$AV$13,0),MATCH(Amine_Cracking!$U4,'Tables - Part 2'!$AX$5:$BA$5,0)))/2)+INDEX('Tables - Part 2'!$BF$6:$BI$13,MATCH(Amine_Cracking!$W4,'Tables - Part 2'!$AV$6:$AV$13,0),MATCH(Amine_Cracking!$U4,'Tables - Part 2'!$AX$5:$BA$5,0)))/2,0)</f>
        <v>0</v>
      </c>
      <c r="AR4" s="248">
        <f>IF($T4=$AR$3,(((((INDEX('Tables - Part 2'!$BB$6:$BE$13,MATCH(Amine_Cracking!$W4,'Tables - Part 2'!$AV$6:$AV$13,0),MATCH(Amine_Cracking!$U4,'Tables - Part 2'!$AX$5:$BA$5,0))+INDEX('Tables - Part 2'!$BF$6:$BI$13,MATCH(Amine_Cracking!$W4,'Tables - Part 2'!$AV$6:$AV$13,0),MATCH(Amine_Cracking!$U4,'Tables - Part 2'!$AX$5:$BA$5,0)))/2)+INDEX('Tables - Part 2'!$BF$6:$BI$13,MATCH(Amine_Cracking!$W4,'Tables - Part 2'!$AV$6:$AV$13,0),MATCH(Amine_Cracking!$U4,'Tables - Part 2'!$AX$5:$BA$5,0)))/2)+INDEX('Tables - Part 2'!$BF$6:$BI$13,MATCH(Amine_Cracking!$W4,'Tables - Part 2'!$AV$6:$AV$13,0),MATCH(Amine_Cracking!$U4,'Tables - Part 2'!$AX$5:$BA$5,0)))/2,0)</f>
        <v>0</v>
      </c>
      <c r="AS4" s="248">
        <f>IF($T4=$AS$3,INDEX('Tables - Part 2'!$BF$6:$BI$13,MATCH(Amine_Cracking!$W4,'Tables - Part 2'!$AV$6:$AV$13,0),MATCH(Amine_Cracking!$U4,'Tables - Part 2'!$AX$5:$BA$5,0)),0)</f>
        <v>0</v>
      </c>
      <c r="AT4" s="248">
        <f>IF($T4=$AT$3,(INDEX('Tables - Part 2'!$BF$6:$BI$13,MATCH(Amine_Cracking!$W4,'Tables - Part 2'!$AV$6:$AV$13,0),MATCH(Amine_Cracking!$U4,'Tables - Part 2'!$AX$5:$BA$5,0))+((INDEX('Tables - Part 2'!$BF$6:$BI$13,MATCH(Amine_Cracking!$W4,'Tables - Part 2'!$AV$6:$AV$13,0),MATCH(Amine_Cracking!$U4,'Tables - Part 2'!$AX$5:$BA$5,0))+(INDEX('Tables - Part 2'!$BF$6:$BI$13,MATCH(Amine_Cracking!$W4,'Tables - Part 2'!$AV$6:$AV$13,0),MATCH(Amine_Cracking!$U4,'Tables - Part 2'!$AX$5:$BA$5,0))+INDEX('Tables - Part 2'!$AX$17:$BA$24,MATCH(Amine_Cracking!$W4,'Tables - Part 2'!$AV$6:$AV$13,0),MATCH(Amine_Cracking!$U4,'Tables - Part 2'!$AX$5:$BA$5,0)))/2)/2))/2,0)</f>
        <v>0</v>
      </c>
      <c r="AU4" s="248">
        <f>IF($T4=$AU$3,(INDEX('Tables - Part 2'!$BF$6:$BI$13,MATCH(Amine_Cracking!$W4,'Tables - Part 2'!$AV$6:$AV$13,0),MATCH(Amine_Cracking!$U4,'Tables - Part 2'!$AX$5:$BA$5,0))+(INDEX('Tables - Part 2'!$BF$6:$BI$13,MATCH(Amine_Cracking!$W4,'Tables - Part 2'!$AV$6:$AV$13,0),MATCH(Amine_Cracking!$U4,'Tables - Part 2'!$AX$5:$BA$5,0))+INDEX('Tables - Part 2'!$AX$17:$BA$24,MATCH(Amine_Cracking!$W4,'Tables - Part 2'!$AV$6:$AV$13,0),MATCH(Amine_Cracking!$U4,'Tables - Part 2'!$AX$5:$BA$5,0)))/2)/2,0)</f>
        <v>0</v>
      </c>
      <c r="AV4" s="248">
        <f>IF($T4=$AV$3,(((INDEX('Tables - Part 2'!$BF$6:$BI$13,MATCH(Amine_Cracking!$W4,'Tables - Part 2'!$AV$6:$AV$13,0),MATCH(Amine_Cracking!$U4,'Tables - Part 2'!$AX$5:$BA$5,0))+(INDEX('Tables - Part 2'!$BF$6:$BI$13,MATCH(Amine_Cracking!$W4,'Tables - Part 2'!$AV$6:$AV$13,0),MATCH(Amine_Cracking!$U4,'Tables - Part 2'!$AX$5:$BA$5,0))+INDEX('Tables - Part 2'!$AX$17:$BA$24,MATCH(Amine_Cracking!$W4,'Tables - Part 2'!$AV$6:$AV$13,0),MATCH(Amine_Cracking!$U4,'Tables - Part 2'!$AX$5:$BA$5,0)))/2)/2)+((INDEX('Tables - Part 2'!$BF$6:$BI$13,MATCH(Amine_Cracking!$W4,'Tables - Part 2'!$AV$6:$AV$13,0),MATCH(Amine_Cracking!$U4,'Tables - Part 2'!$AX$5:$BA$5,0))+INDEX('Tables - Part 2'!$AX$17:$BA$24,MATCH(Amine_Cracking!$W4,'Tables - Part 2'!$AV$6:$AV$13,0),MATCH(Amine_Cracking!$U4,'Tables - Part 2'!$AX$5:$BA$5,0)))/2))/2,0)</f>
        <v>0</v>
      </c>
      <c r="AW4" s="248">
        <f>IF($T4=$AW$3,(INDEX('Tables - Part 2'!$BF$6:$BI$13,MATCH(Amine_Cracking!$W4,'Tables - Part 2'!$AV$6:$AV$13,0),MATCH(Amine_Cracking!$U4,'Tables - Part 2'!$AX$5:$BA$5,0))+INDEX('Tables - Part 2'!$AX$17:$BA$24,MATCH(Amine_Cracking!$W4,'Tables - Part 2'!$AV$6:$AV$13,0),MATCH(Amine_Cracking!$U4,'Tables - Part 2'!$AX$5:$BA$5,0)))/2,0)</f>
        <v>0</v>
      </c>
      <c r="AX4" s="248">
        <f>IF($T4=$AX$3,(((INDEX('Tables - Part 2'!$BF$6:$BI$13,MATCH(Amine_Cracking!$W4,'Tables - Part 2'!$AV$6:$AV$13,0),MATCH(Amine_Cracking!$U4,'Tables - Part 2'!$AX$5:$BA$5,0))+INDEX('Tables - Part 2'!$AX$17:$BA$24,MATCH(Amine_Cracking!$W4,'Tables - Part 2'!$AV$6:$AV$13,0),MATCH(Amine_Cracking!$U4,'Tables - Part 2'!$AX$5:$BA$5,0)))/2)+((((INDEX('Tables - Part 2'!$BF$6:$BI$13,MATCH(Amine_Cracking!$W4,'Tables - Part 2'!$AV$6:$AV$13,0),MATCH(Amine_Cracking!$U4,'Tables - Part 2'!$AX$5:$BA$5,0))+INDEX('Tables - Part 2'!$AX$17:$BA$24,MATCH(Amine_Cracking!$W4,'Tables - Part 2'!$AV$6:$AV$13,0),MATCH(Amine_Cracking!$U4,'Tables - Part 2'!$AX$5:$BA$5,0)))/2)+INDEX('Tables - Part 2'!$AX$17:$BA$24,MATCH(Amine_Cracking!$W4,'Tables - Part 2'!$AV$6:$AV$13,0),MATCH(Amine_Cracking!$U4,'Tables - Part 2'!$AX$5:$BA$5,0)))/2))/2,0)</f>
        <v>0</v>
      </c>
      <c r="AY4" s="248">
        <f>IF($T4=$AY$3,(((INDEX('Tables - Part 2'!$BF$6:$BI$13,MATCH(Amine_Cracking!$W4,'Tables - Part 2'!$AV$6:$AV$13,0),MATCH(Amine_Cracking!$U4,'Tables - Part 2'!$AX$5:$BA$5,0))+INDEX('Tables - Part 2'!$AX$17:$BA$24,MATCH(Amine_Cracking!$W4,'Tables - Part 2'!$AV$6:$AV$13,0),MATCH(Amine_Cracking!$U4,'Tables - Part 2'!$AX$5:$BA$5,0)))/2)+INDEX('Tables - Part 2'!$AX$17:$BA$24,MATCH(Amine_Cracking!$W4,'Tables - Part 2'!$AV$6:$AV$13,0),MATCH(Amine_Cracking!$U4,'Tables - Part 2'!$AX$5:$BA$5,0)))/2,0)</f>
        <v>0</v>
      </c>
      <c r="AZ4" s="248">
        <f>IF($T4=$AZ$3,(((((INDEX('Tables - Part 2'!$BF$6:$BI$13,MATCH(Amine_Cracking!$W4,'Tables - Part 2'!$AV$6:$AV$13,0),MATCH(Amine_Cracking!$U4,'Tables - Part 2'!$AX$5:$BA$5,0))+INDEX('Tables - Part 2'!$AX$17:$BA$24,MATCH(Amine_Cracking!$W4,'Tables - Part 2'!$AV$6:$AV$13,0),MATCH(Amine_Cracking!$U4,'Tables - Part 2'!$AX$5:$BA$5,0)))/2)+INDEX('Tables - Part 2'!$AX$17:$BA$24,MATCH(Amine_Cracking!$W4,'Tables - Part 2'!$AV$6:$AV$13,0),MATCH(Amine_Cracking!$U4,'Tables - Part 2'!$AX$5:$BA$5,0)))/2)+(INDEX('Tables - Part 2'!$AX$17:$BA$24,MATCH(Amine_Cracking!$W4,'Tables - Part 2'!$AV$6:$AV$13,0),MATCH(Amine_Cracking!$U4,'Tables - Part 2'!$AX$5:$BA$5,0))))/2,0)</f>
        <v>0</v>
      </c>
      <c r="BA4" s="248">
        <f>IF($T4=$BA$3,INDEX('Tables - Part 2'!$AX$17:$BA$24,MATCH(Amine_Cracking!$W4,'Tables - Part 2'!$AV$6:$AV$13,0),MATCH(Amine_Cracking!$U4,'Tables - Part 2'!$AX$5:$BA$5,0)),0)</f>
        <v>0</v>
      </c>
      <c r="BB4" s="248">
        <f>IF($T4=$BB$3,((INDEX('Tables - Part 2'!$AX$17:$BA$24,MATCH(Amine_Cracking!$W4,'Tables - Part 2'!$AV$6:$AV$13,0),MATCH(Amine_Cracking!$U4,'Tables - Part 2'!$AX$5:$BA$5,0)))+(((INDEX('Tables - Part 2'!$AX$17:$BA$24,MATCH(Amine_Cracking!$W4,'Tables - Part 2'!$AV$6:$AV$13,0),MATCH(Amine_Cracking!$U4,'Tables - Part 2'!$AX$5:$BA$5,0)))+(INDEX('Tables - Part 2'!$AX$17:$BA$24,MATCH(Amine_Cracking!$W4,'Tables - Part 2'!$AV$6:$AV$13,0),MATCH(Amine_Cracking!$U4,'Tables - Part 2'!$AX$5:$BA$5,0))+INDEX('Tables - Part 2'!$BB$17:$BE$24,MATCH(Amine_Cracking!$W4,'Tables - Part 2'!$AV$6:$AV$13,0),MATCH(Amine_Cracking!$U4,'Tables - Part 2'!$AX$5:$BA$5,0)))/2)/2))/2,0)</f>
        <v>0</v>
      </c>
      <c r="BC4" s="248">
        <f>IF($T4=$BC$3,((INDEX('Tables - Part 2'!$AX$17:$BA$24,MATCH(Amine_Cracking!$W4,'Tables - Part 2'!$AV$6:$AV$13,0),MATCH(Amine_Cracking!$U4,'Tables - Part 2'!$AX$5:$BA$5,0)))+(INDEX('Tables - Part 2'!$AX$17:$BA$24,MATCH(Amine_Cracking!$W4,'Tables - Part 2'!$AV$6:$AV$13,0),MATCH(Amine_Cracking!$U4,'Tables - Part 2'!$AX$5:$BA$5,0))+INDEX('Tables - Part 2'!$BB$17:$BE$24,MATCH(Amine_Cracking!$W4,'Tables - Part 2'!$AV$6:$AV$13,0),MATCH(Amine_Cracking!$U4,'Tables - Part 2'!$AX$5:$BA$5,0)))/2)/2,0)</f>
        <v>0</v>
      </c>
      <c r="BD4" s="248">
        <f>IF($T4=$BD$3,((((INDEX('Tables - Part 2'!$AX$17:$BA$24,MATCH(Amine_Cracking!$W4,'Tables - Part 2'!$AV$6:$AV$13,0),MATCH(Amine_Cracking!$U4,'Tables - Part 2'!$AX$5:$BA$5,0)))+(INDEX('Tables - Part 2'!$AX$17:$BA$24,MATCH(Amine_Cracking!$W4,'Tables - Part 2'!$AV$6:$AV$13,0),MATCH(Amine_Cracking!$U4,'Tables - Part 2'!$AX$5:$BA$5,0))+INDEX('Tables - Part 2'!$BB$17:$BE$24,MATCH(Amine_Cracking!$W4,'Tables - Part 2'!$AV$6:$AV$13,0),MATCH(Amine_Cracking!$U4,'Tables - Part 2'!$AX$5:$BA$5,0)))/2)/2)+((INDEX('Tables - Part 2'!$AX$17:$BA$24,MATCH(Amine_Cracking!$W4,'Tables - Part 2'!$AV$6:$AV$13,0),MATCH(Amine_Cracking!$U4,'Tables - Part 2'!$AX$5:$BA$5,0))+INDEX('Tables - Part 2'!$BB$17:$BE$24,MATCH(Amine_Cracking!$W4,'Tables - Part 2'!$AV$6:$AV$13,0),MATCH(Amine_Cracking!$U4,'Tables - Part 2'!$AX$5:$BA$5,0)))/2))/2,0)</f>
        <v>0</v>
      </c>
      <c r="BE4" s="248">
        <f>IF($T4=$BE$3,(INDEX('Tables - Part 2'!$AX$17:$BA$24,MATCH(Amine_Cracking!$W4,'Tables - Part 2'!$AV$6:$AV$13,0),MATCH(Amine_Cracking!$U4,'Tables - Part 2'!$AX$5:$BA$5,0))+INDEX('Tables - Part 2'!$BB$17:$BE$24,MATCH(Amine_Cracking!$W4,'Tables - Part 2'!$AV$6:$AV$13,0),MATCH(Amine_Cracking!$U4,'Tables - Part 2'!$AX$5:$BA$5,0)))/2,0)</f>
        <v>0</v>
      </c>
      <c r="BF4" s="248">
        <f>IF($T4=$BF$3,(((INDEX('Tables - Part 2'!$AX$17:$BA$24,MATCH(Amine_Cracking!$W4,'Tables - Part 2'!$AV$6:$AV$13,0),MATCH(Amine_Cracking!$U4,'Tables - Part 2'!$AX$5:$BA$5,0))+INDEX('Tables - Part 2'!$BB$17:$BE$24,MATCH(Amine_Cracking!$W4,'Tables - Part 2'!$AV$6:$AV$13,0),MATCH(Amine_Cracking!$U4,'Tables - Part 2'!$AX$5:$BA$5,0)))/2)+((((INDEX('Tables - Part 2'!$AX$17:$BA$24,MATCH(Amine_Cracking!$W4,'Tables - Part 2'!$AV$6:$AV$13,0),MATCH(Amine_Cracking!$U4,'Tables - Part 2'!$AX$5:$BA$5,0))+INDEX('Tables - Part 2'!$BB$17:$BE$24,MATCH(Amine_Cracking!$W4,'Tables - Part 2'!$AV$6:$AV$13,0),MATCH(Amine_Cracking!$U4,'Tables - Part 2'!$AX$5:$BA$5,0)))/2)+INDEX('Tables - Part 2'!$BB$17:$BE$24,MATCH(Amine_Cracking!$W4,'Tables - Part 2'!$AV$6:$AV$13,0),MATCH(Amine_Cracking!$U4,'Tables - Part 2'!$AX$5:$BA$5,0)))/2))/2,0)</f>
        <v>0</v>
      </c>
      <c r="BG4" s="248">
        <f>IF($T4=$BG$3,(((INDEX('Tables - Part 2'!$AX$17:$BA$24,MATCH(Amine_Cracking!$W4,'Tables - Part 2'!$AV$6:$AV$13,0),MATCH(Amine_Cracking!$U4,'Tables - Part 2'!$AX$5:$BA$5,0))+INDEX('Tables - Part 2'!$BB$17:$BE$24,MATCH(Amine_Cracking!$W4,'Tables - Part 2'!$AV$6:$AV$13,0),MATCH(Amine_Cracking!$U4,'Tables - Part 2'!$AX$5:$BA$5,0)))/2)+INDEX('Tables - Part 2'!$BB$17:$BE$24,MATCH(Amine_Cracking!$W4,'Tables - Part 2'!$AV$6:$AV$13,0),MATCH(Amine_Cracking!$U4,'Tables - Part 2'!$AX$5:$BA$5,0)))/2,0)</f>
        <v>0</v>
      </c>
      <c r="BH4" s="248">
        <f>IF($T4=$BH$3,(((((INDEX('Tables - Part 2'!$AX$17:$BA$24,MATCH(Amine_Cracking!$W4,'Tables - Part 2'!$AV$6:$AV$13,0),MATCH(Amine_Cracking!$U4,'Tables - Part 2'!$AX$5:$BA$5,0))+INDEX('Tables - Part 2'!$BB$17:$BE$24,MATCH(Amine_Cracking!$W4,'Tables - Part 2'!$AV$6:$AV$13,0),MATCH(Amine_Cracking!$U4,'Tables - Part 2'!$AX$5:$BA$5,0)))/2)+INDEX('Tables - Part 2'!$BB$17:$BE$24,MATCH(Amine_Cracking!$W4,'Tables - Part 2'!$AV$6:$AV$13,0),MATCH(Amine_Cracking!$U4,'Tables - Part 2'!$AX$5:$BA$5,0)))/2)+(INDEX('Tables - Part 2'!$BB$17:$BE$24,MATCH(Amine_Cracking!$W4,'Tables - Part 2'!$AV$6:$AV$13,0),MATCH(Amine_Cracking!$U4,'Tables - Part 2'!$AX$5:$BA$5,0))))/2,0)</f>
        <v>0</v>
      </c>
      <c r="BI4" s="248">
        <f>IF($T4=$BI$3,INDEX('Tables - Part 2'!$BB$17:$BE$24,MATCH(Amine_Cracking!$W4,'Tables - Part 2'!$AV$6:$AV$13,0),MATCH(Amine_Cracking!$U4,'Tables - Part 2'!$AX$5:$BA$5,0)),0)</f>
        <v>0</v>
      </c>
      <c r="BJ4" s="248">
        <f>IF($T4=$BJ$3,((INDEX('Tables - Part 2'!$BB$17:$BE$24,MATCH(Amine_Cracking!$W4,'Tables - Part 2'!$AV$6:$AV$13,0),MATCH(Amine_Cracking!$U4,'Tables - Part 2'!$AX$5:$BA$5,0)))+(((INDEX('Tables - Part 2'!$BB$17:$BE$24,MATCH(Amine_Cracking!$W4,'Tables - Part 2'!$AV$6:$AV$13,0),MATCH(Amine_Cracking!$U4,'Tables - Part 2'!$AX$5:$BA$5,0)))+(INDEX('Tables - Part 2'!$BB$17:$BE$24,MATCH(Amine_Cracking!$W4,'Tables - Part 2'!$AV$6:$AV$13,0),MATCH(Amine_Cracking!$U4,'Tables - Part 2'!$AX$5:$BA$5,0))+INDEX('Tables - Part 2'!$BF$17:$BI$24,MATCH(Amine_Cracking!$W4,'Tables - Part 2'!$AV$6:$AV$13,0),MATCH(Amine_Cracking!$U4,'Tables - Part 2'!$AX$5:$BA$5,0)))/2)/2))/2,0)</f>
        <v>0</v>
      </c>
      <c r="BK4" s="248">
        <f>IF($T4=$BK$3,((INDEX('Tables - Part 2'!$BB$17:$BE$24,MATCH(Amine_Cracking!$W4,'Tables - Part 2'!$AV$6:$AV$13,0),MATCH(Amine_Cracking!$U4,'Tables - Part 2'!$AX$5:$BA$5,0)))+(INDEX('Tables - Part 2'!$BB$17:$BE$24,MATCH(Amine_Cracking!$W4,'Tables - Part 2'!$AV$6:$AV$13,0),MATCH(Amine_Cracking!$U4,'Tables - Part 2'!$AX$5:$BA$5,0))+INDEX('Tables - Part 2'!$BF$17:$BI$24,MATCH(Amine_Cracking!$W4,'Tables - Part 2'!$AV$6:$AV$13,0),MATCH(Amine_Cracking!$U4,'Tables - Part 2'!$AX$5:$BA$5,0)))/2)/2,0)</f>
        <v>0</v>
      </c>
      <c r="BL4" s="248">
        <f>IF($T4=$BL$3,((((INDEX('Tables - Part 2'!$BB$17:$BE$24,MATCH(Amine_Cracking!$W4,'Tables - Part 2'!$AV$6:$AV$13,0),MATCH(Amine_Cracking!$U4,'Tables - Part 2'!$AX$5:$BA$5,0)))+(INDEX('Tables - Part 2'!$BB$17:$BE$24,MATCH(Amine_Cracking!$W4,'Tables - Part 2'!$AV$6:$AV$13,0),MATCH(Amine_Cracking!$U4,'Tables - Part 2'!$AX$5:$BA$5,0))+INDEX('Tables - Part 2'!$BF$17:$BI$24,MATCH(Amine_Cracking!$W4,'Tables - Part 2'!$AV$6:$AV$13,0),MATCH(Amine_Cracking!$U4,'Tables - Part 2'!$AX$5:$BA$5,0)))/2)/2)+((INDEX('Tables - Part 2'!$BB$17:$BE$24,MATCH(Amine_Cracking!$W4,'Tables - Part 2'!$AV$6:$AV$13,0),MATCH(Amine_Cracking!$U4,'Tables - Part 2'!$AX$5:$BA$5,0))+INDEX('Tables - Part 2'!$BF$17:$BI$24,MATCH(Amine_Cracking!$W4,'Tables - Part 2'!$AV$6:$AV$13,0),MATCH(Amine_Cracking!$U4,'Tables - Part 2'!$AX$5:$BA$5,0)))/2))/2,0)</f>
        <v>0</v>
      </c>
      <c r="BM4" s="248">
        <f>IF($T4=$BM$3,(INDEX('Tables - Part 2'!$BB$17:$BE$24,MATCH(Amine_Cracking!$W4,'Tables - Part 2'!$AV$6:$AV$13,0),MATCH(Amine_Cracking!$U4,'Tables - Part 2'!$AX$5:$BA$5,0))+INDEX('Tables - Part 2'!$BF$17:$BI$24,MATCH(Amine_Cracking!$W4,'Tables - Part 2'!$AV$6:$AV$13,0),MATCH(Amine_Cracking!$U4,'Tables - Part 2'!$AX$5:$BA$5,0)))/2,0)</f>
        <v>0</v>
      </c>
      <c r="BN4" s="248">
        <f>IF($T4=$BN$3,(((INDEX('Tables - Part 2'!$BB$17:$BE$24,MATCH(Amine_Cracking!$W4,'Tables - Part 2'!$AV$6:$AV$13,0),MATCH(Amine_Cracking!$U4,'Tables - Part 2'!$AX$5:$BA$5,0))+INDEX('Tables - Part 2'!$BF$17:$BI$24,MATCH(Amine_Cracking!$W4,'Tables - Part 2'!$AV$6:$AV$13,0),MATCH(Amine_Cracking!$U4,'Tables - Part 2'!$AX$5:$BA$5,0)))/2)+((((INDEX('Tables - Part 2'!$BB$17:$BE$24,MATCH(Amine_Cracking!$W4,'Tables - Part 2'!$AV$6:$AV$13,0),MATCH(Amine_Cracking!$U4,'Tables - Part 2'!$AX$5:$BA$5,0))+INDEX('Tables - Part 2'!$BF$17:$BI$24,MATCH(Amine_Cracking!$W4,'Tables - Part 2'!$AV$6:$AV$13,0),MATCH(Amine_Cracking!$U4,'Tables - Part 2'!$AX$5:$BA$5,0)))/2)+INDEX('Tables - Part 2'!$BF$17:$BI$24,MATCH(Amine_Cracking!$W4,'Tables - Part 2'!$AV$6:$AV$13,0),MATCH(Amine_Cracking!$U4,'Tables - Part 2'!$AX$5:$BA$5,0)))/2))/2,0)</f>
        <v>0</v>
      </c>
      <c r="BO4" s="248">
        <f>IF($T4=$BO$3,(((INDEX('Tables - Part 2'!$BB$17:$BE$24,MATCH(Amine_Cracking!$W4,'Tables - Part 2'!$AV$6:$AV$13,0),MATCH(Amine_Cracking!$U4,'Tables - Part 2'!$AX$5:$BA$5,0))+INDEX('Tables - Part 2'!$BF$17:$BI$24,MATCH(Amine_Cracking!$W4,'Tables - Part 2'!$AV$6:$AV$13,0),MATCH(Amine_Cracking!$U4,'Tables - Part 2'!$AX$5:$BA$5,0)))/2)+INDEX('Tables - Part 2'!$BF$17:$BI$24,MATCH(Amine_Cracking!$W4,'Tables - Part 2'!$AV$6:$AV$13,0),MATCH(Amine_Cracking!$U4,'Tables - Part 2'!$AX$5:$BA$5,0)))/2,0)</f>
        <v>0</v>
      </c>
      <c r="BP4" s="248">
        <f>IF($T4=$BP$3,(((((INDEX('Tables - Part 2'!$BB$17:$BE$24,MATCH(Amine_Cracking!$W4,'Tables - Part 2'!$AV$6:$AV$13,0),MATCH(Amine_Cracking!$U4,'Tables - Part 2'!$AX$5:$BA$5,0))+INDEX('Tables - Part 2'!$BF$17:$BI$24,MATCH(Amine_Cracking!$W4,'Tables - Part 2'!$AV$6:$AV$13,0),MATCH(Amine_Cracking!$U4,'Tables - Part 2'!$AX$5:$BA$5,0)))/2)+INDEX('Tables - Part 2'!$BF$17:$BI$24,MATCH(Amine_Cracking!$W4,'Tables - Part 2'!$AV$6:$AV$13,0),MATCH(Amine_Cracking!$U4,'Tables - Part 2'!$AX$5:$BA$5,0)))/2)+(INDEX('Tables - Part 2'!$BF$17:$BI$24,MATCH(Amine_Cracking!$W4,'Tables - Part 2'!$AV$6:$AV$13,0),MATCH(Amine_Cracking!$U4,'Tables - Part 2'!$AX$5:$BA$5,0))))/2,0)</f>
        <v>0</v>
      </c>
      <c r="BQ4" s="248">
        <f>IF($T4=$BQ$3,INDEX('Tables - Part 2'!$BF$17:$BI$24,MATCH(Amine_Cracking!$W4,'Tables - Part 2'!$AV$6:$AV$13,0),MATCH(Amine_Cracking!$U4,'Tables - Part 2'!$AX$5:$BA$5,0)),0)</f>
        <v>0</v>
      </c>
      <c r="BR4" s="248">
        <f t="shared" ref="BR4:BR21" si="5">IF(T4=0,W4,0)</f>
        <v>0</v>
      </c>
      <c r="BS4" s="238">
        <f>SUM(AC4:BR4)</f>
        <v>3</v>
      </c>
      <c r="BT4" s="238">
        <f>IF(B4="",0,MIN(BS4*POWER(MAX(X4,1),1.1),5000))</f>
        <v>50.318647405225171</v>
      </c>
      <c r="BW4" s="237" t="s">
        <v>841</v>
      </c>
      <c r="BY4" t="s">
        <v>61</v>
      </c>
      <c r="BZ4">
        <v>100</v>
      </c>
      <c r="CA4">
        <v>180</v>
      </c>
      <c r="CB4">
        <v>37.777799999999999</v>
      </c>
      <c r="CC4" s="208">
        <v>82.222200000000001</v>
      </c>
    </row>
    <row r="5" spans="2:85" x14ac:dyDescent="0.35">
      <c r="B5" s="161" t="str">
        <f>'Tratamento de Dados'!B13</f>
        <v>V-07</v>
      </c>
      <c r="C5" s="161" t="str">
        <f>'Tratamento de Dados'!D13</f>
        <v>Tampo_Sul</v>
      </c>
      <c r="D5" s="209" t="s">
        <v>245</v>
      </c>
      <c r="E5" s="209" t="s">
        <v>245</v>
      </c>
      <c r="F5" s="209" t="s">
        <v>244</v>
      </c>
      <c r="G5" s="209" t="s">
        <v>244</v>
      </c>
      <c r="H5" s="209" t="s">
        <v>245</v>
      </c>
      <c r="I5" s="209">
        <v>100</v>
      </c>
      <c r="J5" s="209" t="s">
        <v>245</v>
      </c>
      <c r="K5" s="209" t="s">
        <v>245</v>
      </c>
      <c r="L5" s="209" t="s">
        <v>245</v>
      </c>
      <c r="M5" s="210">
        <v>39092</v>
      </c>
      <c r="N5" s="209">
        <v>0</v>
      </c>
      <c r="O5" s="209">
        <v>1</v>
      </c>
      <c r="P5" s="209">
        <v>1</v>
      </c>
      <c r="Q5" s="209">
        <v>4</v>
      </c>
      <c r="R5" s="253">
        <f>'Tratamento de Dados'!DA13</f>
        <v>0</v>
      </c>
      <c r="S5" s="253">
        <f>'Tratamento de Dados'!DB13</f>
        <v>0</v>
      </c>
      <c r="T5" s="256">
        <f t="shared" si="0"/>
        <v>2.5</v>
      </c>
      <c r="U5" s="246" t="str">
        <f t="shared" si="1"/>
        <v>B</v>
      </c>
      <c r="V5" s="238" t="str">
        <f t="shared" ref="V5:V21" si="6">IF(D5=$BY$2,$BW$4,IF(L5=$BY$2,$BW$5,IF(F5=$BY$3,$BW$5,IF(G5=$BY$2,IF(I5&gt;$CB$3,$BW$4,IF(OR(AND(I5&lt;=$CC$4,I5&gt;=CB5),J5=$BY$2,K5=$BY$2),$BW$3,$BW$2)),IF(H5=$BY$2,IF(I5&gt;$CB$3,$BW$3,IF(OR(I5&gt;=$CB$5,J5=$BY$2,K5=$BY$2),$BW$2,$BW$5)),IF(OR(I5&gt;$CB$3,J5=$BY$2,K5=$BY$2),$BW$2,$BW$5))))))</f>
        <v>High</v>
      </c>
      <c r="W5" s="238">
        <f>IF(AND(D5=$BY$2,E5&lt;&gt;$BY$2),"Fitness-For-Service",INDEX('Tables - Part 2'!$BL$4:$BL$7,MATCH(Amine_Cracking!V5,'Tables - Part 2'!$BK$4:$BK$7,0),))</f>
        <v>100</v>
      </c>
      <c r="X5" s="238">
        <f>IF(M5=0,(Thinning!G6-Thinning!F6)/365.25,(Thinning!G6-M5)/365.25)</f>
        <v>13.390828199863108</v>
      </c>
      <c r="Y5" s="248">
        <f t="shared" si="2"/>
        <v>0</v>
      </c>
      <c r="Z5" s="248">
        <f t="shared" si="3"/>
        <v>2.5</v>
      </c>
      <c r="AA5" s="247">
        <f t="shared" ref="AA5:AA21" si="7">_xlfn.FLOOR.MATH((AB5/2)+P5,0.5)</f>
        <v>3</v>
      </c>
      <c r="AB5" s="247">
        <f t="shared" si="4"/>
        <v>4</v>
      </c>
      <c r="AC5" s="248">
        <f>IF($T5=$AC$3,INDEX('Tables - Part 2'!$AX$6:$BA$13,MATCH(Amine_Cracking!W5,'Tables - Part 2'!$AV$6:$AV$13,0),MATCH(Amine_Cracking!U5,'Tables - Part 2'!$AX$5:$BA$5,0)),0)</f>
        <v>0</v>
      </c>
      <c r="AD5" s="248">
        <f>IF($T5=$AD$3,(INDEX('Tables - Part 2'!$AX$6:$BA$13,MATCH(Amine_Cracking!W5,'Tables - Part 2'!$AV$6:$AV$13,0),MATCH(Amine_Cracking!U5,'Tables - Part 2'!$AX$5:$BA$5,0))+(INDEX('Tables - Part 2'!$AX$6:$BA$13,MATCH(Amine_Cracking!W5,'Tables - Part 2'!$AV$6:$AV$13,0),MATCH(Amine_Cracking!U5,'Tables - Part 2'!$AX$5:$BA$5,0))+((INDEX('Tables - Part 2'!$AX$6:$BA$13,MATCH(Amine_Cracking!W5,'Tables - Part 2'!$AV$6:$AV$13,0),MATCH(Amine_Cracking!U5,'Tables - Part 2'!$AX$5:$BA$5,0))+INDEX('Tables - Part 2'!$BB$6:$BE$13,MATCH(Amine_Cracking!$W5,'Tables - Part 2'!$AV$6:$AV$13,0),MATCH(Amine_Cracking!$U5,'Tables - Part 2'!$AX$5:$BA$5,0)))/2))/2)/2,0)</f>
        <v>0</v>
      </c>
      <c r="AE5" s="248">
        <f>IF($T5=$AE$3,(INDEX('Tables - Part 2'!$AX$6:$BA$13,MATCH(Amine_Cracking!W5,'Tables - Part 2'!$AV$6:$AV$13,0),MATCH(Amine_Cracking!U5,'Tables - Part 2'!$AX$5:$BA$5,0))+((INDEX('Tables - Part 2'!$AX$6:$BA$13,MATCH(Amine_Cracking!W5,'Tables - Part 2'!$AV$6:$AV$13,0),MATCH(Amine_Cracking!U5,'Tables - Part 2'!$AX$5:$BA$5,0))+INDEX('Tables - Part 2'!$BB$6:$BE$13,MATCH(Amine_Cracking!$W5,'Tables - Part 2'!$AV$6:$AV$13,0),MATCH(Amine_Cracking!$U5,'Tables - Part 2'!$AX$5:$BA$5,0)))/2))/2,0)</f>
        <v>0</v>
      </c>
      <c r="AF5" s="248">
        <f>IF($T5=$AF$3,(((INDEX('Tables - Part 2'!$AX$6:$BA$13,MATCH(Amine_Cracking!W5,'Tables - Part 2'!$AV$6:$AV$13,0),MATCH(Amine_Cracking!U5,'Tables - Part 2'!$AX$5:$BA$5,0))+((INDEX('Tables - Part 2'!$AX$6:$BA$13,MATCH(Amine_Cracking!W5,'Tables - Part 2'!$AV$6:$AV$13,0),MATCH(Amine_Cracking!U5,'Tables - Part 2'!$AX$5:$BA$5,0))+INDEX('Tables - Part 2'!$BB$6:$BE$13,MATCH(Amine_Cracking!$W5,'Tables - Part 2'!$AV$6:$AV$13,0),MATCH(Amine_Cracking!$U5,'Tables - Part 2'!$AX$5:$BA$5,0)))/2))/2)+(INDEX('Tables - Part 2'!$AX$6:$BA$13,MATCH(Amine_Cracking!W5,'Tables - Part 2'!$AV$6:$AV$13,0),MATCH(Amine_Cracking!U5,'Tables - Part 2'!$AX$5:$BA$5,0))+INDEX('Tables - Part 2'!$BB$6:$BE$13,MATCH(Amine_Cracking!$W5,'Tables - Part 2'!$AV$6:$AV$13,0),MATCH(Amine_Cracking!$U5,'Tables - Part 2'!$AX$5:$BA$5,0)))/2)/2,0)</f>
        <v>0</v>
      </c>
      <c r="AG5" s="248">
        <f>IF($T5=$AG$3,(INDEX('Tables - Part 2'!$AX$6:$BA$13,MATCH(Amine_Cracking!W5,'Tables - Part 2'!$AV$6:$AV$13,0),MATCH(Amine_Cracking!U5,'Tables - Part 2'!$AX$5:$BA$5,0))+INDEX('Tables - Part 2'!$BB$6:$BE$13,MATCH(Amine_Cracking!$W5,'Tables - Part 2'!$AV$6:$AV$13,0),MATCH(Amine_Cracking!$U5,'Tables - Part 2'!$AX$5:$BA$5,0)))/2,0)</f>
        <v>0</v>
      </c>
      <c r="AH5" s="248">
        <f>IF($T5=$AH$3,(((INDEX('Tables - Part 2'!$AX$6:$BA$13,MATCH(Amine_Cracking!W5,'Tables - Part 2'!$AV$6:$AV$13,0),MATCH(Amine_Cracking!U5,'Tables - Part 2'!$AX$5:$BA$5,0))+INDEX('Tables - Part 2'!$BB$6:$BE$13,MATCH(Amine_Cracking!$W5,'Tables - Part 2'!$AV$6:$AV$13,0),MATCH(Amine_Cracking!$U5,'Tables - Part 2'!$AX$5:$BA$5,0)))/2)+(((INDEX('Tables - Part 2'!$AX$6:$BA$13,MATCH(Amine_Cracking!W5,'Tables - Part 2'!$AV$6:$AV$13,0),MATCH(Amine_Cracking!U5,'Tables - Part 2'!$AX$5:$BA$5,0))+INDEX('Tables - Part 2'!$BB$6:$BE$13,MATCH(Amine_Cracking!$W5,'Tables - Part 2'!$AV$6:$AV$13,0),MATCH(Amine_Cracking!$U5,'Tables - Part 2'!$AX$5:$BA$5,0)))/2)+INDEX('Tables - Part 2'!$BB$6:$BE$13,MATCH(Amine_Cracking!$W5,'Tables - Part 2'!$AV$6:$AV$13,0),MATCH(Amine_Cracking!$U5,'Tables - Part 2'!$AX$5:$BA$5,0)))/2)/2,0)</f>
        <v>0</v>
      </c>
      <c r="AI5" s="248">
        <f>IF($T5=$AI$3,(((INDEX('Tables - Part 2'!$AX$6:$BA$13,MATCH(Amine_Cracking!W5,'Tables - Part 2'!$AV$6:$AV$13,0),MATCH(Amine_Cracking!U5,'Tables - Part 2'!$AX$5:$BA$5,0))+INDEX('Tables - Part 2'!$BB$6:$BE$13,MATCH(Amine_Cracking!$W5,'Tables - Part 2'!$AV$6:$AV$13,0),MATCH(Amine_Cracking!$U5,'Tables - Part 2'!$AX$5:$BA$5,0)))/2)+INDEX('Tables - Part 2'!$BB$6:$BE$13,MATCH(Amine_Cracking!$W5,'Tables - Part 2'!$AV$6:$AV$13,0),MATCH(Amine_Cracking!$U5,'Tables - Part 2'!$AX$5:$BA$5,0)))/2,0)</f>
        <v>0</v>
      </c>
      <c r="AJ5" s="248">
        <f>IF($T5=$AJ$3,(((((INDEX('Tables - Part 2'!$AX$6:$BA$13,MATCH(Amine_Cracking!W5,'Tables - Part 2'!$AV$6:$AV$13,0),MATCH(Amine_Cracking!U5,'Tables - Part 2'!$AX$5:$BA$5,0))+INDEX('Tables - Part 2'!$BB$6:$BE$13,MATCH(Amine_Cracking!$W5,'Tables - Part 2'!$AV$6:$AV$13,0),MATCH(Amine_Cracking!$U5,'Tables - Part 2'!$AX$5:$BA$5,0)))/2)+INDEX('Tables - Part 2'!$BB$6:$BE$13,MATCH(Amine_Cracking!$W5,'Tables - Part 2'!$AV$6:$AV$13,0),MATCH(Amine_Cracking!$U5,'Tables - Part 2'!$AX$5:$BA$5,0)))/2)+INDEX('Tables - Part 2'!$BB$6:$BE$13,MATCH(Amine_Cracking!$W5,'Tables - Part 2'!$AV$6:$AV$13,0),MATCH(Amine_Cracking!$U5,'Tables - Part 2'!$AX$5:$BA$5,0)))/2,0)</f>
        <v>0</v>
      </c>
      <c r="AK5" s="248">
        <f>IF($T5=$AK$3,INDEX('Tables - Part 2'!$BB$6:$BE$13,MATCH(Amine_Cracking!$W5,'Tables - Part 2'!$AV$6:$AV$13,0),MATCH(Amine_Cracking!$U5,'Tables - Part 2'!$AX$5:$BA$5,0)),0)</f>
        <v>0</v>
      </c>
      <c r="AL5" s="248">
        <f>IF($T5=$AL$3,((INDEX('Tables - Part 2'!$BB$6:$BE$13,MATCH(Amine_Cracking!$W5,'Tables - Part 2'!$AV$6:$AV$13,0),MATCH(Amine_Cracking!$U5,'Tables - Part 2'!$AX$5:$BA$5,0)))+(INDEX('Tables - Part 2'!$BB$6:$BE$13,MATCH(Amine_Cracking!$W5,'Tables - Part 2'!$AV$6:$AV$13,0),MATCH(Amine_Cracking!$U5,'Tables - Part 2'!$AX$5:$BA$5,0))+(INDEX('Tables - Part 2'!$BB$6:$BE$13,MATCH(Amine_Cracking!$W5,'Tables - Part 2'!$AV$6:$AV$13,0),MATCH(Amine_Cracking!$U5,'Tables - Part 2'!$AX$5:$BA$5,0))+INDEX('Tables - Part 2'!$BF$6:$BI$13,MATCH(Amine_Cracking!$W5,'Tables - Part 2'!$AV$6:$AV$13,0),MATCH(Amine_Cracking!$U5,'Tables - Part 2'!$AX$5:$BA$5,0)))/2)/2)/2,0)</f>
        <v>0</v>
      </c>
      <c r="AM5" s="248">
        <f>IF($T5=$AM$3,(INDEX('Tables - Part 2'!$BB$6:$BE$13,MATCH(Amine_Cracking!$W5,'Tables - Part 2'!$AV$6:$AV$13,0),MATCH(Amine_Cracking!$U5,'Tables - Part 2'!$AX$5:$BA$5,0))+(INDEX('Tables - Part 2'!$BB$6:$BE$13,MATCH(Amine_Cracking!$W5,'Tables - Part 2'!$AV$6:$AV$13,0),MATCH(Amine_Cracking!$U5,'Tables - Part 2'!$AX$5:$BA$5,0))+INDEX('Tables - Part 2'!$BF$6:$BI$13,MATCH(Amine_Cracking!$W5,'Tables - Part 2'!$AV$6:$AV$13,0),MATCH(Amine_Cracking!$U5,'Tables - Part 2'!$AX$5:$BA$5,0)))/2)/2,0)</f>
        <v>0</v>
      </c>
      <c r="AN5" s="248">
        <f>IF($T5=$AN$3,(((INDEX('Tables - Part 2'!$BB$6:$BE$13,MATCH(Amine_Cracking!$W5,'Tables - Part 2'!$AV$6:$AV$13,0),MATCH(Amine_Cracking!$U5,'Tables - Part 2'!$AX$5:$BA$5,0))+(INDEX('Tables - Part 2'!$BB$6:$BE$13,MATCH(Amine_Cracking!$W5,'Tables - Part 2'!$AV$6:$AV$13,0),MATCH(Amine_Cracking!$U5,'Tables - Part 2'!$AX$5:$BA$5,0))+INDEX('Tables - Part 2'!$BF$6:$BI$13,MATCH(Amine_Cracking!$W5,'Tables - Part 2'!$AV$6:$AV$13,0),MATCH(Amine_Cracking!$U5,'Tables - Part 2'!$AX$5:$BA$5,0)))/2)/2)+((INDEX('Tables - Part 2'!$BB$6:$BE$13,MATCH(Amine_Cracking!$W5,'Tables - Part 2'!$AV$6:$AV$13,0),MATCH(Amine_Cracking!$U5,'Tables - Part 2'!$AX$5:$BA$5,0))+INDEX('Tables - Part 2'!$BF$6:$BI$13,MATCH(Amine_Cracking!$W5,'Tables - Part 2'!$AV$6:$AV$13,0),MATCH(Amine_Cracking!$U5,'Tables - Part 2'!$AX$5:$BA$5,0)))/2))/2,0)</f>
        <v>0</v>
      </c>
      <c r="AO5" s="248">
        <f>IF($T5=$AO$3,(INDEX('Tables - Part 2'!$BB$6:$BE$13,MATCH(Amine_Cracking!$W5,'Tables - Part 2'!$AV$6:$AV$13,0),MATCH(Amine_Cracking!$U5,'Tables - Part 2'!$AX$5:$BA$5,0))+INDEX('Tables - Part 2'!$BF$6:$BI$13,MATCH(Amine_Cracking!$W5,'Tables - Part 2'!$AV$6:$AV$13,0),MATCH(Amine_Cracking!$U5,'Tables - Part 2'!$AX$5:$BA$5,0)))/2,0)</f>
        <v>3</v>
      </c>
      <c r="AP5" s="248">
        <f>IF($T5=$AP$3,(((INDEX('Tables - Part 2'!$BB$6:$BE$13,MATCH(Amine_Cracking!$W5,'Tables - Part 2'!$AV$6:$AV$13,0),MATCH(Amine_Cracking!$U5,'Tables - Part 2'!$AX$5:$BA$5,0))+INDEX('Tables - Part 2'!$BF$6:$BI$13,MATCH(Amine_Cracking!$W5,'Tables - Part 2'!$AV$6:$AV$13,0),MATCH(Amine_Cracking!$U5,'Tables - Part 2'!$AX$5:$BA$5,0)))/2)+((((INDEX('Tables - Part 2'!$BB$6:$BE$13,MATCH(Amine_Cracking!$W5,'Tables - Part 2'!$AV$6:$AV$13,0),MATCH(Amine_Cracking!$U5,'Tables - Part 2'!$AX$5:$BA$5,0))+INDEX('Tables - Part 2'!$BF$6:$BI$13,MATCH(Amine_Cracking!$W5,'Tables - Part 2'!$AV$6:$AV$13,0),MATCH(Amine_Cracking!$U5,'Tables - Part 2'!$AX$5:$BA$5,0)))/2)+INDEX('Tables - Part 2'!$BF$6:$BI$13,MATCH(Amine_Cracking!$W5,'Tables - Part 2'!$AV$6:$AV$13,0),MATCH(Amine_Cracking!$U5,'Tables - Part 2'!$AX$5:$BA$5,0)))/2))/2,0)</f>
        <v>0</v>
      </c>
      <c r="AQ5" s="248">
        <f>IF($T5=$AQ$3,(((INDEX('Tables - Part 2'!$BB$6:$BE$13,MATCH(Amine_Cracking!$W5,'Tables - Part 2'!$AV$6:$AV$13,0),MATCH(Amine_Cracking!$U5,'Tables - Part 2'!$AX$5:$BA$5,0))+INDEX('Tables - Part 2'!$BF$6:$BI$13,MATCH(Amine_Cracking!$W5,'Tables - Part 2'!$AV$6:$AV$13,0),MATCH(Amine_Cracking!$U5,'Tables - Part 2'!$AX$5:$BA$5,0)))/2)+INDEX('Tables - Part 2'!$BF$6:$BI$13,MATCH(Amine_Cracking!$W5,'Tables - Part 2'!$AV$6:$AV$13,0),MATCH(Amine_Cracking!$U5,'Tables - Part 2'!$AX$5:$BA$5,0)))/2,0)</f>
        <v>0</v>
      </c>
      <c r="AR5" s="248">
        <f>IF($T5=$AR$3,(((((INDEX('Tables - Part 2'!$BB$6:$BE$13,MATCH(Amine_Cracking!$W5,'Tables - Part 2'!$AV$6:$AV$13,0),MATCH(Amine_Cracking!$U5,'Tables - Part 2'!$AX$5:$BA$5,0))+INDEX('Tables - Part 2'!$BF$6:$BI$13,MATCH(Amine_Cracking!$W5,'Tables - Part 2'!$AV$6:$AV$13,0),MATCH(Amine_Cracking!$U5,'Tables - Part 2'!$AX$5:$BA$5,0)))/2)+INDEX('Tables - Part 2'!$BF$6:$BI$13,MATCH(Amine_Cracking!$W5,'Tables - Part 2'!$AV$6:$AV$13,0),MATCH(Amine_Cracking!$U5,'Tables - Part 2'!$AX$5:$BA$5,0)))/2)+INDEX('Tables - Part 2'!$BF$6:$BI$13,MATCH(Amine_Cracking!$W5,'Tables - Part 2'!$AV$6:$AV$13,0),MATCH(Amine_Cracking!$U5,'Tables - Part 2'!$AX$5:$BA$5,0)))/2,0)</f>
        <v>0</v>
      </c>
      <c r="AS5" s="248">
        <f>IF($T5=$AS$3,INDEX('Tables - Part 2'!$BF$6:$BI$13,MATCH(Amine_Cracking!$W5,'Tables - Part 2'!$AV$6:$AV$13,0),MATCH(Amine_Cracking!$U5,'Tables - Part 2'!$AX$5:$BA$5,0)),0)</f>
        <v>0</v>
      </c>
      <c r="AT5" s="248">
        <f>IF($T5=$AT$3,(INDEX('Tables - Part 2'!$BF$6:$BI$13,MATCH(Amine_Cracking!$W5,'Tables - Part 2'!$AV$6:$AV$13,0),MATCH(Amine_Cracking!$U5,'Tables - Part 2'!$AX$5:$BA$5,0))+((INDEX('Tables - Part 2'!$BF$6:$BI$13,MATCH(Amine_Cracking!$W5,'Tables - Part 2'!$AV$6:$AV$13,0),MATCH(Amine_Cracking!$U5,'Tables - Part 2'!$AX$5:$BA$5,0))+(INDEX('Tables - Part 2'!$BF$6:$BI$13,MATCH(Amine_Cracking!$W5,'Tables - Part 2'!$AV$6:$AV$13,0),MATCH(Amine_Cracking!$U5,'Tables - Part 2'!$AX$5:$BA$5,0))+INDEX('Tables - Part 2'!$AX$17:$BA$24,MATCH(Amine_Cracking!$W5,'Tables - Part 2'!$AV$6:$AV$13,0),MATCH(Amine_Cracking!$U5,'Tables - Part 2'!$AX$5:$BA$5,0)))/2)/2))/2,0)</f>
        <v>0</v>
      </c>
      <c r="AU5" s="248">
        <f>IF($T5=$AU$3,(INDEX('Tables - Part 2'!$BF$6:$BI$13,MATCH(Amine_Cracking!$W5,'Tables - Part 2'!$AV$6:$AV$13,0),MATCH(Amine_Cracking!$U5,'Tables - Part 2'!$AX$5:$BA$5,0))+(INDEX('Tables - Part 2'!$BF$6:$BI$13,MATCH(Amine_Cracking!$W5,'Tables - Part 2'!$AV$6:$AV$13,0),MATCH(Amine_Cracking!$U5,'Tables - Part 2'!$AX$5:$BA$5,0))+INDEX('Tables - Part 2'!$AX$17:$BA$24,MATCH(Amine_Cracking!$W5,'Tables - Part 2'!$AV$6:$AV$13,0),MATCH(Amine_Cracking!$U5,'Tables - Part 2'!$AX$5:$BA$5,0)))/2)/2,0)</f>
        <v>0</v>
      </c>
      <c r="AV5" s="248">
        <f>IF($T5=$AV$3,(((INDEX('Tables - Part 2'!$BF$6:$BI$13,MATCH(Amine_Cracking!$W5,'Tables - Part 2'!$AV$6:$AV$13,0),MATCH(Amine_Cracking!$U5,'Tables - Part 2'!$AX$5:$BA$5,0))+(INDEX('Tables - Part 2'!$BF$6:$BI$13,MATCH(Amine_Cracking!$W5,'Tables - Part 2'!$AV$6:$AV$13,0),MATCH(Amine_Cracking!$U5,'Tables - Part 2'!$AX$5:$BA$5,0))+INDEX('Tables - Part 2'!$AX$17:$BA$24,MATCH(Amine_Cracking!$W5,'Tables - Part 2'!$AV$6:$AV$13,0),MATCH(Amine_Cracking!$U5,'Tables - Part 2'!$AX$5:$BA$5,0)))/2)/2)+((INDEX('Tables - Part 2'!$BF$6:$BI$13,MATCH(Amine_Cracking!$W5,'Tables - Part 2'!$AV$6:$AV$13,0),MATCH(Amine_Cracking!$U5,'Tables - Part 2'!$AX$5:$BA$5,0))+INDEX('Tables - Part 2'!$AX$17:$BA$24,MATCH(Amine_Cracking!$W5,'Tables - Part 2'!$AV$6:$AV$13,0),MATCH(Amine_Cracking!$U5,'Tables - Part 2'!$AX$5:$BA$5,0)))/2))/2,0)</f>
        <v>0</v>
      </c>
      <c r="AW5" s="248">
        <f>IF($T5=$AW$3,(INDEX('Tables - Part 2'!$BF$6:$BI$13,MATCH(Amine_Cracking!$W5,'Tables - Part 2'!$AV$6:$AV$13,0),MATCH(Amine_Cracking!$U5,'Tables - Part 2'!$AX$5:$BA$5,0))+INDEX('Tables - Part 2'!$AX$17:$BA$24,MATCH(Amine_Cracking!$W5,'Tables - Part 2'!$AV$6:$AV$13,0),MATCH(Amine_Cracking!$U5,'Tables - Part 2'!$AX$5:$BA$5,0)))/2,0)</f>
        <v>0</v>
      </c>
      <c r="AX5" s="248">
        <f>IF($T5=$AX$3,(((INDEX('Tables - Part 2'!$BF$6:$BI$13,MATCH(Amine_Cracking!$W5,'Tables - Part 2'!$AV$6:$AV$13,0),MATCH(Amine_Cracking!$U5,'Tables - Part 2'!$AX$5:$BA$5,0))+INDEX('Tables - Part 2'!$AX$17:$BA$24,MATCH(Amine_Cracking!$W5,'Tables - Part 2'!$AV$6:$AV$13,0),MATCH(Amine_Cracking!$U5,'Tables - Part 2'!$AX$5:$BA$5,0)))/2)+((((INDEX('Tables - Part 2'!$BF$6:$BI$13,MATCH(Amine_Cracking!$W5,'Tables - Part 2'!$AV$6:$AV$13,0),MATCH(Amine_Cracking!$U5,'Tables - Part 2'!$AX$5:$BA$5,0))+INDEX('Tables - Part 2'!$AX$17:$BA$24,MATCH(Amine_Cracking!$W5,'Tables - Part 2'!$AV$6:$AV$13,0),MATCH(Amine_Cracking!$U5,'Tables - Part 2'!$AX$5:$BA$5,0)))/2)+INDEX('Tables - Part 2'!$AX$17:$BA$24,MATCH(Amine_Cracking!$W5,'Tables - Part 2'!$AV$6:$AV$13,0),MATCH(Amine_Cracking!$U5,'Tables - Part 2'!$AX$5:$BA$5,0)))/2))/2,0)</f>
        <v>0</v>
      </c>
      <c r="AY5" s="248">
        <f>IF($T5=$AY$3,(((INDEX('Tables - Part 2'!$BF$6:$BI$13,MATCH(Amine_Cracking!$W5,'Tables - Part 2'!$AV$6:$AV$13,0),MATCH(Amine_Cracking!$U5,'Tables - Part 2'!$AX$5:$BA$5,0))+INDEX('Tables - Part 2'!$AX$17:$BA$24,MATCH(Amine_Cracking!$W5,'Tables - Part 2'!$AV$6:$AV$13,0),MATCH(Amine_Cracking!$U5,'Tables - Part 2'!$AX$5:$BA$5,0)))/2)+INDEX('Tables - Part 2'!$AX$17:$BA$24,MATCH(Amine_Cracking!$W5,'Tables - Part 2'!$AV$6:$AV$13,0),MATCH(Amine_Cracking!$U5,'Tables - Part 2'!$AX$5:$BA$5,0)))/2,0)</f>
        <v>0</v>
      </c>
      <c r="AZ5" s="248">
        <f>IF($T5=$AZ$3,(((((INDEX('Tables - Part 2'!$BF$6:$BI$13,MATCH(Amine_Cracking!$W5,'Tables - Part 2'!$AV$6:$AV$13,0),MATCH(Amine_Cracking!$U5,'Tables - Part 2'!$AX$5:$BA$5,0))+INDEX('Tables - Part 2'!$AX$17:$BA$24,MATCH(Amine_Cracking!$W5,'Tables - Part 2'!$AV$6:$AV$13,0),MATCH(Amine_Cracking!$U5,'Tables - Part 2'!$AX$5:$BA$5,0)))/2)+INDEX('Tables - Part 2'!$AX$17:$BA$24,MATCH(Amine_Cracking!$W5,'Tables - Part 2'!$AV$6:$AV$13,0),MATCH(Amine_Cracking!$U5,'Tables - Part 2'!$AX$5:$BA$5,0)))/2)+(INDEX('Tables - Part 2'!$AX$17:$BA$24,MATCH(Amine_Cracking!$W5,'Tables - Part 2'!$AV$6:$AV$13,0),MATCH(Amine_Cracking!$U5,'Tables - Part 2'!$AX$5:$BA$5,0))))/2,0)</f>
        <v>0</v>
      </c>
      <c r="BA5" s="248">
        <f>IF($T5=$BA$3,INDEX('Tables - Part 2'!$AX$17:$BA$24,MATCH(Amine_Cracking!$W5,'Tables - Part 2'!$AV$6:$AV$13,0),MATCH(Amine_Cracking!$U5,'Tables - Part 2'!$AX$5:$BA$5,0)),0)</f>
        <v>0</v>
      </c>
      <c r="BB5" s="248">
        <f>IF($T5=$BB$3,((INDEX('Tables - Part 2'!$AX$17:$BA$24,MATCH(Amine_Cracking!$W5,'Tables - Part 2'!$AV$6:$AV$13,0),MATCH(Amine_Cracking!$U5,'Tables - Part 2'!$AX$5:$BA$5,0)))+(((INDEX('Tables - Part 2'!$AX$17:$BA$24,MATCH(Amine_Cracking!$W5,'Tables - Part 2'!$AV$6:$AV$13,0),MATCH(Amine_Cracking!$U5,'Tables - Part 2'!$AX$5:$BA$5,0)))+(INDEX('Tables - Part 2'!$AX$17:$BA$24,MATCH(Amine_Cracking!$W5,'Tables - Part 2'!$AV$6:$AV$13,0),MATCH(Amine_Cracking!$U5,'Tables - Part 2'!$AX$5:$BA$5,0))+INDEX('Tables - Part 2'!$BB$17:$BE$24,MATCH(Amine_Cracking!$W5,'Tables - Part 2'!$AV$6:$AV$13,0),MATCH(Amine_Cracking!$U5,'Tables - Part 2'!$AX$5:$BA$5,0)))/2)/2))/2,0)</f>
        <v>0</v>
      </c>
      <c r="BC5" s="248">
        <f>IF($T5=$BC$3,((INDEX('Tables - Part 2'!$AX$17:$BA$24,MATCH(Amine_Cracking!$W5,'Tables - Part 2'!$AV$6:$AV$13,0),MATCH(Amine_Cracking!$U5,'Tables - Part 2'!$AX$5:$BA$5,0)))+(INDEX('Tables - Part 2'!$AX$17:$BA$24,MATCH(Amine_Cracking!$W5,'Tables - Part 2'!$AV$6:$AV$13,0),MATCH(Amine_Cracking!$U5,'Tables - Part 2'!$AX$5:$BA$5,0))+INDEX('Tables - Part 2'!$BB$17:$BE$24,MATCH(Amine_Cracking!$W5,'Tables - Part 2'!$AV$6:$AV$13,0),MATCH(Amine_Cracking!$U5,'Tables - Part 2'!$AX$5:$BA$5,0)))/2)/2,0)</f>
        <v>0</v>
      </c>
      <c r="BD5" s="248">
        <f>IF($T5=$BD$3,((((INDEX('Tables - Part 2'!$AX$17:$BA$24,MATCH(Amine_Cracking!$W5,'Tables - Part 2'!$AV$6:$AV$13,0),MATCH(Amine_Cracking!$U5,'Tables - Part 2'!$AX$5:$BA$5,0)))+(INDEX('Tables - Part 2'!$AX$17:$BA$24,MATCH(Amine_Cracking!$W5,'Tables - Part 2'!$AV$6:$AV$13,0),MATCH(Amine_Cracking!$U5,'Tables - Part 2'!$AX$5:$BA$5,0))+INDEX('Tables - Part 2'!$BB$17:$BE$24,MATCH(Amine_Cracking!$W5,'Tables - Part 2'!$AV$6:$AV$13,0),MATCH(Amine_Cracking!$U5,'Tables - Part 2'!$AX$5:$BA$5,0)))/2)/2)+((INDEX('Tables - Part 2'!$AX$17:$BA$24,MATCH(Amine_Cracking!$W5,'Tables - Part 2'!$AV$6:$AV$13,0),MATCH(Amine_Cracking!$U5,'Tables - Part 2'!$AX$5:$BA$5,0))+INDEX('Tables - Part 2'!$BB$17:$BE$24,MATCH(Amine_Cracking!$W5,'Tables - Part 2'!$AV$6:$AV$13,0),MATCH(Amine_Cracking!$U5,'Tables - Part 2'!$AX$5:$BA$5,0)))/2))/2,0)</f>
        <v>0</v>
      </c>
      <c r="BE5" s="248">
        <f>IF($T5=$BE$3,(INDEX('Tables - Part 2'!$AX$17:$BA$24,MATCH(Amine_Cracking!$W5,'Tables - Part 2'!$AV$6:$AV$13,0),MATCH(Amine_Cracking!$U5,'Tables - Part 2'!$AX$5:$BA$5,0))+INDEX('Tables - Part 2'!$BB$17:$BE$24,MATCH(Amine_Cracking!$W5,'Tables - Part 2'!$AV$6:$AV$13,0),MATCH(Amine_Cracking!$U5,'Tables - Part 2'!$AX$5:$BA$5,0)))/2,0)</f>
        <v>0</v>
      </c>
      <c r="BF5" s="248">
        <f>IF($T5=$BF$3,(((INDEX('Tables - Part 2'!$AX$17:$BA$24,MATCH(Amine_Cracking!$W5,'Tables - Part 2'!$AV$6:$AV$13,0),MATCH(Amine_Cracking!$U5,'Tables - Part 2'!$AX$5:$BA$5,0))+INDEX('Tables - Part 2'!$BB$17:$BE$24,MATCH(Amine_Cracking!$W5,'Tables - Part 2'!$AV$6:$AV$13,0),MATCH(Amine_Cracking!$U5,'Tables - Part 2'!$AX$5:$BA$5,0)))/2)+((((INDEX('Tables - Part 2'!$AX$17:$BA$24,MATCH(Amine_Cracking!$W5,'Tables - Part 2'!$AV$6:$AV$13,0),MATCH(Amine_Cracking!$U5,'Tables - Part 2'!$AX$5:$BA$5,0))+INDEX('Tables - Part 2'!$BB$17:$BE$24,MATCH(Amine_Cracking!$W5,'Tables - Part 2'!$AV$6:$AV$13,0),MATCH(Amine_Cracking!$U5,'Tables - Part 2'!$AX$5:$BA$5,0)))/2)+INDEX('Tables - Part 2'!$BB$17:$BE$24,MATCH(Amine_Cracking!$W5,'Tables - Part 2'!$AV$6:$AV$13,0),MATCH(Amine_Cracking!$U5,'Tables - Part 2'!$AX$5:$BA$5,0)))/2))/2,0)</f>
        <v>0</v>
      </c>
      <c r="BG5" s="248">
        <f>IF($T5=$BG$3,(((INDEX('Tables - Part 2'!$AX$17:$BA$24,MATCH(Amine_Cracking!$W5,'Tables - Part 2'!$AV$6:$AV$13,0),MATCH(Amine_Cracking!$U5,'Tables - Part 2'!$AX$5:$BA$5,0))+INDEX('Tables - Part 2'!$BB$17:$BE$24,MATCH(Amine_Cracking!$W5,'Tables - Part 2'!$AV$6:$AV$13,0),MATCH(Amine_Cracking!$U5,'Tables - Part 2'!$AX$5:$BA$5,0)))/2)+INDEX('Tables - Part 2'!$BB$17:$BE$24,MATCH(Amine_Cracking!$W5,'Tables - Part 2'!$AV$6:$AV$13,0),MATCH(Amine_Cracking!$U5,'Tables - Part 2'!$AX$5:$BA$5,0)))/2,0)</f>
        <v>0</v>
      </c>
      <c r="BH5" s="248">
        <f>IF($T5=$BH$3,(((((INDEX('Tables - Part 2'!$AX$17:$BA$24,MATCH(Amine_Cracking!$W5,'Tables - Part 2'!$AV$6:$AV$13,0),MATCH(Amine_Cracking!$U5,'Tables - Part 2'!$AX$5:$BA$5,0))+INDEX('Tables - Part 2'!$BB$17:$BE$24,MATCH(Amine_Cracking!$W5,'Tables - Part 2'!$AV$6:$AV$13,0),MATCH(Amine_Cracking!$U5,'Tables - Part 2'!$AX$5:$BA$5,0)))/2)+INDEX('Tables - Part 2'!$BB$17:$BE$24,MATCH(Amine_Cracking!$W5,'Tables - Part 2'!$AV$6:$AV$13,0),MATCH(Amine_Cracking!$U5,'Tables - Part 2'!$AX$5:$BA$5,0)))/2)+(INDEX('Tables - Part 2'!$BB$17:$BE$24,MATCH(Amine_Cracking!$W5,'Tables - Part 2'!$AV$6:$AV$13,0),MATCH(Amine_Cracking!$U5,'Tables - Part 2'!$AX$5:$BA$5,0))))/2,0)</f>
        <v>0</v>
      </c>
      <c r="BI5" s="248">
        <f>IF($T5=$BI$3,INDEX('Tables - Part 2'!$BB$17:$BE$24,MATCH(Amine_Cracking!$W5,'Tables - Part 2'!$AV$6:$AV$13,0),MATCH(Amine_Cracking!$U5,'Tables - Part 2'!$AX$5:$BA$5,0)),0)</f>
        <v>0</v>
      </c>
      <c r="BJ5" s="248">
        <f>IF($T5=$BJ$3,((INDEX('Tables - Part 2'!$BB$17:$BE$24,MATCH(Amine_Cracking!$W5,'Tables - Part 2'!$AV$6:$AV$13,0),MATCH(Amine_Cracking!$U5,'Tables - Part 2'!$AX$5:$BA$5,0)))+(((INDEX('Tables - Part 2'!$BB$17:$BE$24,MATCH(Amine_Cracking!$W5,'Tables - Part 2'!$AV$6:$AV$13,0),MATCH(Amine_Cracking!$U5,'Tables - Part 2'!$AX$5:$BA$5,0)))+(INDEX('Tables - Part 2'!$BB$17:$BE$24,MATCH(Amine_Cracking!$W5,'Tables - Part 2'!$AV$6:$AV$13,0),MATCH(Amine_Cracking!$U5,'Tables - Part 2'!$AX$5:$BA$5,0))+INDEX('Tables - Part 2'!$BF$17:$BI$24,MATCH(Amine_Cracking!$W5,'Tables - Part 2'!$AV$6:$AV$13,0),MATCH(Amine_Cracking!$U5,'Tables - Part 2'!$AX$5:$BA$5,0)))/2)/2))/2,0)</f>
        <v>0</v>
      </c>
      <c r="BK5" s="248">
        <f>IF($T5=$BK$3,((INDEX('Tables - Part 2'!$BB$17:$BE$24,MATCH(Amine_Cracking!$W5,'Tables - Part 2'!$AV$6:$AV$13,0),MATCH(Amine_Cracking!$U5,'Tables - Part 2'!$AX$5:$BA$5,0)))+(INDEX('Tables - Part 2'!$BB$17:$BE$24,MATCH(Amine_Cracking!$W5,'Tables - Part 2'!$AV$6:$AV$13,0),MATCH(Amine_Cracking!$U5,'Tables - Part 2'!$AX$5:$BA$5,0))+INDEX('Tables - Part 2'!$BF$17:$BI$24,MATCH(Amine_Cracking!$W5,'Tables - Part 2'!$AV$6:$AV$13,0),MATCH(Amine_Cracking!$U5,'Tables - Part 2'!$AX$5:$BA$5,0)))/2)/2,0)</f>
        <v>0</v>
      </c>
      <c r="BL5" s="248">
        <f>IF($T5=$BL$3,((((INDEX('Tables - Part 2'!$BB$17:$BE$24,MATCH(Amine_Cracking!$W5,'Tables - Part 2'!$AV$6:$AV$13,0),MATCH(Amine_Cracking!$U5,'Tables - Part 2'!$AX$5:$BA$5,0)))+(INDEX('Tables - Part 2'!$BB$17:$BE$24,MATCH(Amine_Cracking!$W5,'Tables - Part 2'!$AV$6:$AV$13,0),MATCH(Amine_Cracking!$U5,'Tables - Part 2'!$AX$5:$BA$5,0))+INDEX('Tables - Part 2'!$BF$17:$BI$24,MATCH(Amine_Cracking!$W5,'Tables - Part 2'!$AV$6:$AV$13,0),MATCH(Amine_Cracking!$U5,'Tables - Part 2'!$AX$5:$BA$5,0)))/2)/2)+((INDEX('Tables - Part 2'!$BB$17:$BE$24,MATCH(Amine_Cracking!$W5,'Tables - Part 2'!$AV$6:$AV$13,0),MATCH(Amine_Cracking!$U5,'Tables - Part 2'!$AX$5:$BA$5,0))+INDEX('Tables - Part 2'!$BF$17:$BI$24,MATCH(Amine_Cracking!$W5,'Tables - Part 2'!$AV$6:$AV$13,0),MATCH(Amine_Cracking!$U5,'Tables - Part 2'!$AX$5:$BA$5,0)))/2))/2,0)</f>
        <v>0</v>
      </c>
      <c r="BM5" s="248">
        <f>IF($T5=$BM$3,(INDEX('Tables - Part 2'!$BB$17:$BE$24,MATCH(Amine_Cracking!$W5,'Tables - Part 2'!$AV$6:$AV$13,0),MATCH(Amine_Cracking!$U5,'Tables - Part 2'!$AX$5:$BA$5,0))+INDEX('Tables - Part 2'!$BF$17:$BI$24,MATCH(Amine_Cracking!$W5,'Tables - Part 2'!$AV$6:$AV$13,0),MATCH(Amine_Cracking!$U5,'Tables - Part 2'!$AX$5:$BA$5,0)))/2,0)</f>
        <v>0</v>
      </c>
      <c r="BN5" s="248">
        <f>IF($T5=$BN$3,(((INDEX('Tables - Part 2'!$BB$17:$BE$24,MATCH(Amine_Cracking!$W5,'Tables - Part 2'!$AV$6:$AV$13,0),MATCH(Amine_Cracking!$U5,'Tables - Part 2'!$AX$5:$BA$5,0))+INDEX('Tables - Part 2'!$BF$17:$BI$24,MATCH(Amine_Cracking!$W5,'Tables - Part 2'!$AV$6:$AV$13,0),MATCH(Amine_Cracking!$U5,'Tables - Part 2'!$AX$5:$BA$5,0)))/2)+((((INDEX('Tables - Part 2'!$BB$17:$BE$24,MATCH(Amine_Cracking!$W5,'Tables - Part 2'!$AV$6:$AV$13,0),MATCH(Amine_Cracking!$U5,'Tables - Part 2'!$AX$5:$BA$5,0))+INDEX('Tables - Part 2'!$BF$17:$BI$24,MATCH(Amine_Cracking!$W5,'Tables - Part 2'!$AV$6:$AV$13,0),MATCH(Amine_Cracking!$U5,'Tables - Part 2'!$AX$5:$BA$5,0)))/2)+INDEX('Tables - Part 2'!$BF$17:$BI$24,MATCH(Amine_Cracking!$W5,'Tables - Part 2'!$AV$6:$AV$13,0),MATCH(Amine_Cracking!$U5,'Tables - Part 2'!$AX$5:$BA$5,0)))/2))/2,0)</f>
        <v>0</v>
      </c>
      <c r="BO5" s="248">
        <f>IF($T5=$BO$3,(((INDEX('Tables - Part 2'!$BB$17:$BE$24,MATCH(Amine_Cracking!$W5,'Tables - Part 2'!$AV$6:$AV$13,0),MATCH(Amine_Cracking!$U5,'Tables - Part 2'!$AX$5:$BA$5,0))+INDEX('Tables - Part 2'!$BF$17:$BI$24,MATCH(Amine_Cracking!$W5,'Tables - Part 2'!$AV$6:$AV$13,0),MATCH(Amine_Cracking!$U5,'Tables - Part 2'!$AX$5:$BA$5,0)))/2)+INDEX('Tables - Part 2'!$BF$17:$BI$24,MATCH(Amine_Cracking!$W5,'Tables - Part 2'!$AV$6:$AV$13,0),MATCH(Amine_Cracking!$U5,'Tables - Part 2'!$AX$5:$BA$5,0)))/2,0)</f>
        <v>0</v>
      </c>
      <c r="BP5" s="248">
        <f>IF($T5=$BP$3,(((((INDEX('Tables - Part 2'!$BB$17:$BE$24,MATCH(Amine_Cracking!$W5,'Tables - Part 2'!$AV$6:$AV$13,0),MATCH(Amine_Cracking!$U5,'Tables - Part 2'!$AX$5:$BA$5,0))+INDEX('Tables - Part 2'!$BF$17:$BI$24,MATCH(Amine_Cracking!$W5,'Tables - Part 2'!$AV$6:$AV$13,0),MATCH(Amine_Cracking!$U5,'Tables - Part 2'!$AX$5:$BA$5,0)))/2)+INDEX('Tables - Part 2'!$BF$17:$BI$24,MATCH(Amine_Cracking!$W5,'Tables - Part 2'!$AV$6:$AV$13,0),MATCH(Amine_Cracking!$U5,'Tables - Part 2'!$AX$5:$BA$5,0)))/2)+(INDEX('Tables - Part 2'!$BF$17:$BI$24,MATCH(Amine_Cracking!$W5,'Tables - Part 2'!$AV$6:$AV$13,0),MATCH(Amine_Cracking!$U5,'Tables - Part 2'!$AX$5:$BA$5,0))))/2,0)</f>
        <v>0</v>
      </c>
      <c r="BQ5" s="248">
        <f>IF($T5=$BQ$3,INDEX('Tables - Part 2'!$BF$17:$BI$24,MATCH(Amine_Cracking!$W5,'Tables - Part 2'!$AV$6:$AV$13,0),MATCH(Amine_Cracking!$U5,'Tables - Part 2'!$AX$5:$BA$5,0)),0)</f>
        <v>0</v>
      </c>
      <c r="BR5" s="248">
        <f t="shared" si="5"/>
        <v>0</v>
      </c>
      <c r="BS5" s="238">
        <f t="shared" ref="BS5:BS21" si="8">SUM(AC5:BR5)</f>
        <v>3</v>
      </c>
      <c r="BT5" s="238">
        <f t="shared" ref="BT5:BT21" si="9">IF(B5="",0,MIN(BS5*POWER(MAX(X5,1),1.1),5000))</f>
        <v>52.072620873645036</v>
      </c>
      <c r="BW5" s="438" t="s">
        <v>898</v>
      </c>
      <c r="BZ5">
        <v>140</v>
      </c>
      <c r="CB5">
        <v>60</v>
      </c>
    </row>
    <row r="6" spans="2:85" x14ac:dyDescent="0.35">
      <c r="B6" s="161" t="str">
        <f>'Tratamento de Dados'!B14</f>
        <v>V-10</v>
      </c>
      <c r="C6" s="161" t="str">
        <f>'Tratamento de Dados'!D14</f>
        <v>Casco</v>
      </c>
      <c r="D6" s="209" t="s">
        <v>245</v>
      </c>
      <c r="E6" s="209" t="s">
        <v>245</v>
      </c>
      <c r="F6" s="209" t="s">
        <v>244</v>
      </c>
      <c r="G6" s="209" t="s">
        <v>244</v>
      </c>
      <c r="H6" s="209" t="s">
        <v>245</v>
      </c>
      <c r="I6" s="209">
        <v>100</v>
      </c>
      <c r="J6" s="209" t="s">
        <v>245</v>
      </c>
      <c r="K6" s="209" t="s">
        <v>245</v>
      </c>
      <c r="L6" s="209" t="s">
        <v>245</v>
      </c>
      <c r="M6" s="210">
        <v>39092</v>
      </c>
      <c r="N6" s="209">
        <v>0</v>
      </c>
      <c r="O6" s="209">
        <v>1</v>
      </c>
      <c r="P6" s="209">
        <v>1</v>
      </c>
      <c r="Q6" s="209">
        <v>4</v>
      </c>
      <c r="R6" s="253">
        <f>'Tratamento de Dados'!DA14</f>
        <v>0</v>
      </c>
      <c r="S6" s="253">
        <f>'Tratamento de Dados'!DB14</f>
        <v>0</v>
      </c>
      <c r="T6" s="256">
        <f t="shared" si="0"/>
        <v>2.5</v>
      </c>
      <c r="U6" s="246" t="str">
        <f t="shared" si="1"/>
        <v>B</v>
      </c>
      <c r="V6" s="238" t="str">
        <f t="shared" si="6"/>
        <v>High</v>
      </c>
      <c r="W6" s="238">
        <f>IF(AND(D6=$BY$2,E6&lt;&gt;$BY$2),"Fitness-For-Service",INDEX('Tables - Part 2'!$BL$4:$BL$7,MATCH(Amine_Cracking!V6,'Tables - Part 2'!$BK$4:$BK$7,0),))</f>
        <v>100</v>
      </c>
      <c r="X6" s="238">
        <f>IF(M6=0,(Thinning!G7-Thinning!F7)/365.25,(Thinning!G7-M6)/365.25)</f>
        <v>12.980150581793293</v>
      </c>
      <c r="Y6" s="248">
        <f t="shared" si="2"/>
        <v>0</v>
      </c>
      <c r="Z6" s="248">
        <f t="shared" si="3"/>
        <v>2.5</v>
      </c>
      <c r="AA6" s="247">
        <f t="shared" si="7"/>
        <v>3</v>
      </c>
      <c r="AB6" s="247">
        <f t="shared" si="4"/>
        <v>4</v>
      </c>
      <c r="AC6" s="248">
        <f>IF($T6=$AC$3,INDEX('Tables - Part 2'!$AX$6:$BA$13,MATCH(Amine_Cracking!W6,'Tables - Part 2'!$AV$6:$AV$13,0),MATCH(Amine_Cracking!U6,'Tables - Part 2'!$AX$5:$BA$5,0)),0)</f>
        <v>0</v>
      </c>
      <c r="AD6" s="248">
        <f>IF($T6=$AD$3,(INDEX('Tables - Part 2'!$AX$6:$BA$13,MATCH(Amine_Cracking!W6,'Tables - Part 2'!$AV$6:$AV$13,0),MATCH(Amine_Cracking!U6,'Tables - Part 2'!$AX$5:$BA$5,0))+(INDEX('Tables - Part 2'!$AX$6:$BA$13,MATCH(Amine_Cracking!W6,'Tables - Part 2'!$AV$6:$AV$13,0),MATCH(Amine_Cracking!U6,'Tables - Part 2'!$AX$5:$BA$5,0))+((INDEX('Tables - Part 2'!$AX$6:$BA$13,MATCH(Amine_Cracking!W6,'Tables - Part 2'!$AV$6:$AV$13,0),MATCH(Amine_Cracking!U6,'Tables - Part 2'!$AX$5:$BA$5,0))+INDEX('Tables - Part 2'!$BB$6:$BE$13,MATCH(Amine_Cracking!$W6,'Tables - Part 2'!$AV$6:$AV$13,0),MATCH(Amine_Cracking!$U6,'Tables - Part 2'!$AX$5:$BA$5,0)))/2))/2)/2,0)</f>
        <v>0</v>
      </c>
      <c r="AE6" s="248">
        <f>IF($T6=$AE$3,(INDEX('Tables - Part 2'!$AX$6:$BA$13,MATCH(Amine_Cracking!W6,'Tables - Part 2'!$AV$6:$AV$13,0),MATCH(Amine_Cracking!U6,'Tables - Part 2'!$AX$5:$BA$5,0))+((INDEX('Tables - Part 2'!$AX$6:$BA$13,MATCH(Amine_Cracking!W6,'Tables - Part 2'!$AV$6:$AV$13,0),MATCH(Amine_Cracking!U6,'Tables - Part 2'!$AX$5:$BA$5,0))+INDEX('Tables - Part 2'!$BB$6:$BE$13,MATCH(Amine_Cracking!$W6,'Tables - Part 2'!$AV$6:$AV$13,0),MATCH(Amine_Cracking!$U6,'Tables - Part 2'!$AX$5:$BA$5,0)))/2))/2,0)</f>
        <v>0</v>
      </c>
      <c r="AF6" s="248">
        <f>IF($T6=$AF$3,(((INDEX('Tables - Part 2'!$AX$6:$BA$13,MATCH(Amine_Cracking!W6,'Tables - Part 2'!$AV$6:$AV$13,0),MATCH(Amine_Cracking!U6,'Tables - Part 2'!$AX$5:$BA$5,0))+((INDEX('Tables - Part 2'!$AX$6:$BA$13,MATCH(Amine_Cracking!W6,'Tables - Part 2'!$AV$6:$AV$13,0),MATCH(Amine_Cracking!U6,'Tables - Part 2'!$AX$5:$BA$5,0))+INDEX('Tables - Part 2'!$BB$6:$BE$13,MATCH(Amine_Cracking!$W6,'Tables - Part 2'!$AV$6:$AV$13,0),MATCH(Amine_Cracking!$U6,'Tables - Part 2'!$AX$5:$BA$5,0)))/2))/2)+(INDEX('Tables - Part 2'!$AX$6:$BA$13,MATCH(Amine_Cracking!W6,'Tables - Part 2'!$AV$6:$AV$13,0),MATCH(Amine_Cracking!U6,'Tables - Part 2'!$AX$5:$BA$5,0))+INDEX('Tables - Part 2'!$BB$6:$BE$13,MATCH(Amine_Cracking!$W6,'Tables - Part 2'!$AV$6:$AV$13,0),MATCH(Amine_Cracking!$U6,'Tables - Part 2'!$AX$5:$BA$5,0)))/2)/2,0)</f>
        <v>0</v>
      </c>
      <c r="AG6" s="248">
        <f>IF($T6=$AG$3,(INDEX('Tables - Part 2'!$AX$6:$BA$13,MATCH(Amine_Cracking!W6,'Tables - Part 2'!$AV$6:$AV$13,0),MATCH(Amine_Cracking!U6,'Tables - Part 2'!$AX$5:$BA$5,0))+INDEX('Tables - Part 2'!$BB$6:$BE$13,MATCH(Amine_Cracking!$W6,'Tables - Part 2'!$AV$6:$AV$13,0),MATCH(Amine_Cracking!$U6,'Tables - Part 2'!$AX$5:$BA$5,0)))/2,0)</f>
        <v>0</v>
      </c>
      <c r="AH6" s="248">
        <f>IF($T6=$AH$3,(((INDEX('Tables - Part 2'!$AX$6:$BA$13,MATCH(Amine_Cracking!W6,'Tables - Part 2'!$AV$6:$AV$13,0),MATCH(Amine_Cracking!U6,'Tables - Part 2'!$AX$5:$BA$5,0))+INDEX('Tables - Part 2'!$BB$6:$BE$13,MATCH(Amine_Cracking!$W6,'Tables - Part 2'!$AV$6:$AV$13,0),MATCH(Amine_Cracking!$U6,'Tables - Part 2'!$AX$5:$BA$5,0)))/2)+(((INDEX('Tables - Part 2'!$AX$6:$BA$13,MATCH(Amine_Cracking!W6,'Tables - Part 2'!$AV$6:$AV$13,0),MATCH(Amine_Cracking!U6,'Tables - Part 2'!$AX$5:$BA$5,0))+INDEX('Tables - Part 2'!$BB$6:$BE$13,MATCH(Amine_Cracking!$W6,'Tables - Part 2'!$AV$6:$AV$13,0),MATCH(Amine_Cracking!$U6,'Tables - Part 2'!$AX$5:$BA$5,0)))/2)+INDEX('Tables - Part 2'!$BB$6:$BE$13,MATCH(Amine_Cracking!$W6,'Tables - Part 2'!$AV$6:$AV$13,0),MATCH(Amine_Cracking!$U6,'Tables - Part 2'!$AX$5:$BA$5,0)))/2)/2,0)</f>
        <v>0</v>
      </c>
      <c r="AI6" s="248">
        <f>IF($T6=$AI$3,(((INDEX('Tables - Part 2'!$AX$6:$BA$13,MATCH(Amine_Cracking!W6,'Tables - Part 2'!$AV$6:$AV$13,0),MATCH(Amine_Cracking!U6,'Tables - Part 2'!$AX$5:$BA$5,0))+INDEX('Tables - Part 2'!$BB$6:$BE$13,MATCH(Amine_Cracking!$W6,'Tables - Part 2'!$AV$6:$AV$13,0),MATCH(Amine_Cracking!$U6,'Tables - Part 2'!$AX$5:$BA$5,0)))/2)+INDEX('Tables - Part 2'!$BB$6:$BE$13,MATCH(Amine_Cracking!$W6,'Tables - Part 2'!$AV$6:$AV$13,0),MATCH(Amine_Cracking!$U6,'Tables - Part 2'!$AX$5:$BA$5,0)))/2,0)</f>
        <v>0</v>
      </c>
      <c r="AJ6" s="248">
        <f>IF($T6=$AJ$3,(((((INDEX('Tables - Part 2'!$AX$6:$BA$13,MATCH(Amine_Cracking!W6,'Tables - Part 2'!$AV$6:$AV$13,0),MATCH(Amine_Cracking!U6,'Tables - Part 2'!$AX$5:$BA$5,0))+INDEX('Tables - Part 2'!$BB$6:$BE$13,MATCH(Amine_Cracking!$W6,'Tables - Part 2'!$AV$6:$AV$13,0),MATCH(Amine_Cracking!$U6,'Tables - Part 2'!$AX$5:$BA$5,0)))/2)+INDEX('Tables - Part 2'!$BB$6:$BE$13,MATCH(Amine_Cracking!$W6,'Tables - Part 2'!$AV$6:$AV$13,0),MATCH(Amine_Cracking!$U6,'Tables - Part 2'!$AX$5:$BA$5,0)))/2)+INDEX('Tables - Part 2'!$BB$6:$BE$13,MATCH(Amine_Cracking!$W6,'Tables - Part 2'!$AV$6:$AV$13,0),MATCH(Amine_Cracking!$U6,'Tables - Part 2'!$AX$5:$BA$5,0)))/2,0)</f>
        <v>0</v>
      </c>
      <c r="AK6" s="248">
        <f>IF($T6=$AK$3,INDEX('Tables - Part 2'!$BB$6:$BE$13,MATCH(Amine_Cracking!$W6,'Tables - Part 2'!$AV$6:$AV$13,0),MATCH(Amine_Cracking!$U6,'Tables - Part 2'!$AX$5:$BA$5,0)),0)</f>
        <v>0</v>
      </c>
      <c r="AL6" s="248">
        <f>IF($T6=$AL$3,((INDEX('Tables - Part 2'!$BB$6:$BE$13,MATCH(Amine_Cracking!$W6,'Tables - Part 2'!$AV$6:$AV$13,0),MATCH(Amine_Cracking!$U6,'Tables - Part 2'!$AX$5:$BA$5,0)))+(INDEX('Tables - Part 2'!$BB$6:$BE$13,MATCH(Amine_Cracking!$W6,'Tables - Part 2'!$AV$6:$AV$13,0),MATCH(Amine_Cracking!$U6,'Tables - Part 2'!$AX$5:$BA$5,0))+(INDEX('Tables - Part 2'!$BB$6:$BE$13,MATCH(Amine_Cracking!$W6,'Tables - Part 2'!$AV$6:$AV$13,0),MATCH(Amine_Cracking!$U6,'Tables - Part 2'!$AX$5:$BA$5,0))+INDEX('Tables - Part 2'!$BF$6:$BI$13,MATCH(Amine_Cracking!$W6,'Tables - Part 2'!$AV$6:$AV$13,0),MATCH(Amine_Cracking!$U6,'Tables - Part 2'!$AX$5:$BA$5,0)))/2)/2)/2,0)</f>
        <v>0</v>
      </c>
      <c r="AM6" s="248">
        <f>IF($T6=$AM$3,(INDEX('Tables - Part 2'!$BB$6:$BE$13,MATCH(Amine_Cracking!$W6,'Tables - Part 2'!$AV$6:$AV$13,0),MATCH(Amine_Cracking!$U6,'Tables - Part 2'!$AX$5:$BA$5,0))+(INDEX('Tables - Part 2'!$BB$6:$BE$13,MATCH(Amine_Cracking!$W6,'Tables - Part 2'!$AV$6:$AV$13,0),MATCH(Amine_Cracking!$U6,'Tables - Part 2'!$AX$5:$BA$5,0))+INDEX('Tables - Part 2'!$BF$6:$BI$13,MATCH(Amine_Cracking!$W6,'Tables - Part 2'!$AV$6:$AV$13,0),MATCH(Amine_Cracking!$U6,'Tables - Part 2'!$AX$5:$BA$5,0)))/2)/2,0)</f>
        <v>0</v>
      </c>
      <c r="AN6" s="248">
        <f>IF($T6=$AN$3,(((INDEX('Tables - Part 2'!$BB$6:$BE$13,MATCH(Amine_Cracking!$W6,'Tables - Part 2'!$AV$6:$AV$13,0),MATCH(Amine_Cracking!$U6,'Tables - Part 2'!$AX$5:$BA$5,0))+(INDEX('Tables - Part 2'!$BB$6:$BE$13,MATCH(Amine_Cracking!$W6,'Tables - Part 2'!$AV$6:$AV$13,0),MATCH(Amine_Cracking!$U6,'Tables - Part 2'!$AX$5:$BA$5,0))+INDEX('Tables - Part 2'!$BF$6:$BI$13,MATCH(Amine_Cracking!$W6,'Tables - Part 2'!$AV$6:$AV$13,0),MATCH(Amine_Cracking!$U6,'Tables - Part 2'!$AX$5:$BA$5,0)))/2)/2)+((INDEX('Tables - Part 2'!$BB$6:$BE$13,MATCH(Amine_Cracking!$W6,'Tables - Part 2'!$AV$6:$AV$13,0),MATCH(Amine_Cracking!$U6,'Tables - Part 2'!$AX$5:$BA$5,0))+INDEX('Tables - Part 2'!$BF$6:$BI$13,MATCH(Amine_Cracking!$W6,'Tables - Part 2'!$AV$6:$AV$13,0),MATCH(Amine_Cracking!$U6,'Tables - Part 2'!$AX$5:$BA$5,0)))/2))/2,0)</f>
        <v>0</v>
      </c>
      <c r="AO6" s="248">
        <f>IF($T6=$AO$3,(INDEX('Tables - Part 2'!$BB$6:$BE$13,MATCH(Amine_Cracking!$W6,'Tables - Part 2'!$AV$6:$AV$13,0),MATCH(Amine_Cracking!$U6,'Tables - Part 2'!$AX$5:$BA$5,0))+INDEX('Tables - Part 2'!$BF$6:$BI$13,MATCH(Amine_Cracking!$W6,'Tables - Part 2'!$AV$6:$AV$13,0),MATCH(Amine_Cracking!$U6,'Tables - Part 2'!$AX$5:$BA$5,0)))/2,0)</f>
        <v>3</v>
      </c>
      <c r="AP6" s="248">
        <f>IF($T6=$AP$3,(((INDEX('Tables - Part 2'!$BB$6:$BE$13,MATCH(Amine_Cracking!$W6,'Tables - Part 2'!$AV$6:$AV$13,0),MATCH(Amine_Cracking!$U6,'Tables - Part 2'!$AX$5:$BA$5,0))+INDEX('Tables - Part 2'!$BF$6:$BI$13,MATCH(Amine_Cracking!$W6,'Tables - Part 2'!$AV$6:$AV$13,0),MATCH(Amine_Cracking!$U6,'Tables - Part 2'!$AX$5:$BA$5,0)))/2)+((((INDEX('Tables - Part 2'!$BB$6:$BE$13,MATCH(Amine_Cracking!$W6,'Tables - Part 2'!$AV$6:$AV$13,0),MATCH(Amine_Cracking!$U6,'Tables - Part 2'!$AX$5:$BA$5,0))+INDEX('Tables - Part 2'!$BF$6:$BI$13,MATCH(Amine_Cracking!$W6,'Tables - Part 2'!$AV$6:$AV$13,0),MATCH(Amine_Cracking!$U6,'Tables - Part 2'!$AX$5:$BA$5,0)))/2)+INDEX('Tables - Part 2'!$BF$6:$BI$13,MATCH(Amine_Cracking!$W6,'Tables - Part 2'!$AV$6:$AV$13,0),MATCH(Amine_Cracking!$U6,'Tables - Part 2'!$AX$5:$BA$5,0)))/2))/2,0)</f>
        <v>0</v>
      </c>
      <c r="AQ6" s="248">
        <f>IF($T6=$AQ$3,(((INDEX('Tables - Part 2'!$BB$6:$BE$13,MATCH(Amine_Cracking!$W6,'Tables - Part 2'!$AV$6:$AV$13,0),MATCH(Amine_Cracking!$U6,'Tables - Part 2'!$AX$5:$BA$5,0))+INDEX('Tables - Part 2'!$BF$6:$BI$13,MATCH(Amine_Cracking!$W6,'Tables - Part 2'!$AV$6:$AV$13,0),MATCH(Amine_Cracking!$U6,'Tables - Part 2'!$AX$5:$BA$5,0)))/2)+INDEX('Tables - Part 2'!$BF$6:$BI$13,MATCH(Amine_Cracking!$W6,'Tables - Part 2'!$AV$6:$AV$13,0),MATCH(Amine_Cracking!$U6,'Tables - Part 2'!$AX$5:$BA$5,0)))/2,0)</f>
        <v>0</v>
      </c>
      <c r="AR6" s="248">
        <f>IF($T6=$AR$3,(((((INDEX('Tables - Part 2'!$BB$6:$BE$13,MATCH(Amine_Cracking!$W6,'Tables - Part 2'!$AV$6:$AV$13,0),MATCH(Amine_Cracking!$U6,'Tables - Part 2'!$AX$5:$BA$5,0))+INDEX('Tables - Part 2'!$BF$6:$BI$13,MATCH(Amine_Cracking!$W6,'Tables - Part 2'!$AV$6:$AV$13,0),MATCH(Amine_Cracking!$U6,'Tables - Part 2'!$AX$5:$BA$5,0)))/2)+INDEX('Tables - Part 2'!$BF$6:$BI$13,MATCH(Amine_Cracking!$W6,'Tables - Part 2'!$AV$6:$AV$13,0),MATCH(Amine_Cracking!$U6,'Tables - Part 2'!$AX$5:$BA$5,0)))/2)+INDEX('Tables - Part 2'!$BF$6:$BI$13,MATCH(Amine_Cracking!$W6,'Tables - Part 2'!$AV$6:$AV$13,0),MATCH(Amine_Cracking!$U6,'Tables - Part 2'!$AX$5:$BA$5,0)))/2,0)</f>
        <v>0</v>
      </c>
      <c r="AS6" s="248">
        <f>IF($T6=$AS$3,INDEX('Tables - Part 2'!$BF$6:$BI$13,MATCH(Amine_Cracking!$W6,'Tables - Part 2'!$AV$6:$AV$13,0),MATCH(Amine_Cracking!$U6,'Tables - Part 2'!$AX$5:$BA$5,0)),0)</f>
        <v>0</v>
      </c>
      <c r="AT6" s="248">
        <f>IF($T6=$AT$3,(INDEX('Tables - Part 2'!$BF$6:$BI$13,MATCH(Amine_Cracking!$W6,'Tables - Part 2'!$AV$6:$AV$13,0),MATCH(Amine_Cracking!$U6,'Tables - Part 2'!$AX$5:$BA$5,0))+((INDEX('Tables - Part 2'!$BF$6:$BI$13,MATCH(Amine_Cracking!$W6,'Tables - Part 2'!$AV$6:$AV$13,0),MATCH(Amine_Cracking!$U6,'Tables - Part 2'!$AX$5:$BA$5,0))+(INDEX('Tables - Part 2'!$BF$6:$BI$13,MATCH(Amine_Cracking!$W6,'Tables - Part 2'!$AV$6:$AV$13,0),MATCH(Amine_Cracking!$U6,'Tables - Part 2'!$AX$5:$BA$5,0))+INDEX('Tables - Part 2'!$AX$17:$BA$24,MATCH(Amine_Cracking!$W6,'Tables - Part 2'!$AV$6:$AV$13,0),MATCH(Amine_Cracking!$U6,'Tables - Part 2'!$AX$5:$BA$5,0)))/2)/2))/2,0)</f>
        <v>0</v>
      </c>
      <c r="AU6" s="248">
        <f>IF($T6=$AU$3,(INDEX('Tables - Part 2'!$BF$6:$BI$13,MATCH(Amine_Cracking!$W6,'Tables - Part 2'!$AV$6:$AV$13,0),MATCH(Amine_Cracking!$U6,'Tables - Part 2'!$AX$5:$BA$5,0))+(INDEX('Tables - Part 2'!$BF$6:$BI$13,MATCH(Amine_Cracking!$W6,'Tables - Part 2'!$AV$6:$AV$13,0),MATCH(Amine_Cracking!$U6,'Tables - Part 2'!$AX$5:$BA$5,0))+INDEX('Tables - Part 2'!$AX$17:$BA$24,MATCH(Amine_Cracking!$W6,'Tables - Part 2'!$AV$6:$AV$13,0),MATCH(Amine_Cracking!$U6,'Tables - Part 2'!$AX$5:$BA$5,0)))/2)/2,0)</f>
        <v>0</v>
      </c>
      <c r="AV6" s="248">
        <f>IF($T6=$AV$3,(((INDEX('Tables - Part 2'!$BF$6:$BI$13,MATCH(Amine_Cracking!$W6,'Tables - Part 2'!$AV$6:$AV$13,0),MATCH(Amine_Cracking!$U6,'Tables - Part 2'!$AX$5:$BA$5,0))+(INDEX('Tables - Part 2'!$BF$6:$BI$13,MATCH(Amine_Cracking!$W6,'Tables - Part 2'!$AV$6:$AV$13,0),MATCH(Amine_Cracking!$U6,'Tables - Part 2'!$AX$5:$BA$5,0))+INDEX('Tables - Part 2'!$AX$17:$BA$24,MATCH(Amine_Cracking!$W6,'Tables - Part 2'!$AV$6:$AV$13,0),MATCH(Amine_Cracking!$U6,'Tables - Part 2'!$AX$5:$BA$5,0)))/2)/2)+((INDEX('Tables - Part 2'!$BF$6:$BI$13,MATCH(Amine_Cracking!$W6,'Tables - Part 2'!$AV$6:$AV$13,0),MATCH(Amine_Cracking!$U6,'Tables - Part 2'!$AX$5:$BA$5,0))+INDEX('Tables - Part 2'!$AX$17:$BA$24,MATCH(Amine_Cracking!$W6,'Tables - Part 2'!$AV$6:$AV$13,0),MATCH(Amine_Cracking!$U6,'Tables - Part 2'!$AX$5:$BA$5,0)))/2))/2,0)</f>
        <v>0</v>
      </c>
      <c r="AW6" s="248">
        <f>IF($T6=$AW$3,(INDEX('Tables - Part 2'!$BF$6:$BI$13,MATCH(Amine_Cracking!$W6,'Tables - Part 2'!$AV$6:$AV$13,0),MATCH(Amine_Cracking!$U6,'Tables - Part 2'!$AX$5:$BA$5,0))+INDEX('Tables - Part 2'!$AX$17:$BA$24,MATCH(Amine_Cracking!$W6,'Tables - Part 2'!$AV$6:$AV$13,0),MATCH(Amine_Cracking!$U6,'Tables - Part 2'!$AX$5:$BA$5,0)))/2,0)</f>
        <v>0</v>
      </c>
      <c r="AX6" s="248">
        <f>IF($T6=$AX$3,(((INDEX('Tables - Part 2'!$BF$6:$BI$13,MATCH(Amine_Cracking!$W6,'Tables - Part 2'!$AV$6:$AV$13,0),MATCH(Amine_Cracking!$U6,'Tables - Part 2'!$AX$5:$BA$5,0))+INDEX('Tables - Part 2'!$AX$17:$BA$24,MATCH(Amine_Cracking!$W6,'Tables - Part 2'!$AV$6:$AV$13,0),MATCH(Amine_Cracking!$U6,'Tables - Part 2'!$AX$5:$BA$5,0)))/2)+((((INDEX('Tables - Part 2'!$BF$6:$BI$13,MATCH(Amine_Cracking!$W6,'Tables - Part 2'!$AV$6:$AV$13,0),MATCH(Amine_Cracking!$U6,'Tables - Part 2'!$AX$5:$BA$5,0))+INDEX('Tables - Part 2'!$AX$17:$BA$24,MATCH(Amine_Cracking!$W6,'Tables - Part 2'!$AV$6:$AV$13,0),MATCH(Amine_Cracking!$U6,'Tables - Part 2'!$AX$5:$BA$5,0)))/2)+INDEX('Tables - Part 2'!$AX$17:$BA$24,MATCH(Amine_Cracking!$W6,'Tables - Part 2'!$AV$6:$AV$13,0),MATCH(Amine_Cracking!$U6,'Tables - Part 2'!$AX$5:$BA$5,0)))/2))/2,0)</f>
        <v>0</v>
      </c>
      <c r="AY6" s="248">
        <f>IF($T6=$AY$3,(((INDEX('Tables - Part 2'!$BF$6:$BI$13,MATCH(Amine_Cracking!$W6,'Tables - Part 2'!$AV$6:$AV$13,0),MATCH(Amine_Cracking!$U6,'Tables - Part 2'!$AX$5:$BA$5,0))+INDEX('Tables - Part 2'!$AX$17:$BA$24,MATCH(Amine_Cracking!$W6,'Tables - Part 2'!$AV$6:$AV$13,0),MATCH(Amine_Cracking!$U6,'Tables - Part 2'!$AX$5:$BA$5,0)))/2)+INDEX('Tables - Part 2'!$AX$17:$BA$24,MATCH(Amine_Cracking!$W6,'Tables - Part 2'!$AV$6:$AV$13,0),MATCH(Amine_Cracking!$U6,'Tables - Part 2'!$AX$5:$BA$5,0)))/2,0)</f>
        <v>0</v>
      </c>
      <c r="AZ6" s="248">
        <f>IF($T6=$AZ$3,(((((INDEX('Tables - Part 2'!$BF$6:$BI$13,MATCH(Amine_Cracking!$W6,'Tables - Part 2'!$AV$6:$AV$13,0),MATCH(Amine_Cracking!$U6,'Tables - Part 2'!$AX$5:$BA$5,0))+INDEX('Tables - Part 2'!$AX$17:$BA$24,MATCH(Amine_Cracking!$W6,'Tables - Part 2'!$AV$6:$AV$13,0),MATCH(Amine_Cracking!$U6,'Tables - Part 2'!$AX$5:$BA$5,0)))/2)+INDEX('Tables - Part 2'!$AX$17:$BA$24,MATCH(Amine_Cracking!$W6,'Tables - Part 2'!$AV$6:$AV$13,0),MATCH(Amine_Cracking!$U6,'Tables - Part 2'!$AX$5:$BA$5,0)))/2)+(INDEX('Tables - Part 2'!$AX$17:$BA$24,MATCH(Amine_Cracking!$W6,'Tables - Part 2'!$AV$6:$AV$13,0),MATCH(Amine_Cracking!$U6,'Tables - Part 2'!$AX$5:$BA$5,0))))/2,0)</f>
        <v>0</v>
      </c>
      <c r="BA6" s="248">
        <f>IF($T6=$BA$3,INDEX('Tables - Part 2'!$AX$17:$BA$24,MATCH(Amine_Cracking!$W6,'Tables - Part 2'!$AV$6:$AV$13,0),MATCH(Amine_Cracking!$U6,'Tables - Part 2'!$AX$5:$BA$5,0)),0)</f>
        <v>0</v>
      </c>
      <c r="BB6" s="248">
        <f>IF($T6=$BB$3,((INDEX('Tables - Part 2'!$AX$17:$BA$24,MATCH(Amine_Cracking!$W6,'Tables - Part 2'!$AV$6:$AV$13,0),MATCH(Amine_Cracking!$U6,'Tables - Part 2'!$AX$5:$BA$5,0)))+(((INDEX('Tables - Part 2'!$AX$17:$BA$24,MATCH(Amine_Cracking!$W6,'Tables - Part 2'!$AV$6:$AV$13,0),MATCH(Amine_Cracking!$U6,'Tables - Part 2'!$AX$5:$BA$5,0)))+(INDEX('Tables - Part 2'!$AX$17:$BA$24,MATCH(Amine_Cracking!$W6,'Tables - Part 2'!$AV$6:$AV$13,0),MATCH(Amine_Cracking!$U6,'Tables - Part 2'!$AX$5:$BA$5,0))+INDEX('Tables - Part 2'!$BB$17:$BE$24,MATCH(Amine_Cracking!$W6,'Tables - Part 2'!$AV$6:$AV$13,0),MATCH(Amine_Cracking!$U6,'Tables - Part 2'!$AX$5:$BA$5,0)))/2)/2))/2,0)</f>
        <v>0</v>
      </c>
      <c r="BC6" s="248">
        <f>IF($T6=$BC$3,((INDEX('Tables - Part 2'!$AX$17:$BA$24,MATCH(Amine_Cracking!$W6,'Tables - Part 2'!$AV$6:$AV$13,0),MATCH(Amine_Cracking!$U6,'Tables - Part 2'!$AX$5:$BA$5,0)))+(INDEX('Tables - Part 2'!$AX$17:$BA$24,MATCH(Amine_Cracking!$W6,'Tables - Part 2'!$AV$6:$AV$13,0),MATCH(Amine_Cracking!$U6,'Tables - Part 2'!$AX$5:$BA$5,0))+INDEX('Tables - Part 2'!$BB$17:$BE$24,MATCH(Amine_Cracking!$W6,'Tables - Part 2'!$AV$6:$AV$13,0),MATCH(Amine_Cracking!$U6,'Tables - Part 2'!$AX$5:$BA$5,0)))/2)/2,0)</f>
        <v>0</v>
      </c>
      <c r="BD6" s="248">
        <f>IF($T6=$BD$3,((((INDEX('Tables - Part 2'!$AX$17:$BA$24,MATCH(Amine_Cracking!$W6,'Tables - Part 2'!$AV$6:$AV$13,0),MATCH(Amine_Cracking!$U6,'Tables - Part 2'!$AX$5:$BA$5,0)))+(INDEX('Tables - Part 2'!$AX$17:$BA$24,MATCH(Amine_Cracking!$W6,'Tables - Part 2'!$AV$6:$AV$13,0),MATCH(Amine_Cracking!$U6,'Tables - Part 2'!$AX$5:$BA$5,0))+INDEX('Tables - Part 2'!$BB$17:$BE$24,MATCH(Amine_Cracking!$W6,'Tables - Part 2'!$AV$6:$AV$13,0),MATCH(Amine_Cracking!$U6,'Tables - Part 2'!$AX$5:$BA$5,0)))/2)/2)+((INDEX('Tables - Part 2'!$AX$17:$BA$24,MATCH(Amine_Cracking!$W6,'Tables - Part 2'!$AV$6:$AV$13,0),MATCH(Amine_Cracking!$U6,'Tables - Part 2'!$AX$5:$BA$5,0))+INDEX('Tables - Part 2'!$BB$17:$BE$24,MATCH(Amine_Cracking!$W6,'Tables - Part 2'!$AV$6:$AV$13,0),MATCH(Amine_Cracking!$U6,'Tables - Part 2'!$AX$5:$BA$5,0)))/2))/2,0)</f>
        <v>0</v>
      </c>
      <c r="BE6" s="248">
        <f>IF($T6=$BE$3,(INDEX('Tables - Part 2'!$AX$17:$BA$24,MATCH(Amine_Cracking!$W6,'Tables - Part 2'!$AV$6:$AV$13,0),MATCH(Amine_Cracking!$U6,'Tables - Part 2'!$AX$5:$BA$5,0))+INDEX('Tables - Part 2'!$BB$17:$BE$24,MATCH(Amine_Cracking!$W6,'Tables - Part 2'!$AV$6:$AV$13,0),MATCH(Amine_Cracking!$U6,'Tables - Part 2'!$AX$5:$BA$5,0)))/2,0)</f>
        <v>0</v>
      </c>
      <c r="BF6" s="248">
        <f>IF($T6=$BF$3,(((INDEX('Tables - Part 2'!$AX$17:$BA$24,MATCH(Amine_Cracking!$W6,'Tables - Part 2'!$AV$6:$AV$13,0),MATCH(Amine_Cracking!$U6,'Tables - Part 2'!$AX$5:$BA$5,0))+INDEX('Tables - Part 2'!$BB$17:$BE$24,MATCH(Amine_Cracking!$W6,'Tables - Part 2'!$AV$6:$AV$13,0),MATCH(Amine_Cracking!$U6,'Tables - Part 2'!$AX$5:$BA$5,0)))/2)+((((INDEX('Tables - Part 2'!$AX$17:$BA$24,MATCH(Amine_Cracking!$W6,'Tables - Part 2'!$AV$6:$AV$13,0),MATCH(Amine_Cracking!$U6,'Tables - Part 2'!$AX$5:$BA$5,0))+INDEX('Tables - Part 2'!$BB$17:$BE$24,MATCH(Amine_Cracking!$W6,'Tables - Part 2'!$AV$6:$AV$13,0),MATCH(Amine_Cracking!$U6,'Tables - Part 2'!$AX$5:$BA$5,0)))/2)+INDEX('Tables - Part 2'!$BB$17:$BE$24,MATCH(Amine_Cracking!$W6,'Tables - Part 2'!$AV$6:$AV$13,0),MATCH(Amine_Cracking!$U6,'Tables - Part 2'!$AX$5:$BA$5,0)))/2))/2,0)</f>
        <v>0</v>
      </c>
      <c r="BG6" s="248">
        <f>IF($T6=$BG$3,(((INDEX('Tables - Part 2'!$AX$17:$BA$24,MATCH(Amine_Cracking!$W6,'Tables - Part 2'!$AV$6:$AV$13,0),MATCH(Amine_Cracking!$U6,'Tables - Part 2'!$AX$5:$BA$5,0))+INDEX('Tables - Part 2'!$BB$17:$BE$24,MATCH(Amine_Cracking!$W6,'Tables - Part 2'!$AV$6:$AV$13,0),MATCH(Amine_Cracking!$U6,'Tables - Part 2'!$AX$5:$BA$5,0)))/2)+INDEX('Tables - Part 2'!$BB$17:$BE$24,MATCH(Amine_Cracking!$W6,'Tables - Part 2'!$AV$6:$AV$13,0),MATCH(Amine_Cracking!$U6,'Tables - Part 2'!$AX$5:$BA$5,0)))/2,0)</f>
        <v>0</v>
      </c>
      <c r="BH6" s="248">
        <f>IF($T6=$BH$3,(((((INDEX('Tables - Part 2'!$AX$17:$BA$24,MATCH(Amine_Cracking!$W6,'Tables - Part 2'!$AV$6:$AV$13,0),MATCH(Amine_Cracking!$U6,'Tables - Part 2'!$AX$5:$BA$5,0))+INDEX('Tables - Part 2'!$BB$17:$BE$24,MATCH(Amine_Cracking!$W6,'Tables - Part 2'!$AV$6:$AV$13,0),MATCH(Amine_Cracking!$U6,'Tables - Part 2'!$AX$5:$BA$5,0)))/2)+INDEX('Tables - Part 2'!$BB$17:$BE$24,MATCH(Amine_Cracking!$W6,'Tables - Part 2'!$AV$6:$AV$13,0),MATCH(Amine_Cracking!$U6,'Tables - Part 2'!$AX$5:$BA$5,0)))/2)+(INDEX('Tables - Part 2'!$BB$17:$BE$24,MATCH(Amine_Cracking!$W6,'Tables - Part 2'!$AV$6:$AV$13,0),MATCH(Amine_Cracking!$U6,'Tables - Part 2'!$AX$5:$BA$5,0))))/2,0)</f>
        <v>0</v>
      </c>
      <c r="BI6" s="248">
        <f>IF($T6=$BI$3,INDEX('Tables - Part 2'!$BB$17:$BE$24,MATCH(Amine_Cracking!$W6,'Tables - Part 2'!$AV$6:$AV$13,0),MATCH(Amine_Cracking!$U6,'Tables - Part 2'!$AX$5:$BA$5,0)),0)</f>
        <v>0</v>
      </c>
      <c r="BJ6" s="248">
        <f>IF($T6=$BJ$3,((INDEX('Tables - Part 2'!$BB$17:$BE$24,MATCH(Amine_Cracking!$W6,'Tables - Part 2'!$AV$6:$AV$13,0),MATCH(Amine_Cracking!$U6,'Tables - Part 2'!$AX$5:$BA$5,0)))+(((INDEX('Tables - Part 2'!$BB$17:$BE$24,MATCH(Amine_Cracking!$W6,'Tables - Part 2'!$AV$6:$AV$13,0),MATCH(Amine_Cracking!$U6,'Tables - Part 2'!$AX$5:$BA$5,0)))+(INDEX('Tables - Part 2'!$BB$17:$BE$24,MATCH(Amine_Cracking!$W6,'Tables - Part 2'!$AV$6:$AV$13,0),MATCH(Amine_Cracking!$U6,'Tables - Part 2'!$AX$5:$BA$5,0))+INDEX('Tables - Part 2'!$BF$17:$BI$24,MATCH(Amine_Cracking!$W6,'Tables - Part 2'!$AV$6:$AV$13,0),MATCH(Amine_Cracking!$U6,'Tables - Part 2'!$AX$5:$BA$5,0)))/2)/2))/2,0)</f>
        <v>0</v>
      </c>
      <c r="BK6" s="248">
        <f>IF($T6=$BK$3,((INDEX('Tables - Part 2'!$BB$17:$BE$24,MATCH(Amine_Cracking!$W6,'Tables - Part 2'!$AV$6:$AV$13,0),MATCH(Amine_Cracking!$U6,'Tables - Part 2'!$AX$5:$BA$5,0)))+(INDEX('Tables - Part 2'!$BB$17:$BE$24,MATCH(Amine_Cracking!$W6,'Tables - Part 2'!$AV$6:$AV$13,0),MATCH(Amine_Cracking!$U6,'Tables - Part 2'!$AX$5:$BA$5,0))+INDEX('Tables - Part 2'!$BF$17:$BI$24,MATCH(Amine_Cracking!$W6,'Tables - Part 2'!$AV$6:$AV$13,0),MATCH(Amine_Cracking!$U6,'Tables - Part 2'!$AX$5:$BA$5,0)))/2)/2,0)</f>
        <v>0</v>
      </c>
      <c r="BL6" s="248">
        <f>IF($T6=$BL$3,((((INDEX('Tables - Part 2'!$BB$17:$BE$24,MATCH(Amine_Cracking!$W6,'Tables - Part 2'!$AV$6:$AV$13,0),MATCH(Amine_Cracking!$U6,'Tables - Part 2'!$AX$5:$BA$5,0)))+(INDEX('Tables - Part 2'!$BB$17:$BE$24,MATCH(Amine_Cracking!$W6,'Tables - Part 2'!$AV$6:$AV$13,0),MATCH(Amine_Cracking!$U6,'Tables - Part 2'!$AX$5:$BA$5,0))+INDEX('Tables - Part 2'!$BF$17:$BI$24,MATCH(Amine_Cracking!$W6,'Tables - Part 2'!$AV$6:$AV$13,0),MATCH(Amine_Cracking!$U6,'Tables - Part 2'!$AX$5:$BA$5,0)))/2)/2)+((INDEX('Tables - Part 2'!$BB$17:$BE$24,MATCH(Amine_Cracking!$W6,'Tables - Part 2'!$AV$6:$AV$13,0),MATCH(Amine_Cracking!$U6,'Tables - Part 2'!$AX$5:$BA$5,0))+INDEX('Tables - Part 2'!$BF$17:$BI$24,MATCH(Amine_Cracking!$W6,'Tables - Part 2'!$AV$6:$AV$13,0),MATCH(Amine_Cracking!$U6,'Tables - Part 2'!$AX$5:$BA$5,0)))/2))/2,0)</f>
        <v>0</v>
      </c>
      <c r="BM6" s="248">
        <f>IF($T6=$BM$3,(INDEX('Tables - Part 2'!$BB$17:$BE$24,MATCH(Amine_Cracking!$W6,'Tables - Part 2'!$AV$6:$AV$13,0),MATCH(Amine_Cracking!$U6,'Tables - Part 2'!$AX$5:$BA$5,0))+INDEX('Tables - Part 2'!$BF$17:$BI$24,MATCH(Amine_Cracking!$W6,'Tables - Part 2'!$AV$6:$AV$13,0),MATCH(Amine_Cracking!$U6,'Tables - Part 2'!$AX$5:$BA$5,0)))/2,0)</f>
        <v>0</v>
      </c>
      <c r="BN6" s="248">
        <f>IF($T6=$BN$3,(((INDEX('Tables - Part 2'!$BB$17:$BE$24,MATCH(Amine_Cracking!$W6,'Tables - Part 2'!$AV$6:$AV$13,0),MATCH(Amine_Cracking!$U6,'Tables - Part 2'!$AX$5:$BA$5,0))+INDEX('Tables - Part 2'!$BF$17:$BI$24,MATCH(Amine_Cracking!$W6,'Tables - Part 2'!$AV$6:$AV$13,0),MATCH(Amine_Cracking!$U6,'Tables - Part 2'!$AX$5:$BA$5,0)))/2)+((((INDEX('Tables - Part 2'!$BB$17:$BE$24,MATCH(Amine_Cracking!$W6,'Tables - Part 2'!$AV$6:$AV$13,0),MATCH(Amine_Cracking!$U6,'Tables - Part 2'!$AX$5:$BA$5,0))+INDEX('Tables - Part 2'!$BF$17:$BI$24,MATCH(Amine_Cracking!$W6,'Tables - Part 2'!$AV$6:$AV$13,0),MATCH(Amine_Cracking!$U6,'Tables - Part 2'!$AX$5:$BA$5,0)))/2)+INDEX('Tables - Part 2'!$BF$17:$BI$24,MATCH(Amine_Cracking!$W6,'Tables - Part 2'!$AV$6:$AV$13,0),MATCH(Amine_Cracking!$U6,'Tables - Part 2'!$AX$5:$BA$5,0)))/2))/2,0)</f>
        <v>0</v>
      </c>
      <c r="BO6" s="248">
        <f>IF($T6=$BO$3,(((INDEX('Tables - Part 2'!$BB$17:$BE$24,MATCH(Amine_Cracking!$W6,'Tables - Part 2'!$AV$6:$AV$13,0),MATCH(Amine_Cracking!$U6,'Tables - Part 2'!$AX$5:$BA$5,0))+INDEX('Tables - Part 2'!$BF$17:$BI$24,MATCH(Amine_Cracking!$W6,'Tables - Part 2'!$AV$6:$AV$13,0),MATCH(Amine_Cracking!$U6,'Tables - Part 2'!$AX$5:$BA$5,0)))/2)+INDEX('Tables - Part 2'!$BF$17:$BI$24,MATCH(Amine_Cracking!$W6,'Tables - Part 2'!$AV$6:$AV$13,0),MATCH(Amine_Cracking!$U6,'Tables - Part 2'!$AX$5:$BA$5,0)))/2,0)</f>
        <v>0</v>
      </c>
      <c r="BP6" s="248">
        <f>IF($T6=$BP$3,(((((INDEX('Tables - Part 2'!$BB$17:$BE$24,MATCH(Amine_Cracking!$W6,'Tables - Part 2'!$AV$6:$AV$13,0),MATCH(Amine_Cracking!$U6,'Tables - Part 2'!$AX$5:$BA$5,0))+INDEX('Tables - Part 2'!$BF$17:$BI$24,MATCH(Amine_Cracking!$W6,'Tables - Part 2'!$AV$6:$AV$13,0),MATCH(Amine_Cracking!$U6,'Tables - Part 2'!$AX$5:$BA$5,0)))/2)+INDEX('Tables - Part 2'!$BF$17:$BI$24,MATCH(Amine_Cracking!$W6,'Tables - Part 2'!$AV$6:$AV$13,0),MATCH(Amine_Cracking!$U6,'Tables - Part 2'!$AX$5:$BA$5,0)))/2)+(INDEX('Tables - Part 2'!$BF$17:$BI$24,MATCH(Amine_Cracking!$W6,'Tables - Part 2'!$AV$6:$AV$13,0),MATCH(Amine_Cracking!$U6,'Tables - Part 2'!$AX$5:$BA$5,0))))/2,0)</f>
        <v>0</v>
      </c>
      <c r="BQ6" s="248">
        <f>IF($T6=$BQ$3,INDEX('Tables - Part 2'!$BF$17:$BI$24,MATCH(Amine_Cracking!$W6,'Tables - Part 2'!$AV$6:$AV$13,0),MATCH(Amine_Cracking!$U6,'Tables - Part 2'!$AX$5:$BA$5,0)),0)</f>
        <v>0</v>
      </c>
      <c r="BR6" s="248">
        <f t="shared" si="5"/>
        <v>0</v>
      </c>
      <c r="BS6" s="238">
        <f t="shared" si="8"/>
        <v>3</v>
      </c>
      <c r="BT6" s="238">
        <f t="shared" si="9"/>
        <v>50.318647405225171</v>
      </c>
    </row>
    <row r="7" spans="2:85" x14ac:dyDescent="0.35">
      <c r="B7" s="161" t="str">
        <f>'Tratamento de Dados'!B15</f>
        <v>V-11</v>
      </c>
      <c r="C7" s="161" t="str">
        <f>'Tratamento de Dados'!D15</f>
        <v>Casco</v>
      </c>
      <c r="D7" s="209" t="s">
        <v>245</v>
      </c>
      <c r="E7" s="209" t="s">
        <v>245</v>
      </c>
      <c r="F7" s="209" t="s">
        <v>244</v>
      </c>
      <c r="G7" s="209" t="s">
        <v>244</v>
      </c>
      <c r="H7" s="209" t="s">
        <v>245</v>
      </c>
      <c r="I7" s="209">
        <v>100</v>
      </c>
      <c r="J7" s="209" t="s">
        <v>245</v>
      </c>
      <c r="K7" s="209" t="s">
        <v>245</v>
      </c>
      <c r="L7" s="209" t="s">
        <v>245</v>
      </c>
      <c r="M7" s="210">
        <v>39092</v>
      </c>
      <c r="N7" s="209">
        <v>0</v>
      </c>
      <c r="O7" s="209">
        <v>1</v>
      </c>
      <c r="P7" s="209">
        <v>1</v>
      </c>
      <c r="Q7" s="209">
        <v>4</v>
      </c>
      <c r="R7" s="253">
        <f>'Tratamento de Dados'!DA15</f>
        <v>0</v>
      </c>
      <c r="S7" s="253">
        <f>'Tratamento de Dados'!DB15</f>
        <v>0</v>
      </c>
      <c r="T7" s="256">
        <f t="shared" si="0"/>
        <v>2.5</v>
      </c>
      <c r="U7" s="246" t="str">
        <f t="shared" si="1"/>
        <v>B</v>
      </c>
      <c r="V7" s="238" t="str">
        <f t="shared" si="6"/>
        <v>High</v>
      </c>
      <c r="W7" s="238">
        <f>IF(AND(D7=$BY$2,E7&lt;&gt;$BY$2),"Fitness-For-Service",INDEX('Tables - Part 2'!$BL$4:$BL$7,MATCH(Amine_Cracking!V7,'Tables - Part 2'!$BK$4:$BK$7,0),))</f>
        <v>100</v>
      </c>
      <c r="X7" s="238">
        <f>IF(M7=0,(Thinning!G8-Thinning!F8)/365.25,(Thinning!G8-M7)/365.25)</f>
        <v>12.980150581793293</v>
      </c>
      <c r="Y7" s="248">
        <f t="shared" si="2"/>
        <v>0</v>
      </c>
      <c r="Z7" s="248">
        <f t="shared" si="3"/>
        <v>2.5</v>
      </c>
      <c r="AA7" s="247">
        <f t="shared" si="7"/>
        <v>3</v>
      </c>
      <c r="AB7" s="247">
        <f t="shared" si="4"/>
        <v>4</v>
      </c>
      <c r="AC7" s="248">
        <f>IF($T7=$AC$3,INDEX('Tables - Part 2'!$AX$6:$BA$13,MATCH(Amine_Cracking!W7,'Tables - Part 2'!$AV$6:$AV$13,0),MATCH(Amine_Cracking!U7,'Tables - Part 2'!$AX$5:$BA$5,0)),0)</f>
        <v>0</v>
      </c>
      <c r="AD7" s="248">
        <f>IF($T7=$AD$3,(INDEX('Tables - Part 2'!$AX$6:$BA$13,MATCH(Amine_Cracking!W7,'Tables - Part 2'!$AV$6:$AV$13,0),MATCH(Amine_Cracking!U7,'Tables - Part 2'!$AX$5:$BA$5,0))+(INDEX('Tables - Part 2'!$AX$6:$BA$13,MATCH(Amine_Cracking!W7,'Tables - Part 2'!$AV$6:$AV$13,0),MATCH(Amine_Cracking!U7,'Tables - Part 2'!$AX$5:$BA$5,0))+((INDEX('Tables - Part 2'!$AX$6:$BA$13,MATCH(Amine_Cracking!W7,'Tables - Part 2'!$AV$6:$AV$13,0),MATCH(Amine_Cracking!U7,'Tables - Part 2'!$AX$5:$BA$5,0))+INDEX('Tables - Part 2'!$BB$6:$BE$13,MATCH(Amine_Cracking!$W7,'Tables - Part 2'!$AV$6:$AV$13,0),MATCH(Amine_Cracking!$U7,'Tables - Part 2'!$AX$5:$BA$5,0)))/2))/2)/2,0)</f>
        <v>0</v>
      </c>
      <c r="AE7" s="248">
        <f>IF($T7=$AE$3,(INDEX('Tables - Part 2'!$AX$6:$BA$13,MATCH(Amine_Cracking!W7,'Tables - Part 2'!$AV$6:$AV$13,0),MATCH(Amine_Cracking!U7,'Tables - Part 2'!$AX$5:$BA$5,0))+((INDEX('Tables - Part 2'!$AX$6:$BA$13,MATCH(Amine_Cracking!W7,'Tables - Part 2'!$AV$6:$AV$13,0),MATCH(Amine_Cracking!U7,'Tables - Part 2'!$AX$5:$BA$5,0))+INDEX('Tables - Part 2'!$BB$6:$BE$13,MATCH(Amine_Cracking!$W7,'Tables - Part 2'!$AV$6:$AV$13,0),MATCH(Amine_Cracking!$U7,'Tables - Part 2'!$AX$5:$BA$5,0)))/2))/2,0)</f>
        <v>0</v>
      </c>
      <c r="AF7" s="248">
        <f>IF($T7=$AF$3,(((INDEX('Tables - Part 2'!$AX$6:$BA$13,MATCH(Amine_Cracking!W7,'Tables - Part 2'!$AV$6:$AV$13,0),MATCH(Amine_Cracking!U7,'Tables - Part 2'!$AX$5:$BA$5,0))+((INDEX('Tables - Part 2'!$AX$6:$BA$13,MATCH(Amine_Cracking!W7,'Tables - Part 2'!$AV$6:$AV$13,0),MATCH(Amine_Cracking!U7,'Tables - Part 2'!$AX$5:$BA$5,0))+INDEX('Tables - Part 2'!$BB$6:$BE$13,MATCH(Amine_Cracking!$W7,'Tables - Part 2'!$AV$6:$AV$13,0),MATCH(Amine_Cracking!$U7,'Tables - Part 2'!$AX$5:$BA$5,0)))/2))/2)+(INDEX('Tables - Part 2'!$AX$6:$BA$13,MATCH(Amine_Cracking!W7,'Tables - Part 2'!$AV$6:$AV$13,0),MATCH(Amine_Cracking!U7,'Tables - Part 2'!$AX$5:$BA$5,0))+INDEX('Tables - Part 2'!$BB$6:$BE$13,MATCH(Amine_Cracking!$W7,'Tables - Part 2'!$AV$6:$AV$13,0),MATCH(Amine_Cracking!$U7,'Tables - Part 2'!$AX$5:$BA$5,0)))/2)/2,0)</f>
        <v>0</v>
      </c>
      <c r="AG7" s="248">
        <f>IF($T7=$AG$3,(INDEX('Tables - Part 2'!$AX$6:$BA$13,MATCH(Amine_Cracking!W7,'Tables - Part 2'!$AV$6:$AV$13,0),MATCH(Amine_Cracking!U7,'Tables - Part 2'!$AX$5:$BA$5,0))+INDEX('Tables - Part 2'!$BB$6:$BE$13,MATCH(Amine_Cracking!$W7,'Tables - Part 2'!$AV$6:$AV$13,0),MATCH(Amine_Cracking!$U7,'Tables - Part 2'!$AX$5:$BA$5,0)))/2,0)</f>
        <v>0</v>
      </c>
      <c r="AH7" s="248">
        <f>IF($T7=$AH$3,(((INDEX('Tables - Part 2'!$AX$6:$BA$13,MATCH(Amine_Cracking!W7,'Tables - Part 2'!$AV$6:$AV$13,0),MATCH(Amine_Cracking!U7,'Tables - Part 2'!$AX$5:$BA$5,0))+INDEX('Tables - Part 2'!$BB$6:$BE$13,MATCH(Amine_Cracking!$W7,'Tables - Part 2'!$AV$6:$AV$13,0),MATCH(Amine_Cracking!$U7,'Tables - Part 2'!$AX$5:$BA$5,0)))/2)+(((INDEX('Tables - Part 2'!$AX$6:$BA$13,MATCH(Amine_Cracking!W7,'Tables - Part 2'!$AV$6:$AV$13,0),MATCH(Amine_Cracking!U7,'Tables - Part 2'!$AX$5:$BA$5,0))+INDEX('Tables - Part 2'!$BB$6:$BE$13,MATCH(Amine_Cracking!$W7,'Tables - Part 2'!$AV$6:$AV$13,0),MATCH(Amine_Cracking!$U7,'Tables - Part 2'!$AX$5:$BA$5,0)))/2)+INDEX('Tables - Part 2'!$BB$6:$BE$13,MATCH(Amine_Cracking!$W7,'Tables - Part 2'!$AV$6:$AV$13,0),MATCH(Amine_Cracking!$U7,'Tables - Part 2'!$AX$5:$BA$5,0)))/2)/2,0)</f>
        <v>0</v>
      </c>
      <c r="AI7" s="248">
        <f>IF($T7=$AI$3,(((INDEX('Tables - Part 2'!$AX$6:$BA$13,MATCH(Amine_Cracking!W7,'Tables - Part 2'!$AV$6:$AV$13,0),MATCH(Amine_Cracking!U7,'Tables - Part 2'!$AX$5:$BA$5,0))+INDEX('Tables - Part 2'!$BB$6:$BE$13,MATCH(Amine_Cracking!$W7,'Tables - Part 2'!$AV$6:$AV$13,0),MATCH(Amine_Cracking!$U7,'Tables - Part 2'!$AX$5:$BA$5,0)))/2)+INDEX('Tables - Part 2'!$BB$6:$BE$13,MATCH(Amine_Cracking!$W7,'Tables - Part 2'!$AV$6:$AV$13,0),MATCH(Amine_Cracking!$U7,'Tables - Part 2'!$AX$5:$BA$5,0)))/2,0)</f>
        <v>0</v>
      </c>
      <c r="AJ7" s="248">
        <f>IF($T7=$AJ$3,(((((INDEX('Tables - Part 2'!$AX$6:$BA$13,MATCH(Amine_Cracking!W7,'Tables - Part 2'!$AV$6:$AV$13,0),MATCH(Amine_Cracking!U7,'Tables - Part 2'!$AX$5:$BA$5,0))+INDEX('Tables - Part 2'!$BB$6:$BE$13,MATCH(Amine_Cracking!$W7,'Tables - Part 2'!$AV$6:$AV$13,0),MATCH(Amine_Cracking!$U7,'Tables - Part 2'!$AX$5:$BA$5,0)))/2)+INDEX('Tables - Part 2'!$BB$6:$BE$13,MATCH(Amine_Cracking!$W7,'Tables - Part 2'!$AV$6:$AV$13,0),MATCH(Amine_Cracking!$U7,'Tables - Part 2'!$AX$5:$BA$5,0)))/2)+INDEX('Tables - Part 2'!$BB$6:$BE$13,MATCH(Amine_Cracking!$W7,'Tables - Part 2'!$AV$6:$AV$13,0),MATCH(Amine_Cracking!$U7,'Tables - Part 2'!$AX$5:$BA$5,0)))/2,0)</f>
        <v>0</v>
      </c>
      <c r="AK7" s="248">
        <f>IF($T7=$AK$3,INDEX('Tables - Part 2'!$BB$6:$BE$13,MATCH(Amine_Cracking!$W7,'Tables - Part 2'!$AV$6:$AV$13,0),MATCH(Amine_Cracking!$U7,'Tables - Part 2'!$AX$5:$BA$5,0)),0)</f>
        <v>0</v>
      </c>
      <c r="AL7" s="248">
        <f>IF($T7=$AL$3,((INDEX('Tables - Part 2'!$BB$6:$BE$13,MATCH(Amine_Cracking!$W7,'Tables - Part 2'!$AV$6:$AV$13,0),MATCH(Amine_Cracking!$U7,'Tables - Part 2'!$AX$5:$BA$5,0)))+(INDEX('Tables - Part 2'!$BB$6:$BE$13,MATCH(Amine_Cracking!$W7,'Tables - Part 2'!$AV$6:$AV$13,0),MATCH(Amine_Cracking!$U7,'Tables - Part 2'!$AX$5:$BA$5,0))+(INDEX('Tables - Part 2'!$BB$6:$BE$13,MATCH(Amine_Cracking!$W7,'Tables - Part 2'!$AV$6:$AV$13,0),MATCH(Amine_Cracking!$U7,'Tables - Part 2'!$AX$5:$BA$5,0))+INDEX('Tables - Part 2'!$BF$6:$BI$13,MATCH(Amine_Cracking!$W7,'Tables - Part 2'!$AV$6:$AV$13,0),MATCH(Amine_Cracking!$U7,'Tables - Part 2'!$AX$5:$BA$5,0)))/2)/2)/2,0)</f>
        <v>0</v>
      </c>
      <c r="AM7" s="248">
        <f>IF($T7=$AM$3,(INDEX('Tables - Part 2'!$BB$6:$BE$13,MATCH(Amine_Cracking!$W7,'Tables - Part 2'!$AV$6:$AV$13,0),MATCH(Amine_Cracking!$U7,'Tables - Part 2'!$AX$5:$BA$5,0))+(INDEX('Tables - Part 2'!$BB$6:$BE$13,MATCH(Amine_Cracking!$W7,'Tables - Part 2'!$AV$6:$AV$13,0),MATCH(Amine_Cracking!$U7,'Tables - Part 2'!$AX$5:$BA$5,0))+INDEX('Tables - Part 2'!$BF$6:$BI$13,MATCH(Amine_Cracking!$W7,'Tables - Part 2'!$AV$6:$AV$13,0),MATCH(Amine_Cracking!$U7,'Tables - Part 2'!$AX$5:$BA$5,0)))/2)/2,0)</f>
        <v>0</v>
      </c>
      <c r="AN7" s="248">
        <f>IF($T7=$AN$3,(((INDEX('Tables - Part 2'!$BB$6:$BE$13,MATCH(Amine_Cracking!$W7,'Tables - Part 2'!$AV$6:$AV$13,0),MATCH(Amine_Cracking!$U7,'Tables - Part 2'!$AX$5:$BA$5,0))+(INDEX('Tables - Part 2'!$BB$6:$BE$13,MATCH(Amine_Cracking!$W7,'Tables - Part 2'!$AV$6:$AV$13,0),MATCH(Amine_Cracking!$U7,'Tables - Part 2'!$AX$5:$BA$5,0))+INDEX('Tables - Part 2'!$BF$6:$BI$13,MATCH(Amine_Cracking!$W7,'Tables - Part 2'!$AV$6:$AV$13,0),MATCH(Amine_Cracking!$U7,'Tables - Part 2'!$AX$5:$BA$5,0)))/2)/2)+((INDEX('Tables - Part 2'!$BB$6:$BE$13,MATCH(Amine_Cracking!$W7,'Tables - Part 2'!$AV$6:$AV$13,0),MATCH(Amine_Cracking!$U7,'Tables - Part 2'!$AX$5:$BA$5,0))+INDEX('Tables - Part 2'!$BF$6:$BI$13,MATCH(Amine_Cracking!$W7,'Tables - Part 2'!$AV$6:$AV$13,0),MATCH(Amine_Cracking!$U7,'Tables - Part 2'!$AX$5:$BA$5,0)))/2))/2,0)</f>
        <v>0</v>
      </c>
      <c r="AO7" s="248">
        <f>IF($T7=$AO$3,(INDEX('Tables - Part 2'!$BB$6:$BE$13,MATCH(Amine_Cracking!$W7,'Tables - Part 2'!$AV$6:$AV$13,0),MATCH(Amine_Cracking!$U7,'Tables - Part 2'!$AX$5:$BA$5,0))+INDEX('Tables - Part 2'!$BF$6:$BI$13,MATCH(Amine_Cracking!$W7,'Tables - Part 2'!$AV$6:$AV$13,0),MATCH(Amine_Cracking!$U7,'Tables - Part 2'!$AX$5:$BA$5,0)))/2,0)</f>
        <v>3</v>
      </c>
      <c r="AP7" s="248">
        <f>IF($T7=$AP$3,(((INDEX('Tables - Part 2'!$BB$6:$BE$13,MATCH(Amine_Cracking!$W7,'Tables - Part 2'!$AV$6:$AV$13,0),MATCH(Amine_Cracking!$U7,'Tables - Part 2'!$AX$5:$BA$5,0))+INDEX('Tables - Part 2'!$BF$6:$BI$13,MATCH(Amine_Cracking!$W7,'Tables - Part 2'!$AV$6:$AV$13,0),MATCH(Amine_Cracking!$U7,'Tables - Part 2'!$AX$5:$BA$5,0)))/2)+((((INDEX('Tables - Part 2'!$BB$6:$BE$13,MATCH(Amine_Cracking!$W7,'Tables - Part 2'!$AV$6:$AV$13,0),MATCH(Amine_Cracking!$U7,'Tables - Part 2'!$AX$5:$BA$5,0))+INDEX('Tables - Part 2'!$BF$6:$BI$13,MATCH(Amine_Cracking!$W7,'Tables - Part 2'!$AV$6:$AV$13,0),MATCH(Amine_Cracking!$U7,'Tables - Part 2'!$AX$5:$BA$5,0)))/2)+INDEX('Tables - Part 2'!$BF$6:$BI$13,MATCH(Amine_Cracking!$W7,'Tables - Part 2'!$AV$6:$AV$13,0),MATCH(Amine_Cracking!$U7,'Tables - Part 2'!$AX$5:$BA$5,0)))/2))/2,0)</f>
        <v>0</v>
      </c>
      <c r="AQ7" s="248">
        <f>IF($T7=$AQ$3,(((INDEX('Tables - Part 2'!$BB$6:$BE$13,MATCH(Amine_Cracking!$W7,'Tables - Part 2'!$AV$6:$AV$13,0),MATCH(Amine_Cracking!$U7,'Tables - Part 2'!$AX$5:$BA$5,0))+INDEX('Tables - Part 2'!$BF$6:$BI$13,MATCH(Amine_Cracking!$W7,'Tables - Part 2'!$AV$6:$AV$13,0),MATCH(Amine_Cracking!$U7,'Tables - Part 2'!$AX$5:$BA$5,0)))/2)+INDEX('Tables - Part 2'!$BF$6:$BI$13,MATCH(Amine_Cracking!$W7,'Tables - Part 2'!$AV$6:$AV$13,0),MATCH(Amine_Cracking!$U7,'Tables - Part 2'!$AX$5:$BA$5,0)))/2,0)</f>
        <v>0</v>
      </c>
      <c r="AR7" s="248">
        <f>IF($T7=$AR$3,(((((INDEX('Tables - Part 2'!$BB$6:$BE$13,MATCH(Amine_Cracking!$W7,'Tables - Part 2'!$AV$6:$AV$13,0),MATCH(Amine_Cracking!$U7,'Tables - Part 2'!$AX$5:$BA$5,0))+INDEX('Tables - Part 2'!$BF$6:$BI$13,MATCH(Amine_Cracking!$W7,'Tables - Part 2'!$AV$6:$AV$13,0),MATCH(Amine_Cracking!$U7,'Tables - Part 2'!$AX$5:$BA$5,0)))/2)+INDEX('Tables - Part 2'!$BF$6:$BI$13,MATCH(Amine_Cracking!$W7,'Tables - Part 2'!$AV$6:$AV$13,0),MATCH(Amine_Cracking!$U7,'Tables - Part 2'!$AX$5:$BA$5,0)))/2)+INDEX('Tables - Part 2'!$BF$6:$BI$13,MATCH(Amine_Cracking!$W7,'Tables - Part 2'!$AV$6:$AV$13,0),MATCH(Amine_Cracking!$U7,'Tables - Part 2'!$AX$5:$BA$5,0)))/2,0)</f>
        <v>0</v>
      </c>
      <c r="AS7" s="248">
        <f>IF($T7=$AS$3,INDEX('Tables - Part 2'!$BF$6:$BI$13,MATCH(Amine_Cracking!$W7,'Tables - Part 2'!$AV$6:$AV$13,0),MATCH(Amine_Cracking!$U7,'Tables - Part 2'!$AX$5:$BA$5,0)),0)</f>
        <v>0</v>
      </c>
      <c r="AT7" s="248">
        <f>IF($T7=$AT$3,(INDEX('Tables - Part 2'!$BF$6:$BI$13,MATCH(Amine_Cracking!$W7,'Tables - Part 2'!$AV$6:$AV$13,0),MATCH(Amine_Cracking!$U7,'Tables - Part 2'!$AX$5:$BA$5,0))+((INDEX('Tables - Part 2'!$BF$6:$BI$13,MATCH(Amine_Cracking!$W7,'Tables - Part 2'!$AV$6:$AV$13,0),MATCH(Amine_Cracking!$U7,'Tables - Part 2'!$AX$5:$BA$5,0))+(INDEX('Tables - Part 2'!$BF$6:$BI$13,MATCH(Amine_Cracking!$W7,'Tables - Part 2'!$AV$6:$AV$13,0),MATCH(Amine_Cracking!$U7,'Tables - Part 2'!$AX$5:$BA$5,0))+INDEX('Tables - Part 2'!$AX$17:$BA$24,MATCH(Amine_Cracking!$W7,'Tables - Part 2'!$AV$6:$AV$13,0),MATCH(Amine_Cracking!$U7,'Tables - Part 2'!$AX$5:$BA$5,0)))/2)/2))/2,0)</f>
        <v>0</v>
      </c>
      <c r="AU7" s="248">
        <f>IF($T7=$AU$3,(INDEX('Tables - Part 2'!$BF$6:$BI$13,MATCH(Amine_Cracking!$W7,'Tables - Part 2'!$AV$6:$AV$13,0),MATCH(Amine_Cracking!$U7,'Tables - Part 2'!$AX$5:$BA$5,0))+(INDEX('Tables - Part 2'!$BF$6:$BI$13,MATCH(Amine_Cracking!$W7,'Tables - Part 2'!$AV$6:$AV$13,0),MATCH(Amine_Cracking!$U7,'Tables - Part 2'!$AX$5:$BA$5,0))+INDEX('Tables - Part 2'!$AX$17:$BA$24,MATCH(Amine_Cracking!$W7,'Tables - Part 2'!$AV$6:$AV$13,0),MATCH(Amine_Cracking!$U7,'Tables - Part 2'!$AX$5:$BA$5,0)))/2)/2,0)</f>
        <v>0</v>
      </c>
      <c r="AV7" s="248">
        <f>IF($T7=$AV$3,(((INDEX('Tables - Part 2'!$BF$6:$BI$13,MATCH(Amine_Cracking!$W7,'Tables - Part 2'!$AV$6:$AV$13,0),MATCH(Amine_Cracking!$U7,'Tables - Part 2'!$AX$5:$BA$5,0))+(INDEX('Tables - Part 2'!$BF$6:$BI$13,MATCH(Amine_Cracking!$W7,'Tables - Part 2'!$AV$6:$AV$13,0),MATCH(Amine_Cracking!$U7,'Tables - Part 2'!$AX$5:$BA$5,0))+INDEX('Tables - Part 2'!$AX$17:$BA$24,MATCH(Amine_Cracking!$W7,'Tables - Part 2'!$AV$6:$AV$13,0),MATCH(Amine_Cracking!$U7,'Tables - Part 2'!$AX$5:$BA$5,0)))/2)/2)+((INDEX('Tables - Part 2'!$BF$6:$BI$13,MATCH(Amine_Cracking!$W7,'Tables - Part 2'!$AV$6:$AV$13,0),MATCH(Amine_Cracking!$U7,'Tables - Part 2'!$AX$5:$BA$5,0))+INDEX('Tables - Part 2'!$AX$17:$BA$24,MATCH(Amine_Cracking!$W7,'Tables - Part 2'!$AV$6:$AV$13,0),MATCH(Amine_Cracking!$U7,'Tables - Part 2'!$AX$5:$BA$5,0)))/2))/2,0)</f>
        <v>0</v>
      </c>
      <c r="AW7" s="248">
        <f>IF($T7=$AW$3,(INDEX('Tables - Part 2'!$BF$6:$BI$13,MATCH(Amine_Cracking!$W7,'Tables - Part 2'!$AV$6:$AV$13,0),MATCH(Amine_Cracking!$U7,'Tables - Part 2'!$AX$5:$BA$5,0))+INDEX('Tables - Part 2'!$AX$17:$BA$24,MATCH(Amine_Cracking!$W7,'Tables - Part 2'!$AV$6:$AV$13,0),MATCH(Amine_Cracking!$U7,'Tables - Part 2'!$AX$5:$BA$5,0)))/2,0)</f>
        <v>0</v>
      </c>
      <c r="AX7" s="248">
        <f>IF($T7=$AX$3,(((INDEX('Tables - Part 2'!$BF$6:$BI$13,MATCH(Amine_Cracking!$W7,'Tables - Part 2'!$AV$6:$AV$13,0),MATCH(Amine_Cracking!$U7,'Tables - Part 2'!$AX$5:$BA$5,0))+INDEX('Tables - Part 2'!$AX$17:$BA$24,MATCH(Amine_Cracking!$W7,'Tables - Part 2'!$AV$6:$AV$13,0),MATCH(Amine_Cracking!$U7,'Tables - Part 2'!$AX$5:$BA$5,0)))/2)+((((INDEX('Tables - Part 2'!$BF$6:$BI$13,MATCH(Amine_Cracking!$W7,'Tables - Part 2'!$AV$6:$AV$13,0),MATCH(Amine_Cracking!$U7,'Tables - Part 2'!$AX$5:$BA$5,0))+INDEX('Tables - Part 2'!$AX$17:$BA$24,MATCH(Amine_Cracking!$W7,'Tables - Part 2'!$AV$6:$AV$13,0),MATCH(Amine_Cracking!$U7,'Tables - Part 2'!$AX$5:$BA$5,0)))/2)+INDEX('Tables - Part 2'!$AX$17:$BA$24,MATCH(Amine_Cracking!$W7,'Tables - Part 2'!$AV$6:$AV$13,0),MATCH(Amine_Cracking!$U7,'Tables - Part 2'!$AX$5:$BA$5,0)))/2))/2,0)</f>
        <v>0</v>
      </c>
      <c r="AY7" s="248">
        <f>IF($T7=$AY$3,(((INDEX('Tables - Part 2'!$BF$6:$BI$13,MATCH(Amine_Cracking!$W7,'Tables - Part 2'!$AV$6:$AV$13,0),MATCH(Amine_Cracking!$U7,'Tables - Part 2'!$AX$5:$BA$5,0))+INDEX('Tables - Part 2'!$AX$17:$BA$24,MATCH(Amine_Cracking!$W7,'Tables - Part 2'!$AV$6:$AV$13,0),MATCH(Amine_Cracking!$U7,'Tables - Part 2'!$AX$5:$BA$5,0)))/2)+INDEX('Tables - Part 2'!$AX$17:$BA$24,MATCH(Amine_Cracking!$W7,'Tables - Part 2'!$AV$6:$AV$13,0),MATCH(Amine_Cracking!$U7,'Tables - Part 2'!$AX$5:$BA$5,0)))/2,0)</f>
        <v>0</v>
      </c>
      <c r="AZ7" s="248">
        <f>IF($T7=$AZ$3,(((((INDEX('Tables - Part 2'!$BF$6:$BI$13,MATCH(Amine_Cracking!$W7,'Tables - Part 2'!$AV$6:$AV$13,0),MATCH(Amine_Cracking!$U7,'Tables - Part 2'!$AX$5:$BA$5,0))+INDEX('Tables - Part 2'!$AX$17:$BA$24,MATCH(Amine_Cracking!$W7,'Tables - Part 2'!$AV$6:$AV$13,0),MATCH(Amine_Cracking!$U7,'Tables - Part 2'!$AX$5:$BA$5,0)))/2)+INDEX('Tables - Part 2'!$AX$17:$BA$24,MATCH(Amine_Cracking!$W7,'Tables - Part 2'!$AV$6:$AV$13,0),MATCH(Amine_Cracking!$U7,'Tables - Part 2'!$AX$5:$BA$5,0)))/2)+(INDEX('Tables - Part 2'!$AX$17:$BA$24,MATCH(Amine_Cracking!$W7,'Tables - Part 2'!$AV$6:$AV$13,0),MATCH(Amine_Cracking!$U7,'Tables - Part 2'!$AX$5:$BA$5,0))))/2,0)</f>
        <v>0</v>
      </c>
      <c r="BA7" s="248">
        <f>IF($T7=$BA$3,INDEX('Tables - Part 2'!$AX$17:$BA$24,MATCH(Amine_Cracking!$W7,'Tables - Part 2'!$AV$6:$AV$13,0),MATCH(Amine_Cracking!$U7,'Tables - Part 2'!$AX$5:$BA$5,0)),0)</f>
        <v>0</v>
      </c>
      <c r="BB7" s="248">
        <f>IF($T7=$BB$3,((INDEX('Tables - Part 2'!$AX$17:$BA$24,MATCH(Amine_Cracking!$W7,'Tables - Part 2'!$AV$6:$AV$13,0),MATCH(Amine_Cracking!$U7,'Tables - Part 2'!$AX$5:$BA$5,0)))+(((INDEX('Tables - Part 2'!$AX$17:$BA$24,MATCH(Amine_Cracking!$W7,'Tables - Part 2'!$AV$6:$AV$13,0),MATCH(Amine_Cracking!$U7,'Tables - Part 2'!$AX$5:$BA$5,0)))+(INDEX('Tables - Part 2'!$AX$17:$BA$24,MATCH(Amine_Cracking!$W7,'Tables - Part 2'!$AV$6:$AV$13,0),MATCH(Amine_Cracking!$U7,'Tables - Part 2'!$AX$5:$BA$5,0))+INDEX('Tables - Part 2'!$BB$17:$BE$24,MATCH(Amine_Cracking!$W7,'Tables - Part 2'!$AV$6:$AV$13,0),MATCH(Amine_Cracking!$U7,'Tables - Part 2'!$AX$5:$BA$5,0)))/2)/2))/2,0)</f>
        <v>0</v>
      </c>
      <c r="BC7" s="248">
        <f>IF($T7=$BC$3,((INDEX('Tables - Part 2'!$AX$17:$BA$24,MATCH(Amine_Cracking!$W7,'Tables - Part 2'!$AV$6:$AV$13,0),MATCH(Amine_Cracking!$U7,'Tables - Part 2'!$AX$5:$BA$5,0)))+(INDEX('Tables - Part 2'!$AX$17:$BA$24,MATCH(Amine_Cracking!$W7,'Tables - Part 2'!$AV$6:$AV$13,0),MATCH(Amine_Cracking!$U7,'Tables - Part 2'!$AX$5:$BA$5,0))+INDEX('Tables - Part 2'!$BB$17:$BE$24,MATCH(Amine_Cracking!$W7,'Tables - Part 2'!$AV$6:$AV$13,0),MATCH(Amine_Cracking!$U7,'Tables - Part 2'!$AX$5:$BA$5,0)))/2)/2,0)</f>
        <v>0</v>
      </c>
      <c r="BD7" s="248">
        <f>IF($T7=$BD$3,((((INDEX('Tables - Part 2'!$AX$17:$BA$24,MATCH(Amine_Cracking!$W7,'Tables - Part 2'!$AV$6:$AV$13,0),MATCH(Amine_Cracking!$U7,'Tables - Part 2'!$AX$5:$BA$5,0)))+(INDEX('Tables - Part 2'!$AX$17:$BA$24,MATCH(Amine_Cracking!$W7,'Tables - Part 2'!$AV$6:$AV$13,0),MATCH(Amine_Cracking!$U7,'Tables - Part 2'!$AX$5:$BA$5,0))+INDEX('Tables - Part 2'!$BB$17:$BE$24,MATCH(Amine_Cracking!$W7,'Tables - Part 2'!$AV$6:$AV$13,0),MATCH(Amine_Cracking!$U7,'Tables - Part 2'!$AX$5:$BA$5,0)))/2)/2)+((INDEX('Tables - Part 2'!$AX$17:$BA$24,MATCH(Amine_Cracking!$W7,'Tables - Part 2'!$AV$6:$AV$13,0),MATCH(Amine_Cracking!$U7,'Tables - Part 2'!$AX$5:$BA$5,0))+INDEX('Tables - Part 2'!$BB$17:$BE$24,MATCH(Amine_Cracking!$W7,'Tables - Part 2'!$AV$6:$AV$13,0),MATCH(Amine_Cracking!$U7,'Tables - Part 2'!$AX$5:$BA$5,0)))/2))/2,0)</f>
        <v>0</v>
      </c>
      <c r="BE7" s="248">
        <f>IF($T7=$BE$3,(INDEX('Tables - Part 2'!$AX$17:$BA$24,MATCH(Amine_Cracking!$W7,'Tables - Part 2'!$AV$6:$AV$13,0),MATCH(Amine_Cracking!$U7,'Tables - Part 2'!$AX$5:$BA$5,0))+INDEX('Tables - Part 2'!$BB$17:$BE$24,MATCH(Amine_Cracking!$W7,'Tables - Part 2'!$AV$6:$AV$13,0),MATCH(Amine_Cracking!$U7,'Tables - Part 2'!$AX$5:$BA$5,0)))/2,0)</f>
        <v>0</v>
      </c>
      <c r="BF7" s="248">
        <f>IF($T7=$BF$3,(((INDEX('Tables - Part 2'!$AX$17:$BA$24,MATCH(Amine_Cracking!$W7,'Tables - Part 2'!$AV$6:$AV$13,0),MATCH(Amine_Cracking!$U7,'Tables - Part 2'!$AX$5:$BA$5,0))+INDEX('Tables - Part 2'!$BB$17:$BE$24,MATCH(Amine_Cracking!$W7,'Tables - Part 2'!$AV$6:$AV$13,0),MATCH(Amine_Cracking!$U7,'Tables - Part 2'!$AX$5:$BA$5,0)))/2)+((((INDEX('Tables - Part 2'!$AX$17:$BA$24,MATCH(Amine_Cracking!$W7,'Tables - Part 2'!$AV$6:$AV$13,0),MATCH(Amine_Cracking!$U7,'Tables - Part 2'!$AX$5:$BA$5,0))+INDEX('Tables - Part 2'!$BB$17:$BE$24,MATCH(Amine_Cracking!$W7,'Tables - Part 2'!$AV$6:$AV$13,0),MATCH(Amine_Cracking!$U7,'Tables - Part 2'!$AX$5:$BA$5,0)))/2)+INDEX('Tables - Part 2'!$BB$17:$BE$24,MATCH(Amine_Cracking!$W7,'Tables - Part 2'!$AV$6:$AV$13,0),MATCH(Amine_Cracking!$U7,'Tables - Part 2'!$AX$5:$BA$5,0)))/2))/2,0)</f>
        <v>0</v>
      </c>
      <c r="BG7" s="248">
        <f>IF($T7=$BG$3,(((INDEX('Tables - Part 2'!$AX$17:$BA$24,MATCH(Amine_Cracking!$W7,'Tables - Part 2'!$AV$6:$AV$13,0),MATCH(Amine_Cracking!$U7,'Tables - Part 2'!$AX$5:$BA$5,0))+INDEX('Tables - Part 2'!$BB$17:$BE$24,MATCH(Amine_Cracking!$W7,'Tables - Part 2'!$AV$6:$AV$13,0),MATCH(Amine_Cracking!$U7,'Tables - Part 2'!$AX$5:$BA$5,0)))/2)+INDEX('Tables - Part 2'!$BB$17:$BE$24,MATCH(Amine_Cracking!$W7,'Tables - Part 2'!$AV$6:$AV$13,0),MATCH(Amine_Cracking!$U7,'Tables - Part 2'!$AX$5:$BA$5,0)))/2,0)</f>
        <v>0</v>
      </c>
      <c r="BH7" s="248">
        <f>IF($T7=$BH$3,(((((INDEX('Tables - Part 2'!$AX$17:$BA$24,MATCH(Amine_Cracking!$W7,'Tables - Part 2'!$AV$6:$AV$13,0),MATCH(Amine_Cracking!$U7,'Tables - Part 2'!$AX$5:$BA$5,0))+INDEX('Tables - Part 2'!$BB$17:$BE$24,MATCH(Amine_Cracking!$W7,'Tables - Part 2'!$AV$6:$AV$13,0),MATCH(Amine_Cracking!$U7,'Tables - Part 2'!$AX$5:$BA$5,0)))/2)+INDEX('Tables - Part 2'!$BB$17:$BE$24,MATCH(Amine_Cracking!$W7,'Tables - Part 2'!$AV$6:$AV$13,0),MATCH(Amine_Cracking!$U7,'Tables - Part 2'!$AX$5:$BA$5,0)))/2)+(INDEX('Tables - Part 2'!$BB$17:$BE$24,MATCH(Amine_Cracking!$W7,'Tables - Part 2'!$AV$6:$AV$13,0),MATCH(Amine_Cracking!$U7,'Tables - Part 2'!$AX$5:$BA$5,0))))/2,0)</f>
        <v>0</v>
      </c>
      <c r="BI7" s="248">
        <f>IF($T7=$BI$3,INDEX('Tables - Part 2'!$BB$17:$BE$24,MATCH(Amine_Cracking!$W7,'Tables - Part 2'!$AV$6:$AV$13,0),MATCH(Amine_Cracking!$U7,'Tables - Part 2'!$AX$5:$BA$5,0)),0)</f>
        <v>0</v>
      </c>
      <c r="BJ7" s="248">
        <f>IF($T7=$BJ$3,((INDEX('Tables - Part 2'!$BB$17:$BE$24,MATCH(Amine_Cracking!$W7,'Tables - Part 2'!$AV$6:$AV$13,0),MATCH(Amine_Cracking!$U7,'Tables - Part 2'!$AX$5:$BA$5,0)))+(((INDEX('Tables - Part 2'!$BB$17:$BE$24,MATCH(Amine_Cracking!$W7,'Tables - Part 2'!$AV$6:$AV$13,0),MATCH(Amine_Cracking!$U7,'Tables - Part 2'!$AX$5:$BA$5,0)))+(INDEX('Tables - Part 2'!$BB$17:$BE$24,MATCH(Amine_Cracking!$W7,'Tables - Part 2'!$AV$6:$AV$13,0),MATCH(Amine_Cracking!$U7,'Tables - Part 2'!$AX$5:$BA$5,0))+INDEX('Tables - Part 2'!$BF$17:$BI$24,MATCH(Amine_Cracking!$W7,'Tables - Part 2'!$AV$6:$AV$13,0),MATCH(Amine_Cracking!$U7,'Tables - Part 2'!$AX$5:$BA$5,0)))/2)/2))/2,0)</f>
        <v>0</v>
      </c>
      <c r="BK7" s="248">
        <f>IF($T7=$BK$3,((INDEX('Tables - Part 2'!$BB$17:$BE$24,MATCH(Amine_Cracking!$W7,'Tables - Part 2'!$AV$6:$AV$13,0),MATCH(Amine_Cracking!$U7,'Tables - Part 2'!$AX$5:$BA$5,0)))+(INDEX('Tables - Part 2'!$BB$17:$BE$24,MATCH(Amine_Cracking!$W7,'Tables - Part 2'!$AV$6:$AV$13,0),MATCH(Amine_Cracking!$U7,'Tables - Part 2'!$AX$5:$BA$5,0))+INDEX('Tables - Part 2'!$BF$17:$BI$24,MATCH(Amine_Cracking!$W7,'Tables - Part 2'!$AV$6:$AV$13,0),MATCH(Amine_Cracking!$U7,'Tables - Part 2'!$AX$5:$BA$5,0)))/2)/2,0)</f>
        <v>0</v>
      </c>
      <c r="BL7" s="248">
        <f>IF($T7=$BL$3,((((INDEX('Tables - Part 2'!$BB$17:$BE$24,MATCH(Amine_Cracking!$W7,'Tables - Part 2'!$AV$6:$AV$13,0),MATCH(Amine_Cracking!$U7,'Tables - Part 2'!$AX$5:$BA$5,0)))+(INDEX('Tables - Part 2'!$BB$17:$BE$24,MATCH(Amine_Cracking!$W7,'Tables - Part 2'!$AV$6:$AV$13,0),MATCH(Amine_Cracking!$U7,'Tables - Part 2'!$AX$5:$BA$5,0))+INDEX('Tables - Part 2'!$BF$17:$BI$24,MATCH(Amine_Cracking!$W7,'Tables - Part 2'!$AV$6:$AV$13,0),MATCH(Amine_Cracking!$U7,'Tables - Part 2'!$AX$5:$BA$5,0)))/2)/2)+((INDEX('Tables - Part 2'!$BB$17:$BE$24,MATCH(Amine_Cracking!$W7,'Tables - Part 2'!$AV$6:$AV$13,0),MATCH(Amine_Cracking!$U7,'Tables - Part 2'!$AX$5:$BA$5,0))+INDEX('Tables - Part 2'!$BF$17:$BI$24,MATCH(Amine_Cracking!$W7,'Tables - Part 2'!$AV$6:$AV$13,0),MATCH(Amine_Cracking!$U7,'Tables - Part 2'!$AX$5:$BA$5,0)))/2))/2,0)</f>
        <v>0</v>
      </c>
      <c r="BM7" s="248">
        <f>IF($T7=$BM$3,(INDEX('Tables - Part 2'!$BB$17:$BE$24,MATCH(Amine_Cracking!$W7,'Tables - Part 2'!$AV$6:$AV$13,0),MATCH(Amine_Cracking!$U7,'Tables - Part 2'!$AX$5:$BA$5,0))+INDEX('Tables - Part 2'!$BF$17:$BI$24,MATCH(Amine_Cracking!$W7,'Tables - Part 2'!$AV$6:$AV$13,0),MATCH(Amine_Cracking!$U7,'Tables - Part 2'!$AX$5:$BA$5,0)))/2,0)</f>
        <v>0</v>
      </c>
      <c r="BN7" s="248">
        <f>IF($T7=$BN$3,(((INDEX('Tables - Part 2'!$BB$17:$BE$24,MATCH(Amine_Cracking!$W7,'Tables - Part 2'!$AV$6:$AV$13,0),MATCH(Amine_Cracking!$U7,'Tables - Part 2'!$AX$5:$BA$5,0))+INDEX('Tables - Part 2'!$BF$17:$BI$24,MATCH(Amine_Cracking!$W7,'Tables - Part 2'!$AV$6:$AV$13,0),MATCH(Amine_Cracking!$U7,'Tables - Part 2'!$AX$5:$BA$5,0)))/2)+((((INDEX('Tables - Part 2'!$BB$17:$BE$24,MATCH(Amine_Cracking!$W7,'Tables - Part 2'!$AV$6:$AV$13,0),MATCH(Amine_Cracking!$U7,'Tables - Part 2'!$AX$5:$BA$5,0))+INDEX('Tables - Part 2'!$BF$17:$BI$24,MATCH(Amine_Cracking!$W7,'Tables - Part 2'!$AV$6:$AV$13,0),MATCH(Amine_Cracking!$U7,'Tables - Part 2'!$AX$5:$BA$5,0)))/2)+INDEX('Tables - Part 2'!$BF$17:$BI$24,MATCH(Amine_Cracking!$W7,'Tables - Part 2'!$AV$6:$AV$13,0),MATCH(Amine_Cracking!$U7,'Tables - Part 2'!$AX$5:$BA$5,0)))/2))/2,0)</f>
        <v>0</v>
      </c>
      <c r="BO7" s="248">
        <f>IF($T7=$BO$3,(((INDEX('Tables - Part 2'!$BB$17:$BE$24,MATCH(Amine_Cracking!$W7,'Tables - Part 2'!$AV$6:$AV$13,0),MATCH(Amine_Cracking!$U7,'Tables - Part 2'!$AX$5:$BA$5,0))+INDEX('Tables - Part 2'!$BF$17:$BI$24,MATCH(Amine_Cracking!$W7,'Tables - Part 2'!$AV$6:$AV$13,0),MATCH(Amine_Cracking!$U7,'Tables - Part 2'!$AX$5:$BA$5,0)))/2)+INDEX('Tables - Part 2'!$BF$17:$BI$24,MATCH(Amine_Cracking!$W7,'Tables - Part 2'!$AV$6:$AV$13,0),MATCH(Amine_Cracking!$U7,'Tables - Part 2'!$AX$5:$BA$5,0)))/2,0)</f>
        <v>0</v>
      </c>
      <c r="BP7" s="248">
        <f>IF($T7=$BP$3,(((((INDEX('Tables - Part 2'!$BB$17:$BE$24,MATCH(Amine_Cracking!$W7,'Tables - Part 2'!$AV$6:$AV$13,0),MATCH(Amine_Cracking!$U7,'Tables - Part 2'!$AX$5:$BA$5,0))+INDEX('Tables - Part 2'!$BF$17:$BI$24,MATCH(Amine_Cracking!$W7,'Tables - Part 2'!$AV$6:$AV$13,0),MATCH(Amine_Cracking!$U7,'Tables - Part 2'!$AX$5:$BA$5,0)))/2)+INDEX('Tables - Part 2'!$BF$17:$BI$24,MATCH(Amine_Cracking!$W7,'Tables - Part 2'!$AV$6:$AV$13,0),MATCH(Amine_Cracking!$U7,'Tables - Part 2'!$AX$5:$BA$5,0)))/2)+(INDEX('Tables - Part 2'!$BF$17:$BI$24,MATCH(Amine_Cracking!$W7,'Tables - Part 2'!$AV$6:$AV$13,0),MATCH(Amine_Cracking!$U7,'Tables - Part 2'!$AX$5:$BA$5,0))))/2,0)</f>
        <v>0</v>
      </c>
      <c r="BQ7" s="248">
        <f>IF($T7=$BQ$3,INDEX('Tables - Part 2'!$BF$17:$BI$24,MATCH(Amine_Cracking!$W7,'Tables - Part 2'!$AV$6:$AV$13,0),MATCH(Amine_Cracking!$U7,'Tables - Part 2'!$AX$5:$BA$5,0)),0)</f>
        <v>0</v>
      </c>
      <c r="BR7" s="248">
        <f t="shared" si="5"/>
        <v>0</v>
      </c>
      <c r="BS7" s="238">
        <f t="shared" si="8"/>
        <v>3</v>
      </c>
      <c r="BT7" s="238">
        <f t="shared" si="9"/>
        <v>50.318647405225171</v>
      </c>
    </row>
    <row r="8" spans="2:85" x14ac:dyDescent="0.35">
      <c r="B8" s="161" t="str">
        <f>'Tratamento de Dados'!B16</f>
        <v>V-13</v>
      </c>
      <c r="C8" s="161" t="str">
        <f>'Tratamento de Dados'!D16</f>
        <v>Casco</v>
      </c>
      <c r="D8" s="209" t="s">
        <v>245</v>
      </c>
      <c r="E8" s="209" t="s">
        <v>245</v>
      </c>
      <c r="F8" s="209" t="s">
        <v>244</v>
      </c>
      <c r="G8" s="209" t="s">
        <v>244</v>
      </c>
      <c r="H8" s="209" t="s">
        <v>245</v>
      </c>
      <c r="I8" s="209">
        <v>100</v>
      </c>
      <c r="J8" s="209" t="s">
        <v>245</v>
      </c>
      <c r="K8" s="209" t="s">
        <v>245</v>
      </c>
      <c r="L8" s="209" t="s">
        <v>245</v>
      </c>
      <c r="M8" s="210">
        <v>39092</v>
      </c>
      <c r="N8" s="209">
        <v>0</v>
      </c>
      <c r="O8" s="209">
        <v>1</v>
      </c>
      <c r="P8" s="209">
        <v>1</v>
      </c>
      <c r="Q8" s="209">
        <v>4</v>
      </c>
      <c r="R8" s="253">
        <f>'Tratamento de Dados'!DA16</f>
        <v>0</v>
      </c>
      <c r="S8" s="253">
        <f>'Tratamento de Dados'!DB16</f>
        <v>0</v>
      </c>
      <c r="T8" s="256">
        <f t="shared" si="0"/>
        <v>2.5</v>
      </c>
      <c r="U8" s="246" t="str">
        <f t="shared" si="1"/>
        <v>B</v>
      </c>
      <c r="V8" s="238" t="str">
        <f t="shared" si="6"/>
        <v>High</v>
      </c>
      <c r="W8" s="238">
        <f>IF(AND(D8=$BY$2,E8&lt;&gt;$BY$2),"Fitness-For-Service",INDEX('Tables - Part 2'!$BL$4:$BL$7,MATCH(Amine_Cracking!V8,'Tables - Part 2'!$BK$4:$BK$7,0),))</f>
        <v>100</v>
      </c>
      <c r="X8" s="238">
        <f>IF(M8=0,(Thinning!G9-Thinning!F9)/365.25,(Thinning!G9-M8)/365.25)</f>
        <v>12.980150581793293</v>
      </c>
      <c r="Y8" s="248">
        <f t="shared" si="2"/>
        <v>0</v>
      </c>
      <c r="Z8" s="248">
        <f t="shared" si="3"/>
        <v>2.5</v>
      </c>
      <c r="AA8" s="247">
        <f t="shared" si="7"/>
        <v>3</v>
      </c>
      <c r="AB8" s="247">
        <f t="shared" si="4"/>
        <v>4</v>
      </c>
      <c r="AC8" s="248">
        <f>IF($T8=$AC$3,INDEX('Tables - Part 2'!$AX$6:$BA$13,MATCH(Amine_Cracking!W8,'Tables - Part 2'!$AV$6:$AV$13,0),MATCH(Amine_Cracking!U8,'Tables - Part 2'!$AX$5:$BA$5,0)),0)</f>
        <v>0</v>
      </c>
      <c r="AD8" s="248">
        <f>IF($T8=$AD$3,(INDEX('Tables - Part 2'!$AX$6:$BA$13,MATCH(Amine_Cracking!W8,'Tables - Part 2'!$AV$6:$AV$13,0),MATCH(Amine_Cracking!U8,'Tables - Part 2'!$AX$5:$BA$5,0))+(INDEX('Tables - Part 2'!$AX$6:$BA$13,MATCH(Amine_Cracking!W8,'Tables - Part 2'!$AV$6:$AV$13,0),MATCH(Amine_Cracking!U8,'Tables - Part 2'!$AX$5:$BA$5,0))+((INDEX('Tables - Part 2'!$AX$6:$BA$13,MATCH(Amine_Cracking!W8,'Tables - Part 2'!$AV$6:$AV$13,0),MATCH(Amine_Cracking!U8,'Tables - Part 2'!$AX$5:$BA$5,0))+INDEX('Tables - Part 2'!$BB$6:$BE$13,MATCH(Amine_Cracking!$W8,'Tables - Part 2'!$AV$6:$AV$13,0),MATCH(Amine_Cracking!$U8,'Tables - Part 2'!$AX$5:$BA$5,0)))/2))/2)/2,0)</f>
        <v>0</v>
      </c>
      <c r="AE8" s="248">
        <f>IF($T8=$AE$3,(INDEX('Tables - Part 2'!$AX$6:$BA$13,MATCH(Amine_Cracking!W8,'Tables - Part 2'!$AV$6:$AV$13,0),MATCH(Amine_Cracking!U8,'Tables - Part 2'!$AX$5:$BA$5,0))+((INDEX('Tables - Part 2'!$AX$6:$BA$13,MATCH(Amine_Cracking!W8,'Tables - Part 2'!$AV$6:$AV$13,0),MATCH(Amine_Cracking!U8,'Tables - Part 2'!$AX$5:$BA$5,0))+INDEX('Tables - Part 2'!$BB$6:$BE$13,MATCH(Amine_Cracking!$W8,'Tables - Part 2'!$AV$6:$AV$13,0),MATCH(Amine_Cracking!$U8,'Tables - Part 2'!$AX$5:$BA$5,0)))/2))/2,0)</f>
        <v>0</v>
      </c>
      <c r="AF8" s="248">
        <f>IF($T8=$AF$3,(((INDEX('Tables - Part 2'!$AX$6:$BA$13,MATCH(Amine_Cracking!W8,'Tables - Part 2'!$AV$6:$AV$13,0),MATCH(Amine_Cracking!U8,'Tables - Part 2'!$AX$5:$BA$5,0))+((INDEX('Tables - Part 2'!$AX$6:$BA$13,MATCH(Amine_Cracking!W8,'Tables - Part 2'!$AV$6:$AV$13,0),MATCH(Amine_Cracking!U8,'Tables - Part 2'!$AX$5:$BA$5,0))+INDEX('Tables - Part 2'!$BB$6:$BE$13,MATCH(Amine_Cracking!$W8,'Tables - Part 2'!$AV$6:$AV$13,0),MATCH(Amine_Cracking!$U8,'Tables - Part 2'!$AX$5:$BA$5,0)))/2))/2)+(INDEX('Tables - Part 2'!$AX$6:$BA$13,MATCH(Amine_Cracking!W8,'Tables - Part 2'!$AV$6:$AV$13,0),MATCH(Amine_Cracking!U8,'Tables - Part 2'!$AX$5:$BA$5,0))+INDEX('Tables - Part 2'!$BB$6:$BE$13,MATCH(Amine_Cracking!$W8,'Tables - Part 2'!$AV$6:$AV$13,0),MATCH(Amine_Cracking!$U8,'Tables - Part 2'!$AX$5:$BA$5,0)))/2)/2,0)</f>
        <v>0</v>
      </c>
      <c r="AG8" s="248">
        <f>IF($T8=$AG$3,(INDEX('Tables - Part 2'!$AX$6:$BA$13,MATCH(Amine_Cracking!W8,'Tables - Part 2'!$AV$6:$AV$13,0),MATCH(Amine_Cracking!U8,'Tables - Part 2'!$AX$5:$BA$5,0))+INDEX('Tables - Part 2'!$BB$6:$BE$13,MATCH(Amine_Cracking!$W8,'Tables - Part 2'!$AV$6:$AV$13,0),MATCH(Amine_Cracking!$U8,'Tables - Part 2'!$AX$5:$BA$5,0)))/2,0)</f>
        <v>0</v>
      </c>
      <c r="AH8" s="248">
        <f>IF($T8=$AH$3,(((INDEX('Tables - Part 2'!$AX$6:$BA$13,MATCH(Amine_Cracking!W8,'Tables - Part 2'!$AV$6:$AV$13,0),MATCH(Amine_Cracking!U8,'Tables - Part 2'!$AX$5:$BA$5,0))+INDEX('Tables - Part 2'!$BB$6:$BE$13,MATCH(Amine_Cracking!$W8,'Tables - Part 2'!$AV$6:$AV$13,0),MATCH(Amine_Cracking!$U8,'Tables - Part 2'!$AX$5:$BA$5,0)))/2)+(((INDEX('Tables - Part 2'!$AX$6:$BA$13,MATCH(Amine_Cracking!W8,'Tables - Part 2'!$AV$6:$AV$13,0),MATCH(Amine_Cracking!U8,'Tables - Part 2'!$AX$5:$BA$5,0))+INDEX('Tables - Part 2'!$BB$6:$BE$13,MATCH(Amine_Cracking!$W8,'Tables - Part 2'!$AV$6:$AV$13,0),MATCH(Amine_Cracking!$U8,'Tables - Part 2'!$AX$5:$BA$5,0)))/2)+INDEX('Tables - Part 2'!$BB$6:$BE$13,MATCH(Amine_Cracking!$W8,'Tables - Part 2'!$AV$6:$AV$13,0),MATCH(Amine_Cracking!$U8,'Tables - Part 2'!$AX$5:$BA$5,0)))/2)/2,0)</f>
        <v>0</v>
      </c>
      <c r="AI8" s="248">
        <f>IF($T8=$AI$3,(((INDEX('Tables - Part 2'!$AX$6:$BA$13,MATCH(Amine_Cracking!W8,'Tables - Part 2'!$AV$6:$AV$13,0),MATCH(Amine_Cracking!U8,'Tables - Part 2'!$AX$5:$BA$5,0))+INDEX('Tables - Part 2'!$BB$6:$BE$13,MATCH(Amine_Cracking!$W8,'Tables - Part 2'!$AV$6:$AV$13,0),MATCH(Amine_Cracking!$U8,'Tables - Part 2'!$AX$5:$BA$5,0)))/2)+INDEX('Tables - Part 2'!$BB$6:$BE$13,MATCH(Amine_Cracking!$W8,'Tables - Part 2'!$AV$6:$AV$13,0),MATCH(Amine_Cracking!$U8,'Tables - Part 2'!$AX$5:$BA$5,0)))/2,0)</f>
        <v>0</v>
      </c>
      <c r="AJ8" s="248">
        <f>IF($T8=$AJ$3,(((((INDEX('Tables - Part 2'!$AX$6:$BA$13,MATCH(Amine_Cracking!W8,'Tables - Part 2'!$AV$6:$AV$13,0),MATCH(Amine_Cracking!U8,'Tables - Part 2'!$AX$5:$BA$5,0))+INDEX('Tables - Part 2'!$BB$6:$BE$13,MATCH(Amine_Cracking!$W8,'Tables - Part 2'!$AV$6:$AV$13,0),MATCH(Amine_Cracking!$U8,'Tables - Part 2'!$AX$5:$BA$5,0)))/2)+INDEX('Tables - Part 2'!$BB$6:$BE$13,MATCH(Amine_Cracking!$W8,'Tables - Part 2'!$AV$6:$AV$13,0),MATCH(Amine_Cracking!$U8,'Tables - Part 2'!$AX$5:$BA$5,0)))/2)+INDEX('Tables - Part 2'!$BB$6:$BE$13,MATCH(Amine_Cracking!$W8,'Tables - Part 2'!$AV$6:$AV$13,0),MATCH(Amine_Cracking!$U8,'Tables - Part 2'!$AX$5:$BA$5,0)))/2,0)</f>
        <v>0</v>
      </c>
      <c r="AK8" s="248">
        <f>IF($T8=$AK$3,INDEX('Tables - Part 2'!$BB$6:$BE$13,MATCH(Amine_Cracking!$W8,'Tables - Part 2'!$AV$6:$AV$13,0),MATCH(Amine_Cracking!$U8,'Tables - Part 2'!$AX$5:$BA$5,0)),0)</f>
        <v>0</v>
      </c>
      <c r="AL8" s="248">
        <f>IF($T8=$AL$3,((INDEX('Tables - Part 2'!$BB$6:$BE$13,MATCH(Amine_Cracking!$W8,'Tables - Part 2'!$AV$6:$AV$13,0),MATCH(Amine_Cracking!$U8,'Tables - Part 2'!$AX$5:$BA$5,0)))+(INDEX('Tables - Part 2'!$BB$6:$BE$13,MATCH(Amine_Cracking!$W8,'Tables - Part 2'!$AV$6:$AV$13,0),MATCH(Amine_Cracking!$U8,'Tables - Part 2'!$AX$5:$BA$5,0))+(INDEX('Tables - Part 2'!$BB$6:$BE$13,MATCH(Amine_Cracking!$W8,'Tables - Part 2'!$AV$6:$AV$13,0),MATCH(Amine_Cracking!$U8,'Tables - Part 2'!$AX$5:$BA$5,0))+INDEX('Tables - Part 2'!$BF$6:$BI$13,MATCH(Amine_Cracking!$W8,'Tables - Part 2'!$AV$6:$AV$13,0),MATCH(Amine_Cracking!$U8,'Tables - Part 2'!$AX$5:$BA$5,0)))/2)/2)/2,0)</f>
        <v>0</v>
      </c>
      <c r="AM8" s="248">
        <f>IF($T8=$AM$3,(INDEX('Tables - Part 2'!$BB$6:$BE$13,MATCH(Amine_Cracking!$W8,'Tables - Part 2'!$AV$6:$AV$13,0),MATCH(Amine_Cracking!$U8,'Tables - Part 2'!$AX$5:$BA$5,0))+(INDEX('Tables - Part 2'!$BB$6:$BE$13,MATCH(Amine_Cracking!$W8,'Tables - Part 2'!$AV$6:$AV$13,0),MATCH(Amine_Cracking!$U8,'Tables - Part 2'!$AX$5:$BA$5,0))+INDEX('Tables - Part 2'!$BF$6:$BI$13,MATCH(Amine_Cracking!$W8,'Tables - Part 2'!$AV$6:$AV$13,0),MATCH(Amine_Cracking!$U8,'Tables - Part 2'!$AX$5:$BA$5,0)))/2)/2,0)</f>
        <v>0</v>
      </c>
      <c r="AN8" s="248">
        <f>IF($T8=$AN$3,(((INDEX('Tables - Part 2'!$BB$6:$BE$13,MATCH(Amine_Cracking!$W8,'Tables - Part 2'!$AV$6:$AV$13,0),MATCH(Amine_Cracking!$U8,'Tables - Part 2'!$AX$5:$BA$5,0))+(INDEX('Tables - Part 2'!$BB$6:$BE$13,MATCH(Amine_Cracking!$W8,'Tables - Part 2'!$AV$6:$AV$13,0),MATCH(Amine_Cracking!$U8,'Tables - Part 2'!$AX$5:$BA$5,0))+INDEX('Tables - Part 2'!$BF$6:$BI$13,MATCH(Amine_Cracking!$W8,'Tables - Part 2'!$AV$6:$AV$13,0),MATCH(Amine_Cracking!$U8,'Tables - Part 2'!$AX$5:$BA$5,0)))/2)/2)+((INDEX('Tables - Part 2'!$BB$6:$BE$13,MATCH(Amine_Cracking!$W8,'Tables - Part 2'!$AV$6:$AV$13,0),MATCH(Amine_Cracking!$U8,'Tables - Part 2'!$AX$5:$BA$5,0))+INDEX('Tables - Part 2'!$BF$6:$BI$13,MATCH(Amine_Cracking!$W8,'Tables - Part 2'!$AV$6:$AV$13,0),MATCH(Amine_Cracking!$U8,'Tables - Part 2'!$AX$5:$BA$5,0)))/2))/2,0)</f>
        <v>0</v>
      </c>
      <c r="AO8" s="248">
        <f>IF($T8=$AO$3,(INDEX('Tables - Part 2'!$BB$6:$BE$13,MATCH(Amine_Cracking!$W8,'Tables - Part 2'!$AV$6:$AV$13,0),MATCH(Amine_Cracking!$U8,'Tables - Part 2'!$AX$5:$BA$5,0))+INDEX('Tables - Part 2'!$BF$6:$BI$13,MATCH(Amine_Cracking!$W8,'Tables - Part 2'!$AV$6:$AV$13,0),MATCH(Amine_Cracking!$U8,'Tables - Part 2'!$AX$5:$BA$5,0)))/2,0)</f>
        <v>3</v>
      </c>
      <c r="AP8" s="248">
        <f>IF($T8=$AP$3,(((INDEX('Tables - Part 2'!$BB$6:$BE$13,MATCH(Amine_Cracking!$W8,'Tables - Part 2'!$AV$6:$AV$13,0),MATCH(Amine_Cracking!$U8,'Tables - Part 2'!$AX$5:$BA$5,0))+INDEX('Tables - Part 2'!$BF$6:$BI$13,MATCH(Amine_Cracking!$W8,'Tables - Part 2'!$AV$6:$AV$13,0),MATCH(Amine_Cracking!$U8,'Tables - Part 2'!$AX$5:$BA$5,0)))/2)+((((INDEX('Tables - Part 2'!$BB$6:$BE$13,MATCH(Amine_Cracking!$W8,'Tables - Part 2'!$AV$6:$AV$13,0),MATCH(Amine_Cracking!$U8,'Tables - Part 2'!$AX$5:$BA$5,0))+INDEX('Tables - Part 2'!$BF$6:$BI$13,MATCH(Amine_Cracking!$W8,'Tables - Part 2'!$AV$6:$AV$13,0),MATCH(Amine_Cracking!$U8,'Tables - Part 2'!$AX$5:$BA$5,0)))/2)+INDEX('Tables - Part 2'!$BF$6:$BI$13,MATCH(Amine_Cracking!$W8,'Tables - Part 2'!$AV$6:$AV$13,0),MATCH(Amine_Cracking!$U8,'Tables - Part 2'!$AX$5:$BA$5,0)))/2))/2,0)</f>
        <v>0</v>
      </c>
      <c r="AQ8" s="248">
        <f>IF($T8=$AQ$3,(((INDEX('Tables - Part 2'!$BB$6:$BE$13,MATCH(Amine_Cracking!$W8,'Tables - Part 2'!$AV$6:$AV$13,0),MATCH(Amine_Cracking!$U8,'Tables - Part 2'!$AX$5:$BA$5,0))+INDEX('Tables - Part 2'!$BF$6:$BI$13,MATCH(Amine_Cracking!$W8,'Tables - Part 2'!$AV$6:$AV$13,0),MATCH(Amine_Cracking!$U8,'Tables - Part 2'!$AX$5:$BA$5,0)))/2)+INDEX('Tables - Part 2'!$BF$6:$BI$13,MATCH(Amine_Cracking!$W8,'Tables - Part 2'!$AV$6:$AV$13,0),MATCH(Amine_Cracking!$U8,'Tables - Part 2'!$AX$5:$BA$5,0)))/2,0)</f>
        <v>0</v>
      </c>
      <c r="AR8" s="248">
        <f>IF($T8=$AR$3,(((((INDEX('Tables - Part 2'!$BB$6:$BE$13,MATCH(Amine_Cracking!$W8,'Tables - Part 2'!$AV$6:$AV$13,0),MATCH(Amine_Cracking!$U8,'Tables - Part 2'!$AX$5:$BA$5,0))+INDEX('Tables - Part 2'!$BF$6:$BI$13,MATCH(Amine_Cracking!$W8,'Tables - Part 2'!$AV$6:$AV$13,0),MATCH(Amine_Cracking!$U8,'Tables - Part 2'!$AX$5:$BA$5,0)))/2)+INDEX('Tables - Part 2'!$BF$6:$BI$13,MATCH(Amine_Cracking!$W8,'Tables - Part 2'!$AV$6:$AV$13,0),MATCH(Amine_Cracking!$U8,'Tables - Part 2'!$AX$5:$BA$5,0)))/2)+INDEX('Tables - Part 2'!$BF$6:$BI$13,MATCH(Amine_Cracking!$W8,'Tables - Part 2'!$AV$6:$AV$13,0),MATCH(Amine_Cracking!$U8,'Tables - Part 2'!$AX$5:$BA$5,0)))/2,0)</f>
        <v>0</v>
      </c>
      <c r="AS8" s="248">
        <f>IF($T8=$AS$3,INDEX('Tables - Part 2'!$BF$6:$BI$13,MATCH(Amine_Cracking!$W8,'Tables - Part 2'!$AV$6:$AV$13,0),MATCH(Amine_Cracking!$U8,'Tables - Part 2'!$AX$5:$BA$5,0)),0)</f>
        <v>0</v>
      </c>
      <c r="AT8" s="248">
        <f>IF($T8=$AT$3,(INDEX('Tables - Part 2'!$BF$6:$BI$13,MATCH(Amine_Cracking!$W8,'Tables - Part 2'!$AV$6:$AV$13,0),MATCH(Amine_Cracking!$U8,'Tables - Part 2'!$AX$5:$BA$5,0))+((INDEX('Tables - Part 2'!$BF$6:$BI$13,MATCH(Amine_Cracking!$W8,'Tables - Part 2'!$AV$6:$AV$13,0),MATCH(Amine_Cracking!$U8,'Tables - Part 2'!$AX$5:$BA$5,0))+(INDEX('Tables - Part 2'!$BF$6:$BI$13,MATCH(Amine_Cracking!$W8,'Tables - Part 2'!$AV$6:$AV$13,0),MATCH(Amine_Cracking!$U8,'Tables - Part 2'!$AX$5:$BA$5,0))+INDEX('Tables - Part 2'!$AX$17:$BA$24,MATCH(Amine_Cracking!$W8,'Tables - Part 2'!$AV$6:$AV$13,0),MATCH(Amine_Cracking!$U8,'Tables - Part 2'!$AX$5:$BA$5,0)))/2)/2))/2,0)</f>
        <v>0</v>
      </c>
      <c r="AU8" s="248">
        <f>IF($T8=$AU$3,(INDEX('Tables - Part 2'!$BF$6:$BI$13,MATCH(Amine_Cracking!$W8,'Tables - Part 2'!$AV$6:$AV$13,0),MATCH(Amine_Cracking!$U8,'Tables - Part 2'!$AX$5:$BA$5,0))+(INDEX('Tables - Part 2'!$BF$6:$BI$13,MATCH(Amine_Cracking!$W8,'Tables - Part 2'!$AV$6:$AV$13,0),MATCH(Amine_Cracking!$U8,'Tables - Part 2'!$AX$5:$BA$5,0))+INDEX('Tables - Part 2'!$AX$17:$BA$24,MATCH(Amine_Cracking!$W8,'Tables - Part 2'!$AV$6:$AV$13,0),MATCH(Amine_Cracking!$U8,'Tables - Part 2'!$AX$5:$BA$5,0)))/2)/2,0)</f>
        <v>0</v>
      </c>
      <c r="AV8" s="248">
        <f>IF($T8=$AV$3,(((INDEX('Tables - Part 2'!$BF$6:$BI$13,MATCH(Amine_Cracking!$W8,'Tables - Part 2'!$AV$6:$AV$13,0),MATCH(Amine_Cracking!$U8,'Tables - Part 2'!$AX$5:$BA$5,0))+(INDEX('Tables - Part 2'!$BF$6:$BI$13,MATCH(Amine_Cracking!$W8,'Tables - Part 2'!$AV$6:$AV$13,0),MATCH(Amine_Cracking!$U8,'Tables - Part 2'!$AX$5:$BA$5,0))+INDEX('Tables - Part 2'!$AX$17:$BA$24,MATCH(Amine_Cracking!$W8,'Tables - Part 2'!$AV$6:$AV$13,0),MATCH(Amine_Cracking!$U8,'Tables - Part 2'!$AX$5:$BA$5,0)))/2)/2)+((INDEX('Tables - Part 2'!$BF$6:$BI$13,MATCH(Amine_Cracking!$W8,'Tables - Part 2'!$AV$6:$AV$13,0),MATCH(Amine_Cracking!$U8,'Tables - Part 2'!$AX$5:$BA$5,0))+INDEX('Tables - Part 2'!$AX$17:$BA$24,MATCH(Amine_Cracking!$W8,'Tables - Part 2'!$AV$6:$AV$13,0),MATCH(Amine_Cracking!$U8,'Tables - Part 2'!$AX$5:$BA$5,0)))/2))/2,0)</f>
        <v>0</v>
      </c>
      <c r="AW8" s="248">
        <f>IF($T8=$AW$3,(INDEX('Tables - Part 2'!$BF$6:$BI$13,MATCH(Amine_Cracking!$W8,'Tables - Part 2'!$AV$6:$AV$13,0),MATCH(Amine_Cracking!$U8,'Tables - Part 2'!$AX$5:$BA$5,0))+INDEX('Tables - Part 2'!$AX$17:$BA$24,MATCH(Amine_Cracking!$W8,'Tables - Part 2'!$AV$6:$AV$13,0),MATCH(Amine_Cracking!$U8,'Tables - Part 2'!$AX$5:$BA$5,0)))/2,0)</f>
        <v>0</v>
      </c>
      <c r="AX8" s="248">
        <f>IF($T8=$AX$3,(((INDEX('Tables - Part 2'!$BF$6:$BI$13,MATCH(Amine_Cracking!$W8,'Tables - Part 2'!$AV$6:$AV$13,0),MATCH(Amine_Cracking!$U8,'Tables - Part 2'!$AX$5:$BA$5,0))+INDEX('Tables - Part 2'!$AX$17:$BA$24,MATCH(Amine_Cracking!$W8,'Tables - Part 2'!$AV$6:$AV$13,0),MATCH(Amine_Cracking!$U8,'Tables - Part 2'!$AX$5:$BA$5,0)))/2)+((((INDEX('Tables - Part 2'!$BF$6:$BI$13,MATCH(Amine_Cracking!$W8,'Tables - Part 2'!$AV$6:$AV$13,0),MATCH(Amine_Cracking!$U8,'Tables - Part 2'!$AX$5:$BA$5,0))+INDEX('Tables - Part 2'!$AX$17:$BA$24,MATCH(Amine_Cracking!$W8,'Tables - Part 2'!$AV$6:$AV$13,0),MATCH(Amine_Cracking!$U8,'Tables - Part 2'!$AX$5:$BA$5,0)))/2)+INDEX('Tables - Part 2'!$AX$17:$BA$24,MATCH(Amine_Cracking!$W8,'Tables - Part 2'!$AV$6:$AV$13,0),MATCH(Amine_Cracking!$U8,'Tables - Part 2'!$AX$5:$BA$5,0)))/2))/2,0)</f>
        <v>0</v>
      </c>
      <c r="AY8" s="248">
        <f>IF($T8=$AY$3,(((INDEX('Tables - Part 2'!$BF$6:$BI$13,MATCH(Amine_Cracking!$W8,'Tables - Part 2'!$AV$6:$AV$13,0),MATCH(Amine_Cracking!$U8,'Tables - Part 2'!$AX$5:$BA$5,0))+INDEX('Tables - Part 2'!$AX$17:$BA$24,MATCH(Amine_Cracking!$W8,'Tables - Part 2'!$AV$6:$AV$13,0),MATCH(Amine_Cracking!$U8,'Tables - Part 2'!$AX$5:$BA$5,0)))/2)+INDEX('Tables - Part 2'!$AX$17:$BA$24,MATCH(Amine_Cracking!$W8,'Tables - Part 2'!$AV$6:$AV$13,0),MATCH(Amine_Cracking!$U8,'Tables - Part 2'!$AX$5:$BA$5,0)))/2,0)</f>
        <v>0</v>
      </c>
      <c r="AZ8" s="248">
        <f>IF($T8=$AZ$3,(((((INDEX('Tables - Part 2'!$BF$6:$BI$13,MATCH(Amine_Cracking!$W8,'Tables - Part 2'!$AV$6:$AV$13,0),MATCH(Amine_Cracking!$U8,'Tables - Part 2'!$AX$5:$BA$5,0))+INDEX('Tables - Part 2'!$AX$17:$BA$24,MATCH(Amine_Cracking!$W8,'Tables - Part 2'!$AV$6:$AV$13,0),MATCH(Amine_Cracking!$U8,'Tables - Part 2'!$AX$5:$BA$5,0)))/2)+INDEX('Tables - Part 2'!$AX$17:$BA$24,MATCH(Amine_Cracking!$W8,'Tables - Part 2'!$AV$6:$AV$13,0),MATCH(Amine_Cracking!$U8,'Tables - Part 2'!$AX$5:$BA$5,0)))/2)+(INDEX('Tables - Part 2'!$AX$17:$BA$24,MATCH(Amine_Cracking!$W8,'Tables - Part 2'!$AV$6:$AV$13,0),MATCH(Amine_Cracking!$U8,'Tables - Part 2'!$AX$5:$BA$5,0))))/2,0)</f>
        <v>0</v>
      </c>
      <c r="BA8" s="248">
        <f>IF($T8=$BA$3,INDEX('Tables - Part 2'!$AX$17:$BA$24,MATCH(Amine_Cracking!$W8,'Tables - Part 2'!$AV$6:$AV$13,0),MATCH(Amine_Cracking!$U8,'Tables - Part 2'!$AX$5:$BA$5,0)),0)</f>
        <v>0</v>
      </c>
      <c r="BB8" s="248">
        <f>IF($T8=$BB$3,((INDEX('Tables - Part 2'!$AX$17:$BA$24,MATCH(Amine_Cracking!$W8,'Tables - Part 2'!$AV$6:$AV$13,0),MATCH(Amine_Cracking!$U8,'Tables - Part 2'!$AX$5:$BA$5,0)))+(((INDEX('Tables - Part 2'!$AX$17:$BA$24,MATCH(Amine_Cracking!$W8,'Tables - Part 2'!$AV$6:$AV$13,0),MATCH(Amine_Cracking!$U8,'Tables - Part 2'!$AX$5:$BA$5,0)))+(INDEX('Tables - Part 2'!$AX$17:$BA$24,MATCH(Amine_Cracking!$W8,'Tables - Part 2'!$AV$6:$AV$13,0),MATCH(Amine_Cracking!$U8,'Tables - Part 2'!$AX$5:$BA$5,0))+INDEX('Tables - Part 2'!$BB$17:$BE$24,MATCH(Amine_Cracking!$W8,'Tables - Part 2'!$AV$6:$AV$13,0),MATCH(Amine_Cracking!$U8,'Tables - Part 2'!$AX$5:$BA$5,0)))/2)/2))/2,0)</f>
        <v>0</v>
      </c>
      <c r="BC8" s="248">
        <f>IF($T8=$BC$3,((INDEX('Tables - Part 2'!$AX$17:$BA$24,MATCH(Amine_Cracking!$W8,'Tables - Part 2'!$AV$6:$AV$13,0),MATCH(Amine_Cracking!$U8,'Tables - Part 2'!$AX$5:$BA$5,0)))+(INDEX('Tables - Part 2'!$AX$17:$BA$24,MATCH(Amine_Cracking!$W8,'Tables - Part 2'!$AV$6:$AV$13,0),MATCH(Amine_Cracking!$U8,'Tables - Part 2'!$AX$5:$BA$5,0))+INDEX('Tables - Part 2'!$BB$17:$BE$24,MATCH(Amine_Cracking!$W8,'Tables - Part 2'!$AV$6:$AV$13,0),MATCH(Amine_Cracking!$U8,'Tables - Part 2'!$AX$5:$BA$5,0)))/2)/2,0)</f>
        <v>0</v>
      </c>
      <c r="BD8" s="248">
        <f>IF($T8=$BD$3,((((INDEX('Tables - Part 2'!$AX$17:$BA$24,MATCH(Amine_Cracking!$W8,'Tables - Part 2'!$AV$6:$AV$13,0),MATCH(Amine_Cracking!$U8,'Tables - Part 2'!$AX$5:$BA$5,0)))+(INDEX('Tables - Part 2'!$AX$17:$BA$24,MATCH(Amine_Cracking!$W8,'Tables - Part 2'!$AV$6:$AV$13,0),MATCH(Amine_Cracking!$U8,'Tables - Part 2'!$AX$5:$BA$5,0))+INDEX('Tables - Part 2'!$BB$17:$BE$24,MATCH(Amine_Cracking!$W8,'Tables - Part 2'!$AV$6:$AV$13,0),MATCH(Amine_Cracking!$U8,'Tables - Part 2'!$AX$5:$BA$5,0)))/2)/2)+((INDEX('Tables - Part 2'!$AX$17:$BA$24,MATCH(Amine_Cracking!$W8,'Tables - Part 2'!$AV$6:$AV$13,0),MATCH(Amine_Cracking!$U8,'Tables - Part 2'!$AX$5:$BA$5,0))+INDEX('Tables - Part 2'!$BB$17:$BE$24,MATCH(Amine_Cracking!$W8,'Tables - Part 2'!$AV$6:$AV$13,0),MATCH(Amine_Cracking!$U8,'Tables - Part 2'!$AX$5:$BA$5,0)))/2))/2,0)</f>
        <v>0</v>
      </c>
      <c r="BE8" s="248">
        <f>IF($T8=$BE$3,(INDEX('Tables - Part 2'!$AX$17:$BA$24,MATCH(Amine_Cracking!$W8,'Tables - Part 2'!$AV$6:$AV$13,0),MATCH(Amine_Cracking!$U8,'Tables - Part 2'!$AX$5:$BA$5,0))+INDEX('Tables - Part 2'!$BB$17:$BE$24,MATCH(Amine_Cracking!$W8,'Tables - Part 2'!$AV$6:$AV$13,0),MATCH(Amine_Cracking!$U8,'Tables - Part 2'!$AX$5:$BA$5,0)))/2,0)</f>
        <v>0</v>
      </c>
      <c r="BF8" s="248">
        <f>IF($T8=$BF$3,(((INDEX('Tables - Part 2'!$AX$17:$BA$24,MATCH(Amine_Cracking!$W8,'Tables - Part 2'!$AV$6:$AV$13,0),MATCH(Amine_Cracking!$U8,'Tables - Part 2'!$AX$5:$BA$5,0))+INDEX('Tables - Part 2'!$BB$17:$BE$24,MATCH(Amine_Cracking!$W8,'Tables - Part 2'!$AV$6:$AV$13,0),MATCH(Amine_Cracking!$U8,'Tables - Part 2'!$AX$5:$BA$5,0)))/2)+((((INDEX('Tables - Part 2'!$AX$17:$BA$24,MATCH(Amine_Cracking!$W8,'Tables - Part 2'!$AV$6:$AV$13,0),MATCH(Amine_Cracking!$U8,'Tables - Part 2'!$AX$5:$BA$5,0))+INDEX('Tables - Part 2'!$BB$17:$BE$24,MATCH(Amine_Cracking!$W8,'Tables - Part 2'!$AV$6:$AV$13,0),MATCH(Amine_Cracking!$U8,'Tables - Part 2'!$AX$5:$BA$5,0)))/2)+INDEX('Tables - Part 2'!$BB$17:$BE$24,MATCH(Amine_Cracking!$W8,'Tables - Part 2'!$AV$6:$AV$13,0),MATCH(Amine_Cracking!$U8,'Tables - Part 2'!$AX$5:$BA$5,0)))/2))/2,0)</f>
        <v>0</v>
      </c>
      <c r="BG8" s="248">
        <f>IF($T8=$BG$3,(((INDEX('Tables - Part 2'!$AX$17:$BA$24,MATCH(Amine_Cracking!$W8,'Tables - Part 2'!$AV$6:$AV$13,0),MATCH(Amine_Cracking!$U8,'Tables - Part 2'!$AX$5:$BA$5,0))+INDEX('Tables - Part 2'!$BB$17:$BE$24,MATCH(Amine_Cracking!$W8,'Tables - Part 2'!$AV$6:$AV$13,0),MATCH(Amine_Cracking!$U8,'Tables - Part 2'!$AX$5:$BA$5,0)))/2)+INDEX('Tables - Part 2'!$BB$17:$BE$24,MATCH(Amine_Cracking!$W8,'Tables - Part 2'!$AV$6:$AV$13,0),MATCH(Amine_Cracking!$U8,'Tables - Part 2'!$AX$5:$BA$5,0)))/2,0)</f>
        <v>0</v>
      </c>
      <c r="BH8" s="248">
        <f>IF($T8=$BH$3,(((((INDEX('Tables - Part 2'!$AX$17:$BA$24,MATCH(Amine_Cracking!$W8,'Tables - Part 2'!$AV$6:$AV$13,0),MATCH(Amine_Cracking!$U8,'Tables - Part 2'!$AX$5:$BA$5,0))+INDEX('Tables - Part 2'!$BB$17:$BE$24,MATCH(Amine_Cracking!$W8,'Tables - Part 2'!$AV$6:$AV$13,0),MATCH(Amine_Cracking!$U8,'Tables - Part 2'!$AX$5:$BA$5,0)))/2)+INDEX('Tables - Part 2'!$BB$17:$BE$24,MATCH(Amine_Cracking!$W8,'Tables - Part 2'!$AV$6:$AV$13,0),MATCH(Amine_Cracking!$U8,'Tables - Part 2'!$AX$5:$BA$5,0)))/2)+(INDEX('Tables - Part 2'!$BB$17:$BE$24,MATCH(Amine_Cracking!$W8,'Tables - Part 2'!$AV$6:$AV$13,0),MATCH(Amine_Cracking!$U8,'Tables - Part 2'!$AX$5:$BA$5,0))))/2,0)</f>
        <v>0</v>
      </c>
      <c r="BI8" s="248">
        <f>IF($T8=$BI$3,INDEX('Tables - Part 2'!$BB$17:$BE$24,MATCH(Amine_Cracking!$W8,'Tables - Part 2'!$AV$6:$AV$13,0),MATCH(Amine_Cracking!$U8,'Tables - Part 2'!$AX$5:$BA$5,0)),0)</f>
        <v>0</v>
      </c>
      <c r="BJ8" s="248">
        <f>IF($T8=$BJ$3,((INDEX('Tables - Part 2'!$BB$17:$BE$24,MATCH(Amine_Cracking!$W8,'Tables - Part 2'!$AV$6:$AV$13,0),MATCH(Amine_Cracking!$U8,'Tables - Part 2'!$AX$5:$BA$5,0)))+(((INDEX('Tables - Part 2'!$BB$17:$BE$24,MATCH(Amine_Cracking!$W8,'Tables - Part 2'!$AV$6:$AV$13,0),MATCH(Amine_Cracking!$U8,'Tables - Part 2'!$AX$5:$BA$5,0)))+(INDEX('Tables - Part 2'!$BB$17:$BE$24,MATCH(Amine_Cracking!$W8,'Tables - Part 2'!$AV$6:$AV$13,0),MATCH(Amine_Cracking!$U8,'Tables - Part 2'!$AX$5:$BA$5,0))+INDEX('Tables - Part 2'!$BF$17:$BI$24,MATCH(Amine_Cracking!$W8,'Tables - Part 2'!$AV$6:$AV$13,0),MATCH(Amine_Cracking!$U8,'Tables - Part 2'!$AX$5:$BA$5,0)))/2)/2))/2,0)</f>
        <v>0</v>
      </c>
      <c r="BK8" s="248">
        <f>IF($T8=$BK$3,((INDEX('Tables - Part 2'!$BB$17:$BE$24,MATCH(Amine_Cracking!$W8,'Tables - Part 2'!$AV$6:$AV$13,0),MATCH(Amine_Cracking!$U8,'Tables - Part 2'!$AX$5:$BA$5,0)))+(INDEX('Tables - Part 2'!$BB$17:$BE$24,MATCH(Amine_Cracking!$W8,'Tables - Part 2'!$AV$6:$AV$13,0),MATCH(Amine_Cracking!$U8,'Tables - Part 2'!$AX$5:$BA$5,0))+INDEX('Tables - Part 2'!$BF$17:$BI$24,MATCH(Amine_Cracking!$W8,'Tables - Part 2'!$AV$6:$AV$13,0),MATCH(Amine_Cracking!$U8,'Tables - Part 2'!$AX$5:$BA$5,0)))/2)/2,0)</f>
        <v>0</v>
      </c>
      <c r="BL8" s="248">
        <f>IF($T8=$BL$3,((((INDEX('Tables - Part 2'!$BB$17:$BE$24,MATCH(Amine_Cracking!$W8,'Tables - Part 2'!$AV$6:$AV$13,0),MATCH(Amine_Cracking!$U8,'Tables - Part 2'!$AX$5:$BA$5,0)))+(INDEX('Tables - Part 2'!$BB$17:$BE$24,MATCH(Amine_Cracking!$W8,'Tables - Part 2'!$AV$6:$AV$13,0),MATCH(Amine_Cracking!$U8,'Tables - Part 2'!$AX$5:$BA$5,0))+INDEX('Tables - Part 2'!$BF$17:$BI$24,MATCH(Amine_Cracking!$W8,'Tables - Part 2'!$AV$6:$AV$13,0),MATCH(Amine_Cracking!$U8,'Tables - Part 2'!$AX$5:$BA$5,0)))/2)/2)+((INDEX('Tables - Part 2'!$BB$17:$BE$24,MATCH(Amine_Cracking!$W8,'Tables - Part 2'!$AV$6:$AV$13,0),MATCH(Amine_Cracking!$U8,'Tables - Part 2'!$AX$5:$BA$5,0))+INDEX('Tables - Part 2'!$BF$17:$BI$24,MATCH(Amine_Cracking!$W8,'Tables - Part 2'!$AV$6:$AV$13,0),MATCH(Amine_Cracking!$U8,'Tables - Part 2'!$AX$5:$BA$5,0)))/2))/2,0)</f>
        <v>0</v>
      </c>
      <c r="BM8" s="248">
        <f>IF($T8=$BM$3,(INDEX('Tables - Part 2'!$BB$17:$BE$24,MATCH(Amine_Cracking!$W8,'Tables - Part 2'!$AV$6:$AV$13,0),MATCH(Amine_Cracking!$U8,'Tables - Part 2'!$AX$5:$BA$5,0))+INDEX('Tables - Part 2'!$BF$17:$BI$24,MATCH(Amine_Cracking!$W8,'Tables - Part 2'!$AV$6:$AV$13,0),MATCH(Amine_Cracking!$U8,'Tables - Part 2'!$AX$5:$BA$5,0)))/2,0)</f>
        <v>0</v>
      </c>
      <c r="BN8" s="248">
        <f>IF($T8=$BN$3,(((INDEX('Tables - Part 2'!$BB$17:$BE$24,MATCH(Amine_Cracking!$W8,'Tables - Part 2'!$AV$6:$AV$13,0),MATCH(Amine_Cracking!$U8,'Tables - Part 2'!$AX$5:$BA$5,0))+INDEX('Tables - Part 2'!$BF$17:$BI$24,MATCH(Amine_Cracking!$W8,'Tables - Part 2'!$AV$6:$AV$13,0),MATCH(Amine_Cracking!$U8,'Tables - Part 2'!$AX$5:$BA$5,0)))/2)+((((INDEX('Tables - Part 2'!$BB$17:$BE$24,MATCH(Amine_Cracking!$W8,'Tables - Part 2'!$AV$6:$AV$13,0),MATCH(Amine_Cracking!$U8,'Tables - Part 2'!$AX$5:$BA$5,0))+INDEX('Tables - Part 2'!$BF$17:$BI$24,MATCH(Amine_Cracking!$W8,'Tables - Part 2'!$AV$6:$AV$13,0),MATCH(Amine_Cracking!$U8,'Tables - Part 2'!$AX$5:$BA$5,0)))/2)+INDEX('Tables - Part 2'!$BF$17:$BI$24,MATCH(Amine_Cracking!$W8,'Tables - Part 2'!$AV$6:$AV$13,0),MATCH(Amine_Cracking!$U8,'Tables - Part 2'!$AX$5:$BA$5,0)))/2))/2,0)</f>
        <v>0</v>
      </c>
      <c r="BO8" s="248">
        <f>IF($T8=$BO$3,(((INDEX('Tables - Part 2'!$BB$17:$BE$24,MATCH(Amine_Cracking!$W8,'Tables - Part 2'!$AV$6:$AV$13,0),MATCH(Amine_Cracking!$U8,'Tables - Part 2'!$AX$5:$BA$5,0))+INDEX('Tables - Part 2'!$BF$17:$BI$24,MATCH(Amine_Cracking!$W8,'Tables - Part 2'!$AV$6:$AV$13,0),MATCH(Amine_Cracking!$U8,'Tables - Part 2'!$AX$5:$BA$5,0)))/2)+INDEX('Tables - Part 2'!$BF$17:$BI$24,MATCH(Amine_Cracking!$W8,'Tables - Part 2'!$AV$6:$AV$13,0),MATCH(Amine_Cracking!$U8,'Tables - Part 2'!$AX$5:$BA$5,0)))/2,0)</f>
        <v>0</v>
      </c>
      <c r="BP8" s="248">
        <f>IF($T8=$BP$3,(((((INDEX('Tables - Part 2'!$BB$17:$BE$24,MATCH(Amine_Cracking!$W8,'Tables - Part 2'!$AV$6:$AV$13,0),MATCH(Amine_Cracking!$U8,'Tables - Part 2'!$AX$5:$BA$5,0))+INDEX('Tables - Part 2'!$BF$17:$BI$24,MATCH(Amine_Cracking!$W8,'Tables - Part 2'!$AV$6:$AV$13,0),MATCH(Amine_Cracking!$U8,'Tables - Part 2'!$AX$5:$BA$5,0)))/2)+INDEX('Tables - Part 2'!$BF$17:$BI$24,MATCH(Amine_Cracking!$W8,'Tables - Part 2'!$AV$6:$AV$13,0),MATCH(Amine_Cracking!$U8,'Tables - Part 2'!$AX$5:$BA$5,0)))/2)+(INDEX('Tables - Part 2'!$BF$17:$BI$24,MATCH(Amine_Cracking!$W8,'Tables - Part 2'!$AV$6:$AV$13,0),MATCH(Amine_Cracking!$U8,'Tables - Part 2'!$AX$5:$BA$5,0))))/2,0)</f>
        <v>0</v>
      </c>
      <c r="BQ8" s="248">
        <f>IF($T8=$BQ$3,INDEX('Tables - Part 2'!$BF$17:$BI$24,MATCH(Amine_Cracking!$W8,'Tables - Part 2'!$AV$6:$AV$13,0),MATCH(Amine_Cracking!$U8,'Tables - Part 2'!$AX$5:$BA$5,0)),0)</f>
        <v>0</v>
      </c>
      <c r="BR8" s="248">
        <f t="shared" si="5"/>
        <v>0</v>
      </c>
      <c r="BS8" s="238">
        <f t="shared" si="8"/>
        <v>3</v>
      </c>
      <c r="BT8" s="238">
        <f t="shared" si="9"/>
        <v>50.318647405225171</v>
      </c>
    </row>
    <row r="9" spans="2:85" x14ac:dyDescent="0.35">
      <c r="B9" s="161" t="str">
        <f>'Tratamento de Dados'!B17</f>
        <v>V-14</v>
      </c>
      <c r="C9" s="161" t="str">
        <f>'Tratamento de Dados'!D17</f>
        <v>Casco</v>
      </c>
      <c r="D9" s="209" t="s">
        <v>245</v>
      </c>
      <c r="E9" s="209" t="s">
        <v>245</v>
      </c>
      <c r="F9" s="209" t="s">
        <v>244</v>
      </c>
      <c r="G9" s="209" t="s">
        <v>244</v>
      </c>
      <c r="H9" s="209" t="s">
        <v>245</v>
      </c>
      <c r="I9" s="209">
        <v>100</v>
      </c>
      <c r="J9" s="209" t="s">
        <v>245</v>
      </c>
      <c r="K9" s="209" t="s">
        <v>245</v>
      </c>
      <c r="L9" s="209" t="s">
        <v>245</v>
      </c>
      <c r="M9" s="210">
        <v>39092</v>
      </c>
      <c r="N9" s="209">
        <v>0</v>
      </c>
      <c r="O9" s="209">
        <v>1</v>
      </c>
      <c r="P9" s="209">
        <v>1</v>
      </c>
      <c r="Q9" s="209">
        <v>4</v>
      </c>
      <c r="R9" s="253">
        <f>'Tratamento de Dados'!DA17</f>
        <v>0</v>
      </c>
      <c r="S9" s="253">
        <f>'Tratamento de Dados'!DB17</f>
        <v>0</v>
      </c>
      <c r="T9" s="256">
        <f t="shared" si="0"/>
        <v>2.5</v>
      </c>
      <c r="U9" s="246" t="str">
        <f t="shared" si="1"/>
        <v>B</v>
      </c>
      <c r="V9" s="238" t="str">
        <f t="shared" si="6"/>
        <v>High</v>
      </c>
      <c r="W9" s="238">
        <f>IF(AND(D9=$BY$2,E9&lt;&gt;$BY$2),"Fitness-For-Service",INDEX('Tables - Part 2'!$BL$4:$BL$7,MATCH(Amine_Cracking!V9,'Tables - Part 2'!$BK$4:$BK$7,0),))</f>
        <v>100</v>
      </c>
      <c r="X9" s="238">
        <f>IF(M9=0,(Thinning!G10-Thinning!F10)/365.25,(Thinning!G10-M9)/365.25)</f>
        <v>12.980150581793293</v>
      </c>
      <c r="Y9" s="248">
        <f t="shared" si="2"/>
        <v>0</v>
      </c>
      <c r="Z9" s="248">
        <f t="shared" si="3"/>
        <v>2.5</v>
      </c>
      <c r="AA9" s="247">
        <f t="shared" si="7"/>
        <v>3</v>
      </c>
      <c r="AB9" s="247">
        <f t="shared" si="4"/>
        <v>4</v>
      </c>
      <c r="AC9" s="248">
        <f>IF($T9=$AC$3,INDEX('Tables - Part 2'!$AX$6:$BA$13,MATCH(Amine_Cracking!W9,'Tables - Part 2'!$AV$6:$AV$13,0),MATCH(Amine_Cracking!U9,'Tables - Part 2'!$AX$5:$BA$5,0)),0)</f>
        <v>0</v>
      </c>
      <c r="AD9" s="248">
        <f>IF($T9=$AD$3,(INDEX('Tables - Part 2'!$AX$6:$BA$13,MATCH(Amine_Cracking!W9,'Tables - Part 2'!$AV$6:$AV$13,0),MATCH(Amine_Cracking!U9,'Tables - Part 2'!$AX$5:$BA$5,0))+(INDEX('Tables - Part 2'!$AX$6:$BA$13,MATCH(Amine_Cracking!W9,'Tables - Part 2'!$AV$6:$AV$13,0),MATCH(Amine_Cracking!U9,'Tables - Part 2'!$AX$5:$BA$5,0))+((INDEX('Tables - Part 2'!$AX$6:$BA$13,MATCH(Amine_Cracking!W9,'Tables - Part 2'!$AV$6:$AV$13,0),MATCH(Amine_Cracking!U9,'Tables - Part 2'!$AX$5:$BA$5,0))+INDEX('Tables - Part 2'!$BB$6:$BE$13,MATCH(Amine_Cracking!$W9,'Tables - Part 2'!$AV$6:$AV$13,0),MATCH(Amine_Cracking!$U9,'Tables - Part 2'!$AX$5:$BA$5,0)))/2))/2)/2,0)</f>
        <v>0</v>
      </c>
      <c r="AE9" s="248">
        <f>IF($T9=$AE$3,(INDEX('Tables - Part 2'!$AX$6:$BA$13,MATCH(Amine_Cracking!W9,'Tables - Part 2'!$AV$6:$AV$13,0),MATCH(Amine_Cracking!U9,'Tables - Part 2'!$AX$5:$BA$5,0))+((INDEX('Tables - Part 2'!$AX$6:$BA$13,MATCH(Amine_Cracking!W9,'Tables - Part 2'!$AV$6:$AV$13,0),MATCH(Amine_Cracking!U9,'Tables - Part 2'!$AX$5:$BA$5,0))+INDEX('Tables - Part 2'!$BB$6:$BE$13,MATCH(Amine_Cracking!$W9,'Tables - Part 2'!$AV$6:$AV$13,0),MATCH(Amine_Cracking!$U9,'Tables - Part 2'!$AX$5:$BA$5,0)))/2))/2,0)</f>
        <v>0</v>
      </c>
      <c r="AF9" s="248">
        <f>IF($T9=$AF$3,(((INDEX('Tables - Part 2'!$AX$6:$BA$13,MATCH(Amine_Cracking!W9,'Tables - Part 2'!$AV$6:$AV$13,0),MATCH(Amine_Cracking!U9,'Tables - Part 2'!$AX$5:$BA$5,0))+((INDEX('Tables - Part 2'!$AX$6:$BA$13,MATCH(Amine_Cracking!W9,'Tables - Part 2'!$AV$6:$AV$13,0),MATCH(Amine_Cracking!U9,'Tables - Part 2'!$AX$5:$BA$5,0))+INDEX('Tables - Part 2'!$BB$6:$BE$13,MATCH(Amine_Cracking!$W9,'Tables - Part 2'!$AV$6:$AV$13,0),MATCH(Amine_Cracking!$U9,'Tables - Part 2'!$AX$5:$BA$5,0)))/2))/2)+(INDEX('Tables - Part 2'!$AX$6:$BA$13,MATCH(Amine_Cracking!W9,'Tables - Part 2'!$AV$6:$AV$13,0),MATCH(Amine_Cracking!U9,'Tables - Part 2'!$AX$5:$BA$5,0))+INDEX('Tables - Part 2'!$BB$6:$BE$13,MATCH(Amine_Cracking!$W9,'Tables - Part 2'!$AV$6:$AV$13,0),MATCH(Amine_Cracking!$U9,'Tables - Part 2'!$AX$5:$BA$5,0)))/2)/2,0)</f>
        <v>0</v>
      </c>
      <c r="AG9" s="248">
        <f>IF($T9=$AG$3,(INDEX('Tables - Part 2'!$AX$6:$BA$13,MATCH(Amine_Cracking!W9,'Tables - Part 2'!$AV$6:$AV$13,0),MATCH(Amine_Cracking!U9,'Tables - Part 2'!$AX$5:$BA$5,0))+INDEX('Tables - Part 2'!$BB$6:$BE$13,MATCH(Amine_Cracking!$W9,'Tables - Part 2'!$AV$6:$AV$13,0),MATCH(Amine_Cracking!$U9,'Tables - Part 2'!$AX$5:$BA$5,0)))/2,0)</f>
        <v>0</v>
      </c>
      <c r="AH9" s="248">
        <f>IF($T9=$AH$3,(((INDEX('Tables - Part 2'!$AX$6:$BA$13,MATCH(Amine_Cracking!W9,'Tables - Part 2'!$AV$6:$AV$13,0),MATCH(Amine_Cracking!U9,'Tables - Part 2'!$AX$5:$BA$5,0))+INDEX('Tables - Part 2'!$BB$6:$BE$13,MATCH(Amine_Cracking!$W9,'Tables - Part 2'!$AV$6:$AV$13,0),MATCH(Amine_Cracking!$U9,'Tables - Part 2'!$AX$5:$BA$5,0)))/2)+(((INDEX('Tables - Part 2'!$AX$6:$BA$13,MATCH(Amine_Cracking!W9,'Tables - Part 2'!$AV$6:$AV$13,0),MATCH(Amine_Cracking!U9,'Tables - Part 2'!$AX$5:$BA$5,0))+INDEX('Tables - Part 2'!$BB$6:$BE$13,MATCH(Amine_Cracking!$W9,'Tables - Part 2'!$AV$6:$AV$13,0),MATCH(Amine_Cracking!$U9,'Tables - Part 2'!$AX$5:$BA$5,0)))/2)+INDEX('Tables - Part 2'!$BB$6:$BE$13,MATCH(Amine_Cracking!$W9,'Tables - Part 2'!$AV$6:$AV$13,0),MATCH(Amine_Cracking!$U9,'Tables - Part 2'!$AX$5:$BA$5,0)))/2)/2,0)</f>
        <v>0</v>
      </c>
      <c r="AI9" s="248">
        <f>IF($T9=$AI$3,(((INDEX('Tables - Part 2'!$AX$6:$BA$13,MATCH(Amine_Cracking!W9,'Tables - Part 2'!$AV$6:$AV$13,0),MATCH(Amine_Cracking!U9,'Tables - Part 2'!$AX$5:$BA$5,0))+INDEX('Tables - Part 2'!$BB$6:$BE$13,MATCH(Amine_Cracking!$W9,'Tables - Part 2'!$AV$6:$AV$13,0),MATCH(Amine_Cracking!$U9,'Tables - Part 2'!$AX$5:$BA$5,0)))/2)+INDEX('Tables - Part 2'!$BB$6:$BE$13,MATCH(Amine_Cracking!$W9,'Tables - Part 2'!$AV$6:$AV$13,0),MATCH(Amine_Cracking!$U9,'Tables - Part 2'!$AX$5:$BA$5,0)))/2,0)</f>
        <v>0</v>
      </c>
      <c r="AJ9" s="248">
        <f>IF($T9=$AJ$3,(((((INDEX('Tables - Part 2'!$AX$6:$BA$13,MATCH(Amine_Cracking!W9,'Tables - Part 2'!$AV$6:$AV$13,0),MATCH(Amine_Cracking!U9,'Tables - Part 2'!$AX$5:$BA$5,0))+INDEX('Tables - Part 2'!$BB$6:$BE$13,MATCH(Amine_Cracking!$W9,'Tables - Part 2'!$AV$6:$AV$13,0),MATCH(Amine_Cracking!$U9,'Tables - Part 2'!$AX$5:$BA$5,0)))/2)+INDEX('Tables - Part 2'!$BB$6:$BE$13,MATCH(Amine_Cracking!$W9,'Tables - Part 2'!$AV$6:$AV$13,0),MATCH(Amine_Cracking!$U9,'Tables - Part 2'!$AX$5:$BA$5,0)))/2)+INDEX('Tables - Part 2'!$BB$6:$BE$13,MATCH(Amine_Cracking!$W9,'Tables - Part 2'!$AV$6:$AV$13,0),MATCH(Amine_Cracking!$U9,'Tables - Part 2'!$AX$5:$BA$5,0)))/2,0)</f>
        <v>0</v>
      </c>
      <c r="AK9" s="248">
        <f>IF($T9=$AK$3,INDEX('Tables - Part 2'!$BB$6:$BE$13,MATCH(Amine_Cracking!$W9,'Tables - Part 2'!$AV$6:$AV$13,0),MATCH(Amine_Cracking!$U9,'Tables - Part 2'!$AX$5:$BA$5,0)),0)</f>
        <v>0</v>
      </c>
      <c r="AL9" s="248">
        <f>IF($T9=$AL$3,((INDEX('Tables - Part 2'!$BB$6:$BE$13,MATCH(Amine_Cracking!$W9,'Tables - Part 2'!$AV$6:$AV$13,0),MATCH(Amine_Cracking!$U9,'Tables - Part 2'!$AX$5:$BA$5,0)))+(INDEX('Tables - Part 2'!$BB$6:$BE$13,MATCH(Amine_Cracking!$W9,'Tables - Part 2'!$AV$6:$AV$13,0),MATCH(Amine_Cracking!$U9,'Tables - Part 2'!$AX$5:$BA$5,0))+(INDEX('Tables - Part 2'!$BB$6:$BE$13,MATCH(Amine_Cracking!$W9,'Tables - Part 2'!$AV$6:$AV$13,0),MATCH(Amine_Cracking!$U9,'Tables - Part 2'!$AX$5:$BA$5,0))+INDEX('Tables - Part 2'!$BF$6:$BI$13,MATCH(Amine_Cracking!$W9,'Tables - Part 2'!$AV$6:$AV$13,0),MATCH(Amine_Cracking!$U9,'Tables - Part 2'!$AX$5:$BA$5,0)))/2)/2)/2,0)</f>
        <v>0</v>
      </c>
      <c r="AM9" s="248">
        <f>IF($T9=$AM$3,(INDEX('Tables - Part 2'!$BB$6:$BE$13,MATCH(Amine_Cracking!$W9,'Tables - Part 2'!$AV$6:$AV$13,0),MATCH(Amine_Cracking!$U9,'Tables - Part 2'!$AX$5:$BA$5,0))+(INDEX('Tables - Part 2'!$BB$6:$BE$13,MATCH(Amine_Cracking!$W9,'Tables - Part 2'!$AV$6:$AV$13,0),MATCH(Amine_Cracking!$U9,'Tables - Part 2'!$AX$5:$BA$5,0))+INDEX('Tables - Part 2'!$BF$6:$BI$13,MATCH(Amine_Cracking!$W9,'Tables - Part 2'!$AV$6:$AV$13,0),MATCH(Amine_Cracking!$U9,'Tables - Part 2'!$AX$5:$BA$5,0)))/2)/2,0)</f>
        <v>0</v>
      </c>
      <c r="AN9" s="248">
        <f>IF($T9=$AN$3,(((INDEX('Tables - Part 2'!$BB$6:$BE$13,MATCH(Amine_Cracking!$W9,'Tables - Part 2'!$AV$6:$AV$13,0),MATCH(Amine_Cracking!$U9,'Tables - Part 2'!$AX$5:$BA$5,0))+(INDEX('Tables - Part 2'!$BB$6:$BE$13,MATCH(Amine_Cracking!$W9,'Tables - Part 2'!$AV$6:$AV$13,0),MATCH(Amine_Cracking!$U9,'Tables - Part 2'!$AX$5:$BA$5,0))+INDEX('Tables - Part 2'!$BF$6:$BI$13,MATCH(Amine_Cracking!$W9,'Tables - Part 2'!$AV$6:$AV$13,0),MATCH(Amine_Cracking!$U9,'Tables - Part 2'!$AX$5:$BA$5,0)))/2)/2)+((INDEX('Tables - Part 2'!$BB$6:$BE$13,MATCH(Amine_Cracking!$W9,'Tables - Part 2'!$AV$6:$AV$13,0),MATCH(Amine_Cracking!$U9,'Tables - Part 2'!$AX$5:$BA$5,0))+INDEX('Tables - Part 2'!$BF$6:$BI$13,MATCH(Amine_Cracking!$W9,'Tables - Part 2'!$AV$6:$AV$13,0),MATCH(Amine_Cracking!$U9,'Tables - Part 2'!$AX$5:$BA$5,0)))/2))/2,0)</f>
        <v>0</v>
      </c>
      <c r="AO9" s="248">
        <f>IF($T9=$AO$3,(INDEX('Tables - Part 2'!$BB$6:$BE$13,MATCH(Amine_Cracking!$W9,'Tables - Part 2'!$AV$6:$AV$13,0),MATCH(Amine_Cracking!$U9,'Tables - Part 2'!$AX$5:$BA$5,0))+INDEX('Tables - Part 2'!$BF$6:$BI$13,MATCH(Amine_Cracking!$W9,'Tables - Part 2'!$AV$6:$AV$13,0),MATCH(Amine_Cracking!$U9,'Tables - Part 2'!$AX$5:$BA$5,0)))/2,0)</f>
        <v>3</v>
      </c>
      <c r="AP9" s="248">
        <f>IF($T9=$AP$3,(((INDEX('Tables - Part 2'!$BB$6:$BE$13,MATCH(Amine_Cracking!$W9,'Tables - Part 2'!$AV$6:$AV$13,0),MATCH(Amine_Cracking!$U9,'Tables - Part 2'!$AX$5:$BA$5,0))+INDEX('Tables - Part 2'!$BF$6:$BI$13,MATCH(Amine_Cracking!$W9,'Tables - Part 2'!$AV$6:$AV$13,0),MATCH(Amine_Cracking!$U9,'Tables - Part 2'!$AX$5:$BA$5,0)))/2)+((((INDEX('Tables - Part 2'!$BB$6:$BE$13,MATCH(Amine_Cracking!$W9,'Tables - Part 2'!$AV$6:$AV$13,0),MATCH(Amine_Cracking!$U9,'Tables - Part 2'!$AX$5:$BA$5,0))+INDEX('Tables - Part 2'!$BF$6:$BI$13,MATCH(Amine_Cracking!$W9,'Tables - Part 2'!$AV$6:$AV$13,0),MATCH(Amine_Cracking!$U9,'Tables - Part 2'!$AX$5:$BA$5,0)))/2)+INDEX('Tables - Part 2'!$BF$6:$BI$13,MATCH(Amine_Cracking!$W9,'Tables - Part 2'!$AV$6:$AV$13,0),MATCH(Amine_Cracking!$U9,'Tables - Part 2'!$AX$5:$BA$5,0)))/2))/2,0)</f>
        <v>0</v>
      </c>
      <c r="AQ9" s="248">
        <f>IF($T9=$AQ$3,(((INDEX('Tables - Part 2'!$BB$6:$BE$13,MATCH(Amine_Cracking!$W9,'Tables - Part 2'!$AV$6:$AV$13,0),MATCH(Amine_Cracking!$U9,'Tables - Part 2'!$AX$5:$BA$5,0))+INDEX('Tables - Part 2'!$BF$6:$BI$13,MATCH(Amine_Cracking!$W9,'Tables - Part 2'!$AV$6:$AV$13,0),MATCH(Amine_Cracking!$U9,'Tables - Part 2'!$AX$5:$BA$5,0)))/2)+INDEX('Tables - Part 2'!$BF$6:$BI$13,MATCH(Amine_Cracking!$W9,'Tables - Part 2'!$AV$6:$AV$13,0),MATCH(Amine_Cracking!$U9,'Tables - Part 2'!$AX$5:$BA$5,0)))/2,0)</f>
        <v>0</v>
      </c>
      <c r="AR9" s="248">
        <f>IF($T9=$AR$3,(((((INDEX('Tables - Part 2'!$BB$6:$BE$13,MATCH(Amine_Cracking!$W9,'Tables - Part 2'!$AV$6:$AV$13,0),MATCH(Amine_Cracking!$U9,'Tables - Part 2'!$AX$5:$BA$5,0))+INDEX('Tables - Part 2'!$BF$6:$BI$13,MATCH(Amine_Cracking!$W9,'Tables - Part 2'!$AV$6:$AV$13,0),MATCH(Amine_Cracking!$U9,'Tables - Part 2'!$AX$5:$BA$5,0)))/2)+INDEX('Tables - Part 2'!$BF$6:$BI$13,MATCH(Amine_Cracking!$W9,'Tables - Part 2'!$AV$6:$AV$13,0),MATCH(Amine_Cracking!$U9,'Tables - Part 2'!$AX$5:$BA$5,0)))/2)+INDEX('Tables - Part 2'!$BF$6:$BI$13,MATCH(Amine_Cracking!$W9,'Tables - Part 2'!$AV$6:$AV$13,0),MATCH(Amine_Cracking!$U9,'Tables - Part 2'!$AX$5:$BA$5,0)))/2,0)</f>
        <v>0</v>
      </c>
      <c r="AS9" s="248">
        <f>IF($T9=$AS$3,INDEX('Tables - Part 2'!$BF$6:$BI$13,MATCH(Amine_Cracking!$W9,'Tables - Part 2'!$AV$6:$AV$13,0),MATCH(Amine_Cracking!$U9,'Tables - Part 2'!$AX$5:$BA$5,0)),0)</f>
        <v>0</v>
      </c>
      <c r="AT9" s="248">
        <f>IF($T9=$AT$3,(INDEX('Tables - Part 2'!$BF$6:$BI$13,MATCH(Amine_Cracking!$W9,'Tables - Part 2'!$AV$6:$AV$13,0),MATCH(Amine_Cracking!$U9,'Tables - Part 2'!$AX$5:$BA$5,0))+((INDEX('Tables - Part 2'!$BF$6:$BI$13,MATCH(Amine_Cracking!$W9,'Tables - Part 2'!$AV$6:$AV$13,0),MATCH(Amine_Cracking!$U9,'Tables - Part 2'!$AX$5:$BA$5,0))+(INDEX('Tables - Part 2'!$BF$6:$BI$13,MATCH(Amine_Cracking!$W9,'Tables - Part 2'!$AV$6:$AV$13,0),MATCH(Amine_Cracking!$U9,'Tables - Part 2'!$AX$5:$BA$5,0))+INDEX('Tables - Part 2'!$AX$17:$BA$24,MATCH(Amine_Cracking!$W9,'Tables - Part 2'!$AV$6:$AV$13,0),MATCH(Amine_Cracking!$U9,'Tables - Part 2'!$AX$5:$BA$5,0)))/2)/2))/2,0)</f>
        <v>0</v>
      </c>
      <c r="AU9" s="248">
        <f>IF($T9=$AU$3,(INDEX('Tables - Part 2'!$BF$6:$BI$13,MATCH(Amine_Cracking!$W9,'Tables - Part 2'!$AV$6:$AV$13,0),MATCH(Amine_Cracking!$U9,'Tables - Part 2'!$AX$5:$BA$5,0))+(INDEX('Tables - Part 2'!$BF$6:$BI$13,MATCH(Amine_Cracking!$W9,'Tables - Part 2'!$AV$6:$AV$13,0),MATCH(Amine_Cracking!$U9,'Tables - Part 2'!$AX$5:$BA$5,0))+INDEX('Tables - Part 2'!$AX$17:$BA$24,MATCH(Amine_Cracking!$W9,'Tables - Part 2'!$AV$6:$AV$13,0),MATCH(Amine_Cracking!$U9,'Tables - Part 2'!$AX$5:$BA$5,0)))/2)/2,0)</f>
        <v>0</v>
      </c>
      <c r="AV9" s="248">
        <f>IF($T9=$AV$3,(((INDEX('Tables - Part 2'!$BF$6:$BI$13,MATCH(Amine_Cracking!$W9,'Tables - Part 2'!$AV$6:$AV$13,0),MATCH(Amine_Cracking!$U9,'Tables - Part 2'!$AX$5:$BA$5,0))+(INDEX('Tables - Part 2'!$BF$6:$BI$13,MATCH(Amine_Cracking!$W9,'Tables - Part 2'!$AV$6:$AV$13,0),MATCH(Amine_Cracking!$U9,'Tables - Part 2'!$AX$5:$BA$5,0))+INDEX('Tables - Part 2'!$AX$17:$BA$24,MATCH(Amine_Cracking!$W9,'Tables - Part 2'!$AV$6:$AV$13,0),MATCH(Amine_Cracking!$U9,'Tables - Part 2'!$AX$5:$BA$5,0)))/2)/2)+((INDEX('Tables - Part 2'!$BF$6:$BI$13,MATCH(Amine_Cracking!$W9,'Tables - Part 2'!$AV$6:$AV$13,0),MATCH(Amine_Cracking!$U9,'Tables - Part 2'!$AX$5:$BA$5,0))+INDEX('Tables - Part 2'!$AX$17:$BA$24,MATCH(Amine_Cracking!$W9,'Tables - Part 2'!$AV$6:$AV$13,0),MATCH(Amine_Cracking!$U9,'Tables - Part 2'!$AX$5:$BA$5,0)))/2))/2,0)</f>
        <v>0</v>
      </c>
      <c r="AW9" s="248">
        <f>IF($T9=$AW$3,(INDEX('Tables - Part 2'!$BF$6:$BI$13,MATCH(Amine_Cracking!$W9,'Tables - Part 2'!$AV$6:$AV$13,0),MATCH(Amine_Cracking!$U9,'Tables - Part 2'!$AX$5:$BA$5,0))+INDEX('Tables - Part 2'!$AX$17:$BA$24,MATCH(Amine_Cracking!$W9,'Tables - Part 2'!$AV$6:$AV$13,0),MATCH(Amine_Cracking!$U9,'Tables - Part 2'!$AX$5:$BA$5,0)))/2,0)</f>
        <v>0</v>
      </c>
      <c r="AX9" s="248">
        <f>IF($T9=$AX$3,(((INDEX('Tables - Part 2'!$BF$6:$BI$13,MATCH(Amine_Cracking!$W9,'Tables - Part 2'!$AV$6:$AV$13,0),MATCH(Amine_Cracking!$U9,'Tables - Part 2'!$AX$5:$BA$5,0))+INDEX('Tables - Part 2'!$AX$17:$BA$24,MATCH(Amine_Cracking!$W9,'Tables - Part 2'!$AV$6:$AV$13,0),MATCH(Amine_Cracking!$U9,'Tables - Part 2'!$AX$5:$BA$5,0)))/2)+((((INDEX('Tables - Part 2'!$BF$6:$BI$13,MATCH(Amine_Cracking!$W9,'Tables - Part 2'!$AV$6:$AV$13,0),MATCH(Amine_Cracking!$U9,'Tables - Part 2'!$AX$5:$BA$5,0))+INDEX('Tables - Part 2'!$AX$17:$BA$24,MATCH(Amine_Cracking!$W9,'Tables - Part 2'!$AV$6:$AV$13,0),MATCH(Amine_Cracking!$U9,'Tables - Part 2'!$AX$5:$BA$5,0)))/2)+INDEX('Tables - Part 2'!$AX$17:$BA$24,MATCH(Amine_Cracking!$W9,'Tables - Part 2'!$AV$6:$AV$13,0),MATCH(Amine_Cracking!$U9,'Tables - Part 2'!$AX$5:$BA$5,0)))/2))/2,0)</f>
        <v>0</v>
      </c>
      <c r="AY9" s="248">
        <f>IF($T9=$AY$3,(((INDEX('Tables - Part 2'!$BF$6:$BI$13,MATCH(Amine_Cracking!$W9,'Tables - Part 2'!$AV$6:$AV$13,0),MATCH(Amine_Cracking!$U9,'Tables - Part 2'!$AX$5:$BA$5,0))+INDEX('Tables - Part 2'!$AX$17:$BA$24,MATCH(Amine_Cracking!$W9,'Tables - Part 2'!$AV$6:$AV$13,0),MATCH(Amine_Cracking!$U9,'Tables - Part 2'!$AX$5:$BA$5,0)))/2)+INDEX('Tables - Part 2'!$AX$17:$BA$24,MATCH(Amine_Cracking!$W9,'Tables - Part 2'!$AV$6:$AV$13,0),MATCH(Amine_Cracking!$U9,'Tables - Part 2'!$AX$5:$BA$5,0)))/2,0)</f>
        <v>0</v>
      </c>
      <c r="AZ9" s="248">
        <f>IF($T9=$AZ$3,(((((INDEX('Tables - Part 2'!$BF$6:$BI$13,MATCH(Amine_Cracking!$W9,'Tables - Part 2'!$AV$6:$AV$13,0),MATCH(Amine_Cracking!$U9,'Tables - Part 2'!$AX$5:$BA$5,0))+INDEX('Tables - Part 2'!$AX$17:$BA$24,MATCH(Amine_Cracking!$W9,'Tables - Part 2'!$AV$6:$AV$13,0),MATCH(Amine_Cracking!$U9,'Tables - Part 2'!$AX$5:$BA$5,0)))/2)+INDEX('Tables - Part 2'!$AX$17:$BA$24,MATCH(Amine_Cracking!$W9,'Tables - Part 2'!$AV$6:$AV$13,0),MATCH(Amine_Cracking!$U9,'Tables - Part 2'!$AX$5:$BA$5,0)))/2)+(INDEX('Tables - Part 2'!$AX$17:$BA$24,MATCH(Amine_Cracking!$W9,'Tables - Part 2'!$AV$6:$AV$13,0),MATCH(Amine_Cracking!$U9,'Tables - Part 2'!$AX$5:$BA$5,0))))/2,0)</f>
        <v>0</v>
      </c>
      <c r="BA9" s="248">
        <f>IF($T9=$BA$3,INDEX('Tables - Part 2'!$AX$17:$BA$24,MATCH(Amine_Cracking!$W9,'Tables - Part 2'!$AV$6:$AV$13,0),MATCH(Amine_Cracking!$U9,'Tables - Part 2'!$AX$5:$BA$5,0)),0)</f>
        <v>0</v>
      </c>
      <c r="BB9" s="248">
        <f>IF($T9=$BB$3,((INDEX('Tables - Part 2'!$AX$17:$BA$24,MATCH(Amine_Cracking!$W9,'Tables - Part 2'!$AV$6:$AV$13,0),MATCH(Amine_Cracking!$U9,'Tables - Part 2'!$AX$5:$BA$5,0)))+(((INDEX('Tables - Part 2'!$AX$17:$BA$24,MATCH(Amine_Cracking!$W9,'Tables - Part 2'!$AV$6:$AV$13,0),MATCH(Amine_Cracking!$U9,'Tables - Part 2'!$AX$5:$BA$5,0)))+(INDEX('Tables - Part 2'!$AX$17:$BA$24,MATCH(Amine_Cracking!$W9,'Tables - Part 2'!$AV$6:$AV$13,0),MATCH(Amine_Cracking!$U9,'Tables - Part 2'!$AX$5:$BA$5,0))+INDEX('Tables - Part 2'!$BB$17:$BE$24,MATCH(Amine_Cracking!$W9,'Tables - Part 2'!$AV$6:$AV$13,0),MATCH(Amine_Cracking!$U9,'Tables - Part 2'!$AX$5:$BA$5,0)))/2)/2))/2,0)</f>
        <v>0</v>
      </c>
      <c r="BC9" s="248">
        <f>IF($T9=$BC$3,((INDEX('Tables - Part 2'!$AX$17:$BA$24,MATCH(Amine_Cracking!$W9,'Tables - Part 2'!$AV$6:$AV$13,0),MATCH(Amine_Cracking!$U9,'Tables - Part 2'!$AX$5:$BA$5,0)))+(INDEX('Tables - Part 2'!$AX$17:$BA$24,MATCH(Amine_Cracking!$W9,'Tables - Part 2'!$AV$6:$AV$13,0),MATCH(Amine_Cracking!$U9,'Tables - Part 2'!$AX$5:$BA$5,0))+INDEX('Tables - Part 2'!$BB$17:$BE$24,MATCH(Amine_Cracking!$W9,'Tables - Part 2'!$AV$6:$AV$13,0),MATCH(Amine_Cracking!$U9,'Tables - Part 2'!$AX$5:$BA$5,0)))/2)/2,0)</f>
        <v>0</v>
      </c>
      <c r="BD9" s="248">
        <f>IF($T9=$BD$3,((((INDEX('Tables - Part 2'!$AX$17:$BA$24,MATCH(Amine_Cracking!$W9,'Tables - Part 2'!$AV$6:$AV$13,0),MATCH(Amine_Cracking!$U9,'Tables - Part 2'!$AX$5:$BA$5,0)))+(INDEX('Tables - Part 2'!$AX$17:$BA$24,MATCH(Amine_Cracking!$W9,'Tables - Part 2'!$AV$6:$AV$13,0),MATCH(Amine_Cracking!$U9,'Tables - Part 2'!$AX$5:$BA$5,0))+INDEX('Tables - Part 2'!$BB$17:$BE$24,MATCH(Amine_Cracking!$W9,'Tables - Part 2'!$AV$6:$AV$13,0),MATCH(Amine_Cracking!$U9,'Tables - Part 2'!$AX$5:$BA$5,0)))/2)/2)+((INDEX('Tables - Part 2'!$AX$17:$BA$24,MATCH(Amine_Cracking!$W9,'Tables - Part 2'!$AV$6:$AV$13,0),MATCH(Amine_Cracking!$U9,'Tables - Part 2'!$AX$5:$BA$5,0))+INDEX('Tables - Part 2'!$BB$17:$BE$24,MATCH(Amine_Cracking!$W9,'Tables - Part 2'!$AV$6:$AV$13,0),MATCH(Amine_Cracking!$U9,'Tables - Part 2'!$AX$5:$BA$5,0)))/2))/2,0)</f>
        <v>0</v>
      </c>
      <c r="BE9" s="248">
        <f>IF($T9=$BE$3,(INDEX('Tables - Part 2'!$AX$17:$BA$24,MATCH(Amine_Cracking!$W9,'Tables - Part 2'!$AV$6:$AV$13,0),MATCH(Amine_Cracking!$U9,'Tables - Part 2'!$AX$5:$BA$5,0))+INDEX('Tables - Part 2'!$BB$17:$BE$24,MATCH(Amine_Cracking!$W9,'Tables - Part 2'!$AV$6:$AV$13,0),MATCH(Amine_Cracking!$U9,'Tables - Part 2'!$AX$5:$BA$5,0)))/2,0)</f>
        <v>0</v>
      </c>
      <c r="BF9" s="248">
        <f>IF($T9=$BF$3,(((INDEX('Tables - Part 2'!$AX$17:$BA$24,MATCH(Amine_Cracking!$W9,'Tables - Part 2'!$AV$6:$AV$13,0),MATCH(Amine_Cracking!$U9,'Tables - Part 2'!$AX$5:$BA$5,0))+INDEX('Tables - Part 2'!$BB$17:$BE$24,MATCH(Amine_Cracking!$W9,'Tables - Part 2'!$AV$6:$AV$13,0),MATCH(Amine_Cracking!$U9,'Tables - Part 2'!$AX$5:$BA$5,0)))/2)+((((INDEX('Tables - Part 2'!$AX$17:$BA$24,MATCH(Amine_Cracking!$W9,'Tables - Part 2'!$AV$6:$AV$13,0),MATCH(Amine_Cracking!$U9,'Tables - Part 2'!$AX$5:$BA$5,0))+INDEX('Tables - Part 2'!$BB$17:$BE$24,MATCH(Amine_Cracking!$W9,'Tables - Part 2'!$AV$6:$AV$13,0),MATCH(Amine_Cracking!$U9,'Tables - Part 2'!$AX$5:$BA$5,0)))/2)+INDEX('Tables - Part 2'!$BB$17:$BE$24,MATCH(Amine_Cracking!$W9,'Tables - Part 2'!$AV$6:$AV$13,0),MATCH(Amine_Cracking!$U9,'Tables - Part 2'!$AX$5:$BA$5,0)))/2))/2,0)</f>
        <v>0</v>
      </c>
      <c r="BG9" s="248">
        <f>IF($T9=$BG$3,(((INDEX('Tables - Part 2'!$AX$17:$BA$24,MATCH(Amine_Cracking!$W9,'Tables - Part 2'!$AV$6:$AV$13,0),MATCH(Amine_Cracking!$U9,'Tables - Part 2'!$AX$5:$BA$5,0))+INDEX('Tables - Part 2'!$BB$17:$BE$24,MATCH(Amine_Cracking!$W9,'Tables - Part 2'!$AV$6:$AV$13,0),MATCH(Amine_Cracking!$U9,'Tables - Part 2'!$AX$5:$BA$5,0)))/2)+INDEX('Tables - Part 2'!$BB$17:$BE$24,MATCH(Amine_Cracking!$W9,'Tables - Part 2'!$AV$6:$AV$13,0),MATCH(Amine_Cracking!$U9,'Tables - Part 2'!$AX$5:$BA$5,0)))/2,0)</f>
        <v>0</v>
      </c>
      <c r="BH9" s="248">
        <f>IF($T9=$BH$3,(((((INDEX('Tables - Part 2'!$AX$17:$BA$24,MATCH(Amine_Cracking!$W9,'Tables - Part 2'!$AV$6:$AV$13,0),MATCH(Amine_Cracking!$U9,'Tables - Part 2'!$AX$5:$BA$5,0))+INDEX('Tables - Part 2'!$BB$17:$BE$24,MATCH(Amine_Cracking!$W9,'Tables - Part 2'!$AV$6:$AV$13,0),MATCH(Amine_Cracking!$U9,'Tables - Part 2'!$AX$5:$BA$5,0)))/2)+INDEX('Tables - Part 2'!$BB$17:$BE$24,MATCH(Amine_Cracking!$W9,'Tables - Part 2'!$AV$6:$AV$13,0),MATCH(Amine_Cracking!$U9,'Tables - Part 2'!$AX$5:$BA$5,0)))/2)+(INDEX('Tables - Part 2'!$BB$17:$BE$24,MATCH(Amine_Cracking!$W9,'Tables - Part 2'!$AV$6:$AV$13,0),MATCH(Amine_Cracking!$U9,'Tables - Part 2'!$AX$5:$BA$5,0))))/2,0)</f>
        <v>0</v>
      </c>
      <c r="BI9" s="248">
        <f>IF($T9=$BI$3,INDEX('Tables - Part 2'!$BB$17:$BE$24,MATCH(Amine_Cracking!$W9,'Tables - Part 2'!$AV$6:$AV$13,0),MATCH(Amine_Cracking!$U9,'Tables - Part 2'!$AX$5:$BA$5,0)),0)</f>
        <v>0</v>
      </c>
      <c r="BJ9" s="248">
        <f>IF($T9=$BJ$3,((INDEX('Tables - Part 2'!$BB$17:$BE$24,MATCH(Amine_Cracking!$W9,'Tables - Part 2'!$AV$6:$AV$13,0),MATCH(Amine_Cracking!$U9,'Tables - Part 2'!$AX$5:$BA$5,0)))+(((INDEX('Tables - Part 2'!$BB$17:$BE$24,MATCH(Amine_Cracking!$W9,'Tables - Part 2'!$AV$6:$AV$13,0),MATCH(Amine_Cracking!$U9,'Tables - Part 2'!$AX$5:$BA$5,0)))+(INDEX('Tables - Part 2'!$BB$17:$BE$24,MATCH(Amine_Cracking!$W9,'Tables - Part 2'!$AV$6:$AV$13,0),MATCH(Amine_Cracking!$U9,'Tables - Part 2'!$AX$5:$BA$5,0))+INDEX('Tables - Part 2'!$BF$17:$BI$24,MATCH(Amine_Cracking!$W9,'Tables - Part 2'!$AV$6:$AV$13,0),MATCH(Amine_Cracking!$U9,'Tables - Part 2'!$AX$5:$BA$5,0)))/2)/2))/2,0)</f>
        <v>0</v>
      </c>
      <c r="BK9" s="248">
        <f>IF($T9=$BK$3,((INDEX('Tables - Part 2'!$BB$17:$BE$24,MATCH(Amine_Cracking!$W9,'Tables - Part 2'!$AV$6:$AV$13,0),MATCH(Amine_Cracking!$U9,'Tables - Part 2'!$AX$5:$BA$5,0)))+(INDEX('Tables - Part 2'!$BB$17:$BE$24,MATCH(Amine_Cracking!$W9,'Tables - Part 2'!$AV$6:$AV$13,0),MATCH(Amine_Cracking!$U9,'Tables - Part 2'!$AX$5:$BA$5,0))+INDEX('Tables - Part 2'!$BF$17:$BI$24,MATCH(Amine_Cracking!$W9,'Tables - Part 2'!$AV$6:$AV$13,0),MATCH(Amine_Cracking!$U9,'Tables - Part 2'!$AX$5:$BA$5,0)))/2)/2,0)</f>
        <v>0</v>
      </c>
      <c r="BL9" s="248">
        <f>IF($T9=$BL$3,((((INDEX('Tables - Part 2'!$BB$17:$BE$24,MATCH(Amine_Cracking!$W9,'Tables - Part 2'!$AV$6:$AV$13,0),MATCH(Amine_Cracking!$U9,'Tables - Part 2'!$AX$5:$BA$5,0)))+(INDEX('Tables - Part 2'!$BB$17:$BE$24,MATCH(Amine_Cracking!$W9,'Tables - Part 2'!$AV$6:$AV$13,0),MATCH(Amine_Cracking!$U9,'Tables - Part 2'!$AX$5:$BA$5,0))+INDEX('Tables - Part 2'!$BF$17:$BI$24,MATCH(Amine_Cracking!$W9,'Tables - Part 2'!$AV$6:$AV$13,0),MATCH(Amine_Cracking!$U9,'Tables - Part 2'!$AX$5:$BA$5,0)))/2)/2)+((INDEX('Tables - Part 2'!$BB$17:$BE$24,MATCH(Amine_Cracking!$W9,'Tables - Part 2'!$AV$6:$AV$13,0),MATCH(Amine_Cracking!$U9,'Tables - Part 2'!$AX$5:$BA$5,0))+INDEX('Tables - Part 2'!$BF$17:$BI$24,MATCH(Amine_Cracking!$W9,'Tables - Part 2'!$AV$6:$AV$13,0),MATCH(Amine_Cracking!$U9,'Tables - Part 2'!$AX$5:$BA$5,0)))/2))/2,0)</f>
        <v>0</v>
      </c>
      <c r="BM9" s="248">
        <f>IF($T9=$BM$3,(INDEX('Tables - Part 2'!$BB$17:$BE$24,MATCH(Amine_Cracking!$W9,'Tables - Part 2'!$AV$6:$AV$13,0),MATCH(Amine_Cracking!$U9,'Tables - Part 2'!$AX$5:$BA$5,0))+INDEX('Tables - Part 2'!$BF$17:$BI$24,MATCH(Amine_Cracking!$W9,'Tables - Part 2'!$AV$6:$AV$13,0),MATCH(Amine_Cracking!$U9,'Tables - Part 2'!$AX$5:$BA$5,0)))/2,0)</f>
        <v>0</v>
      </c>
      <c r="BN9" s="248">
        <f>IF($T9=$BN$3,(((INDEX('Tables - Part 2'!$BB$17:$BE$24,MATCH(Amine_Cracking!$W9,'Tables - Part 2'!$AV$6:$AV$13,0),MATCH(Amine_Cracking!$U9,'Tables - Part 2'!$AX$5:$BA$5,0))+INDEX('Tables - Part 2'!$BF$17:$BI$24,MATCH(Amine_Cracking!$W9,'Tables - Part 2'!$AV$6:$AV$13,0),MATCH(Amine_Cracking!$U9,'Tables - Part 2'!$AX$5:$BA$5,0)))/2)+((((INDEX('Tables - Part 2'!$BB$17:$BE$24,MATCH(Amine_Cracking!$W9,'Tables - Part 2'!$AV$6:$AV$13,0),MATCH(Amine_Cracking!$U9,'Tables - Part 2'!$AX$5:$BA$5,0))+INDEX('Tables - Part 2'!$BF$17:$BI$24,MATCH(Amine_Cracking!$W9,'Tables - Part 2'!$AV$6:$AV$13,0),MATCH(Amine_Cracking!$U9,'Tables - Part 2'!$AX$5:$BA$5,0)))/2)+INDEX('Tables - Part 2'!$BF$17:$BI$24,MATCH(Amine_Cracking!$W9,'Tables - Part 2'!$AV$6:$AV$13,0),MATCH(Amine_Cracking!$U9,'Tables - Part 2'!$AX$5:$BA$5,0)))/2))/2,0)</f>
        <v>0</v>
      </c>
      <c r="BO9" s="248">
        <f>IF($T9=$BO$3,(((INDEX('Tables - Part 2'!$BB$17:$BE$24,MATCH(Amine_Cracking!$W9,'Tables - Part 2'!$AV$6:$AV$13,0),MATCH(Amine_Cracking!$U9,'Tables - Part 2'!$AX$5:$BA$5,0))+INDEX('Tables - Part 2'!$BF$17:$BI$24,MATCH(Amine_Cracking!$W9,'Tables - Part 2'!$AV$6:$AV$13,0),MATCH(Amine_Cracking!$U9,'Tables - Part 2'!$AX$5:$BA$5,0)))/2)+INDEX('Tables - Part 2'!$BF$17:$BI$24,MATCH(Amine_Cracking!$W9,'Tables - Part 2'!$AV$6:$AV$13,0),MATCH(Amine_Cracking!$U9,'Tables - Part 2'!$AX$5:$BA$5,0)))/2,0)</f>
        <v>0</v>
      </c>
      <c r="BP9" s="248">
        <f>IF($T9=$BP$3,(((((INDEX('Tables - Part 2'!$BB$17:$BE$24,MATCH(Amine_Cracking!$W9,'Tables - Part 2'!$AV$6:$AV$13,0),MATCH(Amine_Cracking!$U9,'Tables - Part 2'!$AX$5:$BA$5,0))+INDEX('Tables - Part 2'!$BF$17:$BI$24,MATCH(Amine_Cracking!$W9,'Tables - Part 2'!$AV$6:$AV$13,0),MATCH(Amine_Cracking!$U9,'Tables - Part 2'!$AX$5:$BA$5,0)))/2)+INDEX('Tables - Part 2'!$BF$17:$BI$24,MATCH(Amine_Cracking!$W9,'Tables - Part 2'!$AV$6:$AV$13,0),MATCH(Amine_Cracking!$U9,'Tables - Part 2'!$AX$5:$BA$5,0)))/2)+(INDEX('Tables - Part 2'!$BF$17:$BI$24,MATCH(Amine_Cracking!$W9,'Tables - Part 2'!$AV$6:$AV$13,0),MATCH(Amine_Cracking!$U9,'Tables - Part 2'!$AX$5:$BA$5,0))))/2,0)</f>
        <v>0</v>
      </c>
      <c r="BQ9" s="248">
        <f>IF($T9=$BQ$3,INDEX('Tables - Part 2'!$BF$17:$BI$24,MATCH(Amine_Cracking!$W9,'Tables - Part 2'!$AV$6:$AV$13,0),MATCH(Amine_Cracking!$U9,'Tables - Part 2'!$AX$5:$BA$5,0)),0)</f>
        <v>0</v>
      </c>
      <c r="BR9" s="248">
        <f t="shared" si="5"/>
        <v>0</v>
      </c>
      <c r="BS9" s="238">
        <f t="shared" si="8"/>
        <v>3</v>
      </c>
      <c r="BT9" s="238">
        <f t="shared" si="9"/>
        <v>50.318647405225171</v>
      </c>
    </row>
    <row r="10" spans="2:85" x14ac:dyDescent="0.35">
      <c r="B10" s="161" t="str">
        <f>'Tratamento de Dados'!B18</f>
        <v>V-1</v>
      </c>
      <c r="C10" s="161" t="str">
        <f>'Tratamento de Dados'!D18</f>
        <v>Casco</v>
      </c>
      <c r="D10" s="209" t="s">
        <v>245</v>
      </c>
      <c r="E10" s="209" t="s">
        <v>245</v>
      </c>
      <c r="F10" s="209" t="s">
        <v>244</v>
      </c>
      <c r="G10" s="209" t="s">
        <v>244</v>
      </c>
      <c r="H10" s="209" t="s">
        <v>245</v>
      </c>
      <c r="I10" s="209">
        <v>100</v>
      </c>
      <c r="J10" s="209" t="s">
        <v>245</v>
      </c>
      <c r="K10" s="209" t="s">
        <v>245</v>
      </c>
      <c r="L10" s="209" t="s">
        <v>245</v>
      </c>
      <c r="M10" s="210">
        <v>39092</v>
      </c>
      <c r="N10" s="209">
        <v>0</v>
      </c>
      <c r="O10" s="209">
        <v>1</v>
      </c>
      <c r="P10" s="209">
        <v>1</v>
      </c>
      <c r="Q10" s="209">
        <v>4</v>
      </c>
      <c r="R10" s="253">
        <f>'Tratamento de Dados'!DA18</f>
        <v>0</v>
      </c>
      <c r="S10" s="253">
        <f>'Tratamento de Dados'!DB18</f>
        <v>0</v>
      </c>
      <c r="T10" s="256">
        <f t="shared" si="0"/>
        <v>2.5</v>
      </c>
      <c r="U10" s="246" t="str">
        <f t="shared" si="1"/>
        <v>B</v>
      </c>
      <c r="V10" s="238" t="str">
        <f t="shared" si="6"/>
        <v>High</v>
      </c>
      <c r="W10" s="238">
        <f>IF(AND(D10=$BY$2,E10&lt;&gt;$BY$2),"Fitness-For-Service",INDEX('Tables - Part 2'!$BL$4:$BL$7,MATCH(Amine_Cracking!V10,'Tables - Part 2'!$BK$4:$BK$7,0),))</f>
        <v>100</v>
      </c>
      <c r="X10" s="238">
        <f>IF(M10=0,(Thinning!G11-Thinning!F11)/365.25,(Thinning!G11-M10)/365.25)</f>
        <v>12.980150581793293</v>
      </c>
      <c r="Y10" s="248">
        <f t="shared" si="2"/>
        <v>0</v>
      </c>
      <c r="Z10" s="248">
        <f t="shared" si="3"/>
        <v>2.5</v>
      </c>
      <c r="AA10" s="247">
        <f t="shared" si="7"/>
        <v>3</v>
      </c>
      <c r="AB10" s="247">
        <f t="shared" si="4"/>
        <v>4</v>
      </c>
      <c r="AC10" s="248">
        <f>IF($T10=$AC$3,INDEX('Tables - Part 2'!$AX$6:$BA$13,MATCH(Amine_Cracking!W10,'Tables - Part 2'!$AV$6:$AV$13,0),MATCH(Amine_Cracking!U10,'Tables - Part 2'!$AX$5:$BA$5,0)),0)</f>
        <v>0</v>
      </c>
      <c r="AD10" s="248">
        <f>IF($T10=$AD$3,(INDEX('Tables - Part 2'!$AX$6:$BA$13,MATCH(Amine_Cracking!W10,'Tables - Part 2'!$AV$6:$AV$13,0),MATCH(Amine_Cracking!U10,'Tables - Part 2'!$AX$5:$BA$5,0))+(INDEX('Tables - Part 2'!$AX$6:$BA$13,MATCH(Amine_Cracking!W10,'Tables - Part 2'!$AV$6:$AV$13,0),MATCH(Amine_Cracking!U10,'Tables - Part 2'!$AX$5:$BA$5,0))+((INDEX('Tables - Part 2'!$AX$6:$BA$13,MATCH(Amine_Cracking!W10,'Tables - Part 2'!$AV$6:$AV$13,0),MATCH(Amine_Cracking!U10,'Tables - Part 2'!$AX$5:$BA$5,0))+INDEX('Tables - Part 2'!$BB$6:$BE$13,MATCH(Amine_Cracking!$W10,'Tables - Part 2'!$AV$6:$AV$13,0),MATCH(Amine_Cracking!$U10,'Tables - Part 2'!$AX$5:$BA$5,0)))/2))/2)/2,0)</f>
        <v>0</v>
      </c>
      <c r="AE10" s="248">
        <f>IF($T10=$AE$3,(INDEX('Tables - Part 2'!$AX$6:$BA$13,MATCH(Amine_Cracking!W10,'Tables - Part 2'!$AV$6:$AV$13,0),MATCH(Amine_Cracking!U10,'Tables - Part 2'!$AX$5:$BA$5,0))+((INDEX('Tables - Part 2'!$AX$6:$BA$13,MATCH(Amine_Cracking!W10,'Tables - Part 2'!$AV$6:$AV$13,0),MATCH(Amine_Cracking!U10,'Tables - Part 2'!$AX$5:$BA$5,0))+INDEX('Tables - Part 2'!$BB$6:$BE$13,MATCH(Amine_Cracking!$W10,'Tables - Part 2'!$AV$6:$AV$13,0),MATCH(Amine_Cracking!$U10,'Tables - Part 2'!$AX$5:$BA$5,0)))/2))/2,0)</f>
        <v>0</v>
      </c>
      <c r="AF10" s="248">
        <f>IF($T10=$AF$3,(((INDEX('Tables - Part 2'!$AX$6:$BA$13,MATCH(Amine_Cracking!W10,'Tables - Part 2'!$AV$6:$AV$13,0),MATCH(Amine_Cracking!U10,'Tables - Part 2'!$AX$5:$BA$5,0))+((INDEX('Tables - Part 2'!$AX$6:$BA$13,MATCH(Amine_Cracking!W10,'Tables - Part 2'!$AV$6:$AV$13,0),MATCH(Amine_Cracking!U10,'Tables - Part 2'!$AX$5:$BA$5,0))+INDEX('Tables - Part 2'!$BB$6:$BE$13,MATCH(Amine_Cracking!$W10,'Tables - Part 2'!$AV$6:$AV$13,0),MATCH(Amine_Cracking!$U10,'Tables - Part 2'!$AX$5:$BA$5,0)))/2))/2)+(INDEX('Tables - Part 2'!$AX$6:$BA$13,MATCH(Amine_Cracking!W10,'Tables - Part 2'!$AV$6:$AV$13,0),MATCH(Amine_Cracking!U10,'Tables - Part 2'!$AX$5:$BA$5,0))+INDEX('Tables - Part 2'!$BB$6:$BE$13,MATCH(Amine_Cracking!$W10,'Tables - Part 2'!$AV$6:$AV$13,0),MATCH(Amine_Cracking!$U10,'Tables - Part 2'!$AX$5:$BA$5,0)))/2)/2,0)</f>
        <v>0</v>
      </c>
      <c r="AG10" s="248">
        <f>IF($T10=$AG$3,(INDEX('Tables - Part 2'!$AX$6:$BA$13,MATCH(Amine_Cracking!W10,'Tables - Part 2'!$AV$6:$AV$13,0),MATCH(Amine_Cracking!U10,'Tables - Part 2'!$AX$5:$BA$5,0))+INDEX('Tables - Part 2'!$BB$6:$BE$13,MATCH(Amine_Cracking!$W10,'Tables - Part 2'!$AV$6:$AV$13,0),MATCH(Amine_Cracking!$U10,'Tables - Part 2'!$AX$5:$BA$5,0)))/2,0)</f>
        <v>0</v>
      </c>
      <c r="AH10" s="248">
        <f>IF($T10=$AH$3,(((INDEX('Tables - Part 2'!$AX$6:$BA$13,MATCH(Amine_Cracking!W10,'Tables - Part 2'!$AV$6:$AV$13,0),MATCH(Amine_Cracking!U10,'Tables - Part 2'!$AX$5:$BA$5,0))+INDEX('Tables - Part 2'!$BB$6:$BE$13,MATCH(Amine_Cracking!$W10,'Tables - Part 2'!$AV$6:$AV$13,0),MATCH(Amine_Cracking!$U10,'Tables - Part 2'!$AX$5:$BA$5,0)))/2)+(((INDEX('Tables - Part 2'!$AX$6:$BA$13,MATCH(Amine_Cracking!W10,'Tables - Part 2'!$AV$6:$AV$13,0),MATCH(Amine_Cracking!U10,'Tables - Part 2'!$AX$5:$BA$5,0))+INDEX('Tables - Part 2'!$BB$6:$BE$13,MATCH(Amine_Cracking!$W10,'Tables - Part 2'!$AV$6:$AV$13,0),MATCH(Amine_Cracking!$U10,'Tables - Part 2'!$AX$5:$BA$5,0)))/2)+INDEX('Tables - Part 2'!$BB$6:$BE$13,MATCH(Amine_Cracking!$W10,'Tables - Part 2'!$AV$6:$AV$13,0),MATCH(Amine_Cracking!$U10,'Tables - Part 2'!$AX$5:$BA$5,0)))/2)/2,0)</f>
        <v>0</v>
      </c>
      <c r="AI10" s="248">
        <f>IF($T10=$AI$3,(((INDEX('Tables - Part 2'!$AX$6:$BA$13,MATCH(Amine_Cracking!W10,'Tables - Part 2'!$AV$6:$AV$13,0),MATCH(Amine_Cracking!U10,'Tables - Part 2'!$AX$5:$BA$5,0))+INDEX('Tables - Part 2'!$BB$6:$BE$13,MATCH(Amine_Cracking!$W10,'Tables - Part 2'!$AV$6:$AV$13,0),MATCH(Amine_Cracking!$U10,'Tables - Part 2'!$AX$5:$BA$5,0)))/2)+INDEX('Tables - Part 2'!$BB$6:$BE$13,MATCH(Amine_Cracking!$W10,'Tables - Part 2'!$AV$6:$AV$13,0),MATCH(Amine_Cracking!$U10,'Tables - Part 2'!$AX$5:$BA$5,0)))/2,0)</f>
        <v>0</v>
      </c>
      <c r="AJ10" s="248">
        <f>IF($T10=$AJ$3,(((((INDEX('Tables - Part 2'!$AX$6:$BA$13,MATCH(Amine_Cracking!W10,'Tables - Part 2'!$AV$6:$AV$13,0),MATCH(Amine_Cracking!U10,'Tables - Part 2'!$AX$5:$BA$5,0))+INDEX('Tables - Part 2'!$BB$6:$BE$13,MATCH(Amine_Cracking!$W10,'Tables - Part 2'!$AV$6:$AV$13,0),MATCH(Amine_Cracking!$U10,'Tables - Part 2'!$AX$5:$BA$5,0)))/2)+INDEX('Tables - Part 2'!$BB$6:$BE$13,MATCH(Amine_Cracking!$W10,'Tables - Part 2'!$AV$6:$AV$13,0),MATCH(Amine_Cracking!$U10,'Tables - Part 2'!$AX$5:$BA$5,0)))/2)+INDEX('Tables - Part 2'!$BB$6:$BE$13,MATCH(Amine_Cracking!$W10,'Tables - Part 2'!$AV$6:$AV$13,0),MATCH(Amine_Cracking!$U10,'Tables - Part 2'!$AX$5:$BA$5,0)))/2,0)</f>
        <v>0</v>
      </c>
      <c r="AK10" s="248">
        <f>IF($T10=$AK$3,INDEX('Tables - Part 2'!$BB$6:$BE$13,MATCH(Amine_Cracking!$W10,'Tables - Part 2'!$AV$6:$AV$13,0),MATCH(Amine_Cracking!$U10,'Tables - Part 2'!$AX$5:$BA$5,0)),0)</f>
        <v>0</v>
      </c>
      <c r="AL10" s="248">
        <f>IF($T10=$AL$3,((INDEX('Tables - Part 2'!$BB$6:$BE$13,MATCH(Amine_Cracking!$W10,'Tables - Part 2'!$AV$6:$AV$13,0),MATCH(Amine_Cracking!$U10,'Tables - Part 2'!$AX$5:$BA$5,0)))+(INDEX('Tables - Part 2'!$BB$6:$BE$13,MATCH(Amine_Cracking!$W10,'Tables - Part 2'!$AV$6:$AV$13,0),MATCH(Amine_Cracking!$U10,'Tables - Part 2'!$AX$5:$BA$5,0))+(INDEX('Tables - Part 2'!$BB$6:$BE$13,MATCH(Amine_Cracking!$W10,'Tables - Part 2'!$AV$6:$AV$13,0),MATCH(Amine_Cracking!$U10,'Tables - Part 2'!$AX$5:$BA$5,0))+INDEX('Tables - Part 2'!$BF$6:$BI$13,MATCH(Amine_Cracking!$W10,'Tables - Part 2'!$AV$6:$AV$13,0),MATCH(Amine_Cracking!$U10,'Tables - Part 2'!$AX$5:$BA$5,0)))/2)/2)/2,0)</f>
        <v>0</v>
      </c>
      <c r="AM10" s="248">
        <f>IF($T10=$AM$3,(INDEX('Tables - Part 2'!$BB$6:$BE$13,MATCH(Amine_Cracking!$W10,'Tables - Part 2'!$AV$6:$AV$13,0),MATCH(Amine_Cracking!$U10,'Tables - Part 2'!$AX$5:$BA$5,0))+(INDEX('Tables - Part 2'!$BB$6:$BE$13,MATCH(Amine_Cracking!$W10,'Tables - Part 2'!$AV$6:$AV$13,0),MATCH(Amine_Cracking!$U10,'Tables - Part 2'!$AX$5:$BA$5,0))+INDEX('Tables - Part 2'!$BF$6:$BI$13,MATCH(Amine_Cracking!$W10,'Tables - Part 2'!$AV$6:$AV$13,0),MATCH(Amine_Cracking!$U10,'Tables - Part 2'!$AX$5:$BA$5,0)))/2)/2,0)</f>
        <v>0</v>
      </c>
      <c r="AN10" s="248">
        <f>IF($T10=$AN$3,(((INDEX('Tables - Part 2'!$BB$6:$BE$13,MATCH(Amine_Cracking!$W10,'Tables - Part 2'!$AV$6:$AV$13,0),MATCH(Amine_Cracking!$U10,'Tables - Part 2'!$AX$5:$BA$5,0))+(INDEX('Tables - Part 2'!$BB$6:$BE$13,MATCH(Amine_Cracking!$W10,'Tables - Part 2'!$AV$6:$AV$13,0),MATCH(Amine_Cracking!$U10,'Tables - Part 2'!$AX$5:$BA$5,0))+INDEX('Tables - Part 2'!$BF$6:$BI$13,MATCH(Amine_Cracking!$W10,'Tables - Part 2'!$AV$6:$AV$13,0),MATCH(Amine_Cracking!$U10,'Tables - Part 2'!$AX$5:$BA$5,0)))/2)/2)+((INDEX('Tables - Part 2'!$BB$6:$BE$13,MATCH(Amine_Cracking!$W10,'Tables - Part 2'!$AV$6:$AV$13,0),MATCH(Amine_Cracking!$U10,'Tables - Part 2'!$AX$5:$BA$5,0))+INDEX('Tables - Part 2'!$BF$6:$BI$13,MATCH(Amine_Cracking!$W10,'Tables - Part 2'!$AV$6:$AV$13,0),MATCH(Amine_Cracking!$U10,'Tables - Part 2'!$AX$5:$BA$5,0)))/2))/2,0)</f>
        <v>0</v>
      </c>
      <c r="AO10" s="248">
        <f>IF($T10=$AO$3,(INDEX('Tables - Part 2'!$BB$6:$BE$13,MATCH(Amine_Cracking!$W10,'Tables - Part 2'!$AV$6:$AV$13,0),MATCH(Amine_Cracking!$U10,'Tables - Part 2'!$AX$5:$BA$5,0))+INDEX('Tables - Part 2'!$BF$6:$BI$13,MATCH(Amine_Cracking!$W10,'Tables - Part 2'!$AV$6:$AV$13,0),MATCH(Amine_Cracking!$U10,'Tables - Part 2'!$AX$5:$BA$5,0)))/2,0)</f>
        <v>3</v>
      </c>
      <c r="AP10" s="248">
        <f>IF($T10=$AP$3,(((INDEX('Tables - Part 2'!$BB$6:$BE$13,MATCH(Amine_Cracking!$W10,'Tables - Part 2'!$AV$6:$AV$13,0),MATCH(Amine_Cracking!$U10,'Tables - Part 2'!$AX$5:$BA$5,0))+INDEX('Tables - Part 2'!$BF$6:$BI$13,MATCH(Amine_Cracking!$W10,'Tables - Part 2'!$AV$6:$AV$13,0),MATCH(Amine_Cracking!$U10,'Tables - Part 2'!$AX$5:$BA$5,0)))/2)+((((INDEX('Tables - Part 2'!$BB$6:$BE$13,MATCH(Amine_Cracking!$W10,'Tables - Part 2'!$AV$6:$AV$13,0),MATCH(Amine_Cracking!$U10,'Tables - Part 2'!$AX$5:$BA$5,0))+INDEX('Tables - Part 2'!$BF$6:$BI$13,MATCH(Amine_Cracking!$W10,'Tables - Part 2'!$AV$6:$AV$13,0),MATCH(Amine_Cracking!$U10,'Tables - Part 2'!$AX$5:$BA$5,0)))/2)+INDEX('Tables - Part 2'!$BF$6:$BI$13,MATCH(Amine_Cracking!$W10,'Tables - Part 2'!$AV$6:$AV$13,0),MATCH(Amine_Cracking!$U10,'Tables - Part 2'!$AX$5:$BA$5,0)))/2))/2,0)</f>
        <v>0</v>
      </c>
      <c r="AQ10" s="248">
        <f>IF($T10=$AQ$3,(((INDEX('Tables - Part 2'!$BB$6:$BE$13,MATCH(Amine_Cracking!$W10,'Tables - Part 2'!$AV$6:$AV$13,0),MATCH(Amine_Cracking!$U10,'Tables - Part 2'!$AX$5:$BA$5,0))+INDEX('Tables - Part 2'!$BF$6:$BI$13,MATCH(Amine_Cracking!$W10,'Tables - Part 2'!$AV$6:$AV$13,0),MATCH(Amine_Cracking!$U10,'Tables - Part 2'!$AX$5:$BA$5,0)))/2)+INDEX('Tables - Part 2'!$BF$6:$BI$13,MATCH(Amine_Cracking!$W10,'Tables - Part 2'!$AV$6:$AV$13,0),MATCH(Amine_Cracking!$U10,'Tables - Part 2'!$AX$5:$BA$5,0)))/2,0)</f>
        <v>0</v>
      </c>
      <c r="AR10" s="248">
        <f>IF($T10=$AR$3,(((((INDEX('Tables - Part 2'!$BB$6:$BE$13,MATCH(Amine_Cracking!$W10,'Tables - Part 2'!$AV$6:$AV$13,0),MATCH(Amine_Cracking!$U10,'Tables - Part 2'!$AX$5:$BA$5,0))+INDEX('Tables - Part 2'!$BF$6:$BI$13,MATCH(Amine_Cracking!$W10,'Tables - Part 2'!$AV$6:$AV$13,0),MATCH(Amine_Cracking!$U10,'Tables - Part 2'!$AX$5:$BA$5,0)))/2)+INDEX('Tables - Part 2'!$BF$6:$BI$13,MATCH(Amine_Cracking!$W10,'Tables - Part 2'!$AV$6:$AV$13,0),MATCH(Amine_Cracking!$U10,'Tables - Part 2'!$AX$5:$BA$5,0)))/2)+INDEX('Tables - Part 2'!$BF$6:$BI$13,MATCH(Amine_Cracking!$W10,'Tables - Part 2'!$AV$6:$AV$13,0),MATCH(Amine_Cracking!$U10,'Tables - Part 2'!$AX$5:$BA$5,0)))/2,0)</f>
        <v>0</v>
      </c>
      <c r="AS10" s="248">
        <f>IF($T10=$AS$3,INDEX('Tables - Part 2'!$BF$6:$BI$13,MATCH(Amine_Cracking!$W10,'Tables - Part 2'!$AV$6:$AV$13,0),MATCH(Amine_Cracking!$U10,'Tables - Part 2'!$AX$5:$BA$5,0)),0)</f>
        <v>0</v>
      </c>
      <c r="AT10" s="248">
        <f>IF($T10=$AT$3,(INDEX('Tables - Part 2'!$BF$6:$BI$13,MATCH(Amine_Cracking!$W10,'Tables - Part 2'!$AV$6:$AV$13,0),MATCH(Amine_Cracking!$U10,'Tables - Part 2'!$AX$5:$BA$5,0))+((INDEX('Tables - Part 2'!$BF$6:$BI$13,MATCH(Amine_Cracking!$W10,'Tables - Part 2'!$AV$6:$AV$13,0),MATCH(Amine_Cracking!$U10,'Tables - Part 2'!$AX$5:$BA$5,0))+(INDEX('Tables - Part 2'!$BF$6:$BI$13,MATCH(Amine_Cracking!$W10,'Tables - Part 2'!$AV$6:$AV$13,0),MATCH(Amine_Cracking!$U10,'Tables - Part 2'!$AX$5:$BA$5,0))+INDEX('Tables - Part 2'!$AX$17:$BA$24,MATCH(Amine_Cracking!$W10,'Tables - Part 2'!$AV$6:$AV$13,0),MATCH(Amine_Cracking!$U10,'Tables - Part 2'!$AX$5:$BA$5,0)))/2)/2))/2,0)</f>
        <v>0</v>
      </c>
      <c r="AU10" s="248">
        <f>IF($T10=$AU$3,(INDEX('Tables - Part 2'!$BF$6:$BI$13,MATCH(Amine_Cracking!$W10,'Tables - Part 2'!$AV$6:$AV$13,0),MATCH(Amine_Cracking!$U10,'Tables - Part 2'!$AX$5:$BA$5,0))+(INDEX('Tables - Part 2'!$BF$6:$BI$13,MATCH(Amine_Cracking!$W10,'Tables - Part 2'!$AV$6:$AV$13,0),MATCH(Amine_Cracking!$U10,'Tables - Part 2'!$AX$5:$BA$5,0))+INDEX('Tables - Part 2'!$AX$17:$BA$24,MATCH(Amine_Cracking!$W10,'Tables - Part 2'!$AV$6:$AV$13,0),MATCH(Amine_Cracking!$U10,'Tables - Part 2'!$AX$5:$BA$5,0)))/2)/2,0)</f>
        <v>0</v>
      </c>
      <c r="AV10" s="248">
        <f>IF($T10=$AV$3,(((INDEX('Tables - Part 2'!$BF$6:$BI$13,MATCH(Amine_Cracking!$W10,'Tables - Part 2'!$AV$6:$AV$13,0),MATCH(Amine_Cracking!$U10,'Tables - Part 2'!$AX$5:$BA$5,0))+(INDEX('Tables - Part 2'!$BF$6:$BI$13,MATCH(Amine_Cracking!$W10,'Tables - Part 2'!$AV$6:$AV$13,0),MATCH(Amine_Cracking!$U10,'Tables - Part 2'!$AX$5:$BA$5,0))+INDEX('Tables - Part 2'!$AX$17:$BA$24,MATCH(Amine_Cracking!$W10,'Tables - Part 2'!$AV$6:$AV$13,0),MATCH(Amine_Cracking!$U10,'Tables - Part 2'!$AX$5:$BA$5,0)))/2)/2)+((INDEX('Tables - Part 2'!$BF$6:$BI$13,MATCH(Amine_Cracking!$W10,'Tables - Part 2'!$AV$6:$AV$13,0),MATCH(Amine_Cracking!$U10,'Tables - Part 2'!$AX$5:$BA$5,0))+INDEX('Tables - Part 2'!$AX$17:$BA$24,MATCH(Amine_Cracking!$W10,'Tables - Part 2'!$AV$6:$AV$13,0),MATCH(Amine_Cracking!$U10,'Tables - Part 2'!$AX$5:$BA$5,0)))/2))/2,0)</f>
        <v>0</v>
      </c>
      <c r="AW10" s="248">
        <f>IF($T10=$AW$3,(INDEX('Tables - Part 2'!$BF$6:$BI$13,MATCH(Amine_Cracking!$W10,'Tables - Part 2'!$AV$6:$AV$13,0),MATCH(Amine_Cracking!$U10,'Tables - Part 2'!$AX$5:$BA$5,0))+INDEX('Tables - Part 2'!$AX$17:$BA$24,MATCH(Amine_Cracking!$W10,'Tables - Part 2'!$AV$6:$AV$13,0),MATCH(Amine_Cracking!$U10,'Tables - Part 2'!$AX$5:$BA$5,0)))/2,0)</f>
        <v>0</v>
      </c>
      <c r="AX10" s="248">
        <f>IF($T10=$AX$3,(((INDEX('Tables - Part 2'!$BF$6:$BI$13,MATCH(Amine_Cracking!$W10,'Tables - Part 2'!$AV$6:$AV$13,0),MATCH(Amine_Cracking!$U10,'Tables - Part 2'!$AX$5:$BA$5,0))+INDEX('Tables - Part 2'!$AX$17:$BA$24,MATCH(Amine_Cracking!$W10,'Tables - Part 2'!$AV$6:$AV$13,0),MATCH(Amine_Cracking!$U10,'Tables - Part 2'!$AX$5:$BA$5,0)))/2)+((((INDEX('Tables - Part 2'!$BF$6:$BI$13,MATCH(Amine_Cracking!$W10,'Tables - Part 2'!$AV$6:$AV$13,0),MATCH(Amine_Cracking!$U10,'Tables - Part 2'!$AX$5:$BA$5,0))+INDEX('Tables - Part 2'!$AX$17:$BA$24,MATCH(Amine_Cracking!$W10,'Tables - Part 2'!$AV$6:$AV$13,0),MATCH(Amine_Cracking!$U10,'Tables - Part 2'!$AX$5:$BA$5,0)))/2)+INDEX('Tables - Part 2'!$AX$17:$BA$24,MATCH(Amine_Cracking!$W10,'Tables - Part 2'!$AV$6:$AV$13,0),MATCH(Amine_Cracking!$U10,'Tables - Part 2'!$AX$5:$BA$5,0)))/2))/2,0)</f>
        <v>0</v>
      </c>
      <c r="AY10" s="248">
        <f>IF($T10=$AY$3,(((INDEX('Tables - Part 2'!$BF$6:$BI$13,MATCH(Amine_Cracking!$W10,'Tables - Part 2'!$AV$6:$AV$13,0),MATCH(Amine_Cracking!$U10,'Tables - Part 2'!$AX$5:$BA$5,0))+INDEX('Tables - Part 2'!$AX$17:$BA$24,MATCH(Amine_Cracking!$W10,'Tables - Part 2'!$AV$6:$AV$13,0),MATCH(Amine_Cracking!$U10,'Tables - Part 2'!$AX$5:$BA$5,0)))/2)+INDEX('Tables - Part 2'!$AX$17:$BA$24,MATCH(Amine_Cracking!$W10,'Tables - Part 2'!$AV$6:$AV$13,0),MATCH(Amine_Cracking!$U10,'Tables - Part 2'!$AX$5:$BA$5,0)))/2,0)</f>
        <v>0</v>
      </c>
      <c r="AZ10" s="248">
        <f>IF($T10=$AZ$3,(((((INDEX('Tables - Part 2'!$BF$6:$BI$13,MATCH(Amine_Cracking!$W10,'Tables - Part 2'!$AV$6:$AV$13,0),MATCH(Amine_Cracking!$U10,'Tables - Part 2'!$AX$5:$BA$5,0))+INDEX('Tables - Part 2'!$AX$17:$BA$24,MATCH(Amine_Cracking!$W10,'Tables - Part 2'!$AV$6:$AV$13,0),MATCH(Amine_Cracking!$U10,'Tables - Part 2'!$AX$5:$BA$5,0)))/2)+INDEX('Tables - Part 2'!$AX$17:$BA$24,MATCH(Amine_Cracking!$W10,'Tables - Part 2'!$AV$6:$AV$13,0),MATCH(Amine_Cracking!$U10,'Tables - Part 2'!$AX$5:$BA$5,0)))/2)+(INDEX('Tables - Part 2'!$AX$17:$BA$24,MATCH(Amine_Cracking!$W10,'Tables - Part 2'!$AV$6:$AV$13,0),MATCH(Amine_Cracking!$U10,'Tables - Part 2'!$AX$5:$BA$5,0))))/2,0)</f>
        <v>0</v>
      </c>
      <c r="BA10" s="248">
        <f>IF($T10=$BA$3,INDEX('Tables - Part 2'!$AX$17:$BA$24,MATCH(Amine_Cracking!$W10,'Tables - Part 2'!$AV$6:$AV$13,0),MATCH(Amine_Cracking!$U10,'Tables - Part 2'!$AX$5:$BA$5,0)),0)</f>
        <v>0</v>
      </c>
      <c r="BB10" s="248">
        <f>IF($T10=$BB$3,((INDEX('Tables - Part 2'!$AX$17:$BA$24,MATCH(Amine_Cracking!$W10,'Tables - Part 2'!$AV$6:$AV$13,0),MATCH(Amine_Cracking!$U10,'Tables - Part 2'!$AX$5:$BA$5,0)))+(((INDEX('Tables - Part 2'!$AX$17:$BA$24,MATCH(Amine_Cracking!$W10,'Tables - Part 2'!$AV$6:$AV$13,0),MATCH(Amine_Cracking!$U10,'Tables - Part 2'!$AX$5:$BA$5,0)))+(INDEX('Tables - Part 2'!$AX$17:$BA$24,MATCH(Amine_Cracking!$W10,'Tables - Part 2'!$AV$6:$AV$13,0),MATCH(Amine_Cracking!$U10,'Tables - Part 2'!$AX$5:$BA$5,0))+INDEX('Tables - Part 2'!$BB$17:$BE$24,MATCH(Amine_Cracking!$W10,'Tables - Part 2'!$AV$6:$AV$13,0),MATCH(Amine_Cracking!$U10,'Tables - Part 2'!$AX$5:$BA$5,0)))/2)/2))/2,0)</f>
        <v>0</v>
      </c>
      <c r="BC10" s="248">
        <f>IF($T10=$BC$3,((INDEX('Tables - Part 2'!$AX$17:$BA$24,MATCH(Amine_Cracking!$W10,'Tables - Part 2'!$AV$6:$AV$13,0),MATCH(Amine_Cracking!$U10,'Tables - Part 2'!$AX$5:$BA$5,0)))+(INDEX('Tables - Part 2'!$AX$17:$BA$24,MATCH(Amine_Cracking!$W10,'Tables - Part 2'!$AV$6:$AV$13,0),MATCH(Amine_Cracking!$U10,'Tables - Part 2'!$AX$5:$BA$5,0))+INDEX('Tables - Part 2'!$BB$17:$BE$24,MATCH(Amine_Cracking!$W10,'Tables - Part 2'!$AV$6:$AV$13,0),MATCH(Amine_Cracking!$U10,'Tables - Part 2'!$AX$5:$BA$5,0)))/2)/2,0)</f>
        <v>0</v>
      </c>
      <c r="BD10" s="248">
        <f>IF($T10=$BD$3,((((INDEX('Tables - Part 2'!$AX$17:$BA$24,MATCH(Amine_Cracking!$W10,'Tables - Part 2'!$AV$6:$AV$13,0),MATCH(Amine_Cracking!$U10,'Tables - Part 2'!$AX$5:$BA$5,0)))+(INDEX('Tables - Part 2'!$AX$17:$BA$24,MATCH(Amine_Cracking!$W10,'Tables - Part 2'!$AV$6:$AV$13,0),MATCH(Amine_Cracking!$U10,'Tables - Part 2'!$AX$5:$BA$5,0))+INDEX('Tables - Part 2'!$BB$17:$BE$24,MATCH(Amine_Cracking!$W10,'Tables - Part 2'!$AV$6:$AV$13,0),MATCH(Amine_Cracking!$U10,'Tables - Part 2'!$AX$5:$BA$5,0)))/2)/2)+((INDEX('Tables - Part 2'!$AX$17:$BA$24,MATCH(Amine_Cracking!$W10,'Tables - Part 2'!$AV$6:$AV$13,0),MATCH(Amine_Cracking!$U10,'Tables - Part 2'!$AX$5:$BA$5,0))+INDEX('Tables - Part 2'!$BB$17:$BE$24,MATCH(Amine_Cracking!$W10,'Tables - Part 2'!$AV$6:$AV$13,0),MATCH(Amine_Cracking!$U10,'Tables - Part 2'!$AX$5:$BA$5,0)))/2))/2,0)</f>
        <v>0</v>
      </c>
      <c r="BE10" s="248">
        <f>IF($T10=$BE$3,(INDEX('Tables - Part 2'!$AX$17:$BA$24,MATCH(Amine_Cracking!$W10,'Tables - Part 2'!$AV$6:$AV$13,0),MATCH(Amine_Cracking!$U10,'Tables - Part 2'!$AX$5:$BA$5,0))+INDEX('Tables - Part 2'!$BB$17:$BE$24,MATCH(Amine_Cracking!$W10,'Tables - Part 2'!$AV$6:$AV$13,0),MATCH(Amine_Cracking!$U10,'Tables - Part 2'!$AX$5:$BA$5,0)))/2,0)</f>
        <v>0</v>
      </c>
      <c r="BF10" s="248">
        <f>IF($T10=$BF$3,(((INDEX('Tables - Part 2'!$AX$17:$BA$24,MATCH(Amine_Cracking!$W10,'Tables - Part 2'!$AV$6:$AV$13,0),MATCH(Amine_Cracking!$U10,'Tables - Part 2'!$AX$5:$BA$5,0))+INDEX('Tables - Part 2'!$BB$17:$BE$24,MATCH(Amine_Cracking!$W10,'Tables - Part 2'!$AV$6:$AV$13,0),MATCH(Amine_Cracking!$U10,'Tables - Part 2'!$AX$5:$BA$5,0)))/2)+((((INDEX('Tables - Part 2'!$AX$17:$BA$24,MATCH(Amine_Cracking!$W10,'Tables - Part 2'!$AV$6:$AV$13,0),MATCH(Amine_Cracking!$U10,'Tables - Part 2'!$AX$5:$BA$5,0))+INDEX('Tables - Part 2'!$BB$17:$BE$24,MATCH(Amine_Cracking!$W10,'Tables - Part 2'!$AV$6:$AV$13,0),MATCH(Amine_Cracking!$U10,'Tables - Part 2'!$AX$5:$BA$5,0)))/2)+INDEX('Tables - Part 2'!$BB$17:$BE$24,MATCH(Amine_Cracking!$W10,'Tables - Part 2'!$AV$6:$AV$13,0),MATCH(Amine_Cracking!$U10,'Tables - Part 2'!$AX$5:$BA$5,0)))/2))/2,0)</f>
        <v>0</v>
      </c>
      <c r="BG10" s="248">
        <f>IF($T10=$BG$3,(((INDEX('Tables - Part 2'!$AX$17:$BA$24,MATCH(Amine_Cracking!$W10,'Tables - Part 2'!$AV$6:$AV$13,0),MATCH(Amine_Cracking!$U10,'Tables - Part 2'!$AX$5:$BA$5,0))+INDEX('Tables - Part 2'!$BB$17:$BE$24,MATCH(Amine_Cracking!$W10,'Tables - Part 2'!$AV$6:$AV$13,0),MATCH(Amine_Cracking!$U10,'Tables - Part 2'!$AX$5:$BA$5,0)))/2)+INDEX('Tables - Part 2'!$BB$17:$BE$24,MATCH(Amine_Cracking!$W10,'Tables - Part 2'!$AV$6:$AV$13,0),MATCH(Amine_Cracking!$U10,'Tables - Part 2'!$AX$5:$BA$5,0)))/2,0)</f>
        <v>0</v>
      </c>
      <c r="BH10" s="248">
        <f>IF($T10=$BH$3,(((((INDEX('Tables - Part 2'!$AX$17:$BA$24,MATCH(Amine_Cracking!$W10,'Tables - Part 2'!$AV$6:$AV$13,0),MATCH(Amine_Cracking!$U10,'Tables - Part 2'!$AX$5:$BA$5,0))+INDEX('Tables - Part 2'!$BB$17:$BE$24,MATCH(Amine_Cracking!$W10,'Tables - Part 2'!$AV$6:$AV$13,0),MATCH(Amine_Cracking!$U10,'Tables - Part 2'!$AX$5:$BA$5,0)))/2)+INDEX('Tables - Part 2'!$BB$17:$BE$24,MATCH(Amine_Cracking!$W10,'Tables - Part 2'!$AV$6:$AV$13,0),MATCH(Amine_Cracking!$U10,'Tables - Part 2'!$AX$5:$BA$5,0)))/2)+(INDEX('Tables - Part 2'!$BB$17:$BE$24,MATCH(Amine_Cracking!$W10,'Tables - Part 2'!$AV$6:$AV$13,0),MATCH(Amine_Cracking!$U10,'Tables - Part 2'!$AX$5:$BA$5,0))))/2,0)</f>
        <v>0</v>
      </c>
      <c r="BI10" s="248">
        <f>IF($T10=$BI$3,INDEX('Tables - Part 2'!$BB$17:$BE$24,MATCH(Amine_Cracking!$W10,'Tables - Part 2'!$AV$6:$AV$13,0),MATCH(Amine_Cracking!$U10,'Tables - Part 2'!$AX$5:$BA$5,0)),0)</f>
        <v>0</v>
      </c>
      <c r="BJ10" s="248">
        <f>IF($T10=$BJ$3,((INDEX('Tables - Part 2'!$BB$17:$BE$24,MATCH(Amine_Cracking!$W10,'Tables - Part 2'!$AV$6:$AV$13,0),MATCH(Amine_Cracking!$U10,'Tables - Part 2'!$AX$5:$BA$5,0)))+(((INDEX('Tables - Part 2'!$BB$17:$BE$24,MATCH(Amine_Cracking!$W10,'Tables - Part 2'!$AV$6:$AV$13,0),MATCH(Amine_Cracking!$U10,'Tables - Part 2'!$AX$5:$BA$5,0)))+(INDEX('Tables - Part 2'!$BB$17:$BE$24,MATCH(Amine_Cracking!$W10,'Tables - Part 2'!$AV$6:$AV$13,0),MATCH(Amine_Cracking!$U10,'Tables - Part 2'!$AX$5:$BA$5,0))+INDEX('Tables - Part 2'!$BF$17:$BI$24,MATCH(Amine_Cracking!$W10,'Tables - Part 2'!$AV$6:$AV$13,0),MATCH(Amine_Cracking!$U10,'Tables - Part 2'!$AX$5:$BA$5,0)))/2)/2))/2,0)</f>
        <v>0</v>
      </c>
      <c r="BK10" s="248">
        <f>IF($T10=$BK$3,((INDEX('Tables - Part 2'!$BB$17:$BE$24,MATCH(Amine_Cracking!$W10,'Tables - Part 2'!$AV$6:$AV$13,0),MATCH(Amine_Cracking!$U10,'Tables - Part 2'!$AX$5:$BA$5,0)))+(INDEX('Tables - Part 2'!$BB$17:$BE$24,MATCH(Amine_Cracking!$W10,'Tables - Part 2'!$AV$6:$AV$13,0),MATCH(Amine_Cracking!$U10,'Tables - Part 2'!$AX$5:$BA$5,0))+INDEX('Tables - Part 2'!$BF$17:$BI$24,MATCH(Amine_Cracking!$W10,'Tables - Part 2'!$AV$6:$AV$13,0),MATCH(Amine_Cracking!$U10,'Tables - Part 2'!$AX$5:$BA$5,0)))/2)/2,0)</f>
        <v>0</v>
      </c>
      <c r="BL10" s="248">
        <f>IF($T10=$BL$3,((((INDEX('Tables - Part 2'!$BB$17:$BE$24,MATCH(Amine_Cracking!$W10,'Tables - Part 2'!$AV$6:$AV$13,0),MATCH(Amine_Cracking!$U10,'Tables - Part 2'!$AX$5:$BA$5,0)))+(INDEX('Tables - Part 2'!$BB$17:$BE$24,MATCH(Amine_Cracking!$W10,'Tables - Part 2'!$AV$6:$AV$13,0),MATCH(Amine_Cracking!$U10,'Tables - Part 2'!$AX$5:$BA$5,0))+INDEX('Tables - Part 2'!$BF$17:$BI$24,MATCH(Amine_Cracking!$W10,'Tables - Part 2'!$AV$6:$AV$13,0),MATCH(Amine_Cracking!$U10,'Tables - Part 2'!$AX$5:$BA$5,0)))/2)/2)+((INDEX('Tables - Part 2'!$BB$17:$BE$24,MATCH(Amine_Cracking!$W10,'Tables - Part 2'!$AV$6:$AV$13,0),MATCH(Amine_Cracking!$U10,'Tables - Part 2'!$AX$5:$BA$5,0))+INDEX('Tables - Part 2'!$BF$17:$BI$24,MATCH(Amine_Cracking!$W10,'Tables - Part 2'!$AV$6:$AV$13,0),MATCH(Amine_Cracking!$U10,'Tables - Part 2'!$AX$5:$BA$5,0)))/2))/2,0)</f>
        <v>0</v>
      </c>
      <c r="BM10" s="248">
        <f>IF($T10=$BM$3,(INDEX('Tables - Part 2'!$BB$17:$BE$24,MATCH(Amine_Cracking!$W10,'Tables - Part 2'!$AV$6:$AV$13,0),MATCH(Amine_Cracking!$U10,'Tables - Part 2'!$AX$5:$BA$5,0))+INDEX('Tables - Part 2'!$BF$17:$BI$24,MATCH(Amine_Cracking!$W10,'Tables - Part 2'!$AV$6:$AV$13,0),MATCH(Amine_Cracking!$U10,'Tables - Part 2'!$AX$5:$BA$5,0)))/2,0)</f>
        <v>0</v>
      </c>
      <c r="BN10" s="248">
        <f>IF($T10=$BN$3,(((INDEX('Tables - Part 2'!$BB$17:$BE$24,MATCH(Amine_Cracking!$W10,'Tables - Part 2'!$AV$6:$AV$13,0),MATCH(Amine_Cracking!$U10,'Tables - Part 2'!$AX$5:$BA$5,0))+INDEX('Tables - Part 2'!$BF$17:$BI$24,MATCH(Amine_Cracking!$W10,'Tables - Part 2'!$AV$6:$AV$13,0),MATCH(Amine_Cracking!$U10,'Tables - Part 2'!$AX$5:$BA$5,0)))/2)+((((INDEX('Tables - Part 2'!$BB$17:$BE$24,MATCH(Amine_Cracking!$W10,'Tables - Part 2'!$AV$6:$AV$13,0),MATCH(Amine_Cracking!$U10,'Tables - Part 2'!$AX$5:$BA$5,0))+INDEX('Tables - Part 2'!$BF$17:$BI$24,MATCH(Amine_Cracking!$W10,'Tables - Part 2'!$AV$6:$AV$13,0),MATCH(Amine_Cracking!$U10,'Tables - Part 2'!$AX$5:$BA$5,0)))/2)+INDEX('Tables - Part 2'!$BF$17:$BI$24,MATCH(Amine_Cracking!$W10,'Tables - Part 2'!$AV$6:$AV$13,0),MATCH(Amine_Cracking!$U10,'Tables - Part 2'!$AX$5:$BA$5,0)))/2))/2,0)</f>
        <v>0</v>
      </c>
      <c r="BO10" s="248">
        <f>IF($T10=$BO$3,(((INDEX('Tables - Part 2'!$BB$17:$BE$24,MATCH(Amine_Cracking!$W10,'Tables - Part 2'!$AV$6:$AV$13,0),MATCH(Amine_Cracking!$U10,'Tables - Part 2'!$AX$5:$BA$5,0))+INDEX('Tables - Part 2'!$BF$17:$BI$24,MATCH(Amine_Cracking!$W10,'Tables - Part 2'!$AV$6:$AV$13,0),MATCH(Amine_Cracking!$U10,'Tables - Part 2'!$AX$5:$BA$5,0)))/2)+INDEX('Tables - Part 2'!$BF$17:$BI$24,MATCH(Amine_Cracking!$W10,'Tables - Part 2'!$AV$6:$AV$13,0),MATCH(Amine_Cracking!$U10,'Tables - Part 2'!$AX$5:$BA$5,0)))/2,0)</f>
        <v>0</v>
      </c>
      <c r="BP10" s="248">
        <f>IF($T10=$BP$3,(((((INDEX('Tables - Part 2'!$BB$17:$BE$24,MATCH(Amine_Cracking!$W10,'Tables - Part 2'!$AV$6:$AV$13,0),MATCH(Amine_Cracking!$U10,'Tables - Part 2'!$AX$5:$BA$5,0))+INDEX('Tables - Part 2'!$BF$17:$BI$24,MATCH(Amine_Cracking!$W10,'Tables - Part 2'!$AV$6:$AV$13,0),MATCH(Amine_Cracking!$U10,'Tables - Part 2'!$AX$5:$BA$5,0)))/2)+INDEX('Tables - Part 2'!$BF$17:$BI$24,MATCH(Amine_Cracking!$W10,'Tables - Part 2'!$AV$6:$AV$13,0),MATCH(Amine_Cracking!$U10,'Tables - Part 2'!$AX$5:$BA$5,0)))/2)+(INDEX('Tables - Part 2'!$BF$17:$BI$24,MATCH(Amine_Cracking!$W10,'Tables - Part 2'!$AV$6:$AV$13,0),MATCH(Amine_Cracking!$U10,'Tables - Part 2'!$AX$5:$BA$5,0))))/2,0)</f>
        <v>0</v>
      </c>
      <c r="BQ10" s="248">
        <f>IF($T10=$BQ$3,INDEX('Tables - Part 2'!$BF$17:$BI$24,MATCH(Amine_Cracking!$W10,'Tables - Part 2'!$AV$6:$AV$13,0),MATCH(Amine_Cracking!$U10,'Tables - Part 2'!$AX$5:$BA$5,0)),0)</f>
        <v>0</v>
      </c>
      <c r="BR10" s="248">
        <f t="shared" si="5"/>
        <v>0</v>
      </c>
      <c r="BS10" s="238">
        <f t="shared" si="8"/>
        <v>3</v>
      </c>
      <c r="BT10" s="238">
        <f t="shared" si="9"/>
        <v>50.318647405225171</v>
      </c>
    </row>
    <row r="11" spans="2:85" x14ac:dyDescent="0.35">
      <c r="B11" s="161" t="str">
        <f>'Tratamento de Dados'!B19</f>
        <v>V-2</v>
      </c>
      <c r="C11" s="161" t="str">
        <f>'Tratamento de Dados'!D19</f>
        <v>Casco</v>
      </c>
      <c r="D11" s="209" t="s">
        <v>245</v>
      </c>
      <c r="E11" s="209" t="s">
        <v>245</v>
      </c>
      <c r="F11" s="209" t="s">
        <v>244</v>
      </c>
      <c r="G11" s="209" t="s">
        <v>244</v>
      </c>
      <c r="H11" s="209" t="s">
        <v>245</v>
      </c>
      <c r="I11" s="209">
        <v>100</v>
      </c>
      <c r="J11" s="209" t="s">
        <v>245</v>
      </c>
      <c r="K11" s="209" t="s">
        <v>245</v>
      </c>
      <c r="L11" s="209" t="s">
        <v>245</v>
      </c>
      <c r="M11" s="210">
        <v>39092</v>
      </c>
      <c r="N11" s="209">
        <v>0</v>
      </c>
      <c r="O11" s="209">
        <v>1</v>
      </c>
      <c r="P11" s="209">
        <v>1</v>
      </c>
      <c r="Q11" s="209">
        <v>4</v>
      </c>
      <c r="R11" s="253">
        <f>'Tratamento de Dados'!DA19</f>
        <v>0</v>
      </c>
      <c r="S11" s="253">
        <f>'Tratamento de Dados'!DB19</f>
        <v>0</v>
      </c>
      <c r="T11" s="256">
        <f t="shared" si="0"/>
        <v>2.5</v>
      </c>
      <c r="U11" s="246" t="str">
        <f t="shared" si="1"/>
        <v>B</v>
      </c>
      <c r="V11" s="238" t="str">
        <f t="shared" si="6"/>
        <v>High</v>
      </c>
      <c r="W11" s="238">
        <f>IF(AND(D11=$BY$2,E11&lt;&gt;$BY$2),"Fitness-For-Service",INDEX('Tables - Part 2'!$BL$4:$BL$7,MATCH(Amine_Cracking!V11,'Tables - Part 2'!$BK$4:$BK$7,0),))</f>
        <v>100</v>
      </c>
      <c r="X11" s="238">
        <f>IF(M11=0,(Thinning!G12-Thinning!F12)/365.25,(Thinning!G12-M11)/365.25)</f>
        <v>12.980150581793293</v>
      </c>
      <c r="Y11" s="248">
        <f t="shared" si="2"/>
        <v>0</v>
      </c>
      <c r="Z11" s="248">
        <f t="shared" si="3"/>
        <v>2.5</v>
      </c>
      <c r="AA11" s="247">
        <f t="shared" si="7"/>
        <v>3</v>
      </c>
      <c r="AB11" s="247">
        <f t="shared" si="4"/>
        <v>4</v>
      </c>
      <c r="AC11" s="248">
        <f>IF($T11=$AC$3,INDEX('Tables - Part 2'!$AX$6:$BA$13,MATCH(Amine_Cracking!W11,'Tables - Part 2'!$AV$6:$AV$13,0),MATCH(Amine_Cracking!U11,'Tables - Part 2'!$AX$5:$BA$5,0)),0)</f>
        <v>0</v>
      </c>
      <c r="AD11" s="248">
        <f>IF($T11=$AD$3,(INDEX('Tables - Part 2'!$AX$6:$BA$13,MATCH(Amine_Cracking!W11,'Tables - Part 2'!$AV$6:$AV$13,0),MATCH(Amine_Cracking!U11,'Tables - Part 2'!$AX$5:$BA$5,0))+(INDEX('Tables - Part 2'!$AX$6:$BA$13,MATCH(Amine_Cracking!W11,'Tables - Part 2'!$AV$6:$AV$13,0),MATCH(Amine_Cracking!U11,'Tables - Part 2'!$AX$5:$BA$5,0))+((INDEX('Tables - Part 2'!$AX$6:$BA$13,MATCH(Amine_Cracking!W11,'Tables - Part 2'!$AV$6:$AV$13,0),MATCH(Amine_Cracking!U11,'Tables - Part 2'!$AX$5:$BA$5,0))+INDEX('Tables - Part 2'!$BB$6:$BE$13,MATCH(Amine_Cracking!$W11,'Tables - Part 2'!$AV$6:$AV$13,0),MATCH(Amine_Cracking!$U11,'Tables - Part 2'!$AX$5:$BA$5,0)))/2))/2)/2,0)</f>
        <v>0</v>
      </c>
      <c r="AE11" s="248">
        <f>IF($T11=$AE$3,(INDEX('Tables - Part 2'!$AX$6:$BA$13,MATCH(Amine_Cracking!W11,'Tables - Part 2'!$AV$6:$AV$13,0),MATCH(Amine_Cracking!U11,'Tables - Part 2'!$AX$5:$BA$5,0))+((INDEX('Tables - Part 2'!$AX$6:$BA$13,MATCH(Amine_Cracking!W11,'Tables - Part 2'!$AV$6:$AV$13,0),MATCH(Amine_Cracking!U11,'Tables - Part 2'!$AX$5:$BA$5,0))+INDEX('Tables - Part 2'!$BB$6:$BE$13,MATCH(Amine_Cracking!$W11,'Tables - Part 2'!$AV$6:$AV$13,0),MATCH(Amine_Cracking!$U11,'Tables - Part 2'!$AX$5:$BA$5,0)))/2))/2,0)</f>
        <v>0</v>
      </c>
      <c r="AF11" s="248">
        <f>IF($T11=$AF$3,(((INDEX('Tables - Part 2'!$AX$6:$BA$13,MATCH(Amine_Cracking!W11,'Tables - Part 2'!$AV$6:$AV$13,0),MATCH(Amine_Cracking!U11,'Tables - Part 2'!$AX$5:$BA$5,0))+((INDEX('Tables - Part 2'!$AX$6:$BA$13,MATCH(Amine_Cracking!W11,'Tables - Part 2'!$AV$6:$AV$13,0),MATCH(Amine_Cracking!U11,'Tables - Part 2'!$AX$5:$BA$5,0))+INDEX('Tables - Part 2'!$BB$6:$BE$13,MATCH(Amine_Cracking!$W11,'Tables - Part 2'!$AV$6:$AV$13,0),MATCH(Amine_Cracking!$U11,'Tables - Part 2'!$AX$5:$BA$5,0)))/2))/2)+(INDEX('Tables - Part 2'!$AX$6:$BA$13,MATCH(Amine_Cracking!W11,'Tables - Part 2'!$AV$6:$AV$13,0),MATCH(Amine_Cracking!U11,'Tables - Part 2'!$AX$5:$BA$5,0))+INDEX('Tables - Part 2'!$BB$6:$BE$13,MATCH(Amine_Cracking!$W11,'Tables - Part 2'!$AV$6:$AV$13,0),MATCH(Amine_Cracking!$U11,'Tables - Part 2'!$AX$5:$BA$5,0)))/2)/2,0)</f>
        <v>0</v>
      </c>
      <c r="AG11" s="248">
        <f>IF($T11=$AG$3,(INDEX('Tables - Part 2'!$AX$6:$BA$13,MATCH(Amine_Cracking!W11,'Tables - Part 2'!$AV$6:$AV$13,0),MATCH(Amine_Cracking!U11,'Tables - Part 2'!$AX$5:$BA$5,0))+INDEX('Tables - Part 2'!$BB$6:$BE$13,MATCH(Amine_Cracking!$W11,'Tables - Part 2'!$AV$6:$AV$13,0),MATCH(Amine_Cracking!$U11,'Tables - Part 2'!$AX$5:$BA$5,0)))/2,0)</f>
        <v>0</v>
      </c>
      <c r="AH11" s="248">
        <f>IF($T11=$AH$3,(((INDEX('Tables - Part 2'!$AX$6:$BA$13,MATCH(Amine_Cracking!W11,'Tables - Part 2'!$AV$6:$AV$13,0),MATCH(Amine_Cracking!U11,'Tables - Part 2'!$AX$5:$BA$5,0))+INDEX('Tables - Part 2'!$BB$6:$BE$13,MATCH(Amine_Cracking!$W11,'Tables - Part 2'!$AV$6:$AV$13,0),MATCH(Amine_Cracking!$U11,'Tables - Part 2'!$AX$5:$BA$5,0)))/2)+(((INDEX('Tables - Part 2'!$AX$6:$BA$13,MATCH(Amine_Cracking!W11,'Tables - Part 2'!$AV$6:$AV$13,0),MATCH(Amine_Cracking!U11,'Tables - Part 2'!$AX$5:$BA$5,0))+INDEX('Tables - Part 2'!$BB$6:$BE$13,MATCH(Amine_Cracking!$W11,'Tables - Part 2'!$AV$6:$AV$13,0),MATCH(Amine_Cracking!$U11,'Tables - Part 2'!$AX$5:$BA$5,0)))/2)+INDEX('Tables - Part 2'!$BB$6:$BE$13,MATCH(Amine_Cracking!$W11,'Tables - Part 2'!$AV$6:$AV$13,0),MATCH(Amine_Cracking!$U11,'Tables - Part 2'!$AX$5:$BA$5,0)))/2)/2,0)</f>
        <v>0</v>
      </c>
      <c r="AI11" s="248">
        <f>IF($T11=$AI$3,(((INDEX('Tables - Part 2'!$AX$6:$BA$13,MATCH(Amine_Cracking!W11,'Tables - Part 2'!$AV$6:$AV$13,0),MATCH(Amine_Cracking!U11,'Tables - Part 2'!$AX$5:$BA$5,0))+INDEX('Tables - Part 2'!$BB$6:$BE$13,MATCH(Amine_Cracking!$W11,'Tables - Part 2'!$AV$6:$AV$13,0),MATCH(Amine_Cracking!$U11,'Tables - Part 2'!$AX$5:$BA$5,0)))/2)+INDEX('Tables - Part 2'!$BB$6:$BE$13,MATCH(Amine_Cracking!$W11,'Tables - Part 2'!$AV$6:$AV$13,0),MATCH(Amine_Cracking!$U11,'Tables - Part 2'!$AX$5:$BA$5,0)))/2,0)</f>
        <v>0</v>
      </c>
      <c r="AJ11" s="248">
        <f>IF($T11=$AJ$3,(((((INDEX('Tables - Part 2'!$AX$6:$BA$13,MATCH(Amine_Cracking!W11,'Tables - Part 2'!$AV$6:$AV$13,0),MATCH(Amine_Cracking!U11,'Tables - Part 2'!$AX$5:$BA$5,0))+INDEX('Tables - Part 2'!$BB$6:$BE$13,MATCH(Amine_Cracking!$W11,'Tables - Part 2'!$AV$6:$AV$13,0),MATCH(Amine_Cracking!$U11,'Tables - Part 2'!$AX$5:$BA$5,0)))/2)+INDEX('Tables - Part 2'!$BB$6:$BE$13,MATCH(Amine_Cracking!$W11,'Tables - Part 2'!$AV$6:$AV$13,0),MATCH(Amine_Cracking!$U11,'Tables - Part 2'!$AX$5:$BA$5,0)))/2)+INDEX('Tables - Part 2'!$BB$6:$BE$13,MATCH(Amine_Cracking!$W11,'Tables - Part 2'!$AV$6:$AV$13,0),MATCH(Amine_Cracking!$U11,'Tables - Part 2'!$AX$5:$BA$5,0)))/2,0)</f>
        <v>0</v>
      </c>
      <c r="AK11" s="248">
        <f>IF($T11=$AK$3,INDEX('Tables - Part 2'!$BB$6:$BE$13,MATCH(Amine_Cracking!$W11,'Tables - Part 2'!$AV$6:$AV$13,0),MATCH(Amine_Cracking!$U11,'Tables - Part 2'!$AX$5:$BA$5,0)),0)</f>
        <v>0</v>
      </c>
      <c r="AL11" s="248">
        <f>IF($T11=$AL$3,((INDEX('Tables - Part 2'!$BB$6:$BE$13,MATCH(Amine_Cracking!$W11,'Tables - Part 2'!$AV$6:$AV$13,0),MATCH(Amine_Cracking!$U11,'Tables - Part 2'!$AX$5:$BA$5,0)))+(INDEX('Tables - Part 2'!$BB$6:$BE$13,MATCH(Amine_Cracking!$W11,'Tables - Part 2'!$AV$6:$AV$13,0),MATCH(Amine_Cracking!$U11,'Tables - Part 2'!$AX$5:$BA$5,0))+(INDEX('Tables - Part 2'!$BB$6:$BE$13,MATCH(Amine_Cracking!$W11,'Tables - Part 2'!$AV$6:$AV$13,0),MATCH(Amine_Cracking!$U11,'Tables - Part 2'!$AX$5:$BA$5,0))+INDEX('Tables - Part 2'!$BF$6:$BI$13,MATCH(Amine_Cracking!$W11,'Tables - Part 2'!$AV$6:$AV$13,0),MATCH(Amine_Cracking!$U11,'Tables - Part 2'!$AX$5:$BA$5,0)))/2)/2)/2,0)</f>
        <v>0</v>
      </c>
      <c r="AM11" s="248">
        <f>IF($T11=$AM$3,(INDEX('Tables - Part 2'!$BB$6:$BE$13,MATCH(Amine_Cracking!$W11,'Tables - Part 2'!$AV$6:$AV$13,0),MATCH(Amine_Cracking!$U11,'Tables - Part 2'!$AX$5:$BA$5,0))+(INDEX('Tables - Part 2'!$BB$6:$BE$13,MATCH(Amine_Cracking!$W11,'Tables - Part 2'!$AV$6:$AV$13,0),MATCH(Amine_Cracking!$U11,'Tables - Part 2'!$AX$5:$BA$5,0))+INDEX('Tables - Part 2'!$BF$6:$BI$13,MATCH(Amine_Cracking!$W11,'Tables - Part 2'!$AV$6:$AV$13,0),MATCH(Amine_Cracking!$U11,'Tables - Part 2'!$AX$5:$BA$5,0)))/2)/2,0)</f>
        <v>0</v>
      </c>
      <c r="AN11" s="248">
        <f>IF($T11=$AN$3,(((INDEX('Tables - Part 2'!$BB$6:$BE$13,MATCH(Amine_Cracking!$W11,'Tables - Part 2'!$AV$6:$AV$13,0),MATCH(Amine_Cracking!$U11,'Tables - Part 2'!$AX$5:$BA$5,0))+(INDEX('Tables - Part 2'!$BB$6:$BE$13,MATCH(Amine_Cracking!$W11,'Tables - Part 2'!$AV$6:$AV$13,0),MATCH(Amine_Cracking!$U11,'Tables - Part 2'!$AX$5:$BA$5,0))+INDEX('Tables - Part 2'!$BF$6:$BI$13,MATCH(Amine_Cracking!$W11,'Tables - Part 2'!$AV$6:$AV$13,0),MATCH(Amine_Cracking!$U11,'Tables - Part 2'!$AX$5:$BA$5,0)))/2)/2)+((INDEX('Tables - Part 2'!$BB$6:$BE$13,MATCH(Amine_Cracking!$W11,'Tables - Part 2'!$AV$6:$AV$13,0),MATCH(Amine_Cracking!$U11,'Tables - Part 2'!$AX$5:$BA$5,0))+INDEX('Tables - Part 2'!$BF$6:$BI$13,MATCH(Amine_Cracking!$W11,'Tables - Part 2'!$AV$6:$AV$13,0),MATCH(Amine_Cracking!$U11,'Tables - Part 2'!$AX$5:$BA$5,0)))/2))/2,0)</f>
        <v>0</v>
      </c>
      <c r="AO11" s="248">
        <f>IF($T11=$AO$3,(INDEX('Tables - Part 2'!$BB$6:$BE$13,MATCH(Amine_Cracking!$W11,'Tables - Part 2'!$AV$6:$AV$13,0),MATCH(Amine_Cracking!$U11,'Tables - Part 2'!$AX$5:$BA$5,0))+INDEX('Tables - Part 2'!$BF$6:$BI$13,MATCH(Amine_Cracking!$W11,'Tables - Part 2'!$AV$6:$AV$13,0),MATCH(Amine_Cracking!$U11,'Tables - Part 2'!$AX$5:$BA$5,0)))/2,0)</f>
        <v>3</v>
      </c>
      <c r="AP11" s="248">
        <f>IF($T11=$AP$3,(((INDEX('Tables - Part 2'!$BB$6:$BE$13,MATCH(Amine_Cracking!$W11,'Tables - Part 2'!$AV$6:$AV$13,0),MATCH(Amine_Cracking!$U11,'Tables - Part 2'!$AX$5:$BA$5,0))+INDEX('Tables - Part 2'!$BF$6:$BI$13,MATCH(Amine_Cracking!$W11,'Tables - Part 2'!$AV$6:$AV$13,0),MATCH(Amine_Cracking!$U11,'Tables - Part 2'!$AX$5:$BA$5,0)))/2)+((((INDEX('Tables - Part 2'!$BB$6:$BE$13,MATCH(Amine_Cracking!$W11,'Tables - Part 2'!$AV$6:$AV$13,0),MATCH(Amine_Cracking!$U11,'Tables - Part 2'!$AX$5:$BA$5,0))+INDEX('Tables - Part 2'!$BF$6:$BI$13,MATCH(Amine_Cracking!$W11,'Tables - Part 2'!$AV$6:$AV$13,0),MATCH(Amine_Cracking!$U11,'Tables - Part 2'!$AX$5:$BA$5,0)))/2)+INDEX('Tables - Part 2'!$BF$6:$BI$13,MATCH(Amine_Cracking!$W11,'Tables - Part 2'!$AV$6:$AV$13,0),MATCH(Amine_Cracking!$U11,'Tables - Part 2'!$AX$5:$BA$5,0)))/2))/2,0)</f>
        <v>0</v>
      </c>
      <c r="AQ11" s="248">
        <f>IF($T11=$AQ$3,(((INDEX('Tables - Part 2'!$BB$6:$BE$13,MATCH(Amine_Cracking!$W11,'Tables - Part 2'!$AV$6:$AV$13,0),MATCH(Amine_Cracking!$U11,'Tables - Part 2'!$AX$5:$BA$5,0))+INDEX('Tables - Part 2'!$BF$6:$BI$13,MATCH(Amine_Cracking!$W11,'Tables - Part 2'!$AV$6:$AV$13,0),MATCH(Amine_Cracking!$U11,'Tables - Part 2'!$AX$5:$BA$5,0)))/2)+INDEX('Tables - Part 2'!$BF$6:$BI$13,MATCH(Amine_Cracking!$W11,'Tables - Part 2'!$AV$6:$AV$13,0),MATCH(Amine_Cracking!$U11,'Tables - Part 2'!$AX$5:$BA$5,0)))/2,0)</f>
        <v>0</v>
      </c>
      <c r="AR11" s="248">
        <f>IF($T11=$AR$3,(((((INDEX('Tables - Part 2'!$BB$6:$BE$13,MATCH(Amine_Cracking!$W11,'Tables - Part 2'!$AV$6:$AV$13,0),MATCH(Amine_Cracking!$U11,'Tables - Part 2'!$AX$5:$BA$5,0))+INDEX('Tables - Part 2'!$BF$6:$BI$13,MATCH(Amine_Cracking!$W11,'Tables - Part 2'!$AV$6:$AV$13,0),MATCH(Amine_Cracking!$U11,'Tables - Part 2'!$AX$5:$BA$5,0)))/2)+INDEX('Tables - Part 2'!$BF$6:$BI$13,MATCH(Amine_Cracking!$W11,'Tables - Part 2'!$AV$6:$AV$13,0),MATCH(Amine_Cracking!$U11,'Tables - Part 2'!$AX$5:$BA$5,0)))/2)+INDEX('Tables - Part 2'!$BF$6:$BI$13,MATCH(Amine_Cracking!$W11,'Tables - Part 2'!$AV$6:$AV$13,0),MATCH(Amine_Cracking!$U11,'Tables - Part 2'!$AX$5:$BA$5,0)))/2,0)</f>
        <v>0</v>
      </c>
      <c r="AS11" s="248">
        <f>IF($T11=$AS$3,INDEX('Tables - Part 2'!$BF$6:$BI$13,MATCH(Amine_Cracking!$W11,'Tables - Part 2'!$AV$6:$AV$13,0),MATCH(Amine_Cracking!$U11,'Tables - Part 2'!$AX$5:$BA$5,0)),0)</f>
        <v>0</v>
      </c>
      <c r="AT11" s="248">
        <f>IF($T11=$AT$3,(INDEX('Tables - Part 2'!$BF$6:$BI$13,MATCH(Amine_Cracking!$W11,'Tables - Part 2'!$AV$6:$AV$13,0),MATCH(Amine_Cracking!$U11,'Tables - Part 2'!$AX$5:$BA$5,0))+((INDEX('Tables - Part 2'!$BF$6:$BI$13,MATCH(Amine_Cracking!$W11,'Tables - Part 2'!$AV$6:$AV$13,0),MATCH(Amine_Cracking!$U11,'Tables - Part 2'!$AX$5:$BA$5,0))+(INDEX('Tables - Part 2'!$BF$6:$BI$13,MATCH(Amine_Cracking!$W11,'Tables - Part 2'!$AV$6:$AV$13,0),MATCH(Amine_Cracking!$U11,'Tables - Part 2'!$AX$5:$BA$5,0))+INDEX('Tables - Part 2'!$AX$17:$BA$24,MATCH(Amine_Cracking!$W11,'Tables - Part 2'!$AV$6:$AV$13,0),MATCH(Amine_Cracking!$U11,'Tables - Part 2'!$AX$5:$BA$5,0)))/2)/2))/2,0)</f>
        <v>0</v>
      </c>
      <c r="AU11" s="248">
        <f>IF($T11=$AU$3,(INDEX('Tables - Part 2'!$BF$6:$BI$13,MATCH(Amine_Cracking!$W11,'Tables - Part 2'!$AV$6:$AV$13,0),MATCH(Amine_Cracking!$U11,'Tables - Part 2'!$AX$5:$BA$5,0))+(INDEX('Tables - Part 2'!$BF$6:$BI$13,MATCH(Amine_Cracking!$W11,'Tables - Part 2'!$AV$6:$AV$13,0),MATCH(Amine_Cracking!$U11,'Tables - Part 2'!$AX$5:$BA$5,0))+INDEX('Tables - Part 2'!$AX$17:$BA$24,MATCH(Amine_Cracking!$W11,'Tables - Part 2'!$AV$6:$AV$13,0),MATCH(Amine_Cracking!$U11,'Tables - Part 2'!$AX$5:$BA$5,0)))/2)/2,0)</f>
        <v>0</v>
      </c>
      <c r="AV11" s="248">
        <f>IF($T11=$AV$3,(((INDEX('Tables - Part 2'!$BF$6:$BI$13,MATCH(Amine_Cracking!$W11,'Tables - Part 2'!$AV$6:$AV$13,0),MATCH(Amine_Cracking!$U11,'Tables - Part 2'!$AX$5:$BA$5,0))+(INDEX('Tables - Part 2'!$BF$6:$BI$13,MATCH(Amine_Cracking!$W11,'Tables - Part 2'!$AV$6:$AV$13,0),MATCH(Amine_Cracking!$U11,'Tables - Part 2'!$AX$5:$BA$5,0))+INDEX('Tables - Part 2'!$AX$17:$BA$24,MATCH(Amine_Cracking!$W11,'Tables - Part 2'!$AV$6:$AV$13,0),MATCH(Amine_Cracking!$U11,'Tables - Part 2'!$AX$5:$BA$5,0)))/2)/2)+((INDEX('Tables - Part 2'!$BF$6:$BI$13,MATCH(Amine_Cracking!$W11,'Tables - Part 2'!$AV$6:$AV$13,0),MATCH(Amine_Cracking!$U11,'Tables - Part 2'!$AX$5:$BA$5,0))+INDEX('Tables - Part 2'!$AX$17:$BA$24,MATCH(Amine_Cracking!$W11,'Tables - Part 2'!$AV$6:$AV$13,0),MATCH(Amine_Cracking!$U11,'Tables - Part 2'!$AX$5:$BA$5,0)))/2))/2,0)</f>
        <v>0</v>
      </c>
      <c r="AW11" s="248">
        <f>IF($T11=$AW$3,(INDEX('Tables - Part 2'!$BF$6:$BI$13,MATCH(Amine_Cracking!$W11,'Tables - Part 2'!$AV$6:$AV$13,0),MATCH(Amine_Cracking!$U11,'Tables - Part 2'!$AX$5:$BA$5,0))+INDEX('Tables - Part 2'!$AX$17:$BA$24,MATCH(Amine_Cracking!$W11,'Tables - Part 2'!$AV$6:$AV$13,0),MATCH(Amine_Cracking!$U11,'Tables - Part 2'!$AX$5:$BA$5,0)))/2,0)</f>
        <v>0</v>
      </c>
      <c r="AX11" s="248">
        <f>IF($T11=$AX$3,(((INDEX('Tables - Part 2'!$BF$6:$BI$13,MATCH(Amine_Cracking!$W11,'Tables - Part 2'!$AV$6:$AV$13,0),MATCH(Amine_Cracking!$U11,'Tables - Part 2'!$AX$5:$BA$5,0))+INDEX('Tables - Part 2'!$AX$17:$BA$24,MATCH(Amine_Cracking!$W11,'Tables - Part 2'!$AV$6:$AV$13,0),MATCH(Amine_Cracking!$U11,'Tables - Part 2'!$AX$5:$BA$5,0)))/2)+((((INDEX('Tables - Part 2'!$BF$6:$BI$13,MATCH(Amine_Cracking!$W11,'Tables - Part 2'!$AV$6:$AV$13,0),MATCH(Amine_Cracking!$U11,'Tables - Part 2'!$AX$5:$BA$5,0))+INDEX('Tables - Part 2'!$AX$17:$BA$24,MATCH(Amine_Cracking!$W11,'Tables - Part 2'!$AV$6:$AV$13,0),MATCH(Amine_Cracking!$U11,'Tables - Part 2'!$AX$5:$BA$5,0)))/2)+INDEX('Tables - Part 2'!$AX$17:$BA$24,MATCH(Amine_Cracking!$W11,'Tables - Part 2'!$AV$6:$AV$13,0),MATCH(Amine_Cracking!$U11,'Tables - Part 2'!$AX$5:$BA$5,0)))/2))/2,0)</f>
        <v>0</v>
      </c>
      <c r="AY11" s="248">
        <f>IF($T11=$AY$3,(((INDEX('Tables - Part 2'!$BF$6:$BI$13,MATCH(Amine_Cracking!$W11,'Tables - Part 2'!$AV$6:$AV$13,0),MATCH(Amine_Cracking!$U11,'Tables - Part 2'!$AX$5:$BA$5,0))+INDEX('Tables - Part 2'!$AX$17:$BA$24,MATCH(Amine_Cracking!$W11,'Tables - Part 2'!$AV$6:$AV$13,0),MATCH(Amine_Cracking!$U11,'Tables - Part 2'!$AX$5:$BA$5,0)))/2)+INDEX('Tables - Part 2'!$AX$17:$BA$24,MATCH(Amine_Cracking!$W11,'Tables - Part 2'!$AV$6:$AV$13,0),MATCH(Amine_Cracking!$U11,'Tables - Part 2'!$AX$5:$BA$5,0)))/2,0)</f>
        <v>0</v>
      </c>
      <c r="AZ11" s="248">
        <f>IF($T11=$AZ$3,(((((INDEX('Tables - Part 2'!$BF$6:$BI$13,MATCH(Amine_Cracking!$W11,'Tables - Part 2'!$AV$6:$AV$13,0),MATCH(Amine_Cracking!$U11,'Tables - Part 2'!$AX$5:$BA$5,0))+INDEX('Tables - Part 2'!$AX$17:$BA$24,MATCH(Amine_Cracking!$W11,'Tables - Part 2'!$AV$6:$AV$13,0),MATCH(Amine_Cracking!$U11,'Tables - Part 2'!$AX$5:$BA$5,0)))/2)+INDEX('Tables - Part 2'!$AX$17:$BA$24,MATCH(Amine_Cracking!$W11,'Tables - Part 2'!$AV$6:$AV$13,0),MATCH(Amine_Cracking!$U11,'Tables - Part 2'!$AX$5:$BA$5,0)))/2)+(INDEX('Tables - Part 2'!$AX$17:$BA$24,MATCH(Amine_Cracking!$W11,'Tables - Part 2'!$AV$6:$AV$13,0),MATCH(Amine_Cracking!$U11,'Tables - Part 2'!$AX$5:$BA$5,0))))/2,0)</f>
        <v>0</v>
      </c>
      <c r="BA11" s="248">
        <f>IF($T11=$BA$3,INDEX('Tables - Part 2'!$AX$17:$BA$24,MATCH(Amine_Cracking!$W11,'Tables - Part 2'!$AV$6:$AV$13,0),MATCH(Amine_Cracking!$U11,'Tables - Part 2'!$AX$5:$BA$5,0)),0)</f>
        <v>0</v>
      </c>
      <c r="BB11" s="248">
        <f>IF($T11=$BB$3,((INDEX('Tables - Part 2'!$AX$17:$BA$24,MATCH(Amine_Cracking!$W11,'Tables - Part 2'!$AV$6:$AV$13,0),MATCH(Amine_Cracking!$U11,'Tables - Part 2'!$AX$5:$BA$5,0)))+(((INDEX('Tables - Part 2'!$AX$17:$BA$24,MATCH(Amine_Cracking!$W11,'Tables - Part 2'!$AV$6:$AV$13,0),MATCH(Amine_Cracking!$U11,'Tables - Part 2'!$AX$5:$BA$5,0)))+(INDEX('Tables - Part 2'!$AX$17:$BA$24,MATCH(Amine_Cracking!$W11,'Tables - Part 2'!$AV$6:$AV$13,0),MATCH(Amine_Cracking!$U11,'Tables - Part 2'!$AX$5:$BA$5,0))+INDEX('Tables - Part 2'!$BB$17:$BE$24,MATCH(Amine_Cracking!$W11,'Tables - Part 2'!$AV$6:$AV$13,0),MATCH(Amine_Cracking!$U11,'Tables - Part 2'!$AX$5:$BA$5,0)))/2)/2))/2,0)</f>
        <v>0</v>
      </c>
      <c r="BC11" s="248">
        <f>IF($T11=$BC$3,((INDEX('Tables - Part 2'!$AX$17:$BA$24,MATCH(Amine_Cracking!$W11,'Tables - Part 2'!$AV$6:$AV$13,0),MATCH(Amine_Cracking!$U11,'Tables - Part 2'!$AX$5:$BA$5,0)))+(INDEX('Tables - Part 2'!$AX$17:$BA$24,MATCH(Amine_Cracking!$W11,'Tables - Part 2'!$AV$6:$AV$13,0),MATCH(Amine_Cracking!$U11,'Tables - Part 2'!$AX$5:$BA$5,0))+INDEX('Tables - Part 2'!$BB$17:$BE$24,MATCH(Amine_Cracking!$W11,'Tables - Part 2'!$AV$6:$AV$13,0),MATCH(Amine_Cracking!$U11,'Tables - Part 2'!$AX$5:$BA$5,0)))/2)/2,0)</f>
        <v>0</v>
      </c>
      <c r="BD11" s="248">
        <f>IF($T11=$BD$3,((((INDEX('Tables - Part 2'!$AX$17:$BA$24,MATCH(Amine_Cracking!$W11,'Tables - Part 2'!$AV$6:$AV$13,0),MATCH(Amine_Cracking!$U11,'Tables - Part 2'!$AX$5:$BA$5,0)))+(INDEX('Tables - Part 2'!$AX$17:$BA$24,MATCH(Amine_Cracking!$W11,'Tables - Part 2'!$AV$6:$AV$13,0),MATCH(Amine_Cracking!$U11,'Tables - Part 2'!$AX$5:$BA$5,0))+INDEX('Tables - Part 2'!$BB$17:$BE$24,MATCH(Amine_Cracking!$W11,'Tables - Part 2'!$AV$6:$AV$13,0),MATCH(Amine_Cracking!$U11,'Tables - Part 2'!$AX$5:$BA$5,0)))/2)/2)+((INDEX('Tables - Part 2'!$AX$17:$BA$24,MATCH(Amine_Cracking!$W11,'Tables - Part 2'!$AV$6:$AV$13,0),MATCH(Amine_Cracking!$U11,'Tables - Part 2'!$AX$5:$BA$5,0))+INDEX('Tables - Part 2'!$BB$17:$BE$24,MATCH(Amine_Cracking!$W11,'Tables - Part 2'!$AV$6:$AV$13,0),MATCH(Amine_Cracking!$U11,'Tables - Part 2'!$AX$5:$BA$5,0)))/2))/2,0)</f>
        <v>0</v>
      </c>
      <c r="BE11" s="248">
        <f>IF($T11=$BE$3,(INDEX('Tables - Part 2'!$AX$17:$BA$24,MATCH(Amine_Cracking!$W11,'Tables - Part 2'!$AV$6:$AV$13,0),MATCH(Amine_Cracking!$U11,'Tables - Part 2'!$AX$5:$BA$5,0))+INDEX('Tables - Part 2'!$BB$17:$BE$24,MATCH(Amine_Cracking!$W11,'Tables - Part 2'!$AV$6:$AV$13,0),MATCH(Amine_Cracking!$U11,'Tables - Part 2'!$AX$5:$BA$5,0)))/2,0)</f>
        <v>0</v>
      </c>
      <c r="BF11" s="248">
        <f>IF($T11=$BF$3,(((INDEX('Tables - Part 2'!$AX$17:$BA$24,MATCH(Amine_Cracking!$W11,'Tables - Part 2'!$AV$6:$AV$13,0),MATCH(Amine_Cracking!$U11,'Tables - Part 2'!$AX$5:$BA$5,0))+INDEX('Tables - Part 2'!$BB$17:$BE$24,MATCH(Amine_Cracking!$W11,'Tables - Part 2'!$AV$6:$AV$13,0),MATCH(Amine_Cracking!$U11,'Tables - Part 2'!$AX$5:$BA$5,0)))/2)+((((INDEX('Tables - Part 2'!$AX$17:$BA$24,MATCH(Amine_Cracking!$W11,'Tables - Part 2'!$AV$6:$AV$13,0),MATCH(Amine_Cracking!$U11,'Tables - Part 2'!$AX$5:$BA$5,0))+INDEX('Tables - Part 2'!$BB$17:$BE$24,MATCH(Amine_Cracking!$W11,'Tables - Part 2'!$AV$6:$AV$13,0),MATCH(Amine_Cracking!$U11,'Tables - Part 2'!$AX$5:$BA$5,0)))/2)+INDEX('Tables - Part 2'!$BB$17:$BE$24,MATCH(Amine_Cracking!$W11,'Tables - Part 2'!$AV$6:$AV$13,0),MATCH(Amine_Cracking!$U11,'Tables - Part 2'!$AX$5:$BA$5,0)))/2))/2,0)</f>
        <v>0</v>
      </c>
      <c r="BG11" s="248">
        <f>IF($T11=$BG$3,(((INDEX('Tables - Part 2'!$AX$17:$BA$24,MATCH(Amine_Cracking!$W11,'Tables - Part 2'!$AV$6:$AV$13,0),MATCH(Amine_Cracking!$U11,'Tables - Part 2'!$AX$5:$BA$5,0))+INDEX('Tables - Part 2'!$BB$17:$BE$24,MATCH(Amine_Cracking!$W11,'Tables - Part 2'!$AV$6:$AV$13,0),MATCH(Amine_Cracking!$U11,'Tables - Part 2'!$AX$5:$BA$5,0)))/2)+INDEX('Tables - Part 2'!$BB$17:$BE$24,MATCH(Amine_Cracking!$W11,'Tables - Part 2'!$AV$6:$AV$13,0),MATCH(Amine_Cracking!$U11,'Tables - Part 2'!$AX$5:$BA$5,0)))/2,0)</f>
        <v>0</v>
      </c>
      <c r="BH11" s="248">
        <f>IF($T11=$BH$3,(((((INDEX('Tables - Part 2'!$AX$17:$BA$24,MATCH(Amine_Cracking!$W11,'Tables - Part 2'!$AV$6:$AV$13,0),MATCH(Amine_Cracking!$U11,'Tables - Part 2'!$AX$5:$BA$5,0))+INDEX('Tables - Part 2'!$BB$17:$BE$24,MATCH(Amine_Cracking!$W11,'Tables - Part 2'!$AV$6:$AV$13,0),MATCH(Amine_Cracking!$U11,'Tables - Part 2'!$AX$5:$BA$5,0)))/2)+INDEX('Tables - Part 2'!$BB$17:$BE$24,MATCH(Amine_Cracking!$W11,'Tables - Part 2'!$AV$6:$AV$13,0),MATCH(Amine_Cracking!$U11,'Tables - Part 2'!$AX$5:$BA$5,0)))/2)+(INDEX('Tables - Part 2'!$BB$17:$BE$24,MATCH(Amine_Cracking!$W11,'Tables - Part 2'!$AV$6:$AV$13,0),MATCH(Amine_Cracking!$U11,'Tables - Part 2'!$AX$5:$BA$5,0))))/2,0)</f>
        <v>0</v>
      </c>
      <c r="BI11" s="248">
        <f>IF($T11=$BI$3,INDEX('Tables - Part 2'!$BB$17:$BE$24,MATCH(Amine_Cracking!$W11,'Tables - Part 2'!$AV$6:$AV$13,0),MATCH(Amine_Cracking!$U11,'Tables - Part 2'!$AX$5:$BA$5,0)),0)</f>
        <v>0</v>
      </c>
      <c r="BJ11" s="248">
        <f>IF($T11=$BJ$3,((INDEX('Tables - Part 2'!$BB$17:$BE$24,MATCH(Amine_Cracking!$W11,'Tables - Part 2'!$AV$6:$AV$13,0),MATCH(Amine_Cracking!$U11,'Tables - Part 2'!$AX$5:$BA$5,0)))+(((INDEX('Tables - Part 2'!$BB$17:$BE$24,MATCH(Amine_Cracking!$W11,'Tables - Part 2'!$AV$6:$AV$13,0),MATCH(Amine_Cracking!$U11,'Tables - Part 2'!$AX$5:$BA$5,0)))+(INDEX('Tables - Part 2'!$BB$17:$BE$24,MATCH(Amine_Cracking!$W11,'Tables - Part 2'!$AV$6:$AV$13,0),MATCH(Amine_Cracking!$U11,'Tables - Part 2'!$AX$5:$BA$5,0))+INDEX('Tables - Part 2'!$BF$17:$BI$24,MATCH(Amine_Cracking!$W11,'Tables - Part 2'!$AV$6:$AV$13,0),MATCH(Amine_Cracking!$U11,'Tables - Part 2'!$AX$5:$BA$5,0)))/2)/2))/2,0)</f>
        <v>0</v>
      </c>
      <c r="BK11" s="248">
        <f>IF($T11=$BK$3,((INDEX('Tables - Part 2'!$BB$17:$BE$24,MATCH(Amine_Cracking!$W11,'Tables - Part 2'!$AV$6:$AV$13,0),MATCH(Amine_Cracking!$U11,'Tables - Part 2'!$AX$5:$BA$5,0)))+(INDEX('Tables - Part 2'!$BB$17:$BE$24,MATCH(Amine_Cracking!$W11,'Tables - Part 2'!$AV$6:$AV$13,0),MATCH(Amine_Cracking!$U11,'Tables - Part 2'!$AX$5:$BA$5,0))+INDEX('Tables - Part 2'!$BF$17:$BI$24,MATCH(Amine_Cracking!$W11,'Tables - Part 2'!$AV$6:$AV$13,0),MATCH(Amine_Cracking!$U11,'Tables - Part 2'!$AX$5:$BA$5,0)))/2)/2,0)</f>
        <v>0</v>
      </c>
      <c r="BL11" s="248">
        <f>IF($T11=$BL$3,((((INDEX('Tables - Part 2'!$BB$17:$BE$24,MATCH(Amine_Cracking!$W11,'Tables - Part 2'!$AV$6:$AV$13,0),MATCH(Amine_Cracking!$U11,'Tables - Part 2'!$AX$5:$BA$5,0)))+(INDEX('Tables - Part 2'!$BB$17:$BE$24,MATCH(Amine_Cracking!$W11,'Tables - Part 2'!$AV$6:$AV$13,0),MATCH(Amine_Cracking!$U11,'Tables - Part 2'!$AX$5:$BA$5,0))+INDEX('Tables - Part 2'!$BF$17:$BI$24,MATCH(Amine_Cracking!$W11,'Tables - Part 2'!$AV$6:$AV$13,0),MATCH(Amine_Cracking!$U11,'Tables - Part 2'!$AX$5:$BA$5,0)))/2)/2)+((INDEX('Tables - Part 2'!$BB$17:$BE$24,MATCH(Amine_Cracking!$W11,'Tables - Part 2'!$AV$6:$AV$13,0),MATCH(Amine_Cracking!$U11,'Tables - Part 2'!$AX$5:$BA$5,0))+INDEX('Tables - Part 2'!$BF$17:$BI$24,MATCH(Amine_Cracking!$W11,'Tables - Part 2'!$AV$6:$AV$13,0),MATCH(Amine_Cracking!$U11,'Tables - Part 2'!$AX$5:$BA$5,0)))/2))/2,0)</f>
        <v>0</v>
      </c>
      <c r="BM11" s="248">
        <f>IF($T11=$BM$3,(INDEX('Tables - Part 2'!$BB$17:$BE$24,MATCH(Amine_Cracking!$W11,'Tables - Part 2'!$AV$6:$AV$13,0),MATCH(Amine_Cracking!$U11,'Tables - Part 2'!$AX$5:$BA$5,0))+INDEX('Tables - Part 2'!$BF$17:$BI$24,MATCH(Amine_Cracking!$W11,'Tables - Part 2'!$AV$6:$AV$13,0),MATCH(Amine_Cracking!$U11,'Tables - Part 2'!$AX$5:$BA$5,0)))/2,0)</f>
        <v>0</v>
      </c>
      <c r="BN11" s="248">
        <f>IF($T11=$BN$3,(((INDEX('Tables - Part 2'!$BB$17:$BE$24,MATCH(Amine_Cracking!$W11,'Tables - Part 2'!$AV$6:$AV$13,0),MATCH(Amine_Cracking!$U11,'Tables - Part 2'!$AX$5:$BA$5,0))+INDEX('Tables - Part 2'!$BF$17:$BI$24,MATCH(Amine_Cracking!$W11,'Tables - Part 2'!$AV$6:$AV$13,0),MATCH(Amine_Cracking!$U11,'Tables - Part 2'!$AX$5:$BA$5,0)))/2)+((((INDEX('Tables - Part 2'!$BB$17:$BE$24,MATCH(Amine_Cracking!$W11,'Tables - Part 2'!$AV$6:$AV$13,0),MATCH(Amine_Cracking!$U11,'Tables - Part 2'!$AX$5:$BA$5,0))+INDEX('Tables - Part 2'!$BF$17:$BI$24,MATCH(Amine_Cracking!$W11,'Tables - Part 2'!$AV$6:$AV$13,0),MATCH(Amine_Cracking!$U11,'Tables - Part 2'!$AX$5:$BA$5,0)))/2)+INDEX('Tables - Part 2'!$BF$17:$BI$24,MATCH(Amine_Cracking!$W11,'Tables - Part 2'!$AV$6:$AV$13,0),MATCH(Amine_Cracking!$U11,'Tables - Part 2'!$AX$5:$BA$5,0)))/2))/2,0)</f>
        <v>0</v>
      </c>
      <c r="BO11" s="248">
        <f>IF($T11=$BO$3,(((INDEX('Tables - Part 2'!$BB$17:$BE$24,MATCH(Amine_Cracking!$W11,'Tables - Part 2'!$AV$6:$AV$13,0),MATCH(Amine_Cracking!$U11,'Tables - Part 2'!$AX$5:$BA$5,0))+INDEX('Tables - Part 2'!$BF$17:$BI$24,MATCH(Amine_Cracking!$W11,'Tables - Part 2'!$AV$6:$AV$13,0),MATCH(Amine_Cracking!$U11,'Tables - Part 2'!$AX$5:$BA$5,0)))/2)+INDEX('Tables - Part 2'!$BF$17:$BI$24,MATCH(Amine_Cracking!$W11,'Tables - Part 2'!$AV$6:$AV$13,0),MATCH(Amine_Cracking!$U11,'Tables - Part 2'!$AX$5:$BA$5,0)))/2,0)</f>
        <v>0</v>
      </c>
      <c r="BP11" s="248">
        <f>IF($T11=$BP$3,(((((INDEX('Tables - Part 2'!$BB$17:$BE$24,MATCH(Amine_Cracking!$W11,'Tables - Part 2'!$AV$6:$AV$13,0),MATCH(Amine_Cracking!$U11,'Tables - Part 2'!$AX$5:$BA$5,0))+INDEX('Tables - Part 2'!$BF$17:$BI$24,MATCH(Amine_Cracking!$W11,'Tables - Part 2'!$AV$6:$AV$13,0),MATCH(Amine_Cracking!$U11,'Tables - Part 2'!$AX$5:$BA$5,0)))/2)+INDEX('Tables - Part 2'!$BF$17:$BI$24,MATCH(Amine_Cracking!$W11,'Tables - Part 2'!$AV$6:$AV$13,0),MATCH(Amine_Cracking!$U11,'Tables - Part 2'!$AX$5:$BA$5,0)))/2)+(INDEX('Tables - Part 2'!$BF$17:$BI$24,MATCH(Amine_Cracking!$W11,'Tables - Part 2'!$AV$6:$AV$13,0),MATCH(Amine_Cracking!$U11,'Tables - Part 2'!$AX$5:$BA$5,0))))/2,0)</f>
        <v>0</v>
      </c>
      <c r="BQ11" s="248">
        <f>IF($T11=$BQ$3,INDEX('Tables - Part 2'!$BF$17:$BI$24,MATCH(Amine_Cracking!$W11,'Tables - Part 2'!$AV$6:$AV$13,0),MATCH(Amine_Cracking!$U11,'Tables - Part 2'!$AX$5:$BA$5,0)),0)</f>
        <v>0</v>
      </c>
      <c r="BR11" s="248">
        <f t="shared" si="5"/>
        <v>0</v>
      </c>
      <c r="BS11" s="238">
        <f t="shared" si="8"/>
        <v>3</v>
      </c>
      <c r="BT11" s="238">
        <f t="shared" si="9"/>
        <v>50.318647405225171</v>
      </c>
    </row>
    <row r="12" spans="2:85" x14ac:dyDescent="0.35">
      <c r="B12" s="161" t="str">
        <f>'Tratamento de Dados'!B20</f>
        <v>V-3</v>
      </c>
      <c r="C12" s="161" t="str">
        <f>'Tratamento de Dados'!D20</f>
        <v>Casco</v>
      </c>
      <c r="D12" s="209" t="s">
        <v>245</v>
      </c>
      <c r="E12" s="209" t="s">
        <v>245</v>
      </c>
      <c r="F12" s="209" t="s">
        <v>244</v>
      </c>
      <c r="G12" s="209" t="s">
        <v>244</v>
      </c>
      <c r="H12" s="209" t="s">
        <v>245</v>
      </c>
      <c r="I12" s="209">
        <v>100</v>
      </c>
      <c r="J12" s="209" t="s">
        <v>245</v>
      </c>
      <c r="K12" s="209" t="s">
        <v>245</v>
      </c>
      <c r="L12" s="209" t="s">
        <v>245</v>
      </c>
      <c r="M12" s="210">
        <v>39092</v>
      </c>
      <c r="N12" s="209">
        <v>0</v>
      </c>
      <c r="O12" s="209">
        <v>1</v>
      </c>
      <c r="P12" s="209">
        <v>1</v>
      </c>
      <c r="Q12" s="209">
        <v>4</v>
      </c>
      <c r="R12" s="253">
        <f>'Tratamento de Dados'!DA20</f>
        <v>0</v>
      </c>
      <c r="S12" s="253">
        <f>'Tratamento de Dados'!DB20</f>
        <v>0</v>
      </c>
      <c r="T12" s="256">
        <f t="shared" si="0"/>
        <v>2.5</v>
      </c>
      <c r="U12" s="246" t="str">
        <f t="shared" si="1"/>
        <v>B</v>
      </c>
      <c r="V12" s="238" t="str">
        <f t="shared" si="6"/>
        <v>High</v>
      </c>
      <c r="W12" s="238">
        <f>IF(AND(D12=$BY$2,E12&lt;&gt;$BY$2),"Fitness-For-Service",INDEX('Tables - Part 2'!$BL$4:$BL$7,MATCH(Amine_Cracking!V12,'Tables - Part 2'!$BK$4:$BK$7,0),))</f>
        <v>100</v>
      </c>
      <c r="X12" s="238">
        <f>IF(M12=0,(Thinning!G13-Thinning!F13)/365.25,(Thinning!G13-M12)/365.25)</f>
        <v>12.980150581793293</v>
      </c>
      <c r="Y12" s="248">
        <f t="shared" si="2"/>
        <v>0</v>
      </c>
      <c r="Z12" s="248">
        <f t="shared" si="3"/>
        <v>2.5</v>
      </c>
      <c r="AA12" s="247">
        <f t="shared" si="7"/>
        <v>3</v>
      </c>
      <c r="AB12" s="247">
        <f t="shared" si="4"/>
        <v>4</v>
      </c>
      <c r="AC12" s="248">
        <f>IF($T12=$AC$3,INDEX('Tables - Part 2'!$AX$6:$BA$13,MATCH(Amine_Cracking!W12,'Tables - Part 2'!$AV$6:$AV$13,0),MATCH(Amine_Cracking!U12,'Tables - Part 2'!$AX$5:$BA$5,0)),0)</f>
        <v>0</v>
      </c>
      <c r="AD12" s="248">
        <f>IF($T12=$AD$3,(INDEX('Tables - Part 2'!$AX$6:$BA$13,MATCH(Amine_Cracking!W12,'Tables - Part 2'!$AV$6:$AV$13,0),MATCH(Amine_Cracking!U12,'Tables - Part 2'!$AX$5:$BA$5,0))+(INDEX('Tables - Part 2'!$AX$6:$BA$13,MATCH(Amine_Cracking!W12,'Tables - Part 2'!$AV$6:$AV$13,0),MATCH(Amine_Cracking!U12,'Tables - Part 2'!$AX$5:$BA$5,0))+((INDEX('Tables - Part 2'!$AX$6:$BA$13,MATCH(Amine_Cracking!W12,'Tables - Part 2'!$AV$6:$AV$13,0),MATCH(Amine_Cracking!U12,'Tables - Part 2'!$AX$5:$BA$5,0))+INDEX('Tables - Part 2'!$BB$6:$BE$13,MATCH(Amine_Cracking!$W12,'Tables - Part 2'!$AV$6:$AV$13,0),MATCH(Amine_Cracking!$U12,'Tables - Part 2'!$AX$5:$BA$5,0)))/2))/2)/2,0)</f>
        <v>0</v>
      </c>
      <c r="AE12" s="248">
        <f>IF($T12=$AE$3,(INDEX('Tables - Part 2'!$AX$6:$BA$13,MATCH(Amine_Cracking!W12,'Tables - Part 2'!$AV$6:$AV$13,0),MATCH(Amine_Cracking!U12,'Tables - Part 2'!$AX$5:$BA$5,0))+((INDEX('Tables - Part 2'!$AX$6:$BA$13,MATCH(Amine_Cracking!W12,'Tables - Part 2'!$AV$6:$AV$13,0),MATCH(Amine_Cracking!U12,'Tables - Part 2'!$AX$5:$BA$5,0))+INDEX('Tables - Part 2'!$BB$6:$BE$13,MATCH(Amine_Cracking!$W12,'Tables - Part 2'!$AV$6:$AV$13,0),MATCH(Amine_Cracking!$U12,'Tables - Part 2'!$AX$5:$BA$5,0)))/2))/2,0)</f>
        <v>0</v>
      </c>
      <c r="AF12" s="248">
        <f>IF($T12=$AF$3,(((INDEX('Tables - Part 2'!$AX$6:$BA$13,MATCH(Amine_Cracking!W12,'Tables - Part 2'!$AV$6:$AV$13,0),MATCH(Amine_Cracking!U12,'Tables - Part 2'!$AX$5:$BA$5,0))+((INDEX('Tables - Part 2'!$AX$6:$BA$13,MATCH(Amine_Cracking!W12,'Tables - Part 2'!$AV$6:$AV$13,0),MATCH(Amine_Cracking!U12,'Tables - Part 2'!$AX$5:$BA$5,0))+INDEX('Tables - Part 2'!$BB$6:$BE$13,MATCH(Amine_Cracking!$W12,'Tables - Part 2'!$AV$6:$AV$13,0),MATCH(Amine_Cracking!$U12,'Tables - Part 2'!$AX$5:$BA$5,0)))/2))/2)+(INDEX('Tables - Part 2'!$AX$6:$BA$13,MATCH(Amine_Cracking!W12,'Tables - Part 2'!$AV$6:$AV$13,0),MATCH(Amine_Cracking!U12,'Tables - Part 2'!$AX$5:$BA$5,0))+INDEX('Tables - Part 2'!$BB$6:$BE$13,MATCH(Amine_Cracking!$W12,'Tables - Part 2'!$AV$6:$AV$13,0),MATCH(Amine_Cracking!$U12,'Tables - Part 2'!$AX$5:$BA$5,0)))/2)/2,0)</f>
        <v>0</v>
      </c>
      <c r="AG12" s="248">
        <f>IF($T12=$AG$3,(INDEX('Tables - Part 2'!$AX$6:$BA$13,MATCH(Amine_Cracking!W12,'Tables - Part 2'!$AV$6:$AV$13,0),MATCH(Amine_Cracking!U12,'Tables - Part 2'!$AX$5:$BA$5,0))+INDEX('Tables - Part 2'!$BB$6:$BE$13,MATCH(Amine_Cracking!$W12,'Tables - Part 2'!$AV$6:$AV$13,0),MATCH(Amine_Cracking!$U12,'Tables - Part 2'!$AX$5:$BA$5,0)))/2,0)</f>
        <v>0</v>
      </c>
      <c r="AH12" s="248">
        <f>IF($T12=$AH$3,(((INDEX('Tables - Part 2'!$AX$6:$BA$13,MATCH(Amine_Cracking!W12,'Tables - Part 2'!$AV$6:$AV$13,0),MATCH(Amine_Cracking!U12,'Tables - Part 2'!$AX$5:$BA$5,0))+INDEX('Tables - Part 2'!$BB$6:$BE$13,MATCH(Amine_Cracking!$W12,'Tables - Part 2'!$AV$6:$AV$13,0),MATCH(Amine_Cracking!$U12,'Tables - Part 2'!$AX$5:$BA$5,0)))/2)+(((INDEX('Tables - Part 2'!$AX$6:$BA$13,MATCH(Amine_Cracking!W12,'Tables - Part 2'!$AV$6:$AV$13,0),MATCH(Amine_Cracking!U12,'Tables - Part 2'!$AX$5:$BA$5,0))+INDEX('Tables - Part 2'!$BB$6:$BE$13,MATCH(Amine_Cracking!$W12,'Tables - Part 2'!$AV$6:$AV$13,0),MATCH(Amine_Cracking!$U12,'Tables - Part 2'!$AX$5:$BA$5,0)))/2)+INDEX('Tables - Part 2'!$BB$6:$BE$13,MATCH(Amine_Cracking!$W12,'Tables - Part 2'!$AV$6:$AV$13,0),MATCH(Amine_Cracking!$U12,'Tables - Part 2'!$AX$5:$BA$5,0)))/2)/2,0)</f>
        <v>0</v>
      </c>
      <c r="AI12" s="248">
        <f>IF($T12=$AI$3,(((INDEX('Tables - Part 2'!$AX$6:$BA$13,MATCH(Amine_Cracking!W12,'Tables - Part 2'!$AV$6:$AV$13,0),MATCH(Amine_Cracking!U12,'Tables - Part 2'!$AX$5:$BA$5,0))+INDEX('Tables - Part 2'!$BB$6:$BE$13,MATCH(Amine_Cracking!$W12,'Tables - Part 2'!$AV$6:$AV$13,0),MATCH(Amine_Cracking!$U12,'Tables - Part 2'!$AX$5:$BA$5,0)))/2)+INDEX('Tables - Part 2'!$BB$6:$BE$13,MATCH(Amine_Cracking!$W12,'Tables - Part 2'!$AV$6:$AV$13,0),MATCH(Amine_Cracking!$U12,'Tables - Part 2'!$AX$5:$BA$5,0)))/2,0)</f>
        <v>0</v>
      </c>
      <c r="AJ12" s="248">
        <f>IF($T12=$AJ$3,(((((INDEX('Tables - Part 2'!$AX$6:$BA$13,MATCH(Amine_Cracking!W12,'Tables - Part 2'!$AV$6:$AV$13,0),MATCH(Amine_Cracking!U12,'Tables - Part 2'!$AX$5:$BA$5,0))+INDEX('Tables - Part 2'!$BB$6:$BE$13,MATCH(Amine_Cracking!$W12,'Tables - Part 2'!$AV$6:$AV$13,0),MATCH(Amine_Cracking!$U12,'Tables - Part 2'!$AX$5:$BA$5,0)))/2)+INDEX('Tables - Part 2'!$BB$6:$BE$13,MATCH(Amine_Cracking!$W12,'Tables - Part 2'!$AV$6:$AV$13,0),MATCH(Amine_Cracking!$U12,'Tables - Part 2'!$AX$5:$BA$5,0)))/2)+INDEX('Tables - Part 2'!$BB$6:$BE$13,MATCH(Amine_Cracking!$W12,'Tables - Part 2'!$AV$6:$AV$13,0),MATCH(Amine_Cracking!$U12,'Tables - Part 2'!$AX$5:$BA$5,0)))/2,0)</f>
        <v>0</v>
      </c>
      <c r="AK12" s="248">
        <f>IF($T12=$AK$3,INDEX('Tables - Part 2'!$BB$6:$BE$13,MATCH(Amine_Cracking!$W12,'Tables - Part 2'!$AV$6:$AV$13,0),MATCH(Amine_Cracking!$U12,'Tables - Part 2'!$AX$5:$BA$5,0)),0)</f>
        <v>0</v>
      </c>
      <c r="AL12" s="248">
        <f>IF($T12=$AL$3,((INDEX('Tables - Part 2'!$BB$6:$BE$13,MATCH(Amine_Cracking!$W12,'Tables - Part 2'!$AV$6:$AV$13,0),MATCH(Amine_Cracking!$U12,'Tables - Part 2'!$AX$5:$BA$5,0)))+(INDEX('Tables - Part 2'!$BB$6:$BE$13,MATCH(Amine_Cracking!$W12,'Tables - Part 2'!$AV$6:$AV$13,0),MATCH(Amine_Cracking!$U12,'Tables - Part 2'!$AX$5:$BA$5,0))+(INDEX('Tables - Part 2'!$BB$6:$BE$13,MATCH(Amine_Cracking!$W12,'Tables - Part 2'!$AV$6:$AV$13,0),MATCH(Amine_Cracking!$U12,'Tables - Part 2'!$AX$5:$BA$5,0))+INDEX('Tables - Part 2'!$BF$6:$BI$13,MATCH(Amine_Cracking!$W12,'Tables - Part 2'!$AV$6:$AV$13,0),MATCH(Amine_Cracking!$U12,'Tables - Part 2'!$AX$5:$BA$5,0)))/2)/2)/2,0)</f>
        <v>0</v>
      </c>
      <c r="AM12" s="248">
        <f>IF($T12=$AM$3,(INDEX('Tables - Part 2'!$BB$6:$BE$13,MATCH(Amine_Cracking!$W12,'Tables - Part 2'!$AV$6:$AV$13,0),MATCH(Amine_Cracking!$U12,'Tables - Part 2'!$AX$5:$BA$5,0))+(INDEX('Tables - Part 2'!$BB$6:$BE$13,MATCH(Amine_Cracking!$W12,'Tables - Part 2'!$AV$6:$AV$13,0),MATCH(Amine_Cracking!$U12,'Tables - Part 2'!$AX$5:$BA$5,0))+INDEX('Tables - Part 2'!$BF$6:$BI$13,MATCH(Amine_Cracking!$W12,'Tables - Part 2'!$AV$6:$AV$13,0),MATCH(Amine_Cracking!$U12,'Tables - Part 2'!$AX$5:$BA$5,0)))/2)/2,0)</f>
        <v>0</v>
      </c>
      <c r="AN12" s="248">
        <f>IF($T12=$AN$3,(((INDEX('Tables - Part 2'!$BB$6:$BE$13,MATCH(Amine_Cracking!$W12,'Tables - Part 2'!$AV$6:$AV$13,0),MATCH(Amine_Cracking!$U12,'Tables - Part 2'!$AX$5:$BA$5,0))+(INDEX('Tables - Part 2'!$BB$6:$BE$13,MATCH(Amine_Cracking!$W12,'Tables - Part 2'!$AV$6:$AV$13,0),MATCH(Amine_Cracking!$U12,'Tables - Part 2'!$AX$5:$BA$5,0))+INDEX('Tables - Part 2'!$BF$6:$BI$13,MATCH(Amine_Cracking!$W12,'Tables - Part 2'!$AV$6:$AV$13,0),MATCH(Amine_Cracking!$U12,'Tables - Part 2'!$AX$5:$BA$5,0)))/2)/2)+((INDEX('Tables - Part 2'!$BB$6:$BE$13,MATCH(Amine_Cracking!$W12,'Tables - Part 2'!$AV$6:$AV$13,0),MATCH(Amine_Cracking!$U12,'Tables - Part 2'!$AX$5:$BA$5,0))+INDEX('Tables - Part 2'!$BF$6:$BI$13,MATCH(Amine_Cracking!$W12,'Tables - Part 2'!$AV$6:$AV$13,0),MATCH(Amine_Cracking!$U12,'Tables - Part 2'!$AX$5:$BA$5,0)))/2))/2,0)</f>
        <v>0</v>
      </c>
      <c r="AO12" s="248">
        <f>IF($T12=$AO$3,(INDEX('Tables - Part 2'!$BB$6:$BE$13,MATCH(Amine_Cracking!$W12,'Tables - Part 2'!$AV$6:$AV$13,0),MATCH(Amine_Cracking!$U12,'Tables - Part 2'!$AX$5:$BA$5,0))+INDEX('Tables - Part 2'!$BF$6:$BI$13,MATCH(Amine_Cracking!$W12,'Tables - Part 2'!$AV$6:$AV$13,0),MATCH(Amine_Cracking!$U12,'Tables - Part 2'!$AX$5:$BA$5,0)))/2,0)</f>
        <v>3</v>
      </c>
      <c r="AP12" s="248">
        <f>IF($T12=$AP$3,(((INDEX('Tables - Part 2'!$BB$6:$BE$13,MATCH(Amine_Cracking!$W12,'Tables - Part 2'!$AV$6:$AV$13,0),MATCH(Amine_Cracking!$U12,'Tables - Part 2'!$AX$5:$BA$5,0))+INDEX('Tables - Part 2'!$BF$6:$BI$13,MATCH(Amine_Cracking!$W12,'Tables - Part 2'!$AV$6:$AV$13,0),MATCH(Amine_Cracking!$U12,'Tables - Part 2'!$AX$5:$BA$5,0)))/2)+((((INDEX('Tables - Part 2'!$BB$6:$BE$13,MATCH(Amine_Cracking!$W12,'Tables - Part 2'!$AV$6:$AV$13,0),MATCH(Amine_Cracking!$U12,'Tables - Part 2'!$AX$5:$BA$5,0))+INDEX('Tables - Part 2'!$BF$6:$BI$13,MATCH(Amine_Cracking!$W12,'Tables - Part 2'!$AV$6:$AV$13,0),MATCH(Amine_Cracking!$U12,'Tables - Part 2'!$AX$5:$BA$5,0)))/2)+INDEX('Tables - Part 2'!$BF$6:$BI$13,MATCH(Amine_Cracking!$W12,'Tables - Part 2'!$AV$6:$AV$13,0),MATCH(Amine_Cracking!$U12,'Tables - Part 2'!$AX$5:$BA$5,0)))/2))/2,0)</f>
        <v>0</v>
      </c>
      <c r="AQ12" s="248">
        <f>IF($T12=$AQ$3,(((INDEX('Tables - Part 2'!$BB$6:$BE$13,MATCH(Amine_Cracking!$W12,'Tables - Part 2'!$AV$6:$AV$13,0),MATCH(Amine_Cracking!$U12,'Tables - Part 2'!$AX$5:$BA$5,0))+INDEX('Tables - Part 2'!$BF$6:$BI$13,MATCH(Amine_Cracking!$W12,'Tables - Part 2'!$AV$6:$AV$13,0),MATCH(Amine_Cracking!$U12,'Tables - Part 2'!$AX$5:$BA$5,0)))/2)+INDEX('Tables - Part 2'!$BF$6:$BI$13,MATCH(Amine_Cracking!$W12,'Tables - Part 2'!$AV$6:$AV$13,0),MATCH(Amine_Cracking!$U12,'Tables - Part 2'!$AX$5:$BA$5,0)))/2,0)</f>
        <v>0</v>
      </c>
      <c r="AR12" s="248">
        <f>IF($T12=$AR$3,(((((INDEX('Tables - Part 2'!$BB$6:$BE$13,MATCH(Amine_Cracking!$W12,'Tables - Part 2'!$AV$6:$AV$13,0),MATCH(Amine_Cracking!$U12,'Tables - Part 2'!$AX$5:$BA$5,0))+INDEX('Tables - Part 2'!$BF$6:$BI$13,MATCH(Amine_Cracking!$W12,'Tables - Part 2'!$AV$6:$AV$13,0),MATCH(Amine_Cracking!$U12,'Tables - Part 2'!$AX$5:$BA$5,0)))/2)+INDEX('Tables - Part 2'!$BF$6:$BI$13,MATCH(Amine_Cracking!$W12,'Tables - Part 2'!$AV$6:$AV$13,0),MATCH(Amine_Cracking!$U12,'Tables - Part 2'!$AX$5:$BA$5,0)))/2)+INDEX('Tables - Part 2'!$BF$6:$BI$13,MATCH(Amine_Cracking!$W12,'Tables - Part 2'!$AV$6:$AV$13,0),MATCH(Amine_Cracking!$U12,'Tables - Part 2'!$AX$5:$BA$5,0)))/2,0)</f>
        <v>0</v>
      </c>
      <c r="AS12" s="248">
        <f>IF($T12=$AS$3,INDEX('Tables - Part 2'!$BF$6:$BI$13,MATCH(Amine_Cracking!$W12,'Tables - Part 2'!$AV$6:$AV$13,0),MATCH(Amine_Cracking!$U12,'Tables - Part 2'!$AX$5:$BA$5,0)),0)</f>
        <v>0</v>
      </c>
      <c r="AT12" s="248">
        <f>IF($T12=$AT$3,(INDEX('Tables - Part 2'!$BF$6:$BI$13,MATCH(Amine_Cracking!$W12,'Tables - Part 2'!$AV$6:$AV$13,0),MATCH(Amine_Cracking!$U12,'Tables - Part 2'!$AX$5:$BA$5,0))+((INDEX('Tables - Part 2'!$BF$6:$BI$13,MATCH(Amine_Cracking!$W12,'Tables - Part 2'!$AV$6:$AV$13,0),MATCH(Amine_Cracking!$U12,'Tables - Part 2'!$AX$5:$BA$5,0))+(INDEX('Tables - Part 2'!$BF$6:$BI$13,MATCH(Amine_Cracking!$W12,'Tables - Part 2'!$AV$6:$AV$13,0),MATCH(Amine_Cracking!$U12,'Tables - Part 2'!$AX$5:$BA$5,0))+INDEX('Tables - Part 2'!$AX$17:$BA$24,MATCH(Amine_Cracking!$W12,'Tables - Part 2'!$AV$6:$AV$13,0),MATCH(Amine_Cracking!$U12,'Tables - Part 2'!$AX$5:$BA$5,0)))/2)/2))/2,0)</f>
        <v>0</v>
      </c>
      <c r="AU12" s="248">
        <f>IF($T12=$AU$3,(INDEX('Tables - Part 2'!$BF$6:$BI$13,MATCH(Amine_Cracking!$W12,'Tables - Part 2'!$AV$6:$AV$13,0),MATCH(Amine_Cracking!$U12,'Tables - Part 2'!$AX$5:$BA$5,0))+(INDEX('Tables - Part 2'!$BF$6:$BI$13,MATCH(Amine_Cracking!$W12,'Tables - Part 2'!$AV$6:$AV$13,0),MATCH(Amine_Cracking!$U12,'Tables - Part 2'!$AX$5:$BA$5,0))+INDEX('Tables - Part 2'!$AX$17:$BA$24,MATCH(Amine_Cracking!$W12,'Tables - Part 2'!$AV$6:$AV$13,0),MATCH(Amine_Cracking!$U12,'Tables - Part 2'!$AX$5:$BA$5,0)))/2)/2,0)</f>
        <v>0</v>
      </c>
      <c r="AV12" s="248">
        <f>IF($T12=$AV$3,(((INDEX('Tables - Part 2'!$BF$6:$BI$13,MATCH(Amine_Cracking!$W12,'Tables - Part 2'!$AV$6:$AV$13,0),MATCH(Amine_Cracking!$U12,'Tables - Part 2'!$AX$5:$BA$5,0))+(INDEX('Tables - Part 2'!$BF$6:$BI$13,MATCH(Amine_Cracking!$W12,'Tables - Part 2'!$AV$6:$AV$13,0),MATCH(Amine_Cracking!$U12,'Tables - Part 2'!$AX$5:$BA$5,0))+INDEX('Tables - Part 2'!$AX$17:$BA$24,MATCH(Amine_Cracking!$W12,'Tables - Part 2'!$AV$6:$AV$13,0),MATCH(Amine_Cracking!$U12,'Tables - Part 2'!$AX$5:$BA$5,0)))/2)/2)+((INDEX('Tables - Part 2'!$BF$6:$BI$13,MATCH(Amine_Cracking!$W12,'Tables - Part 2'!$AV$6:$AV$13,0),MATCH(Amine_Cracking!$U12,'Tables - Part 2'!$AX$5:$BA$5,0))+INDEX('Tables - Part 2'!$AX$17:$BA$24,MATCH(Amine_Cracking!$W12,'Tables - Part 2'!$AV$6:$AV$13,0),MATCH(Amine_Cracking!$U12,'Tables - Part 2'!$AX$5:$BA$5,0)))/2))/2,0)</f>
        <v>0</v>
      </c>
      <c r="AW12" s="248">
        <f>IF($T12=$AW$3,(INDEX('Tables - Part 2'!$BF$6:$BI$13,MATCH(Amine_Cracking!$W12,'Tables - Part 2'!$AV$6:$AV$13,0),MATCH(Amine_Cracking!$U12,'Tables - Part 2'!$AX$5:$BA$5,0))+INDEX('Tables - Part 2'!$AX$17:$BA$24,MATCH(Amine_Cracking!$W12,'Tables - Part 2'!$AV$6:$AV$13,0),MATCH(Amine_Cracking!$U12,'Tables - Part 2'!$AX$5:$BA$5,0)))/2,0)</f>
        <v>0</v>
      </c>
      <c r="AX12" s="248">
        <f>IF($T12=$AX$3,(((INDEX('Tables - Part 2'!$BF$6:$BI$13,MATCH(Amine_Cracking!$W12,'Tables - Part 2'!$AV$6:$AV$13,0),MATCH(Amine_Cracking!$U12,'Tables - Part 2'!$AX$5:$BA$5,0))+INDEX('Tables - Part 2'!$AX$17:$BA$24,MATCH(Amine_Cracking!$W12,'Tables - Part 2'!$AV$6:$AV$13,0),MATCH(Amine_Cracking!$U12,'Tables - Part 2'!$AX$5:$BA$5,0)))/2)+((((INDEX('Tables - Part 2'!$BF$6:$BI$13,MATCH(Amine_Cracking!$W12,'Tables - Part 2'!$AV$6:$AV$13,0),MATCH(Amine_Cracking!$U12,'Tables - Part 2'!$AX$5:$BA$5,0))+INDEX('Tables - Part 2'!$AX$17:$BA$24,MATCH(Amine_Cracking!$W12,'Tables - Part 2'!$AV$6:$AV$13,0),MATCH(Amine_Cracking!$U12,'Tables - Part 2'!$AX$5:$BA$5,0)))/2)+INDEX('Tables - Part 2'!$AX$17:$BA$24,MATCH(Amine_Cracking!$W12,'Tables - Part 2'!$AV$6:$AV$13,0),MATCH(Amine_Cracking!$U12,'Tables - Part 2'!$AX$5:$BA$5,0)))/2))/2,0)</f>
        <v>0</v>
      </c>
      <c r="AY12" s="248">
        <f>IF($T12=$AY$3,(((INDEX('Tables - Part 2'!$BF$6:$BI$13,MATCH(Amine_Cracking!$W12,'Tables - Part 2'!$AV$6:$AV$13,0),MATCH(Amine_Cracking!$U12,'Tables - Part 2'!$AX$5:$BA$5,0))+INDEX('Tables - Part 2'!$AX$17:$BA$24,MATCH(Amine_Cracking!$W12,'Tables - Part 2'!$AV$6:$AV$13,0),MATCH(Amine_Cracking!$U12,'Tables - Part 2'!$AX$5:$BA$5,0)))/2)+INDEX('Tables - Part 2'!$AX$17:$BA$24,MATCH(Amine_Cracking!$W12,'Tables - Part 2'!$AV$6:$AV$13,0),MATCH(Amine_Cracking!$U12,'Tables - Part 2'!$AX$5:$BA$5,0)))/2,0)</f>
        <v>0</v>
      </c>
      <c r="AZ12" s="248">
        <f>IF($T12=$AZ$3,(((((INDEX('Tables - Part 2'!$BF$6:$BI$13,MATCH(Amine_Cracking!$W12,'Tables - Part 2'!$AV$6:$AV$13,0),MATCH(Amine_Cracking!$U12,'Tables - Part 2'!$AX$5:$BA$5,0))+INDEX('Tables - Part 2'!$AX$17:$BA$24,MATCH(Amine_Cracking!$W12,'Tables - Part 2'!$AV$6:$AV$13,0),MATCH(Amine_Cracking!$U12,'Tables - Part 2'!$AX$5:$BA$5,0)))/2)+INDEX('Tables - Part 2'!$AX$17:$BA$24,MATCH(Amine_Cracking!$W12,'Tables - Part 2'!$AV$6:$AV$13,0),MATCH(Amine_Cracking!$U12,'Tables - Part 2'!$AX$5:$BA$5,0)))/2)+(INDEX('Tables - Part 2'!$AX$17:$BA$24,MATCH(Amine_Cracking!$W12,'Tables - Part 2'!$AV$6:$AV$13,0),MATCH(Amine_Cracking!$U12,'Tables - Part 2'!$AX$5:$BA$5,0))))/2,0)</f>
        <v>0</v>
      </c>
      <c r="BA12" s="248">
        <f>IF($T12=$BA$3,INDEX('Tables - Part 2'!$AX$17:$BA$24,MATCH(Amine_Cracking!$W12,'Tables - Part 2'!$AV$6:$AV$13,0),MATCH(Amine_Cracking!$U12,'Tables - Part 2'!$AX$5:$BA$5,0)),0)</f>
        <v>0</v>
      </c>
      <c r="BB12" s="248">
        <f>IF($T12=$BB$3,((INDEX('Tables - Part 2'!$AX$17:$BA$24,MATCH(Amine_Cracking!$W12,'Tables - Part 2'!$AV$6:$AV$13,0),MATCH(Amine_Cracking!$U12,'Tables - Part 2'!$AX$5:$BA$5,0)))+(((INDEX('Tables - Part 2'!$AX$17:$BA$24,MATCH(Amine_Cracking!$W12,'Tables - Part 2'!$AV$6:$AV$13,0),MATCH(Amine_Cracking!$U12,'Tables - Part 2'!$AX$5:$BA$5,0)))+(INDEX('Tables - Part 2'!$AX$17:$BA$24,MATCH(Amine_Cracking!$W12,'Tables - Part 2'!$AV$6:$AV$13,0),MATCH(Amine_Cracking!$U12,'Tables - Part 2'!$AX$5:$BA$5,0))+INDEX('Tables - Part 2'!$BB$17:$BE$24,MATCH(Amine_Cracking!$W12,'Tables - Part 2'!$AV$6:$AV$13,0),MATCH(Amine_Cracking!$U12,'Tables - Part 2'!$AX$5:$BA$5,0)))/2)/2))/2,0)</f>
        <v>0</v>
      </c>
      <c r="BC12" s="248">
        <f>IF($T12=$BC$3,((INDEX('Tables - Part 2'!$AX$17:$BA$24,MATCH(Amine_Cracking!$W12,'Tables - Part 2'!$AV$6:$AV$13,0),MATCH(Amine_Cracking!$U12,'Tables - Part 2'!$AX$5:$BA$5,0)))+(INDEX('Tables - Part 2'!$AX$17:$BA$24,MATCH(Amine_Cracking!$W12,'Tables - Part 2'!$AV$6:$AV$13,0),MATCH(Amine_Cracking!$U12,'Tables - Part 2'!$AX$5:$BA$5,0))+INDEX('Tables - Part 2'!$BB$17:$BE$24,MATCH(Amine_Cracking!$W12,'Tables - Part 2'!$AV$6:$AV$13,0),MATCH(Amine_Cracking!$U12,'Tables - Part 2'!$AX$5:$BA$5,0)))/2)/2,0)</f>
        <v>0</v>
      </c>
      <c r="BD12" s="248">
        <f>IF($T12=$BD$3,((((INDEX('Tables - Part 2'!$AX$17:$BA$24,MATCH(Amine_Cracking!$W12,'Tables - Part 2'!$AV$6:$AV$13,0),MATCH(Amine_Cracking!$U12,'Tables - Part 2'!$AX$5:$BA$5,0)))+(INDEX('Tables - Part 2'!$AX$17:$BA$24,MATCH(Amine_Cracking!$W12,'Tables - Part 2'!$AV$6:$AV$13,0),MATCH(Amine_Cracking!$U12,'Tables - Part 2'!$AX$5:$BA$5,0))+INDEX('Tables - Part 2'!$BB$17:$BE$24,MATCH(Amine_Cracking!$W12,'Tables - Part 2'!$AV$6:$AV$13,0),MATCH(Amine_Cracking!$U12,'Tables - Part 2'!$AX$5:$BA$5,0)))/2)/2)+((INDEX('Tables - Part 2'!$AX$17:$BA$24,MATCH(Amine_Cracking!$W12,'Tables - Part 2'!$AV$6:$AV$13,0),MATCH(Amine_Cracking!$U12,'Tables - Part 2'!$AX$5:$BA$5,0))+INDEX('Tables - Part 2'!$BB$17:$BE$24,MATCH(Amine_Cracking!$W12,'Tables - Part 2'!$AV$6:$AV$13,0),MATCH(Amine_Cracking!$U12,'Tables - Part 2'!$AX$5:$BA$5,0)))/2))/2,0)</f>
        <v>0</v>
      </c>
      <c r="BE12" s="248">
        <f>IF($T12=$BE$3,(INDEX('Tables - Part 2'!$AX$17:$BA$24,MATCH(Amine_Cracking!$W12,'Tables - Part 2'!$AV$6:$AV$13,0),MATCH(Amine_Cracking!$U12,'Tables - Part 2'!$AX$5:$BA$5,0))+INDEX('Tables - Part 2'!$BB$17:$BE$24,MATCH(Amine_Cracking!$W12,'Tables - Part 2'!$AV$6:$AV$13,0),MATCH(Amine_Cracking!$U12,'Tables - Part 2'!$AX$5:$BA$5,0)))/2,0)</f>
        <v>0</v>
      </c>
      <c r="BF12" s="248">
        <f>IF($T12=$BF$3,(((INDEX('Tables - Part 2'!$AX$17:$BA$24,MATCH(Amine_Cracking!$W12,'Tables - Part 2'!$AV$6:$AV$13,0),MATCH(Amine_Cracking!$U12,'Tables - Part 2'!$AX$5:$BA$5,0))+INDEX('Tables - Part 2'!$BB$17:$BE$24,MATCH(Amine_Cracking!$W12,'Tables - Part 2'!$AV$6:$AV$13,0),MATCH(Amine_Cracking!$U12,'Tables - Part 2'!$AX$5:$BA$5,0)))/2)+((((INDEX('Tables - Part 2'!$AX$17:$BA$24,MATCH(Amine_Cracking!$W12,'Tables - Part 2'!$AV$6:$AV$13,0),MATCH(Amine_Cracking!$U12,'Tables - Part 2'!$AX$5:$BA$5,0))+INDEX('Tables - Part 2'!$BB$17:$BE$24,MATCH(Amine_Cracking!$W12,'Tables - Part 2'!$AV$6:$AV$13,0),MATCH(Amine_Cracking!$U12,'Tables - Part 2'!$AX$5:$BA$5,0)))/2)+INDEX('Tables - Part 2'!$BB$17:$BE$24,MATCH(Amine_Cracking!$W12,'Tables - Part 2'!$AV$6:$AV$13,0),MATCH(Amine_Cracking!$U12,'Tables - Part 2'!$AX$5:$BA$5,0)))/2))/2,0)</f>
        <v>0</v>
      </c>
      <c r="BG12" s="248">
        <f>IF($T12=$BG$3,(((INDEX('Tables - Part 2'!$AX$17:$BA$24,MATCH(Amine_Cracking!$W12,'Tables - Part 2'!$AV$6:$AV$13,0),MATCH(Amine_Cracking!$U12,'Tables - Part 2'!$AX$5:$BA$5,0))+INDEX('Tables - Part 2'!$BB$17:$BE$24,MATCH(Amine_Cracking!$W12,'Tables - Part 2'!$AV$6:$AV$13,0),MATCH(Amine_Cracking!$U12,'Tables - Part 2'!$AX$5:$BA$5,0)))/2)+INDEX('Tables - Part 2'!$BB$17:$BE$24,MATCH(Amine_Cracking!$W12,'Tables - Part 2'!$AV$6:$AV$13,0),MATCH(Amine_Cracking!$U12,'Tables - Part 2'!$AX$5:$BA$5,0)))/2,0)</f>
        <v>0</v>
      </c>
      <c r="BH12" s="248">
        <f>IF($T12=$BH$3,(((((INDEX('Tables - Part 2'!$AX$17:$BA$24,MATCH(Amine_Cracking!$W12,'Tables - Part 2'!$AV$6:$AV$13,0),MATCH(Amine_Cracking!$U12,'Tables - Part 2'!$AX$5:$BA$5,0))+INDEX('Tables - Part 2'!$BB$17:$BE$24,MATCH(Amine_Cracking!$W12,'Tables - Part 2'!$AV$6:$AV$13,0),MATCH(Amine_Cracking!$U12,'Tables - Part 2'!$AX$5:$BA$5,0)))/2)+INDEX('Tables - Part 2'!$BB$17:$BE$24,MATCH(Amine_Cracking!$W12,'Tables - Part 2'!$AV$6:$AV$13,0),MATCH(Amine_Cracking!$U12,'Tables - Part 2'!$AX$5:$BA$5,0)))/2)+(INDEX('Tables - Part 2'!$BB$17:$BE$24,MATCH(Amine_Cracking!$W12,'Tables - Part 2'!$AV$6:$AV$13,0),MATCH(Amine_Cracking!$U12,'Tables - Part 2'!$AX$5:$BA$5,0))))/2,0)</f>
        <v>0</v>
      </c>
      <c r="BI12" s="248">
        <f>IF($T12=$BI$3,INDEX('Tables - Part 2'!$BB$17:$BE$24,MATCH(Amine_Cracking!$W12,'Tables - Part 2'!$AV$6:$AV$13,0),MATCH(Amine_Cracking!$U12,'Tables - Part 2'!$AX$5:$BA$5,0)),0)</f>
        <v>0</v>
      </c>
      <c r="BJ12" s="248">
        <f>IF($T12=$BJ$3,((INDEX('Tables - Part 2'!$BB$17:$BE$24,MATCH(Amine_Cracking!$W12,'Tables - Part 2'!$AV$6:$AV$13,0),MATCH(Amine_Cracking!$U12,'Tables - Part 2'!$AX$5:$BA$5,0)))+(((INDEX('Tables - Part 2'!$BB$17:$BE$24,MATCH(Amine_Cracking!$W12,'Tables - Part 2'!$AV$6:$AV$13,0),MATCH(Amine_Cracking!$U12,'Tables - Part 2'!$AX$5:$BA$5,0)))+(INDEX('Tables - Part 2'!$BB$17:$BE$24,MATCH(Amine_Cracking!$W12,'Tables - Part 2'!$AV$6:$AV$13,0),MATCH(Amine_Cracking!$U12,'Tables - Part 2'!$AX$5:$BA$5,0))+INDEX('Tables - Part 2'!$BF$17:$BI$24,MATCH(Amine_Cracking!$W12,'Tables - Part 2'!$AV$6:$AV$13,0),MATCH(Amine_Cracking!$U12,'Tables - Part 2'!$AX$5:$BA$5,0)))/2)/2))/2,0)</f>
        <v>0</v>
      </c>
      <c r="BK12" s="248">
        <f>IF($T12=$BK$3,((INDEX('Tables - Part 2'!$BB$17:$BE$24,MATCH(Amine_Cracking!$W12,'Tables - Part 2'!$AV$6:$AV$13,0),MATCH(Amine_Cracking!$U12,'Tables - Part 2'!$AX$5:$BA$5,0)))+(INDEX('Tables - Part 2'!$BB$17:$BE$24,MATCH(Amine_Cracking!$W12,'Tables - Part 2'!$AV$6:$AV$13,0),MATCH(Amine_Cracking!$U12,'Tables - Part 2'!$AX$5:$BA$5,0))+INDEX('Tables - Part 2'!$BF$17:$BI$24,MATCH(Amine_Cracking!$W12,'Tables - Part 2'!$AV$6:$AV$13,0),MATCH(Amine_Cracking!$U12,'Tables - Part 2'!$AX$5:$BA$5,0)))/2)/2,0)</f>
        <v>0</v>
      </c>
      <c r="BL12" s="248">
        <f>IF($T12=$BL$3,((((INDEX('Tables - Part 2'!$BB$17:$BE$24,MATCH(Amine_Cracking!$W12,'Tables - Part 2'!$AV$6:$AV$13,0),MATCH(Amine_Cracking!$U12,'Tables - Part 2'!$AX$5:$BA$5,0)))+(INDEX('Tables - Part 2'!$BB$17:$BE$24,MATCH(Amine_Cracking!$W12,'Tables - Part 2'!$AV$6:$AV$13,0),MATCH(Amine_Cracking!$U12,'Tables - Part 2'!$AX$5:$BA$5,0))+INDEX('Tables - Part 2'!$BF$17:$BI$24,MATCH(Amine_Cracking!$W12,'Tables - Part 2'!$AV$6:$AV$13,0),MATCH(Amine_Cracking!$U12,'Tables - Part 2'!$AX$5:$BA$5,0)))/2)/2)+((INDEX('Tables - Part 2'!$BB$17:$BE$24,MATCH(Amine_Cracking!$W12,'Tables - Part 2'!$AV$6:$AV$13,0),MATCH(Amine_Cracking!$U12,'Tables - Part 2'!$AX$5:$BA$5,0))+INDEX('Tables - Part 2'!$BF$17:$BI$24,MATCH(Amine_Cracking!$W12,'Tables - Part 2'!$AV$6:$AV$13,0),MATCH(Amine_Cracking!$U12,'Tables - Part 2'!$AX$5:$BA$5,0)))/2))/2,0)</f>
        <v>0</v>
      </c>
      <c r="BM12" s="248">
        <f>IF($T12=$BM$3,(INDEX('Tables - Part 2'!$BB$17:$BE$24,MATCH(Amine_Cracking!$W12,'Tables - Part 2'!$AV$6:$AV$13,0),MATCH(Amine_Cracking!$U12,'Tables - Part 2'!$AX$5:$BA$5,0))+INDEX('Tables - Part 2'!$BF$17:$BI$24,MATCH(Amine_Cracking!$W12,'Tables - Part 2'!$AV$6:$AV$13,0),MATCH(Amine_Cracking!$U12,'Tables - Part 2'!$AX$5:$BA$5,0)))/2,0)</f>
        <v>0</v>
      </c>
      <c r="BN12" s="248">
        <f>IF($T12=$BN$3,(((INDEX('Tables - Part 2'!$BB$17:$BE$24,MATCH(Amine_Cracking!$W12,'Tables - Part 2'!$AV$6:$AV$13,0),MATCH(Amine_Cracking!$U12,'Tables - Part 2'!$AX$5:$BA$5,0))+INDEX('Tables - Part 2'!$BF$17:$BI$24,MATCH(Amine_Cracking!$W12,'Tables - Part 2'!$AV$6:$AV$13,0),MATCH(Amine_Cracking!$U12,'Tables - Part 2'!$AX$5:$BA$5,0)))/2)+((((INDEX('Tables - Part 2'!$BB$17:$BE$24,MATCH(Amine_Cracking!$W12,'Tables - Part 2'!$AV$6:$AV$13,0),MATCH(Amine_Cracking!$U12,'Tables - Part 2'!$AX$5:$BA$5,0))+INDEX('Tables - Part 2'!$BF$17:$BI$24,MATCH(Amine_Cracking!$W12,'Tables - Part 2'!$AV$6:$AV$13,0),MATCH(Amine_Cracking!$U12,'Tables - Part 2'!$AX$5:$BA$5,0)))/2)+INDEX('Tables - Part 2'!$BF$17:$BI$24,MATCH(Amine_Cracking!$W12,'Tables - Part 2'!$AV$6:$AV$13,0),MATCH(Amine_Cracking!$U12,'Tables - Part 2'!$AX$5:$BA$5,0)))/2))/2,0)</f>
        <v>0</v>
      </c>
      <c r="BO12" s="248">
        <f>IF($T12=$BO$3,(((INDEX('Tables - Part 2'!$BB$17:$BE$24,MATCH(Amine_Cracking!$W12,'Tables - Part 2'!$AV$6:$AV$13,0),MATCH(Amine_Cracking!$U12,'Tables - Part 2'!$AX$5:$BA$5,0))+INDEX('Tables - Part 2'!$BF$17:$BI$24,MATCH(Amine_Cracking!$W12,'Tables - Part 2'!$AV$6:$AV$13,0),MATCH(Amine_Cracking!$U12,'Tables - Part 2'!$AX$5:$BA$5,0)))/2)+INDEX('Tables - Part 2'!$BF$17:$BI$24,MATCH(Amine_Cracking!$W12,'Tables - Part 2'!$AV$6:$AV$13,0),MATCH(Amine_Cracking!$U12,'Tables - Part 2'!$AX$5:$BA$5,0)))/2,0)</f>
        <v>0</v>
      </c>
      <c r="BP12" s="248">
        <f>IF($T12=$BP$3,(((((INDEX('Tables - Part 2'!$BB$17:$BE$24,MATCH(Amine_Cracking!$W12,'Tables - Part 2'!$AV$6:$AV$13,0),MATCH(Amine_Cracking!$U12,'Tables - Part 2'!$AX$5:$BA$5,0))+INDEX('Tables - Part 2'!$BF$17:$BI$24,MATCH(Amine_Cracking!$W12,'Tables - Part 2'!$AV$6:$AV$13,0),MATCH(Amine_Cracking!$U12,'Tables - Part 2'!$AX$5:$BA$5,0)))/2)+INDEX('Tables - Part 2'!$BF$17:$BI$24,MATCH(Amine_Cracking!$W12,'Tables - Part 2'!$AV$6:$AV$13,0),MATCH(Amine_Cracking!$U12,'Tables - Part 2'!$AX$5:$BA$5,0)))/2)+(INDEX('Tables - Part 2'!$BF$17:$BI$24,MATCH(Amine_Cracking!$W12,'Tables - Part 2'!$AV$6:$AV$13,0),MATCH(Amine_Cracking!$U12,'Tables - Part 2'!$AX$5:$BA$5,0))))/2,0)</f>
        <v>0</v>
      </c>
      <c r="BQ12" s="248">
        <f>IF($T12=$BQ$3,INDEX('Tables - Part 2'!$BF$17:$BI$24,MATCH(Amine_Cracking!$W12,'Tables - Part 2'!$AV$6:$AV$13,0),MATCH(Amine_Cracking!$U12,'Tables - Part 2'!$AX$5:$BA$5,0)),0)</f>
        <v>0</v>
      </c>
      <c r="BR12" s="248">
        <f t="shared" si="5"/>
        <v>0</v>
      </c>
      <c r="BS12" s="238">
        <f t="shared" si="8"/>
        <v>3</v>
      </c>
      <c r="BT12" s="238">
        <f t="shared" si="9"/>
        <v>50.318647405225171</v>
      </c>
    </row>
    <row r="13" spans="2:85" x14ac:dyDescent="0.35">
      <c r="B13" s="161" t="str">
        <f>'Tratamento de Dados'!B21</f>
        <v>V-4</v>
      </c>
      <c r="C13" s="161" t="str">
        <f>'Tratamento de Dados'!D21</f>
        <v>Casco</v>
      </c>
      <c r="D13" s="209" t="s">
        <v>245</v>
      </c>
      <c r="E13" s="209" t="s">
        <v>245</v>
      </c>
      <c r="F13" s="209" t="s">
        <v>244</v>
      </c>
      <c r="G13" s="209" t="s">
        <v>244</v>
      </c>
      <c r="H13" s="209" t="s">
        <v>245</v>
      </c>
      <c r="I13" s="209">
        <v>100</v>
      </c>
      <c r="J13" s="209" t="s">
        <v>245</v>
      </c>
      <c r="K13" s="209" t="s">
        <v>245</v>
      </c>
      <c r="L13" s="209" t="s">
        <v>245</v>
      </c>
      <c r="M13" s="210">
        <v>39092</v>
      </c>
      <c r="N13" s="209">
        <v>0</v>
      </c>
      <c r="O13" s="209">
        <v>1</v>
      </c>
      <c r="P13" s="209">
        <v>1</v>
      </c>
      <c r="Q13" s="209">
        <v>4</v>
      </c>
      <c r="R13" s="253">
        <f>'Tratamento de Dados'!DA21</f>
        <v>0</v>
      </c>
      <c r="S13" s="253">
        <f>'Tratamento de Dados'!DB21</f>
        <v>0</v>
      </c>
      <c r="T13" s="256">
        <f t="shared" si="0"/>
        <v>2.5</v>
      </c>
      <c r="U13" s="246" t="str">
        <f t="shared" si="1"/>
        <v>B</v>
      </c>
      <c r="V13" s="238" t="str">
        <f t="shared" si="6"/>
        <v>High</v>
      </c>
      <c r="W13" s="238">
        <f>IF(AND(D13=$BY$2,E13&lt;&gt;$BY$2),"Fitness-For-Service",INDEX('Tables - Part 2'!$BL$4:$BL$7,MATCH(Amine_Cracking!V13,'Tables - Part 2'!$BK$4:$BK$7,0),))</f>
        <v>100</v>
      </c>
      <c r="X13" s="238">
        <f>IF(M13=0,(Thinning!G14-Thinning!F14)/365.25,(Thinning!G14-M13)/365.25)</f>
        <v>12.980150581793293</v>
      </c>
      <c r="Y13" s="248">
        <f t="shared" si="2"/>
        <v>0</v>
      </c>
      <c r="Z13" s="248">
        <f t="shared" si="3"/>
        <v>2.5</v>
      </c>
      <c r="AA13" s="247">
        <f t="shared" si="7"/>
        <v>3</v>
      </c>
      <c r="AB13" s="247">
        <f t="shared" si="4"/>
        <v>4</v>
      </c>
      <c r="AC13" s="248">
        <f>IF($T13=$AC$3,INDEX('Tables - Part 2'!$AX$6:$BA$13,MATCH(Amine_Cracking!W13,'Tables - Part 2'!$AV$6:$AV$13,0),MATCH(Amine_Cracking!U13,'Tables - Part 2'!$AX$5:$BA$5,0)),0)</f>
        <v>0</v>
      </c>
      <c r="AD13" s="248">
        <f>IF($T13=$AD$3,(INDEX('Tables - Part 2'!$AX$6:$BA$13,MATCH(Amine_Cracking!W13,'Tables - Part 2'!$AV$6:$AV$13,0),MATCH(Amine_Cracking!U13,'Tables - Part 2'!$AX$5:$BA$5,0))+(INDEX('Tables - Part 2'!$AX$6:$BA$13,MATCH(Amine_Cracking!W13,'Tables - Part 2'!$AV$6:$AV$13,0),MATCH(Amine_Cracking!U13,'Tables - Part 2'!$AX$5:$BA$5,0))+((INDEX('Tables - Part 2'!$AX$6:$BA$13,MATCH(Amine_Cracking!W13,'Tables - Part 2'!$AV$6:$AV$13,0),MATCH(Amine_Cracking!U13,'Tables - Part 2'!$AX$5:$BA$5,0))+INDEX('Tables - Part 2'!$BB$6:$BE$13,MATCH(Amine_Cracking!$W13,'Tables - Part 2'!$AV$6:$AV$13,0),MATCH(Amine_Cracking!$U13,'Tables - Part 2'!$AX$5:$BA$5,0)))/2))/2)/2,0)</f>
        <v>0</v>
      </c>
      <c r="AE13" s="248">
        <f>IF($T13=$AE$3,(INDEX('Tables - Part 2'!$AX$6:$BA$13,MATCH(Amine_Cracking!W13,'Tables - Part 2'!$AV$6:$AV$13,0),MATCH(Amine_Cracking!U13,'Tables - Part 2'!$AX$5:$BA$5,0))+((INDEX('Tables - Part 2'!$AX$6:$BA$13,MATCH(Amine_Cracking!W13,'Tables - Part 2'!$AV$6:$AV$13,0),MATCH(Amine_Cracking!U13,'Tables - Part 2'!$AX$5:$BA$5,0))+INDEX('Tables - Part 2'!$BB$6:$BE$13,MATCH(Amine_Cracking!$W13,'Tables - Part 2'!$AV$6:$AV$13,0),MATCH(Amine_Cracking!$U13,'Tables - Part 2'!$AX$5:$BA$5,0)))/2))/2,0)</f>
        <v>0</v>
      </c>
      <c r="AF13" s="248">
        <f>IF($T13=$AF$3,(((INDEX('Tables - Part 2'!$AX$6:$BA$13,MATCH(Amine_Cracking!W13,'Tables - Part 2'!$AV$6:$AV$13,0),MATCH(Amine_Cracking!U13,'Tables - Part 2'!$AX$5:$BA$5,0))+((INDEX('Tables - Part 2'!$AX$6:$BA$13,MATCH(Amine_Cracking!W13,'Tables - Part 2'!$AV$6:$AV$13,0),MATCH(Amine_Cracking!U13,'Tables - Part 2'!$AX$5:$BA$5,0))+INDEX('Tables - Part 2'!$BB$6:$BE$13,MATCH(Amine_Cracking!$W13,'Tables - Part 2'!$AV$6:$AV$13,0),MATCH(Amine_Cracking!$U13,'Tables - Part 2'!$AX$5:$BA$5,0)))/2))/2)+(INDEX('Tables - Part 2'!$AX$6:$BA$13,MATCH(Amine_Cracking!W13,'Tables - Part 2'!$AV$6:$AV$13,0),MATCH(Amine_Cracking!U13,'Tables - Part 2'!$AX$5:$BA$5,0))+INDEX('Tables - Part 2'!$BB$6:$BE$13,MATCH(Amine_Cracking!$W13,'Tables - Part 2'!$AV$6:$AV$13,0),MATCH(Amine_Cracking!$U13,'Tables - Part 2'!$AX$5:$BA$5,0)))/2)/2,0)</f>
        <v>0</v>
      </c>
      <c r="AG13" s="248">
        <f>IF($T13=$AG$3,(INDEX('Tables - Part 2'!$AX$6:$BA$13,MATCH(Amine_Cracking!W13,'Tables - Part 2'!$AV$6:$AV$13,0),MATCH(Amine_Cracking!U13,'Tables - Part 2'!$AX$5:$BA$5,0))+INDEX('Tables - Part 2'!$BB$6:$BE$13,MATCH(Amine_Cracking!$W13,'Tables - Part 2'!$AV$6:$AV$13,0),MATCH(Amine_Cracking!$U13,'Tables - Part 2'!$AX$5:$BA$5,0)))/2,0)</f>
        <v>0</v>
      </c>
      <c r="AH13" s="248">
        <f>IF($T13=$AH$3,(((INDEX('Tables - Part 2'!$AX$6:$BA$13,MATCH(Amine_Cracking!W13,'Tables - Part 2'!$AV$6:$AV$13,0),MATCH(Amine_Cracking!U13,'Tables - Part 2'!$AX$5:$BA$5,0))+INDEX('Tables - Part 2'!$BB$6:$BE$13,MATCH(Amine_Cracking!$W13,'Tables - Part 2'!$AV$6:$AV$13,0),MATCH(Amine_Cracking!$U13,'Tables - Part 2'!$AX$5:$BA$5,0)))/2)+(((INDEX('Tables - Part 2'!$AX$6:$BA$13,MATCH(Amine_Cracking!W13,'Tables - Part 2'!$AV$6:$AV$13,0),MATCH(Amine_Cracking!U13,'Tables - Part 2'!$AX$5:$BA$5,0))+INDEX('Tables - Part 2'!$BB$6:$BE$13,MATCH(Amine_Cracking!$W13,'Tables - Part 2'!$AV$6:$AV$13,0),MATCH(Amine_Cracking!$U13,'Tables - Part 2'!$AX$5:$BA$5,0)))/2)+INDEX('Tables - Part 2'!$BB$6:$BE$13,MATCH(Amine_Cracking!$W13,'Tables - Part 2'!$AV$6:$AV$13,0),MATCH(Amine_Cracking!$U13,'Tables - Part 2'!$AX$5:$BA$5,0)))/2)/2,0)</f>
        <v>0</v>
      </c>
      <c r="AI13" s="248">
        <f>IF($T13=$AI$3,(((INDEX('Tables - Part 2'!$AX$6:$BA$13,MATCH(Amine_Cracking!W13,'Tables - Part 2'!$AV$6:$AV$13,0),MATCH(Amine_Cracking!U13,'Tables - Part 2'!$AX$5:$BA$5,0))+INDEX('Tables - Part 2'!$BB$6:$BE$13,MATCH(Amine_Cracking!$W13,'Tables - Part 2'!$AV$6:$AV$13,0),MATCH(Amine_Cracking!$U13,'Tables - Part 2'!$AX$5:$BA$5,0)))/2)+INDEX('Tables - Part 2'!$BB$6:$BE$13,MATCH(Amine_Cracking!$W13,'Tables - Part 2'!$AV$6:$AV$13,0),MATCH(Amine_Cracking!$U13,'Tables - Part 2'!$AX$5:$BA$5,0)))/2,0)</f>
        <v>0</v>
      </c>
      <c r="AJ13" s="248">
        <f>IF($T13=$AJ$3,(((((INDEX('Tables - Part 2'!$AX$6:$BA$13,MATCH(Amine_Cracking!W13,'Tables - Part 2'!$AV$6:$AV$13,0),MATCH(Amine_Cracking!U13,'Tables - Part 2'!$AX$5:$BA$5,0))+INDEX('Tables - Part 2'!$BB$6:$BE$13,MATCH(Amine_Cracking!$W13,'Tables - Part 2'!$AV$6:$AV$13,0),MATCH(Amine_Cracking!$U13,'Tables - Part 2'!$AX$5:$BA$5,0)))/2)+INDEX('Tables - Part 2'!$BB$6:$BE$13,MATCH(Amine_Cracking!$W13,'Tables - Part 2'!$AV$6:$AV$13,0),MATCH(Amine_Cracking!$U13,'Tables - Part 2'!$AX$5:$BA$5,0)))/2)+INDEX('Tables - Part 2'!$BB$6:$BE$13,MATCH(Amine_Cracking!$W13,'Tables - Part 2'!$AV$6:$AV$13,0),MATCH(Amine_Cracking!$U13,'Tables - Part 2'!$AX$5:$BA$5,0)))/2,0)</f>
        <v>0</v>
      </c>
      <c r="AK13" s="248">
        <f>IF($T13=$AK$3,INDEX('Tables - Part 2'!$BB$6:$BE$13,MATCH(Amine_Cracking!$W13,'Tables - Part 2'!$AV$6:$AV$13,0),MATCH(Amine_Cracking!$U13,'Tables - Part 2'!$AX$5:$BA$5,0)),0)</f>
        <v>0</v>
      </c>
      <c r="AL13" s="248">
        <f>IF($T13=$AL$3,((INDEX('Tables - Part 2'!$BB$6:$BE$13,MATCH(Amine_Cracking!$W13,'Tables - Part 2'!$AV$6:$AV$13,0),MATCH(Amine_Cracking!$U13,'Tables - Part 2'!$AX$5:$BA$5,0)))+(INDEX('Tables - Part 2'!$BB$6:$BE$13,MATCH(Amine_Cracking!$W13,'Tables - Part 2'!$AV$6:$AV$13,0),MATCH(Amine_Cracking!$U13,'Tables - Part 2'!$AX$5:$BA$5,0))+(INDEX('Tables - Part 2'!$BB$6:$BE$13,MATCH(Amine_Cracking!$W13,'Tables - Part 2'!$AV$6:$AV$13,0),MATCH(Amine_Cracking!$U13,'Tables - Part 2'!$AX$5:$BA$5,0))+INDEX('Tables - Part 2'!$BF$6:$BI$13,MATCH(Amine_Cracking!$W13,'Tables - Part 2'!$AV$6:$AV$13,0),MATCH(Amine_Cracking!$U13,'Tables - Part 2'!$AX$5:$BA$5,0)))/2)/2)/2,0)</f>
        <v>0</v>
      </c>
      <c r="AM13" s="248">
        <f>IF($T13=$AM$3,(INDEX('Tables - Part 2'!$BB$6:$BE$13,MATCH(Amine_Cracking!$W13,'Tables - Part 2'!$AV$6:$AV$13,0),MATCH(Amine_Cracking!$U13,'Tables - Part 2'!$AX$5:$BA$5,0))+(INDEX('Tables - Part 2'!$BB$6:$BE$13,MATCH(Amine_Cracking!$W13,'Tables - Part 2'!$AV$6:$AV$13,0),MATCH(Amine_Cracking!$U13,'Tables - Part 2'!$AX$5:$BA$5,0))+INDEX('Tables - Part 2'!$BF$6:$BI$13,MATCH(Amine_Cracking!$W13,'Tables - Part 2'!$AV$6:$AV$13,0),MATCH(Amine_Cracking!$U13,'Tables - Part 2'!$AX$5:$BA$5,0)))/2)/2,0)</f>
        <v>0</v>
      </c>
      <c r="AN13" s="248">
        <f>IF($T13=$AN$3,(((INDEX('Tables - Part 2'!$BB$6:$BE$13,MATCH(Amine_Cracking!$W13,'Tables - Part 2'!$AV$6:$AV$13,0),MATCH(Amine_Cracking!$U13,'Tables - Part 2'!$AX$5:$BA$5,0))+(INDEX('Tables - Part 2'!$BB$6:$BE$13,MATCH(Amine_Cracking!$W13,'Tables - Part 2'!$AV$6:$AV$13,0),MATCH(Amine_Cracking!$U13,'Tables - Part 2'!$AX$5:$BA$5,0))+INDEX('Tables - Part 2'!$BF$6:$BI$13,MATCH(Amine_Cracking!$W13,'Tables - Part 2'!$AV$6:$AV$13,0),MATCH(Amine_Cracking!$U13,'Tables - Part 2'!$AX$5:$BA$5,0)))/2)/2)+((INDEX('Tables - Part 2'!$BB$6:$BE$13,MATCH(Amine_Cracking!$W13,'Tables - Part 2'!$AV$6:$AV$13,0),MATCH(Amine_Cracking!$U13,'Tables - Part 2'!$AX$5:$BA$5,0))+INDEX('Tables - Part 2'!$BF$6:$BI$13,MATCH(Amine_Cracking!$W13,'Tables - Part 2'!$AV$6:$AV$13,0),MATCH(Amine_Cracking!$U13,'Tables - Part 2'!$AX$5:$BA$5,0)))/2))/2,0)</f>
        <v>0</v>
      </c>
      <c r="AO13" s="248">
        <f>IF($T13=$AO$3,(INDEX('Tables - Part 2'!$BB$6:$BE$13,MATCH(Amine_Cracking!$W13,'Tables - Part 2'!$AV$6:$AV$13,0),MATCH(Amine_Cracking!$U13,'Tables - Part 2'!$AX$5:$BA$5,0))+INDEX('Tables - Part 2'!$BF$6:$BI$13,MATCH(Amine_Cracking!$W13,'Tables - Part 2'!$AV$6:$AV$13,0),MATCH(Amine_Cracking!$U13,'Tables - Part 2'!$AX$5:$BA$5,0)))/2,0)</f>
        <v>3</v>
      </c>
      <c r="AP13" s="248">
        <f>IF($T13=$AP$3,(((INDEX('Tables - Part 2'!$BB$6:$BE$13,MATCH(Amine_Cracking!$W13,'Tables - Part 2'!$AV$6:$AV$13,0),MATCH(Amine_Cracking!$U13,'Tables - Part 2'!$AX$5:$BA$5,0))+INDEX('Tables - Part 2'!$BF$6:$BI$13,MATCH(Amine_Cracking!$W13,'Tables - Part 2'!$AV$6:$AV$13,0),MATCH(Amine_Cracking!$U13,'Tables - Part 2'!$AX$5:$BA$5,0)))/2)+((((INDEX('Tables - Part 2'!$BB$6:$BE$13,MATCH(Amine_Cracking!$W13,'Tables - Part 2'!$AV$6:$AV$13,0),MATCH(Amine_Cracking!$U13,'Tables - Part 2'!$AX$5:$BA$5,0))+INDEX('Tables - Part 2'!$BF$6:$BI$13,MATCH(Amine_Cracking!$W13,'Tables - Part 2'!$AV$6:$AV$13,0),MATCH(Amine_Cracking!$U13,'Tables - Part 2'!$AX$5:$BA$5,0)))/2)+INDEX('Tables - Part 2'!$BF$6:$BI$13,MATCH(Amine_Cracking!$W13,'Tables - Part 2'!$AV$6:$AV$13,0),MATCH(Amine_Cracking!$U13,'Tables - Part 2'!$AX$5:$BA$5,0)))/2))/2,0)</f>
        <v>0</v>
      </c>
      <c r="AQ13" s="248">
        <f>IF($T13=$AQ$3,(((INDEX('Tables - Part 2'!$BB$6:$BE$13,MATCH(Amine_Cracking!$W13,'Tables - Part 2'!$AV$6:$AV$13,0),MATCH(Amine_Cracking!$U13,'Tables - Part 2'!$AX$5:$BA$5,0))+INDEX('Tables - Part 2'!$BF$6:$BI$13,MATCH(Amine_Cracking!$W13,'Tables - Part 2'!$AV$6:$AV$13,0),MATCH(Amine_Cracking!$U13,'Tables - Part 2'!$AX$5:$BA$5,0)))/2)+INDEX('Tables - Part 2'!$BF$6:$BI$13,MATCH(Amine_Cracking!$W13,'Tables - Part 2'!$AV$6:$AV$13,0),MATCH(Amine_Cracking!$U13,'Tables - Part 2'!$AX$5:$BA$5,0)))/2,0)</f>
        <v>0</v>
      </c>
      <c r="AR13" s="248">
        <f>IF($T13=$AR$3,(((((INDEX('Tables - Part 2'!$BB$6:$BE$13,MATCH(Amine_Cracking!$W13,'Tables - Part 2'!$AV$6:$AV$13,0),MATCH(Amine_Cracking!$U13,'Tables - Part 2'!$AX$5:$BA$5,0))+INDEX('Tables - Part 2'!$BF$6:$BI$13,MATCH(Amine_Cracking!$W13,'Tables - Part 2'!$AV$6:$AV$13,0),MATCH(Amine_Cracking!$U13,'Tables - Part 2'!$AX$5:$BA$5,0)))/2)+INDEX('Tables - Part 2'!$BF$6:$BI$13,MATCH(Amine_Cracking!$W13,'Tables - Part 2'!$AV$6:$AV$13,0),MATCH(Amine_Cracking!$U13,'Tables - Part 2'!$AX$5:$BA$5,0)))/2)+INDEX('Tables - Part 2'!$BF$6:$BI$13,MATCH(Amine_Cracking!$W13,'Tables - Part 2'!$AV$6:$AV$13,0),MATCH(Amine_Cracking!$U13,'Tables - Part 2'!$AX$5:$BA$5,0)))/2,0)</f>
        <v>0</v>
      </c>
      <c r="AS13" s="248">
        <f>IF($T13=$AS$3,INDEX('Tables - Part 2'!$BF$6:$BI$13,MATCH(Amine_Cracking!$W13,'Tables - Part 2'!$AV$6:$AV$13,0),MATCH(Amine_Cracking!$U13,'Tables - Part 2'!$AX$5:$BA$5,0)),0)</f>
        <v>0</v>
      </c>
      <c r="AT13" s="248">
        <f>IF($T13=$AT$3,(INDEX('Tables - Part 2'!$BF$6:$BI$13,MATCH(Amine_Cracking!$W13,'Tables - Part 2'!$AV$6:$AV$13,0),MATCH(Amine_Cracking!$U13,'Tables - Part 2'!$AX$5:$BA$5,0))+((INDEX('Tables - Part 2'!$BF$6:$BI$13,MATCH(Amine_Cracking!$W13,'Tables - Part 2'!$AV$6:$AV$13,0),MATCH(Amine_Cracking!$U13,'Tables - Part 2'!$AX$5:$BA$5,0))+(INDEX('Tables - Part 2'!$BF$6:$BI$13,MATCH(Amine_Cracking!$W13,'Tables - Part 2'!$AV$6:$AV$13,0),MATCH(Amine_Cracking!$U13,'Tables - Part 2'!$AX$5:$BA$5,0))+INDEX('Tables - Part 2'!$AX$17:$BA$24,MATCH(Amine_Cracking!$W13,'Tables - Part 2'!$AV$6:$AV$13,0),MATCH(Amine_Cracking!$U13,'Tables - Part 2'!$AX$5:$BA$5,0)))/2)/2))/2,0)</f>
        <v>0</v>
      </c>
      <c r="AU13" s="248">
        <f>IF($T13=$AU$3,(INDEX('Tables - Part 2'!$BF$6:$BI$13,MATCH(Amine_Cracking!$W13,'Tables - Part 2'!$AV$6:$AV$13,0),MATCH(Amine_Cracking!$U13,'Tables - Part 2'!$AX$5:$BA$5,0))+(INDEX('Tables - Part 2'!$BF$6:$BI$13,MATCH(Amine_Cracking!$W13,'Tables - Part 2'!$AV$6:$AV$13,0),MATCH(Amine_Cracking!$U13,'Tables - Part 2'!$AX$5:$BA$5,0))+INDEX('Tables - Part 2'!$AX$17:$BA$24,MATCH(Amine_Cracking!$W13,'Tables - Part 2'!$AV$6:$AV$13,0),MATCH(Amine_Cracking!$U13,'Tables - Part 2'!$AX$5:$BA$5,0)))/2)/2,0)</f>
        <v>0</v>
      </c>
      <c r="AV13" s="248">
        <f>IF($T13=$AV$3,(((INDEX('Tables - Part 2'!$BF$6:$BI$13,MATCH(Amine_Cracking!$W13,'Tables - Part 2'!$AV$6:$AV$13,0),MATCH(Amine_Cracking!$U13,'Tables - Part 2'!$AX$5:$BA$5,0))+(INDEX('Tables - Part 2'!$BF$6:$BI$13,MATCH(Amine_Cracking!$W13,'Tables - Part 2'!$AV$6:$AV$13,0),MATCH(Amine_Cracking!$U13,'Tables - Part 2'!$AX$5:$BA$5,0))+INDEX('Tables - Part 2'!$AX$17:$BA$24,MATCH(Amine_Cracking!$W13,'Tables - Part 2'!$AV$6:$AV$13,0),MATCH(Amine_Cracking!$U13,'Tables - Part 2'!$AX$5:$BA$5,0)))/2)/2)+((INDEX('Tables - Part 2'!$BF$6:$BI$13,MATCH(Amine_Cracking!$W13,'Tables - Part 2'!$AV$6:$AV$13,0),MATCH(Amine_Cracking!$U13,'Tables - Part 2'!$AX$5:$BA$5,0))+INDEX('Tables - Part 2'!$AX$17:$BA$24,MATCH(Amine_Cracking!$W13,'Tables - Part 2'!$AV$6:$AV$13,0),MATCH(Amine_Cracking!$U13,'Tables - Part 2'!$AX$5:$BA$5,0)))/2))/2,0)</f>
        <v>0</v>
      </c>
      <c r="AW13" s="248">
        <f>IF($T13=$AW$3,(INDEX('Tables - Part 2'!$BF$6:$BI$13,MATCH(Amine_Cracking!$W13,'Tables - Part 2'!$AV$6:$AV$13,0),MATCH(Amine_Cracking!$U13,'Tables - Part 2'!$AX$5:$BA$5,0))+INDEX('Tables - Part 2'!$AX$17:$BA$24,MATCH(Amine_Cracking!$W13,'Tables - Part 2'!$AV$6:$AV$13,0),MATCH(Amine_Cracking!$U13,'Tables - Part 2'!$AX$5:$BA$5,0)))/2,0)</f>
        <v>0</v>
      </c>
      <c r="AX13" s="248">
        <f>IF($T13=$AX$3,(((INDEX('Tables - Part 2'!$BF$6:$BI$13,MATCH(Amine_Cracking!$W13,'Tables - Part 2'!$AV$6:$AV$13,0),MATCH(Amine_Cracking!$U13,'Tables - Part 2'!$AX$5:$BA$5,0))+INDEX('Tables - Part 2'!$AX$17:$BA$24,MATCH(Amine_Cracking!$W13,'Tables - Part 2'!$AV$6:$AV$13,0),MATCH(Amine_Cracking!$U13,'Tables - Part 2'!$AX$5:$BA$5,0)))/2)+((((INDEX('Tables - Part 2'!$BF$6:$BI$13,MATCH(Amine_Cracking!$W13,'Tables - Part 2'!$AV$6:$AV$13,0),MATCH(Amine_Cracking!$U13,'Tables - Part 2'!$AX$5:$BA$5,0))+INDEX('Tables - Part 2'!$AX$17:$BA$24,MATCH(Amine_Cracking!$W13,'Tables - Part 2'!$AV$6:$AV$13,0),MATCH(Amine_Cracking!$U13,'Tables - Part 2'!$AX$5:$BA$5,0)))/2)+INDEX('Tables - Part 2'!$AX$17:$BA$24,MATCH(Amine_Cracking!$W13,'Tables - Part 2'!$AV$6:$AV$13,0),MATCH(Amine_Cracking!$U13,'Tables - Part 2'!$AX$5:$BA$5,0)))/2))/2,0)</f>
        <v>0</v>
      </c>
      <c r="AY13" s="248">
        <f>IF($T13=$AY$3,(((INDEX('Tables - Part 2'!$BF$6:$BI$13,MATCH(Amine_Cracking!$W13,'Tables - Part 2'!$AV$6:$AV$13,0),MATCH(Amine_Cracking!$U13,'Tables - Part 2'!$AX$5:$BA$5,0))+INDEX('Tables - Part 2'!$AX$17:$BA$24,MATCH(Amine_Cracking!$W13,'Tables - Part 2'!$AV$6:$AV$13,0),MATCH(Amine_Cracking!$U13,'Tables - Part 2'!$AX$5:$BA$5,0)))/2)+INDEX('Tables - Part 2'!$AX$17:$BA$24,MATCH(Amine_Cracking!$W13,'Tables - Part 2'!$AV$6:$AV$13,0),MATCH(Amine_Cracking!$U13,'Tables - Part 2'!$AX$5:$BA$5,0)))/2,0)</f>
        <v>0</v>
      </c>
      <c r="AZ13" s="248">
        <f>IF($T13=$AZ$3,(((((INDEX('Tables - Part 2'!$BF$6:$BI$13,MATCH(Amine_Cracking!$W13,'Tables - Part 2'!$AV$6:$AV$13,0),MATCH(Amine_Cracking!$U13,'Tables - Part 2'!$AX$5:$BA$5,0))+INDEX('Tables - Part 2'!$AX$17:$BA$24,MATCH(Amine_Cracking!$W13,'Tables - Part 2'!$AV$6:$AV$13,0),MATCH(Amine_Cracking!$U13,'Tables - Part 2'!$AX$5:$BA$5,0)))/2)+INDEX('Tables - Part 2'!$AX$17:$BA$24,MATCH(Amine_Cracking!$W13,'Tables - Part 2'!$AV$6:$AV$13,0),MATCH(Amine_Cracking!$U13,'Tables - Part 2'!$AX$5:$BA$5,0)))/2)+(INDEX('Tables - Part 2'!$AX$17:$BA$24,MATCH(Amine_Cracking!$W13,'Tables - Part 2'!$AV$6:$AV$13,0),MATCH(Amine_Cracking!$U13,'Tables - Part 2'!$AX$5:$BA$5,0))))/2,0)</f>
        <v>0</v>
      </c>
      <c r="BA13" s="248">
        <f>IF($T13=$BA$3,INDEX('Tables - Part 2'!$AX$17:$BA$24,MATCH(Amine_Cracking!$W13,'Tables - Part 2'!$AV$6:$AV$13,0),MATCH(Amine_Cracking!$U13,'Tables - Part 2'!$AX$5:$BA$5,0)),0)</f>
        <v>0</v>
      </c>
      <c r="BB13" s="248">
        <f>IF($T13=$BB$3,((INDEX('Tables - Part 2'!$AX$17:$BA$24,MATCH(Amine_Cracking!$W13,'Tables - Part 2'!$AV$6:$AV$13,0),MATCH(Amine_Cracking!$U13,'Tables - Part 2'!$AX$5:$BA$5,0)))+(((INDEX('Tables - Part 2'!$AX$17:$BA$24,MATCH(Amine_Cracking!$W13,'Tables - Part 2'!$AV$6:$AV$13,0),MATCH(Amine_Cracking!$U13,'Tables - Part 2'!$AX$5:$BA$5,0)))+(INDEX('Tables - Part 2'!$AX$17:$BA$24,MATCH(Amine_Cracking!$W13,'Tables - Part 2'!$AV$6:$AV$13,0),MATCH(Amine_Cracking!$U13,'Tables - Part 2'!$AX$5:$BA$5,0))+INDEX('Tables - Part 2'!$BB$17:$BE$24,MATCH(Amine_Cracking!$W13,'Tables - Part 2'!$AV$6:$AV$13,0),MATCH(Amine_Cracking!$U13,'Tables - Part 2'!$AX$5:$BA$5,0)))/2)/2))/2,0)</f>
        <v>0</v>
      </c>
      <c r="BC13" s="248">
        <f>IF($T13=$BC$3,((INDEX('Tables - Part 2'!$AX$17:$BA$24,MATCH(Amine_Cracking!$W13,'Tables - Part 2'!$AV$6:$AV$13,0),MATCH(Amine_Cracking!$U13,'Tables - Part 2'!$AX$5:$BA$5,0)))+(INDEX('Tables - Part 2'!$AX$17:$BA$24,MATCH(Amine_Cracking!$W13,'Tables - Part 2'!$AV$6:$AV$13,0),MATCH(Amine_Cracking!$U13,'Tables - Part 2'!$AX$5:$BA$5,0))+INDEX('Tables - Part 2'!$BB$17:$BE$24,MATCH(Amine_Cracking!$W13,'Tables - Part 2'!$AV$6:$AV$13,0),MATCH(Amine_Cracking!$U13,'Tables - Part 2'!$AX$5:$BA$5,0)))/2)/2,0)</f>
        <v>0</v>
      </c>
      <c r="BD13" s="248">
        <f>IF($T13=$BD$3,((((INDEX('Tables - Part 2'!$AX$17:$BA$24,MATCH(Amine_Cracking!$W13,'Tables - Part 2'!$AV$6:$AV$13,0),MATCH(Amine_Cracking!$U13,'Tables - Part 2'!$AX$5:$BA$5,0)))+(INDEX('Tables - Part 2'!$AX$17:$BA$24,MATCH(Amine_Cracking!$W13,'Tables - Part 2'!$AV$6:$AV$13,0),MATCH(Amine_Cracking!$U13,'Tables - Part 2'!$AX$5:$BA$5,0))+INDEX('Tables - Part 2'!$BB$17:$BE$24,MATCH(Amine_Cracking!$W13,'Tables - Part 2'!$AV$6:$AV$13,0),MATCH(Amine_Cracking!$U13,'Tables - Part 2'!$AX$5:$BA$5,0)))/2)/2)+((INDEX('Tables - Part 2'!$AX$17:$BA$24,MATCH(Amine_Cracking!$W13,'Tables - Part 2'!$AV$6:$AV$13,0),MATCH(Amine_Cracking!$U13,'Tables - Part 2'!$AX$5:$BA$5,0))+INDEX('Tables - Part 2'!$BB$17:$BE$24,MATCH(Amine_Cracking!$W13,'Tables - Part 2'!$AV$6:$AV$13,0),MATCH(Amine_Cracking!$U13,'Tables - Part 2'!$AX$5:$BA$5,0)))/2))/2,0)</f>
        <v>0</v>
      </c>
      <c r="BE13" s="248">
        <f>IF($T13=$BE$3,(INDEX('Tables - Part 2'!$AX$17:$BA$24,MATCH(Amine_Cracking!$W13,'Tables - Part 2'!$AV$6:$AV$13,0),MATCH(Amine_Cracking!$U13,'Tables - Part 2'!$AX$5:$BA$5,0))+INDEX('Tables - Part 2'!$BB$17:$BE$24,MATCH(Amine_Cracking!$W13,'Tables - Part 2'!$AV$6:$AV$13,0),MATCH(Amine_Cracking!$U13,'Tables - Part 2'!$AX$5:$BA$5,0)))/2,0)</f>
        <v>0</v>
      </c>
      <c r="BF13" s="248">
        <f>IF($T13=$BF$3,(((INDEX('Tables - Part 2'!$AX$17:$BA$24,MATCH(Amine_Cracking!$W13,'Tables - Part 2'!$AV$6:$AV$13,0),MATCH(Amine_Cracking!$U13,'Tables - Part 2'!$AX$5:$BA$5,0))+INDEX('Tables - Part 2'!$BB$17:$BE$24,MATCH(Amine_Cracking!$W13,'Tables - Part 2'!$AV$6:$AV$13,0),MATCH(Amine_Cracking!$U13,'Tables - Part 2'!$AX$5:$BA$5,0)))/2)+((((INDEX('Tables - Part 2'!$AX$17:$BA$24,MATCH(Amine_Cracking!$W13,'Tables - Part 2'!$AV$6:$AV$13,0),MATCH(Amine_Cracking!$U13,'Tables - Part 2'!$AX$5:$BA$5,0))+INDEX('Tables - Part 2'!$BB$17:$BE$24,MATCH(Amine_Cracking!$W13,'Tables - Part 2'!$AV$6:$AV$13,0),MATCH(Amine_Cracking!$U13,'Tables - Part 2'!$AX$5:$BA$5,0)))/2)+INDEX('Tables - Part 2'!$BB$17:$BE$24,MATCH(Amine_Cracking!$W13,'Tables - Part 2'!$AV$6:$AV$13,0),MATCH(Amine_Cracking!$U13,'Tables - Part 2'!$AX$5:$BA$5,0)))/2))/2,0)</f>
        <v>0</v>
      </c>
      <c r="BG13" s="248">
        <f>IF($T13=$BG$3,(((INDEX('Tables - Part 2'!$AX$17:$BA$24,MATCH(Amine_Cracking!$W13,'Tables - Part 2'!$AV$6:$AV$13,0),MATCH(Amine_Cracking!$U13,'Tables - Part 2'!$AX$5:$BA$5,0))+INDEX('Tables - Part 2'!$BB$17:$BE$24,MATCH(Amine_Cracking!$W13,'Tables - Part 2'!$AV$6:$AV$13,0),MATCH(Amine_Cracking!$U13,'Tables - Part 2'!$AX$5:$BA$5,0)))/2)+INDEX('Tables - Part 2'!$BB$17:$BE$24,MATCH(Amine_Cracking!$W13,'Tables - Part 2'!$AV$6:$AV$13,0),MATCH(Amine_Cracking!$U13,'Tables - Part 2'!$AX$5:$BA$5,0)))/2,0)</f>
        <v>0</v>
      </c>
      <c r="BH13" s="248">
        <f>IF($T13=$BH$3,(((((INDEX('Tables - Part 2'!$AX$17:$BA$24,MATCH(Amine_Cracking!$W13,'Tables - Part 2'!$AV$6:$AV$13,0),MATCH(Amine_Cracking!$U13,'Tables - Part 2'!$AX$5:$BA$5,0))+INDEX('Tables - Part 2'!$BB$17:$BE$24,MATCH(Amine_Cracking!$W13,'Tables - Part 2'!$AV$6:$AV$13,0),MATCH(Amine_Cracking!$U13,'Tables - Part 2'!$AX$5:$BA$5,0)))/2)+INDEX('Tables - Part 2'!$BB$17:$BE$24,MATCH(Amine_Cracking!$W13,'Tables - Part 2'!$AV$6:$AV$13,0),MATCH(Amine_Cracking!$U13,'Tables - Part 2'!$AX$5:$BA$5,0)))/2)+(INDEX('Tables - Part 2'!$BB$17:$BE$24,MATCH(Amine_Cracking!$W13,'Tables - Part 2'!$AV$6:$AV$13,0),MATCH(Amine_Cracking!$U13,'Tables - Part 2'!$AX$5:$BA$5,0))))/2,0)</f>
        <v>0</v>
      </c>
      <c r="BI13" s="248">
        <f>IF($T13=$BI$3,INDEX('Tables - Part 2'!$BB$17:$BE$24,MATCH(Amine_Cracking!$W13,'Tables - Part 2'!$AV$6:$AV$13,0),MATCH(Amine_Cracking!$U13,'Tables - Part 2'!$AX$5:$BA$5,0)),0)</f>
        <v>0</v>
      </c>
      <c r="BJ13" s="248">
        <f>IF($T13=$BJ$3,((INDEX('Tables - Part 2'!$BB$17:$BE$24,MATCH(Amine_Cracking!$W13,'Tables - Part 2'!$AV$6:$AV$13,0),MATCH(Amine_Cracking!$U13,'Tables - Part 2'!$AX$5:$BA$5,0)))+(((INDEX('Tables - Part 2'!$BB$17:$BE$24,MATCH(Amine_Cracking!$W13,'Tables - Part 2'!$AV$6:$AV$13,0),MATCH(Amine_Cracking!$U13,'Tables - Part 2'!$AX$5:$BA$5,0)))+(INDEX('Tables - Part 2'!$BB$17:$BE$24,MATCH(Amine_Cracking!$W13,'Tables - Part 2'!$AV$6:$AV$13,0),MATCH(Amine_Cracking!$U13,'Tables - Part 2'!$AX$5:$BA$5,0))+INDEX('Tables - Part 2'!$BF$17:$BI$24,MATCH(Amine_Cracking!$W13,'Tables - Part 2'!$AV$6:$AV$13,0),MATCH(Amine_Cracking!$U13,'Tables - Part 2'!$AX$5:$BA$5,0)))/2)/2))/2,0)</f>
        <v>0</v>
      </c>
      <c r="BK13" s="248">
        <f>IF($T13=$BK$3,((INDEX('Tables - Part 2'!$BB$17:$BE$24,MATCH(Amine_Cracking!$W13,'Tables - Part 2'!$AV$6:$AV$13,0),MATCH(Amine_Cracking!$U13,'Tables - Part 2'!$AX$5:$BA$5,0)))+(INDEX('Tables - Part 2'!$BB$17:$BE$24,MATCH(Amine_Cracking!$W13,'Tables - Part 2'!$AV$6:$AV$13,0),MATCH(Amine_Cracking!$U13,'Tables - Part 2'!$AX$5:$BA$5,0))+INDEX('Tables - Part 2'!$BF$17:$BI$24,MATCH(Amine_Cracking!$W13,'Tables - Part 2'!$AV$6:$AV$13,0),MATCH(Amine_Cracking!$U13,'Tables - Part 2'!$AX$5:$BA$5,0)))/2)/2,0)</f>
        <v>0</v>
      </c>
      <c r="BL13" s="248">
        <f>IF($T13=$BL$3,((((INDEX('Tables - Part 2'!$BB$17:$BE$24,MATCH(Amine_Cracking!$W13,'Tables - Part 2'!$AV$6:$AV$13,0),MATCH(Amine_Cracking!$U13,'Tables - Part 2'!$AX$5:$BA$5,0)))+(INDEX('Tables - Part 2'!$BB$17:$BE$24,MATCH(Amine_Cracking!$W13,'Tables - Part 2'!$AV$6:$AV$13,0),MATCH(Amine_Cracking!$U13,'Tables - Part 2'!$AX$5:$BA$5,0))+INDEX('Tables - Part 2'!$BF$17:$BI$24,MATCH(Amine_Cracking!$W13,'Tables - Part 2'!$AV$6:$AV$13,0),MATCH(Amine_Cracking!$U13,'Tables - Part 2'!$AX$5:$BA$5,0)))/2)/2)+((INDEX('Tables - Part 2'!$BB$17:$BE$24,MATCH(Amine_Cracking!$W13,'Tables - Part 2'!$AV$6:$AV$13,0),MATCH(Amine_Cracking!$U13,'Tables - Part 2'!$AX$5:$BA$5,0))+INDEX('Tables - Part 2'!$BF$17:$BI$24,MATCH(Amine_Cracking!$W13,'Tables - Part 2'!$AV$6:$AV$13,0),MATCH(Amine_Cracking!$U13,'Tables - Part 2'!$AX$5:$BA$5,0)))/2))/2,0)</f>
        <v>0</v>
      </c>
      <c r="BM13" s="248">
        <f>IF($T13=$BM$3,(INDEX('Tables - Part 2'!$BB$17:$BE$24,MATCH(Amine_Cracking!$W13,'Tables - Part 2'!$AV$6:$AV$13,0),MATCH(Amine_Cracking!$U13,'Tables - Part 2'!$AX$5:$BA$5,0))+INDEX('Tables - Part 2'!$BF$17:$BI$24,MATCH(Amine_Cracking!$W13,'Tables - Part 2'!$AV$6:$AV$13,0),MATCH(Amine_Cracking!$U13,'Tables - Part 2'!$AX$5:$BA$5,0)))/2,0)</f>
        <v>0</v>
      </c>
      <c r="BN13" s="248">
        <f>IF($T13=$BN$3,(((INDEX('Tables - Part 2'!$BB$17:$BE$24,MATCH(Amine_Cracking!$W13,'Tables - Part 2'!$AV$6:$AV$13,0),MATCH(Amine_Cracking!$U13,'Tables - Part 2'!$AX$5:$BA$5,0))+INDEX('Tables - Part 2'!$BF$17:$BI$24,MATCH(Amine_Cracking!$W13,'Tables - Part 2'!$AV$6:$AV$13,0),MATCH(Amine_Cracking!$U13,'Tables - Part 2'!$AX$5:$BA$5,0)))/2)+((((INDEX('Tables - Part 2'!$BB$17:$BE$24,MATCH(Amine_Cracking!$W13,'Tables - Part 2'!$AV$6:$AV$13,0),MATCH(Amine_Cracking!$U13,'Tables - Part 2'!$AX$5:$BA$5,0))+INDEX('Tables - Part 2'!$BF$17:$BI$24,MATCH(Amine_Cracking!$W13,'Tables - Part 2'!$AV$6:$AV$13,0),MATCH(Amine_Cracking!$U13,'Tables - Part 2'!$AX$5:$BA$5,0)))/2)+INDEX('Tables - Part 2'!$BF$17:$BI$24,MATCH(Amine_Cracking!$W13,'Tables - Part 2'!$AV$6:$AV$13,0),MATCH(Amine_Cracking!$U13,'Tables - Part 2'!$AX$5:$BA$5,0)))/2))/2,0)</f>
        <v>0</v>
      </c>
      <c r="BO13" s="248">
        <f>IF($T13=$BO$3,(((INDEX('Tables - Part 2'!$BB$17:$BE$24,MATCH(Amine_Cracking!$W13,'Tables - Part 2'!$AV$6:$AV$13,0),MATCH(Amine_Cracking!$U13,'Tables - Part 2'!$AX$5:$BA$5,0))+INDEX('Tables - Part 2'!$BF$17:$BI$24,MATCH(Amine_Cracking!$W13,'Tables - Part 2'!$AV$6:$AV$13,0),MATCH(Amine_Cracking!$U13,'Tables - Part 2'!$AX$5:$BA$5,0)))/2)+INDEX('Tables - Part 2'!$BF$17:$BI$24,MATCH(Amine_Cracking!$W13,'Tables - Part 2'!$AV$6:$AV$13,0),MATCH(Amine_Cracking!$U13,'Tables - Part 2'!$AX$5:$BA$5,0)))/2,0)</f>
        <v>0</v>
      </c>
      <c r="BP13" s="248">
        <f>IF($T13=$BP$3,(((((INDEX('Tables - Part 2'!$BB$17:$BE$24,MATCH(Amine_Cracking!$W13,'Tables - Part 2'!$AV$6:$AV$13,0),MATCH(Amine_Cracking!$U13,'Tables - Part 2'!$AX$5:$BA$5,0))+INDEX('Tables - Part 2'!$BF$17:$BI$24,MATCH(Amine_Cracking!$W13,'Tables - Part 2'!$AV$6:$AV$13,0),MATCH(Amine_Cracking!$U13,'Tables - Part 2'!$AX$5:$BA$5,0)))/2)+INDEX('Tables - Part 2'!$BF$17:$BI$24,MATCH(Amine_Cracking!$W13,'Tables - Part 2'!$AV$6:$AV$13,0),MATCH(Amine_Cracking!$U13,'Tables - Part 2'!$AX$5:$BA$5,0)))/2)+(INDEX('Tables - Part 2'!$BF$17:$BI$24,MATCH(Amine_Cracking!$W13,'Tables - Part 2'!$AV$6:$AV$13,0),MATCH(Amine_Cracking!$U13,'Tables - Part 2'!$AX$5:$BA$5,0))))/2,0)</f>
        <v>0</v>
      </c>
      <c r="BQ13" s="248">
        <f>IF($T13=$BQ$3,INDEX('Tables - Part 2'!$BF$17:$BI$24,MATCH(Amine_Cracking!$W13,'Tables - Part 2'!$AV$6:$AV$13,0),MATCH(Amine_Cracking!$U13,'Tables - Part 2'!$AX$5:$BA$5,0)),0)</f>
        <v>0</v>
      </c>
      <c r="BR13" s="248">
        <f t="shared" si="5"/>
        <v>0</v>
      </c>
      <c r="BS13" s="238">
        <f t="shared" si="8"/>
        <v>3</v>
      </c>
      <c r="BT13" s="238">
        <f t="shared" si="9"/>
        <v>50.318647405225171</v>
      </c>
    </row>
    <row r="14" spans="2:85" x14ac:dyDescent="0.35">
      <c r="B14" s="161" t="str">
        <f>'Tratamento de Dados'!B22</f>
        <v>V-50</v>
      </c>
      <c r="C14" s="161" t="str">
        <f>'Tratamento de Dados'!D22</f>
        <v>Casco</v>
      </c>
      <c r="D14" s="209" t="s">
        <v>245</v>
      </c>
      <c r="E14" s="209" t="s">
        <v>245</v>
      </c>
      <c r="F14" s="209" t="s">
        <v>244</v>
      </c>
      <c r="G14" s="209" t="s">
        <v>244</v>
      </c>
      <c r="H14" s="209" t="s">
        <v>245</v>
      </c>
      <c r="I14" s="209">
        <v>100</v>
      </c>
      <c r="J14" s="209" t="s">
        <v>245</v>
      </c>
      <c r="K14" s="209" t="s">
        <v>245</v>
      </c>
      <c r="L14" s="209" t="s">
        <v>245</v>
      </c>
      <c r="M14" s="210">
        <v>39092</v>
      </c>
      <c r="N14" s="209">
        <v>0</v>
      </c>
      <c r="O14" s="209">
        <v>1</v>
      </c>
      <c r="P14" s="209">
        <v>1</v>
      </c>
      <c r="Q14" s="209">
        <v>4</v>
      </c>
      <c r="R14" s="253">
        <f>'Tratamento de Dados'!DA22</f>
        <v>0</v>
      </c>
      <c r="S14" s="253">
        <f>'Tratamento de Dados'!DB22</f>
        <v>0</v>
      </c>
      <c r="T14" s="256">
        <f t="shared" si="0"/>
        <v>2.5</v>
      </c>
      <c r="U14" s="246" t="str">
        <f t="shared" si="1"/>
        <v>B</v>
      </c>
      <c r="V14" s="238" t="str">
        <f t="shared" si="6"/>
        <v>High</v>
      </c>
      <c r="W14" s="238">
        <f>IF(AND(D14=$BY$2,E14&lt;&gt;$BY$2),"Fitness-For-Service",INDEX('Tables - Part 2'!$BL$4:$BL$7,MATCH(Amine_Cracking!V14,'Tables - Part 2'!$BK$4:$BK$7,0),))</f>
        <v>100</v>
      </c>
      <c r="X14" s="238">
        <f>IF(M14=0,(Thinning!G15-Thinning!F15)/365.25,(Thinning!G15-M14)/365.25)</f>
        <v>12.980150581793293</v>
      </c>
      <c r="Y14" s="248">
        <f t="shared" si="2"/>
        <v>0</v>
      </c>
      <c r="Z14" s="248">
        <f t="shared" si="3"/>
        <v>2.5</v>
      </c>
      <c r="AA14" s="247">
        <f t="shared" si="7"/>
        <v>3</v>
      </c>
      <c r="AB14" s="247">
        <f t="shared" si="4"/>
        <v>4</v>
      </c>
      <c r="AC14" s="248">
        <f>IF($T14=$AC$3,INDEX('Tables - Part 2'!$AX$6:$BA$13,MATCH(Amine_Cracking!W14,'Tables - Part 2'!$AV$6:$AV$13,0),MATCH(Amine_Cracking!U14,'Tables - Part 2'!$AX$5:$BA$5,0)),0)</f>
        <v>0</v>
      </c>
      <c r="AD14" s="248">
        <f>IF($T14=$AD$3,(INDEX('Tables - Part 2'!$AX$6:$BA$13,MATCH(Amine_Cracking!W14,'Tables - Part 2'!$AV$6:$AV$13,0),MATCH(Amine_Cracking!U14,'Tables - Part 2'!$AX$5:$BA$5,0))+(INDEX('Tables - Part 2'!$AX$6:$BA$13,MATCH(Amine_Cracking!W14,'Tables - Part 2'!$AV$6:$AV$13,0),MATCH(Amine_Cracking!U14,'Tables - Part 2'!$AX$5:$BA$5,0))+((INDEX('Tables - Part 2'!$AX$6:$BA$13,MATCH(Amine_Cracking!W14,'Tables - Part 2'!$AV$6:$AV$13,0),MATCH(Amine_Cracking!U14,'Tables - Part 2'!$AX$5:$BA$5,0))+INDEX('Tables - Part 2'!$BB$6:$BE$13,MATCH(Amine_Cracking!$W14,'Tables - Part 2'!$AV$6:$AV$13,0),MATCH(Amine_Cracking!$U14,'Tables - Part 2'!$AX$5:$BA$5,0)))/2))/2)/2,0)</f>
        <v>0</v>
      </c>
      <c r="AE14" s="248">
        <f>IF($T14=$AE$3,(INDEX('Tables - Part 2'!$AX$6:$BA$13,MATCH(Amine_Cracking!W14,'Tables - Part 2'!$AV$6:$AV$13,0),MATCH(Amine_Cracking!U14,'Tables - Part 2'!$AX$5:$BA$5,0))+((INDEX('Tables - Part 2'!$AX$6:$BA$13,MATCH(Amine_Cracking!W14,'Tables - Part 2'!$AV$6:$AV$13,0),MATCH(Amine_Cracking!U14,'Tables - Part 2'!$AX$5:$BA$5,0))+INDEX('Tables - Part 2'!$BB$6:$BE$13,MATCH(Amine_Cracking!$W14,'Tables - Part 2'!$AV$6:$AV$13,0),MATCH(Amine_Cracking!$U14,'Tables - Part 2'!$AX$5:$BA$5,0)))/2))/2,0)</f>
        <v>0</v>
      </c>
      <c r="AF14" s="248">
        <f>IF($T14=$AF$3,(((INDEX('Tables - Part 2'!$AX$6:$BA$13,MATCH(Amine_Cracking!W14,'Tables - Part 2'!$AV$6:$AV$13,0),MATCH(Amine_Cracking!U14,'Tables - Part 2'!$AX$5:$BA$5,0))+((INDEX('Tables - Part 2'!$AX$6:$BA$13,MATCH(Amine_Cracking!W14,'Tables - Part 2'!$AV$6:$AV$13,0),MATCH(Amine_Cracking!U14,'Tables - Part 2'!$AX$5:$BA$5,0))+INDEX('Tables - Part 2'!$BB$6:$BE$13,MATCH(Amine_Cracking!$W14,'Tables - Part 2'!$AV$6:$AV$13,0),MATCH(Amine_Cracking!$U14,'Tables - Part 2'!$AX$5:$BA$5,0)))/2))/2)+(INDEX('Tables - Part 2'!$AX$6:$BA$13,MATCH(Amine_Cracking!W14,'Tables - Part 2'!$AV$6:$AV$13,0),MATCH(Amine_Cracking!U14,'Tables - Part 2'!$AX$5:$BA$5,0))+INDEX('Tables - Part 2'!$BB$6:$BE$13,MATCH(Amine_Cracking!$W14,'Tables - Part 2'!$AV$6:$AV$13,0),MATCH(Amine_Cracking!$U14,'Tables - Part 2'!$AX$5:$BA$5,0)))/2)/2,0)</f>
        <v>0</v>
      </c>
      <c r="AG14" s="248">
        <f>IF($T14=$AG$3,(INDEX('Tables - Part 2'!$AX$6:$BA$13,MATCH(Amine_Cracking!W14,'Tables - Part 2'!$AV$6:$AV$13,0),MATCH(Amine_Cracking!U14,'Tables - Part 2'!$AX$5:$BA$5,0))+INDEX('Tables - Part 2'!$BB$6:$BE$13,MATCH(Amine_Cracking!$W14,'Tables - Part 2'!$AV$6:$AV$13,0),MATCH(Amine_Cracking!$U14,'Tables - Part 2'!$AX$5:$BA$5,0)))/2,0)</f>
        <v>0</v>
      </c>
      <c r="AH14" s="248">
        <f>IF($T14=$AH$3,(((INDEX('Tables - Part 2'!$AX$6:$BA$13,MATCH(Amine_Cracking!W14,'Tables - Part 2'!$AV$6:$AV$13,0),MATCH(Amine_Cracking!U14,'Tables - Part 2'!$AX$5:$BA$5,0))+INDEX('Tables - Part 2'!$BB$6:$BE$13,MATCH(Amine_Cracking!$W14,'Tables - Part 2'!$AV$6:$AV$13,0),MATCH(Amine_Cracking!$U14,'Tables - Part 2'!$AX$5:$BA$5,0)))/2)+(((INDEX('Tables - Part 2'!$AX$6:$BA$13,MATCH(Amine_Cracking!W14,'Tables - Part 2'!$AV$6:$AV$13,0),MATCH(Amine_Cracking!U14,'Tables - Part 2'!$AX$5:$BA$5,0))+INDEX('Tables - Part 2'!$BB$6:$BE$13,MATCH(Amine_Cracking!$W14,'Tables - Part 2'!$AV$6:$AV$13,0),MATCH(Amine_Cracking!$U14,'Tables - Part 2'!$AX$5:$BA$5,0)))/2)+INDEX('Tables - Part 2'!$BB$6:$BE$13,MATCH(Amine_Cracking!$W14,'Tables - Part 2'!$AV$6:$AV$13,0),MATCH(Amine_Cracking!$U14,'Tables - Part 2'!$AX$5:$BA$5,0)))/2)/2,0)</f>
        <v>0</v>
      </c>
      <c r="AI14" s="248">
        <f>IF($T14=$AI$3,(((INDEX('Tables - Part 2'!$AX$6:$BA$13,MATCH(Amine_Cracking!W14,'Tables - Part 2'!$AV$6:$AV$13,0),MATCH(Amine_Cracking!U14,'Tables - Part 2'!$AX$5:$BA$5,0))+INDEX('Tables - Part 2'!$BB$6:$BE$13,MATCH(Amine_Cracking!$W14,'Tables - Part 2'!$AV$6:$AV$13,0),MATCH(Amine_Cracking!$U14,'Tables - Part 2'!$AX$5:$BA$5,0)))/2)+INDEX('Tables - Part 2'!$BB$6:$BE$13,MATCH(Amine_Cracking!$W14,'Tables - Part 2'!$AV$6:$AV$13,0),MATCH(Amine_Cracking!$U14,'Tables - Part 2'!$AX$5:$BA$5,0)))/2,0)</f>
        <v>0</v>
      </c>
      <c r="AJ14" s="248">
        <f>IF($T14=$AJ$3,(((((INDEX('Tables - Part 2'!$AX$6:$BA$13,MATCH(Amine_Cracking!W14,'Tables - Part 2'!$AV$6:$AV$13,0),MATCH(Amine_Cracking!U14,'Tables - Part 2'!$AX$5:$BA$5,0))+INDEX('Tables - Part 2'!$BB$6:$BE$13,MATCH(Amine_Cracking!$W14,'Tables - Part 2'!$AV$6:$AV$13,0),MATCH(Amine_Cracking!$U14,'Tables - Part 2'!$AX$5:$BA$5,0)))/2)+INDEX('Tables - Part 2'!$BB$6:$BE$13,MATCH(Amine_Cracking!$W14,'Tables - Part 2'!$AV$6:$AV$13,0),MATCH(Amine_Cracking!$U14,'Tables - Part 2'!$AX$5:$BA$5,0)))/2)+INDEX('Tables - Part 2'!$BB$6:$BE$13,MATCH(Amine_Cracking!$W14,'Tables - Part 2'!$AV$6:$AV$13,0),MATCH(Amine_Cracking!$U14,'Tables - Part 2'!$AX$5:$BA$5,0)))/2,0)</f>
        <v>0</v>
      </c>
      <c r="AK14" s="248">
        <f>IF($T14=$AK$3,INDEX('Tables - Part 2'!$BB$6:$BE$13,MATCH(Amine_Cracking!$W14,'Tables - Part 2'!$AV$6:$AV$13,0),MATCH(Amine_Cracking!$U14,'Tables - Part 2'!$AX$5:$BA$5,0)),0)</f>
        <v>0</v>
      </c>
      <c r="AL14" s="248">
        <f>IF($T14=$AL$3,((INDEX('Tables - Part 2'!$BB$6:$BE$13,MATCH(Amine_Cracking!$W14,'Tables - Part 2'!$AV$6:$AV$13,0),MATCH(Amine_Cracking!$U14,'Tables - Part 2'!$AX$5:$BA$5,0)))+(INDEX('Tables - Part 2'!$BB$6:$BE$13,MATCH(Amine_Cracking!$W14,'Tables - Part 2'!$AV$6:$AV$13,0),MATCH(Amine_Cracking!$U14,'Tables - Part 2'!$AX$5:$BA$5,0))+(INDEX('Tables - Part 2'!$BB$6:$BE$13,MATCH(Amine_Cracking!$W14,'Tables - Part 2'!$AV$6:$AV$13,0),MATCH(Amine_Cracking!$U14,'Tables - Part 2'!$AX$5:$BA$5,0))+INDEX('Tables - Part 2'!$BF$6:$BI$13,MATCH(Amine_Cracking!$W14,'Tables - Part 2'!$AV$6:$AV$13,0),MATCH(Amine_Cracking!$U14,'Tables - Part 2'!$AX$5:$BA$5,0)))/2)/2)/2,0)</f>
        <v>0</v>
      </c>
      <c r="AM14" s="248">
        <f>IF($T14=$AM$3,(INDEX('Tables - Part 2'!$BB$6:$BE$13,MATCH(Amine_Cracking!$W14,'Tables - Part 2'!$AV$6:$AV$13,0),MATCH(Amine_Cracking!$U14,'Tables - Part 2'!$AX$5:$BA$5,0))+(INDEX('Tables - Part 2'!$BB$6:$BE$13,MATCH(Amine_Cracking!$W14,'Tables - Part 2'!$AV$6:$AV$13,0),MATCH(Amine_Cracking!$U14,'Tables - Part 2'!$AX$5:$BA$5,0))+INDEX('Tables - Part 2'!$BF$6:$BI$13,MATCH(Amine_Cracking!$W14,'Tables - Part 2'!$AV$6:$AV$13,0),MATCH(Amine_Cracking!$U14,'Tables - Part 2'!$AX$5:$BA$5,0)))/2)/2,0)</f>
        <v>0</v>
      </c>
      <c r="AN14" s="248">
        <f>IF($T14=$AN$3,(((INDEX('Tables - Part 2'!$BB$6:$BE$13,MATCH(Amine_Cracking!$W14,'Tables - Part 2'!$AV$6:$AV$13,0),MATCH(Amine_Cracking!$U14,'Tables - Part 2'!$AX$5:$BA$5,0))+(INDEX('Tables - Part 2'!$BB$6:$BE$13,MATCH(Amine_Cracking!$W14,'Tables - Part 2'!$AV$6:$AV$13,0),MATCH(Amine_Cracking!$U14,'Tables - Part 2'!$AX$5:$BA$5,0))+INDEX('Tables - Part 2'!$BF$6:$BI$13,MATCH(Amine_Cracking!$W14,'Tables - Part 2'!$AV$6:$AV$13,0),MATCH(Amine_Cracking!$U14,'Tables - Part 2'!$AX$5:$BA$5,0)))/2)/2)+((INDEX('Tables - Part 2'!$BB$6:$BE$13,MATCH(Amine_Cracking!$W14,'Tables - Part 2'!$AV$6:$AV$13,0),MATCH(Amine_Cracking!$U14,'Tables - Part 2'!$AX$5:$BA$5,0))+INDEX('Tables - Part 2'!$BF$6:$BI$13,MATCH(Amine_Cracking!$W14,'Tables - Part 2'!$AV$6:$AV$13,0),MATCH(Amine_Cracking!$U14,'Tables - Part 2'!$AX$5:$BA$5,0)))/2))/2,0)</f>
        <v>0</v>
      </c>
      <c r="AO14" s="248">
        <f>IF($T14=$AO$3,(INDEX('Tables - Part 2'!$BB$6:$BE$13,MATCH(Amine_Cracking!$W14,'Tables - Part 2'!$AV$6:$AV$13,0),MATCH(Amine_Cracking!$U14,'Tables - Part 2'!$AX$5:$BA$5,0))+INDEX('Tables - Part 2'!$BF$6:$BI$13,MATCH(Amine_Cracking!$W14,'Tables - Part 2'!$AV$6:$AV$13,0),MATCH(Amine_Cracking!$U14,'Tables - Part 2'!$AX$5:$BA$5,0)))/2,0)</f>
        <v>3</v>
      </c>
      <c r="AP14" s="248">
        <f>IF($T14=$AP$3,(((INDEX('Tables - Part 2'!$BB$6:$BE$13,MATCH(Amine_Cracking!$W14,'Tables - Part 2'!$AV$6:$AV$13,0),MATCH(Amine_Cracking!$U14,'Tables - Part 2'!$AX$5:$BA$5,0))+INDEX('Tables - Part 2'!$BF$6:$BI$13,MATCH(Amine_Cracking!$W14,'Tables - Part 2'!$AV$6:$AV$13,0),MATCH(Amine_Cracking!$U14,'Tables - Part 2'!$AX$5:$BA$5,0)))/2)+((((INDEX('Tables - Part 2'!$BB$6:$BE$13,MATCH(Amine_Cracking!$W14,'Tables - Part 2'!$AV$6:$AV$13,0),MATCH(Amine_Cracking!$U14,'Tables - Part 2'!$AX$5:$BA$5,0))+INDEX('Tables - Part 2'!$BF$6:$BI$13,MATCH(Amine_Cracking!$W14,'Tables - Part 2'!$AV$6:$AV$13,0),MATCH(Amine_Cracking!$U14,'Tables - Part 2'!$AX$5:$BA$5,0)))/2)+INDEX('Tables - Part 2'!$BF$6:$BI$13,MATCH(Amine_Cracking!$W14,'Tables - Part 2'!$AV$6:$AV$13,0),MATCH(Amine_Cracking!$U14,'Tables - Part 2'!$AX$5:$BA$5,0)))/2))/2,0)</f>
        <v>0</v>
      </c>
      <c r="AQ14" s="248">
        <f>IF($T14=$AQ$3,(((INDEX('Tables - Part 2'!$BB$6:$BE$13,MATCH(Amine_Cracking!$W14,'Tables - Part 2'!$AV$6:$AV$13,0),MATCH(Amine_Cracking!$U14,'Tables - Part 2'!$AX$5:$BA$5,0))+INDEX('Tables - Part 2'!$BF$6:$BI$13,MATCH(Amine_Cracking!$W14,'Tables - Part 2'!$AV$6:$AV$13,0),MATCH(Amine_Cracking!$U14,'Tables - Part 2'!$AX$5:$BA$5,0)))/2)+INDEX('Tables - Part 2'!$BF$6:$BI$13,MATCH(Amine_Cracking!$W14,'Tables - Part 2'!$AV$6:$AV$13,0),MATCH(Amine_Cracking!$U14,'Tables - Part 2'!$AX$5:$BA$5,0)))/2,0)</f>
        <v>0</v>
      </c>
      <c r="AR14" s="248">
        <f>IF($T14=$AR$3,(((((INDEX('Tables - Part 2'!$BB$6:$BE$13,MATCH(Amine_Cracking!$W14,'Tables - Part 2'!$AV$6:$AV$13,0),MATCH(Amine_Cracking!$U14,'Tables - Part 2'!$AX$5:$BA$5,0))+INDEX('Tables - Part 2'!$BF$6:$BI$13,MATCH(Amine_Cracking!$W14,'Tables - Part 2'!$AV$6:$AV$13,0),MATCH(Amine_Cracking!$U14,'Tables - Part 2'!$AX$5:$BA$5,0)))/2)+INDEX('Tables - Part 2'!$BF$6:$BI$13,MATCH(Amine_Cracking!$W14,'Tables - Part 2'!$AV$6:$AV$13,0),MATCH(Amine_Cracking!$U14,'Tables - Part 2'!$AX$5:$BA$5,0)))/2)+INDEX('Tables - Part 2'!$BF$6:$BI$13,MATCH(Amine_Cracking!$W14,'Tables - Part 2'!$AV$6:$AV$13,0),MATCH(Amine_Cracking!$U14,'Tables - Part 2'!$AX$5:$BA$5,0)))/2,0)</f>
        <v>0</v>
      </c>
      <c r="AS14" s="248">
        <f>IF($T14=$AS$3,INDEX('Tables - Part 2'!$BF$6:$BI$13,MATCH(Amine_Cracking!$W14,'Tables - Part 2'!$AV$6:$AV$13,0),MATCH(Amine_Cracking!$U14,'Tables - Part 2'!$AX$5:$BA$5,0)),0)</f>
        <v>0</v>
      </c>
      <c r="AT14" s="248">
        <f>IF($T14=$AT$3,(INDEX('Tables - Part 2'!$BF$6:$BI$13,MATCH(Amine_Cracking!$W14,'Tables - Part 2'!$AV$6:$AV$13,0),MATCH(Amine_Cracking!$U14,'Tables - Part 2'!$AX$5:$BA$5,0))+((INDEX('Tables - Part 2'!$BF$6:$BI$13,MATCH(Amine_Cracking!$W14,'Tables - Part 2'!$AV$6:$AV$13,0),MATCH(Amine_Cracking!$U14,'Tables - Part 2'!$AX$5:$BA$5,0))+(INDEX('Tables - Part 2'!$BF$6:$BI$13,MATCH(Amine_Cracking!$W14,'Tables - Part 2'!$AV$6:$AV$13,0),MATCH(Amine_Cracking!$U14,'Tables - Part 2'!$AX$5:$BA$5,0))+INDEX('Tables - Part 2'!$AX$17:$BA$24,MATCH(Amine_Cracking!$W14,'Tables - Part 2'!$AV$6:$AV$13,0),MATCH(Amine_Cracking!$U14,'Tables - Part 2'!$AX$5:$BA$5,0)))/2)/2))/2,0)</f>
        <v>0</v>
      </c>
      <c r="AU14" s="248">
        <f>IF($T14=$AU$3,(INDEX('Tables - Part 2'!$BF$6:$BI$13,MATCH(Amine_Cracking!$W14,'Tables - Part 2'!$AV$6:$AV$13,0),MATCH(Amine_Cracking!$U14,'Tables - Part 2'!$AX$5:$BA$5,0))+(INDEX('Tables - Part 2'!$BF$6:$BI$13,MATCH(Amine_Cracking!$W14,'Tables - Part 2'!$AV$6:$AV$13,0),MATCH(Amine_Cracking!$U14,'Tables - Part 2'!$AX$5:$BA$5,0))+INDEX('Tables - Part 2'!$AX$17:$BA$24,MATCH(Amine_Cracking!$W14,'Tables - Part 2'!$AV$6:$AV$13,0),MATCH(Amine_Cracking!$U14,'Tables - Part 2'!$AX$5:$BA$5,0)))/2)/2,0)</f>
        <v>0</v>
      </c>
      <c r="AV14" s="248">
        <f>IF($T14=$AV$3,(((INDEX('Tables - Part 2'!$BF$6:$BI$13,MATCH(Amine_Cracking!$W14,'Tables - Part 2'!$AV$6:$AV$13,0),MATCH(Amine_Cracking!$U14,'Tables - Part 2'!$AX$5:$BA$5,0))+(INDEX('Tables - Part 2'!$BF$6:$BI$13,MATCH(Amine_Cracking!$W14,'Tables - Part 2'!$AV$6:$AV$13,0),MATCH(Amine_Cracking!$U14,'Tables - Part 2'!$AX$5:$BA$5,0))+INDEX('Tables - Part 2'!$AX$17:$BA$24,MATCH(Amine_Cracking!$W14,'Tables - Part 2'!$AV$6:$AV$13,0),MATCH(Amine_Cracking!$U14,'Tables - Part 2'!$AX$5:$BA$5,0)))/2)/2)+((INDEX('Tables - Part 2'!$BF$6:$BI$13,MATCH(Amine_Cracking!$W14,'Tables - Part 2'!$AV$6:$AV$13,0),MATCH(Amine_Cracking!$U14,'Tables - Part 2'!$AX$5:$BA$5,0))+INDEX('Tables - Part 2'!$AX$17:$BA$24,MATCH(Amine_Cracking!$W14,'Tables - Part 2'!$AV$6:$AV$13,0),MATCH(Amine_Cracking!$U14,'Tables - Part 2'!$AX$5:$BA$5,0)))/2))/2,0)</f>
        <v>0</v>
      </c>
      <c r="AW14" s="248">
        <f>IF($T14=$AW$3,(INDEX('Tables - Part 2'!$BF$6:$BI$13,MATCH(Amine_Cracking!$W14,'Tables - Part 2'!$AV$6:$AV$13,0),MATCH(Amine_Cracking!$U14,'Tables - Part 2'!$AX$5:$BA$5,0))+INDEX('Tables - Part 2'!$AX$17:$BA$24,MATCH(Amine_Cracking!$W14,'Tables - Part 2'!$AV$6:$AV$13,0),MATCH(Amine_Cracking!$U14,'Tables - Part 2'!$AX$5:$BA$5,0)))/2,0)</f>
        <v>0</v>
      </c>
      <c r="AX14" s="248">
        <f>IF($T14=$AX$3,(((INDEX('Tables - Part 2'!$BF$6:$BI$13,MATCH(Amine_Cracking!$W14,'Tables - Part 2'!$AV$6:$AV$13,0),MATCH(Amine_Cracking!$U14,'Tables - Part 2'!$AX$5:$BA$5,0))+INDEX('Tables - Part 2'!$AX$17:$BA$24,MATCH(Amine_Cracking!$W14,'Tables - Part 2'!$AV$6:$AV$13,0),MATCH(Amine_Cracking!$U14,'Tables - Part 2'!$AX$5:$BA$5,0)))/2)+((((INDEX('Tables - Part 2'!$BF$6:$BI$13,MATCH(Amine_Cracking!$W14,'Tables - Part 2'!$AV$6:$AV$13,0),MATCH(Amine_Cracking!$U14,'Tables - Part 2'!$AX$5:$BA$5,0))+INDEX('Tables - Part 2'!$AX$17:$BA$24,MATCH(Amine_Cracking!$W14,'Tables - Part 2'!$AV$6:$AV$13,0),MATCH(Amine_Cracking!$U14,'Tables - Part 2'!$AX$5:$BA$5,0)))/2)+INDEX('Tables - Part 2'!$AX$17:$BA$24,MATCH(Amine_Cracking!$W14,'Tables - Part 2'!$AV$6:$AV$13,0),MATCH(Amine_Cracking!$U14,'Tables - Part 2'!$AX$5:$BA$5,0)))/2))/2,0)</f>
        <v>0</v>
      </c>
      <c r="AY14" s="248">
        <f>IF($T14=$AY$3,(((INDEX('Tables - Part 2'!$BF$6:$BI$13,MATCH(Amine_Cracking!$W14,'Tables - Part 2'!$AV$6:$AV$13,0),MATCH(Amine_Cracking!$U14,'Tables - Part 2'!$AX$5:$BA$5,0))+INDEX('Tables - Part 2'!$AX$17:$BA$24,MATCH(Amine_Cracking!$W14,'Tables - Part 2'!$AV$6:$AV$13,0),MATCH(Amine_Cracking!$U14,'Tables - Part 2'!$AX$5:$BA$5,0)))/2)+INDEX('Tables - Part 2'!$AX$17:$BA$24,MATCH(Amine_Cracking!$W14,'Tables - Part 2'!$AV$6:$AV$13,0),MATCH(Amine_Cracking!$U14,'Tables - Part 2'!$AX$5:$BA$5,0)))/2,0)</f>
        <v>0</v>
      </c>
      <c r="AZ14" s="248">
        <f>IF($T14=$AZ$3,(((((INDEX('Tables - Part 2'!$BF$6:$BI$13,MATCH(Amine_Cracking!$W14,'Tables - Part 2'!$AV$6:$AV$13,0),MATCH(Amine_Cracking!$U14,'Tables - Part 2'!$AX$5:$BA$5,0))+INDEX('Tables - Part 2'!$AX$17:$BA$24,MATCH(Amine_Cracking!$W14,'Tables - Part 2'!$AV$6:$AV$13,0),MATCH(Amine_Cracking!$U14,'Tables - Part 2'!$AX$5:$BA$5,0)))/2)+INDEX('Tables - Part 2'!$AX$17:$BA$24,MATCH(Amine_Cracking!$W14,'Tables - Part 2'!$AV$6:$AV$13,0),MATCH(Amine_Cracking!$U14,'Tables - Part 2'!$AX$5:$BA$5,0)))/2)+(INDEX('Tables - Part 2'!$AX$17:$BA$24,MATCH(Amine_Cracking!$W14,'Tables - Part 2'!$AV$6:$AV$13,0),MATCH(Amine_Cracking!$U14,'Tables - Part 2'!$AX$5:$BA$5,0))))/2,0)</f>
        <v>0</v>
      </c>
      <c r="BA14" s="248">
        <f>IF($T14=$BA$3,INDEX('Tables - Part 2'!$AX$17:$BA$24,MATCH(Amine_Cracking!$W14,'Tables - Part 2'!$AV$6:$AV$13,0),MATCH(Amine_Cracking!$U14,'Tables - Part 2'!$AX$5:$BA$5,0)),0)</f>
        <v>0</v>
      </c>
      <c r="BB14" s="248">
        <f>IF($T14=$BB$3,((INDEX('Tables - Part 2'!$AX$17:$BA$24,MATCH(Amine_Cracking!$W14,'Tables - Part 2'!$AV$6:$AV$13,0),MATCH(Amine_Cracking!$U14,'Tables - Part 2'!$AX$5:$BA$5,0)))+(((INDEX('Tables - Part 2'!$AX$17:$BA$24,MATCH(Amine_Cracking!$W14,'Tables - Part 2'!$AV$6:$AV$13,0),MATCH(Amine_Cracking!$U14,'Tables - Part 2'!$AX$5:$BA$5,0)))+(INDEX('Tables - Part 2'!$AX$17:$BA$24,MATCH(Amine_Cracking!$W14,'Tables - Part 2'!$AV$6:$AV$13,0),MATCH(Amine_Cracking!$U14,'Tables - Part 2'!$AX$5:$BA$5,0))+INDEX('Tables - Part 2'!$BB$17:$BE$24,MATCH(Amine_Cracking!$W14,'Tables - Part 2'!$AV$6:$AV$13,0),MATCH(Amine_Cracking!$U14,'Tables - Part 2'!$AX$5:$BA$5,0)))/2)/2))/2,0)</f>
        <v>0</v>
      </c>
      <c r="BC14" s="248">
        <f>IF($T14=$BC$3,((INDEX('Tables - Part 2'!$AX$17:$BA$24,MATCH(Amine_Cracking!$W14,'Tables - Part 2'!$AV$6:$AV$13,0),MATCH(Amine_Cracking!$U14,'Tables - Part 2'!$AX$5:$BA$5,0)))+(INDEX('Tables - Part 2'!$AX$17:$BA$24,MATCH(Amine_Cracking!$W14,'Tables - Part 2'!$AV$6:$AV$13,0),MATCH(Amine_Cracking!$U14,'Tables - Part 2'!$AX$5:$BA$5,0))+INDEX('Tables - Part 2'!$BB$17:$BE$24,MATCH(Amine_Cracking!$W14,'Tables - Part 2'!$AV$6:$AV$13,0),MATCH(Amine_Cracking!$U14,'Tables - Part 2'!$AX$5:$BA$5,0)))/2)/2,0)</f>
        <v>0</v>
      </c>
      <c r="BD14" s="248">
        <f>IF($T14=$BD$3,((((INDEX('Tables - Part 2'!$AX$17:$BA$24,MATCH(Amine_Cracking!$W14,'Tables - Part 2'!$AV$6:$AV$13,0),MATCH(Amine_Cracking!$U14,'Tables - Part 2'!$AX$5:$BA$5,0)))+(INDEX('Tables - Part 2'!$AX$17:$BA$24,MATCH(Amine_Cracking!$W14,'Tables - Part 2'!$AV$6:$AV$13,0),MATCH(Amine_Cracking!$U14,'Tables - Part 2'!$AX$5:$BA$5,0))+INDEX('Tables - Part 2'!$BB$17:$BE$24,MATCH(Amine_Cracking!$W14,'Tables - Part 2'!$AV$6:$AV$13,0),MATCH(Amine_Cracking!$U14,'Tables - Part 2'!$AX$5:$BA$5,0)))/2)/2)+((INDEX('Tables - Part 2'!$AX$17:$BA$24,MATCH(Amine_Cracking!$W14,'Tables - Part 2'!$AV$6:$AV$13,0),MATCH(Amine_Cracking!$U14,'Tables - Part 2'!$AX$5:$BA$5,0))+INDEX('Tables - Part 2'!$BB$17:$BE$24,MATCH(Amine_Cracking!$W14,'Tables - Part 2'!$AV$6:$AV$13,0),MATCH(Amine_Cracking!$U14,'Tables - Part 2'!$AX$5:$BA$5,0)))/2))/2,0)</f>
        <v>0</v>
      </c>
      <c r="BE14" s="248">
        <f>IF($T14=$BE$3,(INDEX('Tables - Part 2'!$AX$17:$BA$24,MATCH(Amine_Cracking!$W14,'Tables - Part 2'!$AV$6:$AV$13,0),MATCH(Amine_Cracking!$U14,'Tables - Part 2'!$AX$5:$BA$5,0))+INDEX('Tables - Part 2'!$BB$17:$BE$24,MATCH(Amine_Cracking!$W14,'Tables - Part 2'!$AV$6:$AV$13,0),MATCH(Amine_Cracking!$U14,'Tables - Part 2'!$AX$5:$BA$5,0)))/2,0)</f>
        <v>0</v>
      </c>
      <c r="BF14" s="248">
        <f>IF($T14=$BF$3,(((INDEX('Tables - Part 2'!$AX$17:$BA$24,MATCH(Amine_Cracking!$W14,'Tables - Part 2'!$AV$6:$AV$13,0),MATCH(Amine_Cracking!$U14,'Tables - Part 2'!$AX$5:$BA$5,0))+INDEX('Tables - Part 2'!$BB$17:$BE$24,MATCH(Amine_Cracking!$W14,'Tables - Part 2'!$AV$6:$AV$13,0),MATCH(Amine_Cracking!$U14,'Tables - Part 2'!$AX$5:$BA$5,0)))/2)+((((INDEX('Tables - Part 2'!$AX$17:$BA$24,MATCH(Amine_Cracking!$W14,'Tables - Part 2'!$AV$6:$AV$13,0),MATCH(Amine_Cracking!$U14,'Tables - Part 2'!$AX$5:$BA$5,0))+INDEX('Tables - Part 2'!$BB$17:$BE$24,MATCH(Amine_Cracking!$W14,'Tables - Part 2'!$AV$6:$AV$13,0),MATCH(Amine_Cracking!$U14,'Tables - Part 2'!$AX$5:$BA$5,0)))/2)+INDEX('Tables - Part 2'!$BB$17:$BE$24,MATCH(Amine_Cracking!$W14,'Tables - Part 2'!$AV$6:$AV$13,0),MATCH(Amine_Cracking!$U14,'Tables - Part 2'!$AX$5:$BA$5,0)))/2))/2,0)</f>
        <v>0</v>
      </c>
      <c r="BG14" s="248">
        <f>IF($T14=$BG$3,(((INDEX('Tables - Part 2'!$AX$17:$BA$24,MATCH(Amine_Cracking!$W14,'Tables - Part 2'!$AV$6:$AV$13,0),MATCH(Amine_Cracking!$U14,'Tables - Part 2'!$AX$5:$BA$5,0))+INDEX('Tables - Part 2'!$BB$17:$BE$24,MATCH(Amine_Cracking!$W14,'Tables - Part 2'!$AV$6:$AV$13,0),MATCH(Amine_Cracking!$U14,'Tables - Part 2'!$AX$5:$BA$5,0)))/2)+INDEX('Tables - Part 2'!$BB$17:$BE$24,MATCH(Amine_Cracking!$W14,'Tables - Part 2'!$AV$6:$AV$13,0),MATCH(Amine_Cracking!$U14,'Tables - Part 2'!$AX$5:$BA$5,0)))/2,0)</f>
        <v>0</v>
      </c>
      <c r="BH14" s="248">
        <f>IF($T14=$BH$3,(((((INDEX('Tables - Part 2'!$AX$17:$BA$24,MATCH(Amine_Cracking!$W14,'Tables - Part 2'!$AV$6:$AV$13,0),MATCH(Amine_Cracking!$U14,'Tables - Part 2'!$AX$5:$BA$5,0))+INDEX('Tables - Part 2'!$BB$17:$BE$24,MATCH(Amine_Cracking!$W14,'Tables - Part 2'!$AV$6:$AV$13,0),MATCH(Amine_Cracking!$U14,'Tables - Part 2'!$AX$5:$BA$5,0)))/2)+INDEX('Tables - Part 2'!$BB$17:$BE$24,MATCH(Amine_Cracking!$W14,'Tables - Part 2'!$AV$6:$AV$13,0),MATCH(Amine_Cracking!$U14,'Tables - Part 2'!$AX$5:$BA$5,0)))/2)+(INDEX('Tables - Part 2'!$BB$17:$BE$24,MATCH(Amine_Cracking!$W14,'Tables - Part 2'!$AV$6:$AV$13,0),MATCH(Amine_Cracking!$U14,'Tables - Part 2'!$AX$5:$BA$5,0))))/2,0)</f>
        <v>0</v>
      </c>
      <c r="BI14" s="248">
        <f>IF($T14=$BI$3,INDEX('Tables - Part 2'!$BB$17:$BE$24,MATCH(Amine_Cracking!$W14,'Tables - Part 2'!$AV$6:$AV$13,0),MATCH(Amine_Cracking!$U14,'Tables - Part 2'!$AX$5:$BA$5,0)),0)</f>
        <v>0</v>
      </c>
      <c r="BJ14" s="248">
        <f>IF($T14=$BJ$3,((INDEX('Tables - Part 2'!$BB$17:$BE$24,MATCH(Amine_Cracking!$W14,'Tables - Part 2'!$AV$6:$AV$13,0),MATCH(Amine_Cracking!$U14,'Tables - Part 2'!$AX$5:$BA$5,0)))+(((INDEX('Tables - Part 2'!$BB$17:$BE$24,MATCH(Amine_Cracking!$W14,'Tables - Part 2'!$AV$6:$AV$13,0),MATCH(Amine_Cracking!$U14,'Tables - Part 2'!$AX$5:$BA$5,0)))+(INDEX('Tables - Part 2'!$BB$17:$BE$24,MATCH(Amine_Cracking!$W14,'Tables - Part 2'!$AV$6:$AV$13,0),MATCH(Amine_Cracking!$U14,'Tables - Part 2'!$AX$5:$BA$5,0))+INDEX('Tables - Part 2'!$BF$17:$BI$24,MATCH(Amine_Cracking!$W14,'Tables - Part 2'!$AV$6:$AV$13,0),MATCH(Amine_Cracking!$U14,'Tables - Part 2'!$AX$5:$BA$5,0)))/2)/2))/2,0)</f>
        <v>0</v>
      </c>
      <c r="BK14" s="248">
        <f>IF($T14=$BK$3,((INDEX('Tables - Part 2'!$BB$17:$BE$24,MATCH(Amine_Cracking!$W14,'Tables - Part 2'!$AV$6:$AV$13,0),MATCH(Amine_Cracking!$U14,'Tables - Part 2'!$AX$5:$BA$5,0)))+(INDEX('Tables - Part 2'!$BB$17:$BE$24,MATCH(Amine_Cracking!$W14,'Tables - Part 2'!$AV$6:$AV$13,0),MATCH(Amine_Cracking!$U14,'Tables - Part 2'!$AX$5:$BA$5,0))+INDEX('Tables - Part 2'!$BF$17:$BI$24,MATCH(Amine_Cracking!$W14,'Tables - Part 2'!$AV$6:$AV$13,0),MATCH(Amine_Cracking!$U14,'Tables - Part 2'!$AX$5:$BA$5,0)))/2)/2,0)</f>
        <v>0</v>
      </c>
      <c r="BL14" s="248">
        <f>IF($T14=$BL$3,((((INDEX('Tables - Part 2'!$BB$17:$BE$24,MATCH(Amine_Cracking!$W14,'Tables - Part 2'!$AV$6:$AV$13,0),MATCH(Amine_Cracking!$U14,'Tables - Part 2'!$AX$5:$BA$5,0)))+(INDEX('Tables - Part 2'!$BB$17:$BE$24,MATCH(Amine_Cracking!$W14,'Tables - Part 2'!$AV$6:$AV$13,0),MATCH(Amine_Cracking!$U14,'Tables - Part 2'!$AX$5:$BA$5,0))+INDEX('Tables - Part 2'!$BF$17:$BI$24,MATCH(Amine_Cracking!$W14,'Tables - Part 2'!$AV$6:$AV$13,0),MATCH(Amine_Cracking!$U14,'Tables - Part 2'!$AX$5:$BA$5,0)))/2)/2)+((INDEX('Tables - Part 2'!$BB$17:$BE$24,MATCH(Amine_Cracking!$W14,'Tables - Part 2'!$AV$6:$AV$13,0),MATCH(Amine_Cracking!$U14,'Tables - Part 2'!$AX$5:$BA$5,0))+INDEX('Tables - Part 2'!$BF$17:$BI$24,MATCH(Amine_Cracking!$W14,'Tables - Part 2'!$AV$6:$AV$13,0),MATCH(Amine_Cracking!$U14,'Tables - Part 2'!$AX$5:$BA$5,0)))/2))/2,0)</f>
        <v>0</v>
      </c>
      <c r="BM14" s="248">
        <f>IF($T14=$BM$3,(INDEX('Tables - Part 2'!$BB$17:$BE$24,MATCH(Amine_Cracking!$W14,'Tables - Part 2'!$AV$6:$AV$13,0),MATCH(Amine_Cracking!$U14,'Tables - Part 2'!$AX$5:$BA$5,0))+INDEX('Tables - Part 2'!$BF$17:$BI$24,MATCH(Amine_Cracking!$W14,'Tables - Part 2'!$AV$6:$AV$13,0),MATCH(Amine_Cracking!$U14,'Tables - Part 2'!$AX$5:$BA$5,0)))/2,0)</f>
        <v>0</v>
      </c>
      <c r="BN14" s="248">
        <f>IF($T14=$BN$3,(((INDEX('Tables - Part 2'!$BB$17:$BE$24,MATCH(Amine_Cracking!$W14,'Tables - Part 2'!$AV$6:$AV$13,0),MATCH(Amine_Cracking!$U14,'Tables - Part 2'!$AX$5:$BA$5,0))+INDEX('Tables - Part 2'!$BF$17:$BI$24,MATCH(Amine_Cracking!$W14,'Tables - Part 2'!$AV$6:$AV$13,0),MATCH(Amine_Cracking!$U14,'Tables - Part 2'!$AX$5:$BA$5,0)))/2)+((((INDEX('Tables - Part 2'!$BB$17:$BE$24,MATCH(Amine_Cracking!$W14,'Tables - Part 2'!$AV$6:$AV$13,0),MATCH(Amine_Cracking!$U14,'Tables - Part 2'!$AX$5:$BA$5,0))+INDEX('Tables - Part 2'!$BF$17:$BI$24,MATCH(Amine_Cracking!$W14,'Tables - Part 2'!$AV$6:$AV$13,0),MATCH(Amine_Cracking!$U14,'Tables - Part 2'!$AX$5:$BA$5,0)))/2)+INDEX('Tables - Part 2'!$BF$17:$BI$24,MATCH(Amine_Cracking!$W14,'Tables - Part 2'!$AV$6:$AV$13,0),MATCH(Amine_Cracking!$U14,'Tables - Part 2'!$AX$5:$BA$5,0)))/2))/2,0)</f>
        <v>0</v>
      </c>
      <c r="BO14" s="248">
        <f>IF($T14=$BO$3,(((INDEX('Tables - Part 2'!$BB$17:$BE$24,MATCH(Amine_Cracking!$W14,'Tables - Part 2'!$AV$6:$AV$13,0),MATCH(Amine_Cracking!$U14,'Tables - Part 2'!$AX$5:$BA$5,0))+INDEX('Tables - Part 2'!$BF$17:$BI$24,MATCH(Amine_Cracking!$W14,'Tables - Part 2'!$AV$6:$AV$13,0),MATCH(Amine_Cracking!$U14,'Tables - Part 2'!$AX$5:$BA$5,0)))/2)+INDEX('Tables - Part 2'!$BF$17:$BI$24,MATCH(Amine_Cracking!$W14,'Tables - Part 2'!$AV$6:$AV$13,0),MATCH(Amine_Cracking!$U14,'Tables - Part 2'!$AX$5:$BA$5,0)))/2,0)</f>
        <v>0</v>
      </c>
      <c r="BP14" s="248">
        <f>IF($T14=$BP$3,(((((INDEX('Tables - Part 2'!$BB$17:$BE$24,MATCH(Amine_Cracking!$W14,'Tables - Part 2'!$AV$6:$AV$13,0),MATCH(Amine_Cracking!$U14,'Tables - Part 2'!$AX$5:$BA$5,0))+INDEX('Tables - Part 2'!$BF$17:$BI$24,MATCH(Amine_Cracking!$W14,'Tables - Part 2'!$AV$6:$AV$13,0),MATCH(Amine_Cracking!$U14,'Tables - Part 2'!$AX$5:$BA$5,0)))/2)+INDEX('Tables - Part 2'!$BF$17:$BI$24,MATCH(Amine_Cracking!$W14,'Tables - Part 2'!$AV$6:$AV$13,0),MATCH(Amine_Cracking!$U14,'Tables - Part 2'!$AX$5:$BA$5,0)))/2)+(INDEX('Tables - Part 2'!$BF$17:$BI$24,MATCH(Amine_Cracking!$W14,'Tables - Part 2'!$AV$6:$AV$13,0),MATCH(Amine_Cracking!$U14,'Tables - Part 2'!$AX$5:$BA$5,0))))/2,0)</f>
        <v>0</v>
      </c>
      <c r="BQ14" s="248">
        <f>IF($T14=$BQ$3,INDEX('Tables - Part 2'!$BF$17:$BI$24,MATCH(Amine_Cracking!$W14,'Tables - Part 2'!$AV$6:$AV$13,0),MATCH(Amine_Cracking!$U14,'Tables - Part 2'!$AX$5:$BA$5,0)),0)</f>
        <v>0</v>
      </c>
      <c r="BR14" s="248">
        <f t="shared" si="5"/>
        <v>0</v>
      </c>
      <c r="BS14" s="238">
        <f t="shared" si="8"/>
        <v>3</v>
      </c>
      <c r="BT14" s="238">
        <f t="shared" si="9"/>
        <v>50.318647405225171</v>
      </c>
    </row>
    <row r="15" spans="2:85" x14ac:dyDescent="0.35">
      <c r="B15" s="161" t="str">
        <f>'Tratamento de Dados'!B23</f>
        <v>V-5</v>
      </c>
      <c r="C15" s="161" t="str">
        <f>'Tratamento de Dados'!D23</f>
        <v>Casco</v>
      </c>
      <c r="D15" s="209" t="s">
        <v>245</v>
      </c>
      <c r="E15" s="209" t="s">
        <v>245</v>
      </c>
      <c r="F15" s="209" t="s">
        <v>244</v>
      </c>
      <c r="G15" s="209" t="s">
        <v>244</v>
      </c>
      <c r="H15" s="209" t="s">
        <v>245</v>
      </c>
      <c r="I15" s="209">
        <v>100</v>
      </c>
      <c r="J15" s="209" t="s">
        <v>245</v>
      </c>
      <c r="K15" s="209" t="s">
        <v>245</v>
      </c>
      <c r="L15" s="209" t="s">
        <v>245</v>
      </c>
      <c r="M15" s="210">
        <v>39092</v>
      </c>
      <c r="N15" s="209">
        <v>0</v>
      </c>
      <c r="O15" s="209">
        <v>1</v>
      </c>
      <c r="P15" s="209">
        <v>1</v>
      </c>
      <c r="Q15" s="209">
        <v>4</v>
      </c>
      <c r="R15" s="253">
        <f>'Tratamento de Dados'!DA23</f>
        <v>0</v>
      </c>
      <c r="S15" s="253">
        <f>'Tratamento de Dados'!DB23</f>
        <v>0</v>
      </c>
      <c r="T15" s="256">
        <f t="shared" si="0"/>
        <v>2.5</v>
      </c>
      <c r="U15" s="246" t="str">
        <f t="shared" si="1"/>
        <v>B</v>
      </c>
      <c r="V15" s="238" t="str">
        <f t="shared" si="6"/>
        <v>High</v>
      </c>
      <c r="W15" s="238">
        <f>IF(AND(D15=$BY$2,E15&lt;&gt;$BY$2),"Fitness-For-Service",INDEX('Tables - Part 2'!$BL$4:$BL$7,MATCH(Amine_Cracking!V15,'Tables - Part 2'!$BK$4:$BK$7,0),))</f>
        <v>100</v>
      </c>
      <c r="X15" s="238">
        <f>IF(M15=0,(Thinning!G16-Thinning!F16)/365.25,(Thinning!G16-M15)/365.25)</f>
        <v>12.980150581793293</v>
      </c>
      <c r="Y15" s="248">
        <f t="shared" si="2"/>
        <v>0</v>
      </c>
      <c r="Z15" s="248">
        <f t="shared" si="3"/>
        <v>2.5</v>
      </c>
      <c r="AA15" s="247">
        <f t="shared" si="7"/>
        <v>3</v>
      </c>
      <c r="AB15" s="247">
        <f t="shared" si="4"/>
        <v>4</v>
      </c>
      <c r="AC15" s="248">
        <f>IF($T15=$AC$3,INDEX('Tables - Part 2'!$AX$6:$BA$13,MATCH(Amine_Cracking!W15,'Tables - Part 2'!$AV$6:$AV$13,0),MATCH(Amine_Cracking!U15,'Tables - Part 2'!$AX$5:$BA$5,0)),0)</f>
        <v>0</v>
      </c>
      <c r="AD15" s="248">
        <f>IF($T15=$AD$3,(INDEX('Tables - Part 2'!$AX$6:$BA$13,MATCH(Amine_Cracking!W15,'Tables - Part 2'!$AV$6:$AV$13,0),MATCH(Amine_Cracking!U15,'Tables - Part 2'!$AX$5:$BA$5,0))+(INDEX('Tables - Part 2'!$AX$6:$BA$13,MATCH(Amine_Cracking!W15,'Tables - Part 2'!$AV$6:$AV$13,0),MATCH(Amine_Cracking!U15,'Tables - Part 2'!$AX$5:$BA$5,0))+((INDEX('Tables - Part 2'!$AX$6:$BA$13,MATCH(Amine_Cracking!W15,'Tables - Part 2'!$AV$6:$AV$13,0),MATCH(Amine_Cracking!U15,'Tables - Part 2'!$AX$5:$BA$5,0))+INDEX('Tables - Part 2'!$BB$6:$BE$13,MATCH(Amine_Cracking!$W15,'Tables - Part 2'!$AV$6:$AV$13,0),MATCH(Amine_Cracking!$U15,'Tables - Part 2'!$AX$5:$BA$5,0)))/2))/2)/2,0)</f>
        <v>0</v>
      </c>
      <c r="AE15" s="248">
        <f>IF($T15=$AE$3,(INDEX('Tables - Part 2'!$AX$6:$BA$13,MATCH(Amine_Cracking!W15,'Tables - Part 2'!$AV$6:$AV$13,0),MATCH(Amine_Cracking!U15,'Tables - Part 2'!$AX$5:$BA$5,0))+((INDEX('Tables - Part 2'!$AX$6:$BA$13,MATCH(Amine_Cracking!W15,'Tables - Part 2'!$AV$6:$AV$13,0),MATCH(Amine_Cracking!U15,'Tables - Part 2'!$AX$5:$BA$5,0))+INDEX('Tables - Part 2'!$BB$6:$BE$13,MATCH(Amine_Cracking!$W15,'Tables - Part 2'!$AV$6:$AV$13,0),MATCH(Amine_Cracking!$U15,'Tables - Part 2'!$AX$5:$BA$5,0)))/2))/2,0)</f>
        <v>0</v>
      </c>
      <c r="AF15" s="248">
        <f>IF($T15=$AF$3,(((INDEX('Tables - Part 2'!$AX$6:$BA$13,MATCH(Amine_Cracking!W15,'Tables - Part 2'!$AV$6:$AV$13,0),MATCH(Amine_Cracking!U15,'Tables - Part 2'!$AX$5:$BA$5,0))+((INDEX('Tables - Part 2'!$AX$6:$BA$13,MATCH(Amine_Cracking!W15,'Tables - Part 2'!$AV$6:$AV$13,0),MATCH(Amine_Cracking!U15,'Tables - Part 2'!$AX$5:$BA$5,0))+INDEX('Tables - Part 2'!$BB$6:$BE$13,MATCH(Amine_Cracking!$W15,'Tables - Part 2'!$AV$6:$AV$13,0),MATCH(Amine_Cracking!$U15,'Tables - Part 2'!$AX$5:$BA$5,0)))/2))/2)+(INDEX('Tables - Part 2'!$AX$6:$BA$13,MATCH(Amine_Cracking!W15,'Tables - Part 2'!$AV$6:$AV$13,0),MATCH(Amine_Cracking!U15,'Tables - Part 2'!$AX$5:$BA$5,0))+INDEX('Tables - Part 2'!$BB$6:$BE$13,MATCH(Amine_Cracking!$W15,'Tables - Part 2'!$AV$6:$AV$13,0),MATCH(Amine_Cracking!$U15,'Tables - Part 2'!$AX$5:$BA$5,0)))/2)/2,0)</f>
        <v>0</v>
      </c>
      <c r="AG15" s="248">
        <f>IF($T15=$AG$3,(INDEX('Tables - Part 2'!$AX$6:$BA$13,MATCH(Amine_Cracking!W15,'Tables - Part 2'!$AV$6:$AV$13,0),MATCH(Amine_Cracking!U15,'Tables - Part 2'!$AX$5:$BA$5,0))+INDEX('Tables - Part 2'!$BB$6:$BE$13,MATCH(Amine_Cracking!$W15,'Tables - Part 2'!$AV$6:$AV$13,0),MATCH(Amine_Cracking!$U15,'Tables - Part 2'!$AX$5:$BA$5,0)))/2,0)</f>
        <v>0</v>
      </c>
      <c r="AH15" s="248">
        <f>IF($T15=$AH$3,(((INDEX('Tables - Part 2'!$AX$6:$BA$13,MATCH(Amine_Cracking!W15,'Tables - Part 2'!$AV$6:$AV$13,0),MATCH(Amine_Cracking!U15,'Tables - Part 2'!$AX$5:$BA$5,0))+INDEX('Tables - Part 2'!$BB$6:$BE$13,MATCH(Amine_Cracking!$W15,'Tables - Part 2'!$AV$6:$AV$13,0),MATCH(Amine_Cracking!$U15,'Tables - Part 2'!$AX$5:$BA$5,0)))/2)+(((INDEX('Tables - Part 2'!$AX$6:$BA$13,MATCH(Amine_Cracking!W15,'Tables - Part 2'!$AV$6:$AV$13,0),MATCH(Amine_Cracking!U15,'Tables - Part 2'!$AX$5:$BA$5,0))+INDEX('Tables - Part 2'!$BB$6:$BE$13,MATCH(Amine_Cracking!$W15,'Tables - Part 2'!$AV$6:$AV$13,0),MATCH(Amine_Cracking!$U15,'Tables - Part 2'!$AX$5:$BA$5,0)))/2)+INDEX('Tables - Part 2'!$BB$6:$BE$13,MATCH(Amine_Cracking!$W15,'Tables - Part 2'!$AV$6:$AV$13,0),MATCH(Amine_Cracking!$U15,'Tables - Part 2'!$AX$5:$BA$5,0)))/2)/2,0)</f>
        <v>0</v>
      </c>
      <c r="AI15" s="248">
        <f>IF($T15=$AI$3,(((INDEX('Tables - Part 2'!$AX$6:$BA$13,MATCH(Amine_Cracking!W15,'Tables - Part 2'!$AV$6:$AV$13,0),MATCH(Amine_Cracking!U15,'Tables - Part 2'!$AX$5:$BA$5,0))+INDEX('Tables - Part 2'!$BB$6:$BE$13,MATCH(Amine_Cracking!$W15,'Tables - Part 2'!$AV$6:$AV$13,0),MATCH(Amine_Cracking!$U15,'Tables - Part 2'!$AX$5:$BA$5,0)))/2)+INDEX('Tables - Part 2'!$BB$6:$BE$13,MATCH(Amine_Cracking!$W15,'Tables - Part 2'!$AV$6:$AV$13,0),MATCH(Amine_Cracking!$U15,'Tables - Part 2'!$AX$5:$BA$5,0)))/2,0)</f>
        <v>0</v>
      </c>
      <c r="AJ15" s="248">
        <f>IF($T15=$AJ$3,(((((INDEX('Tables - Part 2'!$AX$6:$BA$13,MATCH(Amine_Cracking!W15,'Tables - Part 2'!$AV$6:$AV$13,0),MATCH(Amine_Cracking!U15,'Tables - Part 2'!$AX$5:$BA$5,0))+INDEX('Tables - Part 2'!$BB$6:$BE$13,MATCH(Amine_Cracking!$W15,'Tables - Part 2'!$AV$6:$AV$13,0),MATCH(Amine_Cracking!$U15,'Tables - Part 2'!$AX$5:$BA$5,0)))/2)+INDEX('Tables - Part 2'!$BB$6:$BE$13,MATCH(Amine_Cracking!$W15,'Tables - Part 2'!$AV$6:$AV$13,0),MATCH(Amine_Cracking!$U15,'Tables - Part 2'!$AX$5:$BA$5,0)))/2)+INDEX('Tables - Part 2'!$BB$6:$BE$13,MATCH(Amine_Cracking!$W15,'Tables - Part 2'!$AV$6:$AV$13,0),MATCH(Amine_Cracking!$U15,'Tables - Part 2'!$AX$5:$BA$5,0)))/2,0)</f>
        <v>0</v>
      </c>
      <c r="AK15" s="248">
        <f>IF($T15=$AK$3,INDEX('Tables - Part 2'!$BB$6:$BE$13,MATCH(Amine_Cracking!$W15,'Tables - Part 2'!$AV$6:$AV$13,0),MATCH(Amine_Cracking!$U15,'Tables - Part 2'!$AX$5:$BA$5,0)),0)</f>
        <v>0</v>
      </c>
      <c r="AL15" s="248">
        <f>IF($T15=$AL$3,((INDEX('Tables - Part 2'!$BB$6:$BE$13,MATCH(Amine_Cracking!$W15,'Tables - Part 2'!$AV$6:$AV$13,0),MATCH(Amine_Cracking!$U15,'Tables - Part 2'!$AX$5:$BA$5,0)))+(INDEX('Tables - Part 2'!$BB$6:$BE$13,MATCH(Amine_Cracking!$W15,'Tables - Part 2'!$AV$6:$AV$13,0),MATCH(Amine_Cracking!$U15,'Tables - Part 2'!$AX$5:$BA$5,0))+(INDEX('Tables - Part 2'!$BB$6:$BE$13,MATCH(Amine_Cracking!$W15,'Tables - Part 2'!$AV$6:$AV$13,0),MATCH(Amine_Cracking!$U15,'Tables - Part 2'!$AX$5:$BA$5,0))+INDEX('Tables - Part 2'!$BF$6:$BI$13,MATCH(Amine_Cracking!$W15,'Tables - Part 2'!$AV$6:$AV$13,0),MATCH(Amine_Cracking!$U15,'Tables - Part 2'!$AX$5:$BA$5,0)))/2)/2)/2,0)</f>
        <v>0</v>
      </c>
      <c r="AM15" s="248">
        <f>IF($T15=$AM$3,(INDEX('Tables - Part 2'!$BB$6:$BE$13,MATCH(Amine_Cracking!$W15,'Tables - Part 2'!$AV$6:$AV$13,0),MATCH(Amine_Cracking!$U15,'Tables - Part 2'!$AX$5:$BA$5,0))+(INDEX('Tables - Part 2'!$BB$6:$BE$13,MATCH(Amine_Cracking!$W15,'Tables - Part 2'!$AV$6:$AV$13,0),MATCH(Amine_Cracking!$U15,'Tables - Part 2'!$AX$5:$BA$5,0))+INDEX('Tables - Part 2'!$BF$6:$BI$13,MATCH(Amine_Cracking!$W15,'Tables - Part 2'!$AV$6:$AV$13,0),MATCH(Amine_Cracking!$U15,'Tables - Part 2'!$AX$5:$BA$5,0)))/2)/2,0)</f>
        <v>0</v>
      </c>
      <c r="AN15" s="248">
        <f>IF($T15=$AN$3,(((INDEX('Tables - Part 2'!$BB$6:$BE$13,MATCH(Amine_Cracking!$W15,'Tables - Part 2'!$AV$6:$AV$13,0),MATCH(Amine_Cracking!$U15,'Tables - Part 2'!$AX$5:$BA$5,0))+(INDEX('Tables - Part 2'!$BB$6:$BE$13,MATCH(Amine_Cracking!$W15,'Tables - Part 2'!$AV$6:$AV$13,0),MATCH(Amine_Cracking!$U15,'Tables - Part 2'!$AX$5:$BA$5,0))+INDEX('Tables - Part 2'!$BF$6:$BI$13,MATCH(Amine_Cracking!$W15,'Tables - Part 2'!$AV$6:$AV$13,0),MATCH(Amine_Cracking!$U15,'Tables - Part 2'!$AX$5:$BA$5,0)))/2)/2)+((INDEX('Tables - Part 2'!$BB$6:$BE$13,MATCH(Amine_Cracking!$W15,'Tables - Part 2'!$AV$6:$AV$13,0),MATCH(Amine_Cracking!$U15,'Tables - Part 2'!$AX$5:$BA$5,0))+INDEX('Tables - Part 2'!$BF$6:$BI$13,MATCH(Amine_Cracking!$W15,'Tables - Part 2'!$AV$6:$AV$13,0),MATCH(Amine_Cracking!$U15,'Tables - Part 2'!$AX$5:$BA$5,0)))/2))/2,0)</f>
        <v>0</v>
      </c>
      <c r="AO15" s="248">
        <f>IF($T15=$AO$3,(INDEX('Tables - Part 2'!$BB$6:$BE$13,MATCH(Amine_Cracking!$W15,'Tables - Part 2'!$AV$6:$AV$13,0),MATCH(Amine_Cracking!$U15,'Tables - Part 2'!$AX$5:$BA$5,0))+INDEX('Tables - Part 2'!$BF$6:$BI$13,MATCH(Amine_Cracking!$W15,'Tables - Part 2'!$AV$6:$AV$13,0),MATCH(Amine_Cracking!$U15,'Tables - Part 2'!$AX$5:$BA$5,0)))/2,0)</f>
        <v>3</v>
      </c>
      <c r="AP15" s="248">
        <f>IF($T15=$AP$3,(((INDEX('Tables - Part 2'!$BB$6:$BE$13,MATCH(Amine_Cracking!$W15,'Tables - Part 2'!$AV$6:$AV$13,0),MATCH(Amine_Cracking!$U15,'Tables - Part 2'!$AX$5:$BA$5,0))+INDEX('Tables - Part 2'!$BF$6:$BI$13,MATCH(Amine_Cracking!$W15,'Tables - Part 2'!$AV$6:$AV$13,0),MATCH(Amine_Cracking!$U15,'Tables - Part 2'!$AX$5:$BA$5,0)))/2)+((((INDEX('Tables - Part 2'!$BB$6:$BE$13,MATCH(Amine_Cracking!$W15,'Tables - Part 2'!$AV$6:$AV$13,0),MATCH(Amine_Cracking!$U15,'Tables - Part 2'!$AX$5:$BA$5,0))+INDEX('Tables - Part 2'!$BF$6:$BI$13,MATCH(Amine_Cracking!$W15,'Tables - Part 2'!$AV$6:$AV$13,0),MATCH(Amine_Cracking!$U15,'Tables - Part 2'!$AX$5:$BA$5,0)))/2)+INDEX('Tables - Part 2'!$BF$6:$BI$13,MATCH(Amine_Cracking!$W15,'Tables - Part 2'!$AV$6:$AV$13,0),MATCH(Amine_Cracking!$U15,'Tables - Part 2'!$AX$5:$BA$5,0)))/2))/2,0)</f>
        <v>0</v>
      </c>
      <c r="AQ15" s="248">
        <f>IF($T15=$AQ$3,(((INDEX('Tables - Part 2'!$BB$6:$BE$13,MATCH(Amine_Cracking!$W15,'Tables - Part 2'!$AV$6:$AV$13,0),MATCH(Amine_Cracking!$U15,'Tables - Part 2'!$AX$5:$BA$5,0))+INDEX('Tables - Part 2'!$BF$6:$BI$13,MATCH(Amine_Cracking!$W15,'Tables - Part 2'!$AV$6:$AV$13,0),MATCH(Amine_Cracking!$U15,'Tables - Part 2'!$AX$5:$BA$5,0)))/2)+INDEX('Tables - Part 2'!$BF$6:$BI$13,MATCH(Amine_Cracking!$W15,'Tables - Part 2'!$AV$6:$AV$13,0),MATCH(Amine_Cracking!$U15,'Tables - Part 2'!$AX$5:$BA$5,0)))/2,0)</f>
        <v>0</v>
      </c>
      <c r="AR15" s="248">
        <f>IF($T15=$AR$3,(((((INDEX('Tables - Part 2'!$BB$6:$BE$13,MATCH(Amine_Cracking!$W15,'Tables - Part 2'!$AV$6:$AV$13,0),MATCH(Amine_Cracking!$U15,'Tables - Part 2'!$AX$5:$BA$5,0))+INDEX('Tables - Part 2'!$BF$6:$BI$13,MATCH(Amine_Cracking!$W15,'Tables - Part 2'!$AV$6:$AV$13,0),MATCH(Amine_Cracking!$U15,'Tables - Part 2'!$AX$5:$BA$5,0)))/2)+INDEX('Tables - Part 2'!$BF$6:$BI$13,MATCH(Amine_Cracking!$W15,'Tables - Part 2'!$AV$6:$AV$13,0),MATCH(Amine_Cracking!$U15,'Tables - Part 2'!$AX$5:$BA$5,0)))/2)+INDEX('Tables - Part 2'!$BF$6:$BI$13,MATCH(Amine_Cracking!$W15,'Tables - Part 2'!$AV$6:$AV$13,0),MATCH(Amine_Cracking!$U15,'Tables - Part 2'!$AX$5:$BA$5,0)))/2,0)</f>
        <v>0</v>
      </c>
      <c r="AS15" s="248">
        <f>IF($T15=$AS$3,INDEX('Tables - Part 2'!$BF$6:$BI$13,MATCH(Amine_Cracking!$W15,'Tables - Part 2'!$AV$6:$AV$13,0),MATCH(Amine_Cracking!$U15,'Tables - Part 2'!$AX$5:$BA$5,0)),0)</f>
        <v>0</v>
      </c>
      <c r="AT15" s="248">
        <f>IF($T15=$AT$3,(INDEX('Tables - Part 2'!$BF$6:$BI$13,MATCH(Amine_Cracking!$W15,'Tables - Part 2'!$AV$6:$AV$13,0),MATCH(Amine_Cracking!$U15,'Tables - Part 2'!$AX$5:$BA$5,0))+((INDEX('Tables - Part 2'!$BF$6:$BI$13,MATCH(Amine_Cracking!$W15,'Tables - Part 2'!$AV$6:$AV$13,0),MATCH(Amine_Cracking!$U15,'Tables - Part 2'!$AX$5:$BA$5,0))+(INDEX('Tables - Part 2'!$BF$6:$BI$13,MATCH(Amine_Cracking!$W15,'Tables - Part 2'!$AV$6:$AV$13,0),MATCH(Amine_Cracking!$U15,'Tables - Part 2'!$AX$5:$BA$5,0))+INDEX('Tables - Part 2'!$AX$17:$BA$24,MATCH(Amine_Cracking!$W15,'Tables - Part 2'!$AV$6:$AV$13,0),MATCH(Amine_Cracking!$U15,'Tables - Part 2'!$AX$5:$BA$5,0)))/2)/2))/2,0)</f>
        <v>0</v>
      </c>
      <c r="AU15" s="248">
        <f>IF($T15=$AU$3,(INDEX('Tables - Part 2'!$BF$6:$BI$13,MATCH(Amine_Cracking!$W15,'Tables - Part 2'!$AV$6:$AV$13,0),MATCH(Amine_Cracking!$U15,'Tables - Part 2'!$AX$5:$BA$5,0))+(INDEX('Tables - Part 2'!$BF$6:$BI$13,MATCH(Amine_Cracking!$W15,'Tables - Part 2'!$AV$6:$AV$13,0),MATCH(Amine_Cracking!$U15,'Tables - Part 2'!$AX$5:$BA$5,0))+INDEX('Tables - Part 2'!$AX$17:$BA$24,MATCH(Amine_Cracking!$W15,'Tables - Part 2'!$AV$6:$AV$13,0),MATCH(Amine_Cracking!$U15,'Tables - Part 2'!$AX$5:$BA$5,0)))/2)/2,0)</f>
        <v>0</v>
      </c>
      <c r="AV15" s="248">
        <f>IF($T15=$AV$3,(((INDEX('Tables - Part 2'!$BF$6:$BI$13,MATCH(Amine_Cracking!$W15,'Tables - Part 2'!$AV$6:$AV$13,0),MATCH(Amine_Cracking!$U15,'Tables - Part 2'!$AX$5:$BA$5,0))+(INDEX('Tables - Part 2'!$BF$6:$BI$13,MATCH(Amine_Cracking!$W15,'Tables - Part 2'!$AV$6:$AV$13,0),MATCH(Amine_Cracking!$U15,'Tables - Part 2'!$AX$5:$BA$5,0))+INDEX('Tables - Part 2'!$AX$17:$BA$24,MATCH(Amine_Cracking!$W15,'Tables - Part 2'!$AV$6:$AV$13,0),MATCH(Amine_Cracking!$U15,'Tables - Part 2'!$AX$5:$BA$5,0)))/2)/2)+((INDEX('Tables - Part 2'!$BF$6:$BI$13,MATCH(Amine_Cracking!$W15,'Tables - Part 2'!$AV$6:$AV$13,0),MATCH(Amine_Cracking!$U15,'Tables - Part 2'!$AX$5:$BA$5,0))+INDEX('Tables - Part 2'!$AX$17:$BA$24,MATCH(Amine_Cracking!$W15,'Tables - Part 2'!$AV$6:$AV$13,0),MATCH(Amine_Cracking!$U15,'Tables - Part 2'!$AX$5:$BA$5,0)))/2))/2,0)</f>
        <v>0</v>
      </c>
      <c r="AW15" s="248">
        <f>IF($T15=$AW$3,(INDEX('Tables - Part 2'!$BF$6:$BI$13,MATCH(Amine_Cracking!$W15,'Tables - Part 2'!$AV$6:$AV$13,0),MATCH(Amine_Cracking!$U15,'Tables - Part 2'!$AX$5:$BA$5,0))+INDEX('Tables - Part 2'!$AX$17:$BA$24,MATCH(Amine_Cracking!$W15,'Tables - Part 2'!$AV$6:$AV$13,0),MATCH(Amine_Cracking!$U15,'Tables - Part 2'!$AX$5:$BA$5,0)))/2,0)</f>
        <v>0</v>
      </c>
      <c r="AX15" s="248">
        <f>IF($T15=$AX$3,(((INDEX('Tables - Part 2'!$BF$6:$BI$13,MATCH(Amine_Cracking!$W15,'Tables - Part 2'!$AV$6:$AV$13,0),MATCH(Amine_Cracking!$U15,'Tables - Part 2'!$AX$5:$BA$5,0))+INDEX('Tables - Part 2'!$AX$17:$BA$24,MATCH(Amine_Cracking!$W15,'Tables - Part 2'!$AV$6:$AV$13,0),MATCH(Amine_Cracking!$U15,'Tables - Part 2'!$AX$5:$BA$5,0)))/2)+((((INDEX('Tables - Part 2'!$BF$6:$BI$13,MATCH(Amine_Cracking!$W15,'Tables - Part 2'!$AV$6:$AV$13,0),MATCH(Amine_Cracking!$U15,'Tables - Part 2'!$AX$5:$BA$5,0))+INDEX('Tables - Part 2'!$AX$17:$BA$24,MATCH(Amine_Cracking!$W15,'Tables - Part 2'!$AV$6:$AV$13,0),MATCH(Amine_Cracking!$U15,'Tables - Part 2'!$AX$5:$BA$5,0)))/2)+INDEX('Tables - Part 2'!$AX$17:$BA$24,MATCH(Amine_Cracking!$W15,'Tables - Part 2'!$AV$6:$AV$13,0),MATCH(Amine_Cracking!$U15,'Tables - Part 2'!$AX$5:$BA$5,0)))/2))/2,0)</f>
        <v>0</v>
      </c>
      <c r="AY15" s="248">
        <f>IF($T15=$AY$3,(((INDEX('Tables - Part 2'!$BF$6:$BI$13,MATCH(Amine_Cracking!$W15,'Tables - Part 2'!$AV$6:$AV$13,0),MATCH(Amine_Cracking!$U15,'Tables - Part 2'!$AX$5:$BA$5,0))+INDEX('Tables - Part 2'!$AX$17:$BA$24,MATCH(Amine_Cracking!$W15,'Tables - Part 2'!$AV$6:$AV$13,0),MATCH(Amine_Cracking!$U15,'Tables - Part 2'!$AX$5:$BA$5,0)))/2)+INDEX('Tables - Part 2'!$AX$17:$BA$24,MATCH(Amine_Cracking!$W15,'Tables - Part 2'!$AV$6:$AV$13,0),MATCH(Amine_Cracking!$U15,'Tables - Part 2'!$AX$5:$BA$5,0)))/2,0)</f>
        <v>0</v>
      </c>
      <c r="AZ15" s="248">
        <f>IF($T15=$AZ$3,(((((INDEX('Tables - Part 2'!$BF$6:$BI$13,MATCH(Amine_Cracking!$W15,'Tables - Part 2'!$AV$6:$AV$13,0),MATCH(Amine_Cracking!$U15,'Tables - Part 2'!$AX$5:$BA$5,0))+INDEX('Tables - Part 2'!$AX$17:$BA$24,MATCH(Amine_Cracking!$W15,'Tables - Part 2'!$AV$6:$AV$13,0),MATCH(Amine_Cracking!$U15,'Tables - Part 2'!$AX$5:$BA$5,0)))/2)+INDEX('Tables - Part 2'!$AX$17:$BA$24,MATCH(Amine_Cracking!$W15,'Tables - Part 2'!$AV$6:$AV$13,0),MATCH(Amine_Cracking!$U15,'Tables - Part 2'!$AX$5:$BA$5,0)))/2)+(INDEX('Tables - Part 2'!$AX$17:$BA$24,MATCH(Amine_Cracking!$W15,'Tables - Part 2'!$AV$6:$AV$13,0),MATCH(Amine_Cracking!$U15,'Tables - Part 2'!$AX$5:$BA$5,0))))/2,0)</f>
        <v>0</v>
      </c>
      <c r="BA15" s="248">
        <f>IF($T15=$BA$3,INDEX('Tables - Part 2'!$AX$17:$BA$24,MATCH(Amine_Cracking!$W15,'Tables - Part 2'!$AV$6:$AV$13,0),MATCH(Amine_Cracking!$U15,'Tables - Part 2'!$AX$5:$BA$5,0)),0)</f>
        <v>0</v>
      </c>
      <c r="BB15" s="248">
        <f>IF($T15=$BB$3,((INDEX('Tables - Part 2'!$AX$17:$BA$24,MATCH(Amine_Cracking!$W15,'Tables - Part 2'!$AV$6:$AV$13,0),MATCH(Amine_Cracking!$U15,'Tables - Part 2'!$AX$5:$BA$5,0)))+(((INDEX('Tables - Part 2'!$AX$17:$BA$24,MATCH(Amine_Cracking!$W15,'Tables - Part 2'!$AV$6:$AV$13,0),MATCH(Amine_Cracking!$U15,'Tables - Part 2'!$AX$5:$BA$5,0)))+(INDEX('Tables - Part 2'!$AX$17:$BA$24,MATCH(Amine_Cracking!$W15,'Tables - Part 2'!$AV$6:$AV$13,0),MATCH(Amine_Cracking!$U15,'Tables - Part 2'!$AX$5:$BA$5,0))+INDEX('Tables - Part 2'!$BB$17:$BE$24,MATCH(Amine_Cracking!$W15,'Tables - Part 2'!$AV$6:$AV$13,0),MATCH(Amine_Cracking!$U15,'Tables - Part 2'!$AX$5:$BA$5,0)))/2)/2))/2,0)</f>
        <v>0</v>
      </c>
      <c r="BC15" s="248">
        <f>IF($T15=$BC$3,((INDEX('Tables - Part 2'!$AX$17:$BA$24,MATCH(Amine_Cracking!$W15,'Tables - Part 2'!$AV$6:$AV$13,0),MATCH(Amine_Cracking!$U15,'Tables - Part 2'!$AX$5:$BA$5,0)))+(INDEX('Tables - Part 2'!$AX$17:$BA$24,MATCH(Amine_Cracking!$W15,'Tables - Part 2'!$AV$6:$AV$13,0),MATCH(Amine_Cracking!$U15,'Tables - Part 2'!$AX$5:$BA$5,0))+INDEX('Tables - Part 2'!$BB$17:$BE$24,MATCH(Amine_Cracking!$W15,'Tables - Part 2'!$AV$6:$AV$13,0),MATCH(Amine_Cracking!$U15,'Tables - Part 2'!$AX$5:$BA$5,0)))/2)/2,0)</f>
        <v>0</v>
      </c>
      <c r="BD15" s="248">
        <f>IF($T15=$BD$3,((((INDEX('Tables - Part 2'!$AX$17:$BA$24,MATCH(Amine_Cracking!$W15,'Tables - Part 2'!$AV$6:$AV$13,0),MATCH(Amine_Cracking!$U15,'Tables - Part 2'!$AX$5:$BA$5,0)))+(INDEX('Tables - Part 2'!$AX$17:$BA$24,MATCH(Amine_Cracking!$W15,'Tables - Part 2'!$AV$6:$AV$13,0),MATCH(Amine_Cracking!$U15,'Tables - Part 2'!$AX$5:$BA$5,0))+INDEX('Tables - Part 2'!$BB$17:$BE$24,MATCH(Amine_Cracking!$W15,'Tables - Part 2'!$AV$6:$AV$13,0),MATCH(Amine_Cracking!$U15,'Tables - Part 2'!$AX$5:$BA$5,0)))/2)/2)+((INDEX('Tables - Part 2'!$AX$17:$BA$24,MATCH(Amine_Cracking!$W15,'Tables - Part 2'!$AV$6:$AV$13,0),MATCH(Amine_Cracking!$U15,'Tables - Part 2'!$AX$5:$BA$5,0))+INDEX('Tables - Part 2'!$BB$17:$BE$24,MATCH(Amine_Cracking!$W15,'Tables - Part 2'!$AV$6:$AV$13,0),MATCH(Amine_Cracking!$U15,'Tables - Part 2'!$AX$5:$BA$5,0)))/2))/2,0)</f>
        <v>0</v>
      </c>
      <c r="BE15" s="248">
        <f>IF($T15=$BE$3,(INDEX('Tables - Part 2'!$AX$17:$BA$24,MATCH(Amine_Cracking!$W15,'Tables - Part 2'!$AV$6:$AV$13,0),MATCH(Amine_Cracking!$U15,'Tables - Part 2'!$AX$5:$BA$5,0))+INDEX('Tables - Part 2'!$BB$17:$BE$24,MATCH(Amine_Cracking!$W15,'Tables - Part 2'!$AV$6:$AV$13,0),MATCH(Amine_Cracking!$U15,'Tables - Part 2'!$AX$5:$BA$5,0)))/2,0)</f>
        <v>0</v>
      </c>
      <c r="BF15" s="248">
        <f>IF($T15=$BF$3,(((INDEX('Tables - Part 2'!$AX$17:$BA$24,MATCH(Amine_Cracking!$W15,'Tables - Part 2'!$AV$6:$AV$13,0),MATCH(Amine_Cracking!$U15,'Tables - Part 2'!$AX$5:$BA$5,0))+INDEX('Tables - Part 2'!$BB$17:$BE$24,MATCH(Amine_Cracking!$W15,'Tables - Part 2'!$AV$6:$AV$13,0),MATCH(Amine_Cracking!$U15,'Tables - Part 2'!$AX$5:$BA$5,0)))/2)+((((INDEX('Tables - Part 2'!$AX$17:$BA$24,MATCH(Amine_Cracking!$W15,'Tables - Part 2'!$AV$6:$AV$13,0),MATCH(Amine_Cracking!$U15,'Tables - Part 2'!$AX$5:$BA$5,0))+INDEX('Tables - Part 2'!$BB$17:$BE$24,MATCH(Amine_Cracking!$W15,'Tables - Part 2'!$AV$6:$AV$13,0),MATCH(Amine_Cracking!$U15,'Tables - Part 2'!$AX$5:$BA$5,0)))/2)+INDEX('Tables - Part 2'!$BB$17:$BE$24,MATCH(Amine_Cracking!$W15,'Tables - Part 2'!$AV$6:$AV$13,0),MATCH(Amine_Cracking!$U15,'Tables - Part 2'!$AX$5:$BA$5,0)))/2))/2,0)</f>
        <v>0</v>
      </c>
      <c r="BG15" s="248">
        <f>IF($T15=$BG$3,(((INDEX('Tables - Part 2'!$AX$17:$BA$24,MATCH(Amine_Cracking!$W15,'Tables - Part 2'!$AV$6:$AV$13,0),MATCH(Amine_Cracking!$U15,'Tables - Part 2'!$AX$5:$BA$5,0))+INDEX('Tables - Part 2'!$BB$17:$BE$24,MATCH(Amine_Cracking!$W15,'Tables - Part 2'!$AV$6:$AV$13,0),MATCH(Amine_Cracking!$U15,'Tables - Part 2'!$AX$5:$BA$5,0)))/2)+INDEX('Tables - Part 2'!$BB$17:$BE$24,MATCH(Amine_Cracking!$W15,'Tables - Part 2'!$AV$6:$AV$13,0),MATCH(Amine_Cracking!$U15,'Tables - Part 2'!$AX$5:$BA$5,0)))/2,0)</f>
        <v>0</v>
      </c>
      <c r="BH15" s="248">
        <f>IF($T15=$BH$3,(((((INDEX('Tables - Part 2'!$AX$17:$BA$24,MATCH(Amine_Cracking!$W15,'Tables - Part 2'!$AV$6:$AV$13,0),MATCH(Amine_Cracking!$U15,'Tables - Part 2'!$AX$5:$BA$5,0))+INDEX('Tables - Part 2'!$BB$17:$BE$24,MATCH(Amine_Cracking!$W15,'Tables - Part 2'!$AV$6:$AV$13,0),MATCH(Amine_Cracking!$U15,'Tables - Part 2'!$AX$5:$BA$5,0)))/2)+INDEX('Tables - Part 2'!$BB$17:$BE$24,MATCH(Amine_Cracking!$W15,'Tables - Part 2'!$AV$6:$AV$13,0),MATCH(Amine_Cracking!$U15,'Tables - Part 2'!$AX$5:$BA$5,0)))/2)+(INDEX('Tables - Part 2'!$BB$17:$BE$24,MATCH(Amine_Cracking!$W15,'Tables - Part 2'!$AV$6:$AV$13,0),MATCH(Amine_Cracking!$U15,'Tables - Part 2'!$AX$5:$BA$5,0))))/2,0)</f>
        <v>0</v>
      </c>
      <c r="BI15" s="248">
        <f>IF($T15=$BI$3,INDEX('Tables - Part 2'!$BB$17:$BE$24,MATCH(Amine_Cracking!$W15,'Tables - Part 2'!$AV$6:$AV$13,0),MATCH(Amine_Cracking!$U15,'Tables - Part 2'!$AX$5:$BA$5,0)),0)</f>
        <v>0</v>
      </c>
      <c r="BJ15" s="248">
        <f>IF($T15=$BJ$3,((INDEX('Tables - Part 2'!$BB$17:$BE$24,MATCH(Amine_Cracking!$W15,'Tables - Part 2'!$AV$6:$AV$13,0),MATCH(Amine_Cracking!$U15,'Tables - Part 2'!$AX$5:$BA$5,0)))+(((INDEX('Tables - Part 2'!$BB$17:$BE$24,MATCH(Amine_Cracking!$W15,'Tables - Part 2'!$AV$6:$AV$13,0),MATCH(Amine_Cracking!$U15,'Tables - Part 2'!$AX$5:$BA$5,0)))+(INDEX('Tables - Part 2'!$BB$17:$BE$24,MATCH(Amine_Cracking!$W15,'Tables - Part 2'!$AV$6:$AV$13,0),MATCH(Amine_Cracking!$U15,'Tables - Part 2'!$AX$5:$BA$5,0))+INDEX('Tables - Part 2'!$BF$17:$BI$24,MATCH(Amine_Cracking!$W15,'Tables - Part 2'!$AV$6:$AV$13,0),MATCH(Amine_Cracking!$U15,'Tables - Part 2'!$AX$5:$BA$5,0)))/2)/2))/2,0)</f>
        <v>0</v>
      </c>
      <c r="BK15" s="248">
        <f>IF($T15=$BK$3,((INDEX('Tables - Part 2'!$BB$17:$BE$24,MATCH(Amine_Cracking!$W15,'Tables - Part 2'!$AV$6:$AV$13,0),MATCH(Amine_Cracking!$U15,'Tables - Part 2'!$AX$5:$BA$5,0)))+(INDEX('Tables - Part 2'!$BB$17:$BE$24,MATCH(Amine_Cracking!$W15,'Tables - Part 2'!$AV$6:$AV$13,0),MATCH(Amine_Cracking!$U15,'Tables - Part 2'!$AX$5:$BA$5,0))+INDEX('Tables - Part 2'!$BF$17:$BI$24,MATCH(Amine_Cracking!$W15,'Tables - Part 2'!$AV$6:$AV$13,0),MATCH(Amine_Cracking!$U15,'Tables - Part 2'!$AX$5:$BA$5,0)))/2)/2,0)</f>
        <v>0</v>
      </c>
      <c r="BL15" s="248">
        <f>IF($T15=$BL$3,((((INDEX('Tables - Part 2'!$BB$17:$BE$24,MATCH(Amine_Cracking!$W15,'Tables - Part 2'!$AV$6:$AV$13,0),MATCH(Amine_Cracking!$U15,'Tables - Part 2'!$AX$5:$BA$5,0)))+(INDEX('Tables - Part 2'!$BB$17:$BE$24,MATCH(Amine_Cracking!$W15,'Tables - Part 2'!$AV$6:$AV$13,0),MATCH(Amine_Cracking!$U15,'Tables - Part 2'!$AX$5:$BA$5,0))+INDEX('Tables - Part 2'!$BF$17:$BI$24,MATCH(Amine_Cracking!$W15,'Tables - Part 2'!$AV$6:$AV$13,0),MATCH(Amine_Cracking!$U15,'Tables - Part 2'!$AX$5:$BA$5,0)))/2)/2)+((INDEX('Tables - Part 2'!$BB$17:$BE$24,MATCH(Amine_Cracking!$W15,'Tables - Part 2'!$AV$6:$AV$13,0),MATCH(Amine_Cracking!$U15,'Tables - Part 2'!$AX$5:$BA$5,0))+INDEX('Tables - Part 2'!$BF$17:$BI$24,MATCH(Amine_Cracking!$W15,'Tables - Part 2'!$AV$6:$AV$13,0),MATCH(Amine_Cracking!$U15,'Tables - Part 2'!$AX$5:$BA$5,0)))/2))/2,0)</f>
        <v>0</v>
      </c>
      <c r="BM15" s="248">
        <f>IF($T15=$BM$3,(INDEX('Tables - Part 2'!$BB$17:$BE$24,MATCH(Amine_Cracking!$W15,'Tables - Part 2'!$AV$6:$AV$13,0),MATCH(Amine_Cracking!$U15,'Tables - Part 2'!$AX$5:$BA$5,0))+INDEX('Tables - Part 2'!$BF$17:$BI$24,MATCH(Amine_Cracking!$W15,'Tables - Part 2'!$AV$6:$AV$13,0),MATCH(Amine_Cracking!$U15,'Tables - Part 2'!$AX$5:$BA$5,0)))/2,0)</f>
        <v>0</v>
      </c>
      <c r="BN15" s="248">
        <f>IF($T15=$BN$3,(((INDEX('Tables - Part 2'!$BB$17:$BE$24,MATCH(Amine_Cracking!$W15,'Tables - Part 2'!$AV$6:$AV$13,0),MATCH(Amine_Cracking!$U15,'Tables - Part 2'!$AX$5:$BA$5,0))+INDEX('Tables - Part 2'!$BF$17:$BI$24,MATCH(Amine_Cracking!$W15,'Tables - Part 2'!$AV$6:$AV$13,0),MATCH(Amine_Cracking!$U15,'Tables - Part 2'!$AX$5:$BA$5,0)))/2)+((((INDEX('Tables - Part 2'!$BB$17:$BE$24,MATCH(Amine_Cracking!$W15,'Tables - Part 2'!$AV$6:$AV$13,0),MATCH(Amine_Cracking!$U15,'Tables - Part 2'!$AX$5:$BA$5,0))+INDEX('Tables - Part 2'!$BF$17:$BI$24,MATCH(Amine_Cracking!$W15,'Tables - Part 2'!$AV$6:$AV$13,0),MATCH(Amine_Cracking!$U15,'Tables - Part 2'!$AX$5:$BA$5,0)))/2)+INDEX('Tables - Part 2'!$BF$17:$BI$24,MATCH(Amine_Cracking!$W15,'Tables - Part 2'!$AV$6:$AV$13,0),MATCH(Amine_Cracking!$U15,'Tables - Part 2'!$AX$5:$BA$5,0)))/2))/2,0)</f>
        <v>0</v>
      </c>
      <c r="BO15" s="248">
        <f>IF($T15=$BO$3,(((INDEX('Tables - Part 2'!$BB$17:$BE$24,MATCH(Amine_Cracking!$W15,'Tables - Part 2'!$AV$6:$AV$13,0),MATCH(Amine_Cracking!$U15,'Tables - Part 2'!$AX$5:$BA$5,0))+INDEX('Tables - Part 2'!$BF$17:$BI$24,MATCH(Amine_Cracking!$W15,'Tables - Part 2'!$AV$6:$AV$13,0),MATCH(Amine_Cracking!$U15,'Tables - Part 2'!$AX$5:$BA$5,0)))/2)+INDEX('Tables - Part 2'!$BF$17:$BI$24,MATCH(Amine_Cracking!$W15,'Tables - Part 2'!$AV$6:$AV$13,0),MATCH(Amine_Cracking!$U15,'Tables - Part 2'!$AX$5:$BA$5,0)))/2,0)</f>
        <v>0</v>
      </c>
      <c r="BP15" s="248">
        <f>IF($T15=$BP$3,(((((INDEX('Tables - Part 2'!$BB$17:$BE$24,MATCH(Amine_Cracking!$W15,'Tables - Part 2'!$AV$6:$AV$13,0),MATCH(Amine_Cracking!$U15,'Tables - Part 2'!$AX$5:$BA$5,0))+INDEX('Tables - Part 2'!$BF$17:$BI$24,MATCH(Amine_Cracking!$W15,'Tables - Part 2'!$AV$6:$AV$13,0),MATCH(Amine_Cracking!$U15,'Tables - Part 2'!$AX$5:$BA$5,0)))/2)+INDEX('Tables - Part 2'!$BF$17:$BI$24,MATCH(Amine_Cracking!$W15,'Tables - Part 2'!$AV$6:$AV$13,0),MATCH(Amine_Cracking!$U15,'Tables - Part 2'!$AX$5:$BA$5,0)))/2)+(INDEX('Tables - Part 2'!$BF$17:$BI$24,MATCH(Amine_Cracking!$W15,'Tables - Part 2'!$AV$6:$AV$13,0),MATCH(Amine_Cracking!$U15,'Tables - Part 2'!$AX$5:$BA$5,0))))/2,0)</f>
        <v>0</v>
      </c>
      <c r="BQ15" s="248">
        <f>IF($T15=$BQ$3,INDEX('Tables - Part 2'!$BF$17:$BI$24,MATCH(Amine_Cracking!$W15,'Tables - Part 2'!$AV$6:$AV$13,0),MATCH(Amine_Cracking!$U15,'Tables - Part 2'!$AX$5:$BA$5,0)),0)</f>
        <v>0</v>
      </c>
      <c r="BR15" s="248">
        <f t="shared" si="5"/>
        <v>0</v>
      </c>
      <c r="BS15" s="238">
        <f t="shared" si="8"/>
        <v>3</v>
      </c>
      <c r="BT15" s="238">
        <f t="shared" si="9"/>
        <v>50.318647405225171</v>
      </c>
    </row>
    <row r="16" spans="2:85" x14ac:dyDescent="0.35">
      <c r="B16" s="161" t="str">
        <f>'Tratamento de Dados'!B24</f>
        <v>V-6</v>
      </c>
      <c r="C16" s="161" t="str">
        <f>'Tratamento de Dados'!D24</f>
        <v>Casco</v>
      </c>
      <c r="D16" s="209" t="s">
        <v>245</v>
      </c>
      <c r="E16" s="209" t="s">
        <v>245</v>
      </c>
      <c r="F16" s="209" t="s">
        <v>244</v>
      </c>
      <c r="G16" s="209" t="s">
        <v>244</v>
      </c>
      <c r="H16" s="209" t="s">
        <v>245</v>
      </c>
      <c r="I16" s="209">
        <v>100</v>
      </c>
      <c r="J16" s="209" t="s">
        <v>245</v>
      </c>
      <c r="K16" s="209" t="s">
        <v>245</v>
      </c>
      <c r="L16" s="209" t="s">
        <v>245</v>
      </c>
      <c r="M16" s="210">
        <v>39092</v>
      </c>
      <c r="N16" s="209">
        <v>0</v>
      </c>
      <c r="O16" s="209">
        <v>1</v>
      </c>
      <c r="P16" s="209">
        <v>1</v>
      </c>
      <c r="Q16" s="209">
        <v>4</v>
      </c>
      <c r="R16" s="253">
        <f>'Tratamento de Dados'!DA24</f>
        <v>0</v>
      </c>
      <c r="S16" s="253">
        <f>'Tratamento de Dados'!DB24</f>
        <v>0</v>
      </c>
      <c r="T16" s="256">
        <f t="shared" si="0"/>
        <v>2.5</v>
      </c>
      <c r="U16" s="246" t="str">
        <f t="shared" si="1"/>
        <v>B</v>
      </c>
      <c r="V16" s="238" t="str">
        <f t="shared" si="6"/>
        <v>High</v>
      </c>
      <c r="W16" s="238">
        <f>IF(AND(D16=$BY$2,E16&lt;&gt;$BY$2),"Fitness-For-Service",INDEX('Tables - Part 2'!$BL$4:$BL$7,MATCH(Amine_Cracking!V16,'Tables - Part 2'!$BK$4:$BK$7,0),))</f>
        <v>100</v>
      </c>
      <c r="X16" s="238">
        <f>IF(M16=0,(Thinning!G17-Thinning!F17)/365.25,(Thinning!G17-M16)/365.25)</f>
        <v>12.980150581793293</v>
      </c>
      <c r="Y16" s="248">
        <f t="shared" si="2"/>
        <v>0</v>
      </c>
      <c r="Z16" s="248">
        <f t="shared" si="3"/>
        <v>2.5</v>
      </c>
      <c r="AA16" s="247">
        <f t="shared" si="7"/>
        <v>3</v>
      </c>
      <c r="AB16" s="247">
        <f t="shared" si="4"/>
        <v>4</v>
      </c>
      <c r="AC16" s="248">
        <f>IF($T16=$AC$3,INDEX('Tables - Part 2'!$AX$6:$BA$13,MATCH(Amine_Cracking!W16,'Tables - Part 2'!$AV$6:$AV$13,0),MATCH(Amine_Cracking!U16,'Tables - Part 2'!$AX$5:$BA$5,0)),0)</f>
        <v>0</v>
      </c>
      <c r="AD16" s="248">
        <f>IF($T16=$AD$3,(INDEX('Tables - Part 2'!$AX$6:$BA$13,MATCH(Amine_Cracking!W16,'Tables - Part 2'!$AV$6:$AV$13,0),MATCH(Amine_Cracking!U16,'Tables - Part 2'!$AX$5:$BA$5,0))+(INDEX('Tables - Part 2'!$AX$6:$BA$13,MATCH(Amine_Cracking!W16,'Tables - Part 2'!$AV$6:$AV$13,0),MATCH(Amine_Cracking!U16,'Tables - Part 2'!$AX$5:$BA$5,0))+((INDEX('Tables - Part 2'!$AX$6:$BA$13,MATCH(Amine_Cracking!W16,'Tables - Part 2'!$AV$6:$AV$13,0),MATCH(Amine_Cracking!U16,'Tables - Part 2'!$AX$5:$BA$5,0))+INDEX('Tables - Part 2'!$BB$6:$BE$13,MATCH(Amine_Cracking!$W16,'Tables - Part 2'!$AV$6:$AV$13,0),MATCH(Amine_Cracking!$U16,'Tables - Part 2'!$AX$5:$BA$5,0)))/2))/2)/2,0)</f>
        <v>0</v>
      </c>
      <c r="AE16" s="248">
        <f>IF($T16=$AE$3,(INDEX('Tables - Part 2'!$AX$6:$BA$13,MATCH(Amine_Cracking!W16,'Tables - Part 2'!$AV$6:$AV$13,0),MATCH(Amine_Cracking!U16,'Tables - Part 2'!$AX$5:$BA$5,0))+((INDEX('Tables - Part 2'!$AX$6:$BA$13,MATCH(Amine_Cracking!W16,'Tables - Part 2'!$AV$6:$AV$13,0),MATCH(Amine_Cracking!U16,'Tables - Part 2'!$AX$5:$BA$5,0))+INDEX('Tables - Part 2'!$BB$6:$BE$13,MATCH(Amine_Cracking!$W16,'Tables - Part 2'!$AV$6:$AV$13,0),MATCH(Amine_Cracking!$U16,'Tables - Part 2'!$AX$5:$BA$5,0)))/2))/2,0)</f>
        <v>0</v>
      </c>
      <c r="AF16" s="248">
        <f>IF($T16=$AF$3,(((INDEX('Tables - Part 2'!$AX$6:$BA$13,MATCH(Amine_Cracking!W16,'Tables - Part 2'!$AV$6:$AV$13,0),MATCH(Amine_Cracking!U16,'Tables - Part 2'!$AX$5:$BA$5,0))+((INDEX('Tables - Part 2'!$AX$6:$BA$13,MATCH(Amine_Cracking!W16,'Tables - Part 2'!$AV$6:$AV$13,0),MATCH(Amine_Cracking!U16,'Tables - Part 2'!$AX$5:$BA$5,0))+INDEX('Tables - Part 2'!$BB$6:$BE$13,MATCH(Amine_Cracking!$W16,'Tables - Part 2'!$AV$6:$AV$13,0),MATCH(Amine_Cracking!$U16,'Tables - Part 2'!$AX$5:$BA$5,0)))/2))/2)+(INDEX('Tables - Part 2'!$AX$6:$BA$13,MATCH(Amine_Cracking!W16,'Tables - Part 2'!$AV$6:$AV$13,0),MATCH(Amine_Cracking!U16,'Tables - Part 2'!$AX$5:$BA$5,0))+INDEX('Tables - Part 2'!$BB$6:$BE$13,MATCH(Amine_Cracking!$W16,'Tables - Part 2'!$AV$6:$AV$13,0),MATCH(Amine_Cracking!$U16,'Tables - Part 2'!$AX$5:$BA$5,0)))/2)/2,0)</f>
        <v>0</v>
      </c>
      <c r="AG16" s="248">
        <f>IF($T16=$AG$3,(INDEX('Tables - Part 2'!$AX$6:$BA$13,MATCH(Amine_Cracking!W16,'Tables - Part 2'!$AV$6:$AV$13,0),MATCH(Amine_Cracking!U16,'Tables - Part 2'!$AX$5:$BA$5,0))+INDEX('Tables - Part 2'!$BB$6:$BE$13,MATCH(Amine_Cracking!$W16,'Tables - Part 2'!$AV$6:$AV$13,0),MATCH(Amine_Cracking!$U16,'Tables - Part 2'!$AX$5:$BA$5,0)))/2,0)</f>
        <v>0</v>
      </c>
      <c r="AH16" s="248">
        <f>IF($T16=$AH$3,(((INDEX('Tables - Part 2'!$AX$6:$BA$13,MATCH(Amine_Cracking!W16,'Tables - Part 2'!$AV$6:$AV$13,0),MATCH(Amine_Cracking!U16,'Tables - Part 2'!$AX$5:$BA$5,0))+INDEX('Tables - Part 2'!$BB$6:$BE$13,MATCH(Amine_Cracking!$W16,'Tables - Part 2'!$AV$6:$AV$13,0),MATCH(Amine_Cracking!$U16,'Tables - Part 2'!$AX$5:$BA$5,0)))/2)+(((INDEX('Tables - Part 2'!$AX$6:$BA$13,MATCH(Amine_Cracking!W16,'Tables - Part 2'!$AV$6:$AV$13,0),MATCH(Amine_Cracking!U16,'Tables - Part 2'!$AX$5:$BA$5,0))+INDEX('Tables - Part 2'!$BB$6:$BE$13,MATCH(Amine_Cracking!$W16,'Tables - Part 2'!$AV$6:$AV$13,0),MATCH(Amine_Cracking!$U16,'Tables - Part 2'!$AX$5:$BA$5,0)))/2)+INDEX('Tables - Part 2'!$BB$6:$BE$13,MATCH(Amine_Cracking!$W16,'Tables - Part 2'!$AV$6:$AV$13,0),MATCH(Amine_Cracking!$U16,'Tables - Part 2'!$AX$5:$BA$5,0)))/2)/2,0)</f>
        <v>0</v>
      </c>
      <c r="AI16" s="248">
        <f>IF($T16=$AI$3,(((INDEX('Tables - Part 2'!$AX$6:$BA$13,MATCH(Amine_Cracking!W16,'Tables - Part 2'!$AV$6:$AV$13,0),MATCH(Amine_Cracking!U16,'Tables - Part 2'!$AX$5:$BA$5,0))+INDEX('Tables - Part 2'!$BB$6:$BE$13,MATCH(Amine_Cracking!$W16,'Tables - Part 2'!$AV$6:$AV$13,0),MATCH(Amine_Cracking!$U16,'Tables - Part 2'!$AX$5:$BA$5,0)))/2)+INDEX('Tables - Part 2'!$BB$6:$BE$13,MATCH(Amine_Cracking!$W16,'Tables - Part 2'!$AV$6:$AV$13,0),MATCH(Amine_Cracking!$U16,'Tables - Part 2'!$AX$5:$BA$5,0)))/2,0)</f>
        <v>0</v>
      </c>
      <c r="AJ16" s="248">
        <f>IF($T16=$AJ$3,(((((INDEX('Tables - Part 2'!$AX$6:$BA$13,MATCH(Amine_Cracking!W16,'Tables - Part 2'!$AV$6:$AV$13,0),MATCH(Amine_Cracking!U16,'Tables - Part 2'!$AX$5:$BA$5,0))+INDEX('Tables - Part 2'!$BB$6:$BE$13,MATCH(Amine_Cracking!$W16,'Tables - Part 2'!$AV$6:$AV$13,0),MATCH(Amine_Cracking!$U16,'Tables - Part 2'!$AX$5:$BA$5,0)))/2)+INDEX('Tables - Part 2'!$BB$6:$BE$13,MATCH(Amine_Cracking!$W16,'Tables - Part 2'!$AV$6:$AV$13,0),MATCH(Amine_Cracking!$U16,'Tables - Part 2'!$AX$5:$BA$5,0)))/2)+INDEX('Tables - Part 2'!$BB$6:$BE$13,MATCH(Amine_Cracking!$W16,'Tables - Part 2'!$AV$6:$AV$13,0),MATCH(Amine_Cracking!$U16,'Tables - Part 2'!$AX$5:$BA$5,0)))/2,0)</f>
        <v>0</v>
      </c>
      <c r="AK16" s="248">
        <f>IF($T16=$AK$3,INDEX('Tables - Part 2'!$BB$6:$BE$13,MATCH(Amine_Cracking!$W16,'Tables - Part 2'!$AV$6:$AV$13,0),MATCH(Amine_Cracking!$U16,'Tables - Part 2'!$AX$5:$BA$5,0)),0)</f>
        <v>0</v>
      </c>
      <c r="AL16" s="248">
        <f>IF($T16=$AL$3,((INDEX('Tables - Part 2'!$BB$6:$BE$13,MATCH(Amine_Cracking!$W16,'Tables - Part 2'!$AV$6:$AV$13,0),MATCH(Amine_Cracking!$U16,'Tables - Part 2'!$AX$5:$BA$5,0)))+(INDEX('Tables - Part 2'!$BB$6:$BE$13,MATCH(Amine_Cracking!$W16,'Tables - Part 2'!$AV$6:$AV$13,0),MATCH(Amine_Cracking!$U16,'Tables - Part 2'!$AX$5:$BA$5,0))+(INDEX('Tables - Part 2'!$BB$6:$BE$13,MATCH(Amine_Cracking!$W16,'Tables - Part 2'!$AV$6:$AV$13,0),MATCH(Amine_Cracking!$U16,'Tables - Part 2'!$AX$5:$BA$5,0))+INDEX('Tables - Part 2'!$BF$6:$BI$13,MATCH(Amine_Cracking!$W16,'Tables - Part 2'!$AV$6:$AV$13,0),MATCH(Amine_Cracking!$U16,'Tables - Part 2'!$AX$5:$BA$5,0)))/2)/2)/2,0)</f>
        <v>0</v>
      </c>
      <c r="AM16" s="248">
        <f>IF($T16=$AM$3,(INDEX('Tables - Part 2'!$BB$6:$BE$13,MATCH(Amine_Cracking!$W16,'Tables - Part 2'!$AV$6:$AV$13,0),MATCH(Amine_Cracking!$U16,'Tables - Part 2'!$AX$5:$BA$5,0))+(INDEX('Tables - Part 2'!$BB$6:$BE$13,MATCH(Amine_Cracking!$W16,'Tables - Part 2'!$AV$6:$AV$13,0),MATCH(Amine_Cracking!$U16,'Tables - Part 2'!$AX$5:$BA$5,0))+INDEX('Tables - Part 2'!$BF$6:$BI$13,MATCH(Amine_Cracking!$W16,'Tables - Part 2'!$AV$6:$AV$13,0),MATCH(Amine_Cracking!$U16,'Tables - Part 2'!$AX$5:$BA$5,0)))/2)/2,0)</f>
        <v>0</v>
      </c>
      <c r="AN16" s="248">
        <f>IF($T16=$AN$3,(((INDEX('Tables - Part 2'!$BB$6:$BE$13,MATCH(Amine_Cracking!$W16,'Tables - Part 2'!$AV$6:$AV$13,0),MATCH(Amine_Cracking!$U16,'Tables - Part 2'!$AX$5:$BA$5,0))+(INDEX('Tables - Part 2'!$BB$6:$BE$13,MATCH(Amine_Cracking!$W16,'Tables - Part 2'!$AV$6:$AV$13,0),MATCH(Amine_Cracking!$U16,'Tables - Part 2'!$AX$5:$BA$5,0))+INDEX('Tables - Part 2'!$BF$6:$BI$13,MATCH(Amine_Cracking!$W16,'Tables - Part 2'!$AV$6:$AV$13,0),MATCH(Amine_Cracking!$U16,'Tables - Part 2'!$AX$5:$BA$5,0)))/2)/2)+((INDEX('Tables - Part 2'!$BB$6:$BE$13,MATCH(Amine_Cracking!$W16,'Tables - Part 2'!$AV$6:$AV$13,0),MATCH(Amine_Cracking!$U16,'Tables - Part 2'!$AX$5:$BA$5,0))+INDEX('Tables - Part 2'!$BF$6:$BI$13,MATCH(Amine_Cracking!$W16,'Tables - Part 2'!$AV$6:$AV$13,0),MATCH(Amine_Cracking!$U16,'Tables - Part 2'!$AX$5:$BA$5,0)))/2))/2,0)</f>
        <v>0</v>
      </c>
      <c r="AO16" s="248">
        <f>IF($T16=$AO$3,(INDEX('Tables - Part 2'!$BB$6:$BE$13,MATCH(Amine_Cracking!$W16,'Tables - Part 2'!$AV$6:$AV$13,0),MATCH(Amine_Cracking!$U16,'Tables - Part 2'!$AX$5:$BA$5,0))+INDEX('Tables - Part 2'!$BF$6:$BI$13,MATCH(Amine_Cracking!$W16,'Tables - Part 2'!$AV$6:$AV$13,0),MATCH(Amine_Cracking!$U16,'Tables - Part 2'!$AX$5:$BA$5,0)))/2,0)</f>
        <v>3</v>
      </c>
      <c r="AP16" s="248">
        <f>IF($T16=$AP$3,(((INDEX('Tables - Part 2'!$BB$6:$BE$13,MATCH(Amine_Cracking!$W16,'Tables - Part 2'!$AV$6:$AV$13,0),MATCH(Amine_Cracking!$U16,'Tables - Part 2'!$AX$5:$BA$5,0))+INDEX('Tables - Part 2'!$BF$6:$BI$13,MATCH(Amine_Cracking!$W16,'Tables - Part 2'!$AV$6:$AV$13,0),MATCH(Amine_Cracking!$U16,'Tables - Part 2'!$AX$5:$BA$5,0)))/2)+((((INDEX('Tables - Part 2'!$BB$6:$BE$13,MATCH(Amine_Cracking!$W16,'Tables - Part 2'!$AV$6:$AV$13,0),MATCH(Amine_Cracking!$U16,'Tables - Part 2'!$AX$5:$BA$5,0))+INDEX('Tables - Part 2'!$BF$6:$BI$13,MATCH(Amine_Cracking!$W16,'Tables - Part 2'!$AV$6:$AV$13,0),MATCH(Amine_Cracking!$U16,'Tables - Part 2'!$AX$5:$BA$5,0)))/2)+INDEX('Tables - Part 2'!$BF$6:$BI$13,MATCH(Amine_Cracking!$W16,'Tables - Part 2'!$AV$6:$AV$13,0),MATCH(Amine_Cracking!$U16,'Tables - Part 2'!$AX$5:$BA$5,0)))/2))/2,0)</f>
        <v>0</v>
      </c>
      <c r="AQ16" s="248">
        <f>IF($T16=$AQ$3,(((INDEX('Tables - Part 2'!$BB$6:$BE$13,MATCH(Amine_Cracking!$W16,'Tables - Part 2'!$AV$6:$AV$13,0),MATCH(Amine_Cracking!$U16,'Tables - Part 2'!$AX$5:$BA$5,0))+INDEX('Tables - Part 2'!$BF$6:$BI$13,MATCH(Amine_Cracking!$W16,'Tables - Part 2'!$AV$6:$AV$13,0),MATCH(Amine_Cracking!$U16,'Tables - Part 2'!$AX$5:$BA$5,0)))/2)+INDEX('Tables - Part 2'!$BF$6:$BI$13,MATCH(Amine_Cracking!$W16,'Tables - Part 2'!$AV$6:$AV$13,0),MATCH(Amine_Cracking!$U16,'Tables - Part 2'!$AX$5:$BA$5,0)))/2,0)</f>
        <v>0</v>
      </c>
      <c r="AR16" s="248">
        <f>IF($T16=$AR$3,(((((INDEX('Tables - Part 2'!$BB$6:$BE$13,MATCH(Amine_Cracking!$W16,'Tables - Part 2'!$AV$6:$AV$13,0),MATCH(Amine_Cracking!$U16,'Tables - Part 2'!$AX$5:$BA$5,0))+INDEX('Tables - Part 2'!$BF$6:$BI$13,MATCH(Amine_Cracking!$W16,'Tables - Part 2'!$AV$6:$AV$13,0),MATCH(Amine_Cracking!$U16,'Tables - Part 2'!$AX$5:$BA$5,0)))/2)+INDEX('Tables - Part 2'!$BF$6:$BI$13,MATCH(Amine_Cracking!$W16,'Tables - Part 2'!$AV$6:$AV$13,0),MATCH(Amine_Cracking!$U16,'Tables - Part 2'!$AX$5:$BA$5,0)))/2)+INDEX('Tables - Part 2'!$BF$6:$BI$13,MATCH(Amine_Cracking!$W16,'Tables - Part 2'!$AV$6:$AV$13,0),MATCH(Amine_Cracking!$U16,'Tables - Part 2'!$AX$5:$BA$5,0)))/2,0)</f>
        <v>0</v>
      </c>
      <c r="AS16" s="248">
        <f>IF($T16=$AS$3,INDEX('Tables - Part 2'!$BF$6:$BI$13,MATCH(Amine_Cracking!$W16,'Tables - Part 2'!$AV$6:$AV$13,0),MATCH(Amine_Cracking!$U16,'Tables - Part 2'!$AX$5:$BA$5,0)),0)</f>
        <v>0</v>
      </c>
      <c r="AT16" s="248">
        <f>IF($T16=$AT$3,(INDEX('Tables - Part 2'!$BF$6:$BI$13,MATCH(Amine_Cracking!$W16,'Tables - Part 2'!$AV$6:$AV$13,0),MATCH(Amine_Cracking!$U16,'Tables - Part 2'!$AX$5:$BA$5,0))+((INDEX('Tables - Part 2'!$BF$6:$BI$13,MATCH(Amine_Cracking!$W16,'Tables - Part 2'!$AV$6:$AV$13,0),MATCH(Amine_Cracking!$U16,'Tables - Part 2'!$AX$5:$BA$5,0))+(INDEX('Tables - Part 2'!$BF$6:$BI$13,MATCH(Amine_Cracking!$W16,'Tables - Part 2'!$AV$6:$AV$13,0),MATCH(Amine_Cracking!$U16,'Tables - Part 2'!$AX$5:$BA$5,0))+INDEX('Tables - Part 2'!$AX$17:$BA$24,MATCH(Amine_Cracking!$W16,'Tables - Part 2'!$AV$6:$AV$13,0),MATCH(Amine_Cracking!$U16,'Tables - Part 2'!$AX$5:$BA$5,0)))/2)/2))/2,0)</f>
        <v>0</v>
      </c>
      <c r="AU16" s="248">
        <f>IF($T16=$AU$3,(INDEX('Tables - Part 2'!$BF$6:$BI$13,MATCH(Amine_Cracking!$W16,'Tables - Part 2'!$AV$6:$AV$13,0),MATCH(Amine_Cracking!$U16,'Tables - Part 2'!$AX$5:$BA$5,0))+(INDEX('Tables - Part 2'!$BF$6:$BI$13,MATCH(Amine_Cracking!$W16,'Tables - Part 2'!$AV$6:$AV$13,0),MATCH(Amine_Cracking!$U16,'Tables - Part 2'!$AX$5:$BA$5,0))+INDEX('Tables - Part 2'!$AX$17:$BA$24,MATCH(Amine_Cracking!$W16,'Tables - Part 2'!$AV$6:$AV$13,0),MATCH(Amine_Cracking!$U16,'Tables - Part 2'!$AX$5:$BA$5,0)))/2)/2,0)</f>
        <v>0</v>
      </c>
      <c r="AV16" s="248">
        <f>IF($T16=$AV$3,(((INDEX('Tables - Part 2'!$BF$6:$BI$13,MATCH(Amine_Cracking!$W16,'Tables - Part 2'!$AV$6:$AV$13,0),MATCH(Amine_Cracking!$U16,'Tables - Part 2'!$AX$5:$BA$5,0))+(INDEX('Tables - Part 2'!$BF$6:$BI$13,MATCH(Amine_Cracking!$W16,'Tables - Part 2'!$AV$6:$AV$13,0),MATCH(Amine_Cracking!$U16,'Tables - Part 2'!$AX$5:$BA$5,0))+INDEX('Tables - Part 2'!$AX$17:$BA$24,MATCH(Amine_Cracking!$W16,'Tables - Part 2'!$AV$6:$AV$13,0),MATCH(Amine_Cracking!$U16,'Tables - Part 2'!$AX$5:$BA$5,0)))/2)/2)+((INDEX('Tables - Part 2'!$BF$6:$BI$13,MATCH(Amine_Cracking!$W16,'Tables - Part 2'!$AV$6:$AV$13,0),MATCH(Amine_Cracking!$U16,'Tables - Part 2'!$AX$5:$BA$5,0))+INDEX('Tables - Part 2'!$AX$17:$BA$24,MATCH(Amine_Cracking!$W16,'Tables - Part 2'!$AV$6:$AV$13,0),MATCH(Amine_Cracking!$U16,'Tables - Part 2'!$AX$5:$BA$5,0)))/2))/2,0)</f>
        <v>0</v>
      </c>
      <c r="AW16" s="248">
        <f>IF($T16=$AW$3,(INDEX('Tables - Part 2'!$BF$6:$BI$13,MATCH(Amine_Cracking!$W16,'Tables - Part 2'!$AV$6:$AV$13,0),MATCH(Amine_Cracking!$U16,'Tables - Part 2'!$AX$5:$BA$5,0))+INDEX('Tables - Part 2'!$AX$17:$BA$24,MATCH(Amine_Cracking!$W16,'Tables - Part 2'!$AV$6:$AV$13,0),MATCH(Amine_Cracking!$U16,'Tables - Part 2'!$AX$5:$BA$5,0)))/2,0)</f>
        <v>0</v>
      </c>
      <c r="AX16" s="248">
        <f>IF($T16=$AX$3,(((INDEX('Tables - Part 2'!$BF$6:$BI$13,MATCH(Amine_Cracking!$W16,'Tables - Part 2'!$AV$6:$AV$13,0),MATCH(Amine_Cracking!$U16,'Tables - Part 2'!$AX$5:$BA$5,0))+INDEX('Tables - Part 2'!$AX$17:$BA$24,MATCH(Amine_Cracking!$W16,'Tables - Part 2'!$AV$6:$AV$13,0),MATCH(Amine_Cracking!$U16,'Tables - Part 2'!$AX$5:$BA$5,0)))/2)+((((INDEX('Tables - Part 2'!$BF$6:$BI$13,MATCH(Amine_Cracking!$W16,'Tables - Part 2'!$AV$6:$AV$13,0),MATCH(Amine_Cracking!$U16,'Tables - Part 2'!$AX$5:$BA$5,0))+INDEX('Tables - Part 2'!$AX$17:$BA$24,MATCH(Amine_Cracking!$W16,'Tables - Part 2'!$AV$6:$AV$13,0),MATCH(Amine_Cracking!$U16,'Tables - Part 2'!$AX$5:$BA$5,0)))/2)+INDEX('Tables - Part 2'!$AX$17:$BA$24,MATCH(Amine_Cracking!$W16,'Tables - Part 2'!$AV$6:$AV$13,0),MATCH(Amine_Cracking!$U16,'Tables - Part 2'!$AX$5:$BA$5,0)))/2))/2,0)</f>
        <v>0</v>
      </c>
      <c r="AY16" s="248">
        <f>IF($T16=$AY$3,(((INDEX('Tables - Part 2'!$BF$6:$BI$13,MATCH(Amine_Cracking!$W16,'Tables - Part 2'!$AV$6:$AV$13,0),MATCH(Amine_Cracking!$U16,'Tables - Part 2'!$AX$5:$BA$5,0))+INDEX('Tables - Part 2'!$AX$17:$BA$24,MATCH(Amine_Cracking!$W16,'Tables - Part 2'!$AV$6:$AV$13,0),MATCH(Amine_Cracking!$U16,'Tables - Part 2'!$AX$5:$BA$5,0)))/2)+INDEX('Tables - Part 2'!$AX$17:$BA$24,MATCH(Amine_Cracking!$W16,'Tables - Part 2'!$AV$6:$AV$13,0),MATCH(Amine_Cracking!$U16,'Tables - Part 2'!$AX$5:$BA$5,0)))/2,0)</f>
        <v>0</v>
      </c>
      <c r="AZ16" s="248">
        <f>IF($T16=$AZ$3,(((((INDEX('Tables - Part 2'!$BF$6:$BI$13,MATCH(Amine_Cracking!$W16,'Tables - Part 2'!$AV$6:$AV$13,0),MATCH(Amine_Cracking!$U16,'Tables - Part 2'!$AX$5:$BA$5,0))+INDEX('Tables - Part 2'!$AX$17:$BA$24,MATCH(Amine_Cracking!$W16,'Tables - Part 2'!$AV$6:$AV$13,0),MATCH(Amine_Cracking!$U16,'Tables - Part 2'!$AX$5:$BA$5,0)))/2)+INDEX('Tables - Part 2'!$AX$17:$BA$24,MATCH(Amine_Cracking!$W16,'Tables - Part 2'!$AV$6:$AV$13,0),MATCH(Amine_Cracking!$U16,'Tables - Part 2'!$AX$5:$BA$5,0)))/2)+(INDEX('Tables - Part 2'!$AX$17:$BA$24,MATCH(Amine_Cracking!$W16,'Tables - Part 2'!$AV$6:$AV$13,0),MATCH(Amine_Cracking!$U16,'Tables - Part 2'!$AX$5:$BA$5,0))))/2,0)</f>
        <v>0</v>
      </c>
      <c r="BA16" s="248">
        <f>IF($T16=$BA$3,INDEX('Tables - Part 2'!$AX$17:$BA$24,MATCH(Amine_Cracking!$W16,'Tables - Part 2'!$AV$6:$AV$13,0),MATCH(Amine_Cracking!$U16,'Tables - Part 2'!$AX$5:$BA$5,0)),0)</f>
        <v>0</v>
      </c>
      <c r="BB16" s="248">
        <f>IF($T16=$BB$3,((INDEX('Tables - Part 2'!$AX$17:$BA$24,MATCH(Amine_Cracking!$W16,'Tables - Part 2'!$AV$6:$AV$13,0),MATCH(Amine_Cracking!$U16,'Tables - Part 2'!$AX$5:$BA$5,0)))+(((INDEX('Tables - Part 2'!$AX$17:$BA$24,MATCH(Amine_Cracking!$W16,'Tables - Part 2'!$AV$6:$AV$13,0),MATCH(Amine_Cracking!$U16,'Tables - Part 2'!$AX$5:$BA$5,0)))+(INDEX('Tables - Part 2'!$AX$17:$BA$24,MATCH(Amine_Cracking!$W16,'Tables - Part 2'!$AV$6:$AV$13,0),MATCH(Amine_Cracking!$U16,'Tables - Part 2'!$AX$5:$BA$5,0))+INDEX('Tables - Part 2'!$BB$17:$BE$24,MATCH(Amine_Cracking!$W16,'Tables - Part 2'!$AV$6:$AV$13,0),MATCH(Amine_Cracking!$U16,'Tables - Part 2'!$AX$5:$BA$5,0)))/2)/2))/2,0)</f>
        <v>0</v>
      </c>
      <c r="BC16" s="248">
        <f>IF($T16=$BC$3,((INDEX('Tables - Part 2'!$AX$17:$BA$24,MATCH(Amine_Cracking!$W16,'Tables - Part 2'!$AV$6:$AV$13,0),MATCH(Amine_Cracking!$U16,'Tables - Part 2'!$AX$5:$BA$5,0)))+(INDEX('Tables - Part 2'!$AX$17:$BA$24,MATCH(Amine_Cracking!$W16,'Tables - Part 2'!$AV$6:$AV$13,0),MATCH(Amine_Cracking!$U16,'Tables - Part 2'!$AX$5:$BA$5,0))+INDEX('Tables - Part 2'!$BB$17:$BE$24,MATCH(Amine_Cracking!$W16,'Tables - Part 2'!$AV$6:$AV$13,0),MATCH(Amine_Cracking!$U16,'Tables - Part 2'!$AX$5:$BA$5,0)))/2)/2,0)</f>
        <v>0</v>
      </c>
      <c r="BD16" s="248">
        <f>IF($T16=$BD$3,((((INDEX('Tables - Part 2'!$AX$17:$BA$24,MATCH(Amine_Cracking!$W16,'Tables - Part 2'!$AV$6:$AV$13,0),MATCH(Amine_Cracking!$U16,'Tables - Part 2'!$AX$5:$BA$5,0)))+(INDEX('Tables - Part 2'!$AX$17:$BA$24,MATCH(Amine_Cracking!$W16,'Tables - Part 2'!$AV$6:$AV$13,0),MATCH(Amine_Cracking!$U16,'Tables - Part 2'!$AX$5:$BA$5,0))+INDEX('Tables - Part 2'!$BB$17:$BE$24,MATCH(Amine_Cracking!$W16,'Tables - Part 2'!$AV$6:$AV$13,0),MATCH(Amine_Cracking!$U16,'Tables - Part 2'!$AX$5:$BA$5,0)))/2)/2)+((INDEX('Tables - Part 2'!$AX$17:$BA$24,MATCH(Amine_Cracking!$W16,'Tables - Part 2'!$AV$6:$AV$13,0),MATCH(Amine_Cracking!$U16,'Tables - Part 2'!$AX$5:$BA$5,0))+INDEX('Tables - Part 2'!$BB$17:$BE$24,MATCH(Amine_Cracking!$W16,'Tables - Part 2'!$AV$6:$AV$13,0),MATCH(Amine_Cracking!$U16,'Tables - Part 2'!$AX$5:$BA$5,0)))/2))/2,0)</f>
        <v>0</v>
      </c>
      <c r="BE16" s="248">
        <f>IF($T16=$BE$3,(INDEX('Tables - Part 2'!$AX$17:$BA$24,MATCH(Amine_Cracking!$W16,'Tables - Part 2'!$AV$6:$AV$13,0),MATCH(Amine_Cracking!$U16,'Tables - Part 2'!$AX$5:$BA$5,0))+INDEX('Tables - Part 2'!$BB$17:$BE$24,MATCH(Amine_Cracking!$W16,'Tables - Part 2'!$AV$6:$AV$13,0),MATCH(Amine_Cracking!$U16,'Tables - Part 2'!$AX$5:$BA$5,0)))/2,0)</f>
        <v>0</v>
      </c>
      <c r="BF16" s="248">
        <f>IF($T16=$BF$3,(((INDEX('Tables - Part 2'!$AX$17:$BA$24,MATCH(Amine_Cracking!$W16,'Tables - Part 2'!$AV$6:$AV$13,0),MATCH(Amine_Cracking!$U16,'Tables - Part 2'!$AX$5:$BA$5,0))+INDEX('Tables - Part 2'!$BB$17:$BE$24,MATCH(Amine_Cracking!$W16,'Tables - Part 2'!$AV$6:$AV$13,0),MATCH(Amine_Cracking!$U16,'Tables - Part 2'!$AX$5:$BA$5,0)))/2)+((((INDEX('Tables - Part 2'!$AX$17:$BA$24,MATCH(Amine_Cracking!$W16,'Tables - Part 2'!$AV$6:$AV$13,0),MATCH(Amine_Cracking!$U16,'Tables - Part 2'!$AX$5:$BA$5,0))+INDEX('Tables - Part 2'!$BB$17:$BE$24,MATCH(Amine_Cracking!$W16,'Tables - Part 2'!$AV$6:$AV$13,0),MATCH(Amine_Cracking!$U16,'Tables - Part 2'!$AX$5:$BA$5,0)))/2)+INDEX('Tables - Part 2'!$BB$17:$BE$24,MATCH(Amine_Cracking!$W16,'Tables - Part 2'!$AV$6:$AV$13,0),MATCH(Amine_Cracking!$U16,'Tables - Part 2'!$AX$5:$BA$5,0)))/2))/2,0)</f>
        <v>0</v>
      </c>
      <c r="BG16" s="248">
        <f>IF($T16=$BG$3,(((INDEX('Tables - Part 2'!$AX$17:$BA$24,MATCH(Amine_Cracking!$W16,'Tables - Part 2'!$AV$6:$AV$13,0),MATCH(Amine_Cracking!$U16,'Tables - Part 2'!$AX$5:$BA$5,0))+INDEX('Tables - Part 2'!$BB$17:$BE$24,MATCH(Amine_Cracking!$W16,'Tables - Part 2'!$AV$6:$AV$13,0),MATCH(Amine_Cracking!$U16,'Tables - Part 2'!$AX$5:$BA$5,0)))/2)+INDEX('Tables - Part 2'!$BB$17:$BE$24,MATCH(Amine_Cracking!$W16,'Tables - Part 2'!$AV$6:$AV$13,0),MATCH(Amine_Cracking!$U16,'Tables - Part 2'!$AX$5:$BA$5,0)))/2,0)</f>
        <v>0</v>
      </c>
      <c r="BH16" s="248">
        <f>IF($T16=$BH$3,(((((INDEX('Tables - Part 2'!$AX$17:$BA$24,MATCH(Amine_Cracking!$W16,'Tables - Part 2'!$AV$6:$AV$13,0),MATCH(Amine_Cracking!$U16,'Tables - Part 2'!$AX$5:$BA$5,0))+INDEX('Tables - Part 2'!$BB$17:$BE$24,MATCH(Amine_Cracking!$W16,'Tables - Part 2'!$AV$6:$AV$13,0),MATCH(Amine_Cracking!$U16,'Tables - Part 2'!$AX$5:$BA$5,0)))/2)+INDEX('Tables - Part 2'!$BB$17:$BE$24,MATCH(Amine_Cracking!$W16,'Tables - Part 2'!$AV$6:$AV$13,0),MATCH(Amine_Cracking!$U16,'Tables - Part 2'!$AX$5:$BA$5,0)))/2)+(INDEX('Tables - Part 2'!$BB$17:$BE$24,MATCH(Amine_Cracking!$W16,'Tables - Part 2'!$AV$6:$AV$13,0),MATCH(Amine_Cracking!$U16,'Tables - Part 2'!$AX$5:$BA$5,0))))/2,0)</f>
        <v>0</v>
      </c>
      <c r="BI16" s="248">
        <f>IF($T16=$BI$3,INDEX('Tables - Part 2'!$BB$17:$BE$24,MATCH(Amine_Cracking!$W16,'Tables - Part 2'!$AV$6:$AV$13,0),MATCH(Amine_Cracking!$U16,'Tables - Part 2'!$AX$5:$BA$5,0)),0)</f>
        <v>0</v>
      </c>
      <c r="BJ16" s="248">
        <f>IF($T16=$BJ$3,((INDEX('Tables - Part 2'!$BB$17:$BE$24,MATCH(Amine_Cracking!$W16,'Tables - Part 2'!$AV$6:$AV$13,0),MATCH(Amine_Cracking!$U16,'Tables - Part 2'!$AX$5:$BA$5,0)))+(((INDEX('Tables - Part 2'!$BB$17:$BE$24,MATCH(Amine_Cracking!$W16,'Tables - Part 2'!$AV$6:$AV$13,0),MATCH(Amine_Cracking!$U16,'Tables - Part 2'!$AX$5:$BA$5,0)))+(INDEX('Tables - Part 2'!$BB$17:$BE$24,MATCH(Amine_Cracking!$W16,'Tables - Part 2'!$AV$6:$AV$13,0),MATCH(Amine_Cracking!$U16,'Tables - Part 2'!$AX$5:$BA$5,0))+INDEX('Tables - Part 2'!$BF$17:$BI$24,MATCH(Amine_Cracking!$W16,'Tables - Part 2'!$AV$6:$AV$13,0),MATCH(Amine_Cracking!$U16,'Tables - Part 2'!$AX$5:$BA$5,0)))/2)/2))/2,0)</f>
        <v>0</v>
      </c>
      <c r="BK16" s="248">
        <f>IF($T16=$BK$3,((INDEX('Tables - Part 2'!$BB$17:$BE$24,MATCH(Amine_Cracking!$W16,'Tables - Part 2'!$AV$6:$AV$13,0),MATCH(Amine_Cracking!$U16,'Tables - Part 2'!$AX$5:$BA$5,0)))+(INDEX('Tables - Part 2'!$BB$17:$BE$24,MATCH(Amine_Cracking!$W16,'Tables - Part 2'!$AV$6:$AV$13,0),MATCH(Amine_Cracking!$U16,'Tables - Part 2'!$AX$5:$BA$5,0))+INDEX('Tables - Part 2'!$BF$17:$BI$24,MATCH(Amine_Cracking!$W16,'Tables - Part 2'!$AV$6:$AV$13,0),MATCH(Amine_Cracking!$U16,'Tables - Part 2'!$AX$5:$BA$5,0)))/2)/2,0)</f>
        <v>0</v>
      </c>
      <c r="BL16" s="248">
        <f>IF($T16=$BL$3,((((INDEX('Tables - Part 2'!$BB$17:$BE$24,MATCH(Amine_Cracking!$W16,'Tables - Part 2'!$AV$6:$AV$13,0),MATCH(Amine_Cracking!$U16,'Tables - Part 2'!$AX$5:$BA$5,0)))+(INDEX('Tables - Part 2'!$BB$17:$BE$24,MATCH(Amine_Cracking!$W16,'Tables - Part 2'!$AV$6:$AV$13,0),MATCH(Amine_Cracking!$U16,'Tables - Part 2'!$AX$5:$BA$5,0))+INDEX('Tables - Part 2'!$BF$17:$BI$24,MATCH(Amine_Cracking!$W16,'Tables - Part 2'!$AV$6:$AV$13,0),MATCH(Amine_Cracking!$U16,'Tables - Part 2'!$AX$5:$BA$5,0)))/2)/2)+((INDEX('Tables - Part 2'!$BB$17:$BE$24,MATCH(Amine_Cracking!$W16,'Tables - Part 2'!$AV$6:$AV$13,0),MATCH(Amine_Cracking!$U16,'Tables - Part 2'!$AX$5:$BA$5,0))+INDEX('Tables - Part 2'!$BF$17:$BI$24,MATCH(Amine_Cracking!$W16,'Tables - Part 2'!$AV$6:$AV$13,0),MATCH(Amine_Cracking!$U16,'Tables - Part 2'!$AX$5:$BA$5,0)))/2))/2,0)</f>
        <v>0</v>
      </c>
      <c r="BM16" s="248">
        <f>IF($T16=$BM$3,(INDEX('Tables - Part 2'!$BB$17:$BE$24,MATCH(Amine_Cracking!$W16,'Tables - Part 2'!$AV$6:$AV$13,0),MATCH(Amine_Cracking!$U16,'Tables - Part 2'!$AX$5:$BA$5,0))+INDEX('Tables - Part 2'!$BF$17:$BI$24,MATCH(Amine_Cracking!$W16,'Tables - Part 2'!$AV$6:$AV$13,0),MATCH(Amine_Cracking!$U16,'Tables - Part 2'!$AX$5:$BA$5,0)))/2,0)</f>
        <v>0</v>
      </c>
      <c r="BN16" s="248">
        <f>IF($T16=$BN$3,(((INDEX('Tables - Part 2'!$BB$17:$BE$24,MATCH(Amine_Cracking!$W16,'Tables - Part 2'!$AV$6:$AV$13,0),MATCH(Amine_Cracking!$U16,'Tables - Part 2'!$AX$5:$BA$5,0))+INDEX('Tables - Part 2'!$BF$17:$BI$24,MATCH(Amine_Cracking!$W16,'Tables - Part 2'!$AV$6:$AV$13,0),MATCH(Amine_Cracking!$U16,'Tables - Part 2'!$AX$5:$BA$5,0)))/2)+((((INDEX('Tables - Part 2'!$BB$17:$BE$24,MATCH(Amine_Cracking!$W16,'Tables - Part 2'!$AV$6:$AV$13,0),MATCH(Amine_Cracking!$U16,'Tables - Part 2'!$AX$5:$BA$5,0))+INDEX('Tables - Part 2'!$BF$17:$BI$24,MATCH(Amine_Cracking!$W16,'Tables - Part 2'!$AV$6:$AV$13,0),MATCH(Amine_Cracking!$U16,'Tables - Part 2'!$AX$5:$BA$5,0)))/2)+INDEX('Tables - Part 2'!$BF$17:$BI$24,MATCH(Amine_Cracking!$W16,'Tables - Part 2'!$AV$6:$AV$13,0),MATCH(Amine_Cracking!$U16,'Tables - Part 2'!$AX$5:$BA$5,0)))/2))/2,0)</f>
        <v>0</v>
      </c>
      <c r="BO16" s="248">
        <f>IF($T16=$BO$3,(((INDEX('Tables - Part 2'!$BB$17:$BE$24,MATCH(Amine_Cracking!$W16,'Tables - Part 2'!$AV$6:$AV$13,0),MATCH(Amine_Cracking!$U16,'Tables - Part 2'!$AX$5:$BA$5,0))+INDEX('Tables - Part 2'!$BF$17:$BI$24,MATCH(Amine_Cracking!$W16,'Tables - Part 2'!$AV$6:$AV$13,0),MATCH(Amine_Cracking!$U16,'Tables - Part 2'!$AX$5:$BA$5,0)))/2)+INDEX('Tables - Part 2'!$BF$17:$BI$24,MATCH(Amine_Cracking!$W16,'Tables - Part 2'!$AV$6:$AV$13,0),MATCH(Amine_Cracking!$U16,'Tables - Part 2'!$AX$5:$BA$5,0)))/2,0)</f>
        <v>0</v>
      </c>
      <c r="BP16" s="248">
        <f>IF($T16=$BP$3,(((((INDEX('Tables - Part 2'!$BB$17:$BE$24,MATCH(Amine_Cracking!$W16,'Tables - Part 2'!$AV$6:$AV$13,0),MATCH(Amine_Cracking!$U16,'Tables - Part 2'!$AX$5:$BA$5,0))+INDEX('Tables - Part 2'!$BF$17:$BI$24,MATCH(Amine_Cracking!$W16,'Tables - Part 2'!$AV$6:$AV$13,0),MATCH(Amine_Cracking!$U16,'Tables - Part 2'!$AX$5:$BA$5,0)))/2)+INDEX('Tables - Part 2'!$BF$17:$BI$24,MATCH(Amine_Cracking!$W16,'Tables - Part 2'!$AV$6:$AV$13,0),MATCH(Amine_Cracking!$U16,'Tables - Part 2'!$AX$5:$BA$5,0)))/2)+(INDEX('Tables - Part 2'!$BF$17:$BI$24,MATCH(Amine_Cracking!$W16,'Tables - Part 2'!$AV$6:$AV$13,0),MATCH(Amine_Cracking!$U16,'Tables - Part 2'!$AX$5:$BA$5,0))))/2,0)</f>
        <v>0</v>
      </c>
      <c r="BQ16" s="248">
        <f>IF($T16=$BQ$3,INDEX('Tables - Part 2'!$BF$17:$BI$24,MATCH(Amine_Cracking!$W16,'Tables - Part 2'!$AV$6:$AV$13,0),MATCH(Amine_Cracking!$U16,'Tables - Part 2'!$AX$5:$BA$5,0)),0)</f>
        <v>0</v>
      </c>
      <c r="BR16" s="248">
        <f t="shared" si="5"/>
        <v>0</v>
      </c>
      <c r="BS16" s="238">
        <f t="shared" si="8"/>
        <v>3</v>
      </c>
      <c r="BT16" s="238">
        <f t="shared" si="9"/>
        <v>50.318647405225171</v>
      </c>
    </row>
    <row r="17" spans="2:72" x14ac:dyDescent="0.35">
      <c r="B17" s="161" t="str">
        <f>'Tratamento de Dados'!B25</f>
        <v>V-7</v>
      </c>
      <c r="C17" s="161" t="str">
        <f>'Tratamento de Dados'!D25</f>
        <v>Casco</v>
      </c>
      <c r="D17" s="209" t="s">
        <v>245</v>
      </c>
      <c r="E17" s="209" t="s">
        <v>245</v>
      </c>
      <c r="F17" s="209" t="s">
        <v>244</v>
      </c>
      <c r="G17" s="209" t="s">
        <v>244</v>
      </c>
      <c r="H17" s="209" t="s">
        <v>245</v>
      </c>
      <c r="I17" s="209">
        <v>100</v>
      </c>
      <c r="J17" s="209" t="s">
        <v>245</v>
      </c>
      <c r="K17" s="209" t="s">
        <v>245</v>
      </c>
      <c r="L17" s="209" t="s">
        <v>245</v>
      </c>
      <c r="M17" s="210">
        <v>39092</v>
      </c>
      <c r="N17" s="209">
        <v>0</v>
      </c>
      <c r="O17" s="209">
        <v>1</v>
      </c>
      <c r="P17" s="209">
        <v>1</v>
      </c>
      <c r="Q17" s="209">
        <v>4</v>
      </c>
      <c r="R17" s="253">
        <f>'Tratamento de Dados'!DA25</f>
        <v>0</v>
      </c>
      <c r="S17" s="253">
        <f>'Tratamento de Dados'!DB25</f>
        <v>0</v>
      </c>
      <c r="T17" s="256">
        <f t="shared" si="0"/>
        <v>2.5</v>
      </c>
      <c r="U17" s="246" t="str">
        <f t="shared" si="1"/>
        <v>B</v>
      </c>
      <c r="V17" s="238" t="str">
        <f t="shared" si="6"/>
        <v>High</v>
      </c>
      <c r="W17" s="238">
        <f>IF(AND(D17=$BY$2,E17&lt;&gt;$BY$2),"Fitness-For-Service",INDEX('Tables - Part 2'!$BL$4:$BL$7,MATCH(Amine_Cracking!V17,'Tables - Part 2'!$BK$4:$BK$7,0),))</f>
        <v>100</v>
      </c>
      <c r="X17" s="238">
        <f>IF(M17=0,(Thinning!G18-Thinning!F18)/365.25,(Thinning!G18-M17)/365.25)</f>
        <v>12.980150581793293</v>
      </c>
      <c r="Y17" s="248">
        <f t="shared" si="2"/>
        <v>0</v>
      </c>
      <c r="Z17" s="248">
        <f t="shared" si="3"/>
        <v>2.5</v>
      </c>
      <c r="AA17" s="247">
        <f t="shared" si="7"/>
        <v>3</v>
      </c>
      <c r="AB17" s="247">
        <f t="shared" si="4"/>
        <v>4</v>
      </c>
      <c r="AC17" s="248">
        <f>IF($T17=$AC$3,INDEX('Tables - Part 2'!$AX$6:$BA$13,MATCH(Amine_Cracking!W17,'Tables - Part 2'!$AV$6:$AV$13,0),MATCH(Amine_Cracking!U17,'Tables - Part 2'!$AX$5:$BA$5,0)),0)</f>
        <v>0</v>
      </c>
      <c r="AD17" s="248">
        <f>IF($T17=$AD$3,(INDEX('Tables - Part 2'!$AX$6:$BA$13,MATCH(Amine_Cracking!W17,'Tables - Part 2'!$AV$6:$AV$13,0),MATCH(Amine_Cracking!U17,'Tables - Part 2'!$AX$5:$BA$5,0))+(INDEX('Tables - Part 2'!$AX$6:$BA$13,MATCH(Amine_Cracking!W17,'Tables - Part 2'!$AV$6:$AV$13,0),MATCH(Amine_Cracking!U17,'Tables - Part 2'!$AX$5:$BA$5,0))+((INDEX('Tables - Part 2'!$AX$6:$BA$13,MATCH(Amine_Cracking!W17,'Tables - Part 2'!$AV$6:$AV$13,0),MATCH(Amine_Cracking!U17,'Tables - Part 2'!$AX$5:$BA$5,0))+INDEX('Tables - Part 2'!$BB$6:$BE$13,MATCH(Amine_Cracking!$W17,'Tables - Part 2'!$AV$6:$AV$13,0),MATCH(Amine_Cracking!$U17,'Tables - Part 2'!$AX$5:$BA$5,0)))/2))/2)/2,0)</f>
        <v>0</v>
      </c>
      <c r="AE17" s="248">
        <f>IF($T17=$AE$3,(INDEX('Tables - Part 2'!$AX$6:$BA$13,MATCH(Amine_Cracking!W17,'Tables - Part 2'!$AV$6:$AV$13,0),MATCH(Amine_Cracking!U17,'Tables - Part 2'!$AX$5:$BA$5,0))+((INDEX('Tables - Part 2'!$AX$6:$BA$13,MATCH(Amine_Cracking!W17,'Tables - Part 2'!$AV$6:$AV$13,0),MATCH(Amine_Cracking!U17,'Tables - Part 2'!$AX$5:$BA$5,0))+INDEX('Tables - Part 2'!$BB$6:$BE$13,MATCH(Amine_Cracking!$W17,'Tables - Part 2'!$AV$6:$AV$13,0),MATCH(Amine_Cracking!$U17,'Tables - Part 2'!$AX$5:$BA$5,0)))/2))/2,0)</f>
        <v>0</v>
      </c>
      <c r="AF17" s="248">
        <f>IF($T17=$AF$3,(((INDEX('Tables - Part 2'!$AX$6:$BA$13,MATCH(Amine_Cracking!W17,'Tables - Part 2'!$AV$6:$AV$13,0),MATCH(Amine_Cracking!U17,'Tables - Part 2'!$AX$5:$BA$5,0))+((INDEX('Tables - Part 2'!$AX$6:$BA$13,MATCH(Amine_Cracking!W17,'Tables - Part 2'!$AV$6:$AV$13,0),MATCH(Amine_Cracking!U17,'Tables - Part 2'!$AX$5:$BA$5,0))+INDEX('Tables - Part 2'!$BB$6:$BE$13,MATCH(Amine_Cracking!$W17,'Tables - Part 2'!$AV$6:$AV$13,0),MATCH(Amine_Cracking!$U17,'Tables - Part 2'!$AX$5:$BA$5,0)))/2))/2)+(INDEX('Tables - Part 2'!$AX$6:$BA$13,MATCH(Amine_Cracking!W17,'Tables - Part 2'!$AV$6:$AV$13,0),MATCH(Amine_Cracking!U17,'Tables - Part 2'!$AX$5:$BA$5,0))+INDEX('Tables - Part 2'!$BB$6:$BE$13,MATCH(Amine_Cracking!$W17,'Tables - Part 2'!$AV$6:$AV$13,0),MATCH(Amine_Cracking!$U17,'Tables - Part 2'!$AX$5:$BA$5,0)))/2)/2,0)</f>
        <v>0</v>
      </c>
      <c r="AG17" s="248">
        <f>IF($T17=$AG$3,(INDEX('Tables - Part 2'!$AX$6:$BA$13,MATCH(Amine_Cracking!W17,'Tables - Part 2'!$AV$6:$AV$13,0),MATCH(Amine_Cracking!U17,'Tables - Part 2'!$AX$5:$BA$5,0))+INDEX('Tables - Part 2'!$BB$6:$BE$13,MATCH(Amine_Cracking!$W17,'Tables - Part 2'!$AV$6:$AV$13,0),MATCH(Amine_Cracking!$U17,'Tables - Part 2'!$AX$5:$BA$5,0)))/2,0)</f>
        <v>0</v>
      </c>
      <c r="AH17" s="248">
        <f>IF($T17=$AH$3,(((INDEX('Tables - Part 2'!$AX$6:$BA$13,MATCH(Amine_Cracking!W17,'Tables - Part 2'!$AV$6:$AV$13,0),MATCH(Amine_Cracking!U17,'Tables - Part 2'!$AX$5:$BA$5,0))+INDEX('Tables - Part 2'!$BB$6:$BE$13,MATCH(Amine_Cracking!$W17,'Tables - Part 2'!$AV$6:$AV$13,0),MATCH(Amine_Cracking!$U17,'Tables - Part 2'!$AX$5:$BA$5,0)))/2)+(((INDEX('Tables - Part 2'!$AX$6:$BA$13,MATCH(Amine_Cracking!W17,'Tables - Part 2'!$AV$6:$AV$13,0),MATCH(Amine_Cracking!U17,'Tables - Part 2'!$AX$5:$BA$5,0))+INDEX('Tables - Part 2'!$BB$6:$BE$13,MATCH(Amine_Cracking!$W17,'Tables - Part 2'!$AV$6:$AV$13,0),MATCH(Amine_Cracking!$U17,'Tables - Part 2'!$AX$5:$BA$5,0)))/2)+INDEX('Tables - Part 2'!$BB$6:$BE$13,MATCH(Amine_Cracking!$W17,'Tables - Part 2'!$AV$6:$AV$13,0),MATCH(Amine_Cracking!$U17,'Tables - Part 2'!$AX$5:$BA$5,0)))/2)/2,0)</f>
        <v>0</v>
      </c>
      <c r="AI17" s="248">
        <f>IF($T17=$AI$3,(((INDEX('Tables - Part 2'!$AX$6:$BA$13,MATCH(Amine_Cracking!W17,'Tables - Part 2'!$AV$6:$AV$13,0),MATCH(Amine_Cracking!U17,'Tables - Part 2'!$AX$5:$BA$5,0))+INDEX('Tables - Part 2'!$BB$6:$BE$13,MATCH(Amine_Cracking!$W17,'Tables - Part 2'!$AV$6:$AV$13,0),MATCH(Amine_Cracking!$U17,'Tables - Part 2'!$AX$5:$BA$5,0)))/2)+INDEX('Tables - Part 2'!$BB$6:$BE$13,MATCH(Amine_Cracking!$W17,'Tables - Part 2'!$AV$6:$AV$13,0),MATCH(Amine_Cracking!$U17,'Tables - Part 2'!$AX$5:$BA$5,0)))/2,0)</f>
        <v>0</v>
      </c>
      <c r="AJ17" s="248">
        <f>IF($T17=$AJ$3,(((((INDEX('Tables - Part 2'!$AX$6:$BA$13,MATCH(Amine_Cracking!W17,'Tables - Part 2'!$AV$6:$AV$13,0),MATCH(Amine_Cracking!U17,'Tables - Part 2'!$AX$5:$BA$5,0))+INDEX('Tables - Part 2'!$BB$6:$BE$13,MATCH(Amine_Cracking!$W17,'Tables - Part 2'!$AV$6:$AV$13,0),MATCH(Amine_Cracking!$U17,'Tables - Part 2'!$AX$5:$BA$5,0)))/2)+INDEX('Tables - Part 2'!$BB$6:$BE$13,MATCH(Amine_Cracking!$W17,'Tables - Part 2'!$AV$6:$AV$13,0),MATCH(Amine_Cracking!$U17,'Tables - Part 2'!$AX$5:$BA$5,0)))/2)+INDEX('Tables - Part 2'!$BB$6:$BE$13,MATCH(Amine_Cracking!$W17,'Tables - Part 2'!$AV$6:$AV$13,0),MATCH(Amine_Cracking!$U17,'Tables - Part 2'!$AX$5:$BA$5,0)))/2,0)</f>
        <v>0</v>
      </c>
      <c r="AK17" s="248">
        <f>IF($T17=$AK$3,INDEX('Tables - Part 2'!$BB$6:$BE$13,MATCH(Amine_Cracking!$W17,'Tables - Part 2'!$AV$6:$AV$13,0),MATCH(Amine_Cracking!$U17,'Tables - Part 2'!$AX$5:$BA$5,0)),0)</f>
        <v>0</v>
      </c>
      <c r="AL17" s="248">
        <f>IF($T17=$AL$3,((INDEX('Tables - Part 2'!$BB$6:$BE$13,MATCH(Amine_Cracking!$W17,'Tables - Part 2'!$AV$6:$AV$13,0),MATCH(Amine_Cracking!$U17,'Tables - Part 2'!$AX$5:$BA$5,0)))+(INDEX('Tables - Part 2'!$BB$6:$BE$13,MATCH(Amine_Cracking!$W17,'Tables - Part 2'!$AV$6:$AV$13,0),MATCH(Amine_Cracking!$U17,'Tables - Part 2'!$AX$5:$BA$5,0))+(INDEX('Tables - Part 2'!$BB$6:$BE$13,MATCH(Amine_Cracking!$W17,'Tables - Part 2'!$AV$6:$AV$13,0),MATCH(Amine_Cracking!$U17,'Tables - Part 2'!$AX$5:$BA$5,0))+INDEX('Tables - Part 2'!$BF$6:$BI$13,MATCH(Amine_Cracking!$W17,'Tables - Part 2'!$AV$6:$AV$13,0),MATCH(Amine_Cracking!$U17,'Tables - Part 2'!$AX$5:$BA$5,0)))/2)/2)/2,0)</f>
        <v>0</v>
      </c>
      <c r="AM17" s="248">
        <f>IF($T17=$AM$3,(INDEX('Tables - Part 2'!$BB$6:$BE$13,MATCH(Amine_Cracking!$W17,'Tables - Part 2'!$AV$6:$AV$13,0),MATCH(Amine_Cracking!$U17,'Tables - Part 2'!$AX$5:$BA$5,0))+(INDEX('Tables - Part 2'!$BB$6:$BE$13,MATCH(Amine_Cracking!$W17,'Tables - Part 2'!$AV$6:$AV$13,0),MATCH(Amine_Cracking!$U17,'Tables - Part 2'!$AX$5:$BA$5,0))+INDEX('Tables - Part 2'!$BF$6:$BI$13,MATCH(Amine_Cracking!$W17,'Tables - Part 2'!$AV$6:$AV$13,0),MATCH(Amine_Cracking!$U17,'Tables - Part 2'!$AX$5:$BA$5,0)))/2)/2,0)</f>
        <v>0</v>
      </c>
      <c r="AN17" s="248">
        <f>IF($T17=$AN$3,(((INDEX('Tables - Part 2'!$BB$6:$BE$13,MATCH(Amine_Cracking!$W17,'Tables - Part 2'!$AV$6:$AV$13,0),MATCH(Amine_Cracking!$U17,'Tables - Part 2'!$AX$5:$BA$5,0))+(INDEX('Tables - Part 2'!$BB$6:$BE$13,MATCH(Amine_Cracking!$W17,'Tables - Part 2'!$AV$6:$AV$13,0),MATCH(Amine_Cracking!$U17,'Tables - Part 2'!$AX$5:$BA$5,0))+INDEX('Tables - Part 2'!$BF$6:$BI$13,MATCH(Amine_Cracking!$W17,'Tables - Part 2'!$AV$6:$AV$13,0),MATCH(Amine_Cracking!$U17,'Tables - Part 2'!$AX$5:$BA$5,0)))/2)/2)+((INDEX('Tables - Part 2'!$BB$6:$BE$13,MATCH(Amine_Cracking!$W17,'Tables - Part 2'!$AV$6:$AV$13,0),MATCH(Amine_Cracking!$U17,'Tables - Part 2'!$AX$5:$BA$5,0))+INDEX('Tables - Part 2'!$BF$6:$BI$13,MATCH(Amine_Cracking!$W17,'Tables - Part 2'!$AV$6:$AV$13,0),MATCH(Amine_Cracking!$U17,'Tables - Part 2'!$AX$5:$BA$5,0)))/2))/2,0)</f>
        <v>0</v>
      </c>
      <c r="AO17" s="248">
        <f>IF($T17=$AO$3,(INDEX('Tables - Part 2'!$BB$6:$BE$13,MATCH(Amine_Cracking!$W17,'Tables - Part 2'!$AV$6:$AV$13,0),MATCH(Amine_Cracking!$U17,'Tables - Part 2'!$AX$5:$BA$5,0))+INDEX('Tables - Part 2'!$BF$6:$BI$13,MATCH(Amine_Cracking!$W17,'Tables - Part 2'!$AV$6:$AV$13,0),MATCH(Amine_Cracking!$U17,'Tables - Part 2'!$AX$5:$BA$5,0)))/2,0)</f>
        <v>3</v>
      </c>
      <c r="AP17" s="248">
        <f>IF($T17=$AP$3,(((INDEX('Tables - Part 2'!$BB$6:$BE$13,MATCH(Amine_Cracking!$W17,'Tables - Part 2'!$AV$6:$AV$13,0),MATCH(Amine_Cracking!$U17,'Tables - Part 2'!$AX$5:$BA$5,0))+INDEX('Tables - Part 2'!$BF$6:$BI$13,MATCH(Amine_Cracking!$W17,'Tables - Part 2'!$AV$6:$AV$13,0),MATCH(Amine_Cracking!$U17,'Tables - Part 2'!$AX$5:$BA$5,0)))/2)+((((INDEX('Tables - Part 2'!$BB$6:$BE$13,MATCH(Amine_Cracking!$W17,'Tables - Part 2'!$AV$6:$AV$13,0),MATCH(Amine_Cracking!$U17,'Tables - Part 2'!$AX$5:$BA$5,0))+INDEX('Tables - Part 2'!$BF$6:$BI$13,MATCH(Amine_Cracking!$W17,'Tables - Part 2'!$AV$6:$AV$13,0),MATCH(Amine_Cracking!$U17,'Tables - Part 2'!$AX$5:$BA$5,0)))/2)+INDEX('Tables - Part 2'!$BF$6:$BI$13,MATCH(Amine_Cracking!$W17,'Tables - Part 2'!$AV$6:$AV$13,0),MATCH(Amine_Cracking!$U17,'Tables - Part 2'!$AX$5:$BA$5,0)))/2))/2,0)</f>
        <v>0</v>
      </c>
      <c r="AQ17" s="248">
        <f>IF($T17=$AQ$3,(((INDEX('Tables - Part 2'!$BB$6:$BE$13,MATCH(Amine_Cracking!$W17,'Tables - Part 2'!$AV$6:$AV$13,0),MATCH(Amine_Cracking!$U17,'Tables - Part 2'!$AX$5:$BA$5,0))+INDEX('Tables - Part 2'!$BF$6:$BI$13,MATCH(Amine_Cracking!$W17,'Tables - Part 2'!$AV$6:$AV$13,0),MATCH(Amine_Cracking!$U17,'Tables - Part 2'!$AX$5:$BA$5,0)))/2)+INDEX('Tables - Part 2'!$BF$6:$BI$13,MATCH(Amine_Cracking!$W17,'Tables - Part 2'!$AV$6:$AV$13,0),MATCH(Amine_Cracking!$U17,'Tables - Part 2'!$AX$5:$BA$5,0)))/2,0)</f>
        <v>0</v>
      </c>
      <c r="AR17" s="248">
        <f>IF($T17=$AR$3,(((((INDEX('Tables - Part 2'!$BB$6:$BE$13,MATCH(Amine_Cracking!$W17,'Tables - Part 2'!$AV$6:$AV$13,0),MATCH(Amine_Cracking!$U17,'Tables - Part 2'!$AX$5:$BA$5,0))+INDEX('Tables - Part 2'!$BF$6:$BI$13,MATCH(Amine_Cracking!$W17,'Tables - Part 2'!$AV$6:$AV$13,0),MATCH(Amine_Cracking!$U17,'Tables - Part 2'!$AX$5:$BA$5,0)))/2)+INDEX('Tables - Part 2'!$BF$6:$BI$13,MATCH(Amine_Cracking!$W17,'Tables - Part 2'!$AV$6:$AV$13,0),MATCH(Amine_Cracking!$U17,'Tables - Part 2'!$AX$5:$BA$5,0)))/2)+INDEX('Tables - Part 2'!$BF$6:$BI$13,MATCH(Amine_Cracking!$W17,'Tables - Part 2'!$AV$6:$AV$13,0),MATCH(Amine_Cracking!$U17,'Tables - Part 2'!$AX$5:$BA$5,0)))/2,0)</f>
        <v>0</v>
      </c>
      <c r="AS17" s="248">
        <f>IF($T17=$AS$3,INDEX('Tables - Part 2'!$BF$6:$BI$13,MATCH(Amine_Cracking!$W17,'Tables - Part 2'!$AV$6:$AV$13,0),MATCH(Amine_Cracking!$U17,'Tables - Part 2'!$AX$5:$BA$5,0)),0)</f>
        <v>0</v>
      </c>
      <c r="AT17" s="248">
        <f>IF($T17=$AT$3,(INDEX('Tables - Part 2'!$BF$6:$BI$13,MATCH(Amine_Cracking!$W17,'Tables - Part 2'!$AV$6:$AV$13,0),MATCH(Amine_Cracking!$U17,'Tables - Part 2'!$AX$5:$BA$5,0))+((INDEX('Tables - Part 2'!$BF$6:$BI$13,MATCH(Amine_Cracking!$W17,'Tables - Part 2'!$AV$6:$AV$13,0),MATCH(Amine_Cracking!$U17,'Tables - Part 2'!$AX$5:$BA$5,0))+(INDEX('Tables - Part 2'!$BF$6:$BI$13,MATCH(Amine_Cracking!$W17,'Tables - Part 2'!$AV$6:$AV$13,0),MATCH(Amine_Cracking!$U17,'Tables - Part 2'!$AX$5:$BA$5,0))+INDEX('Tables - Part 2'!$AX$17:$BA$24,MATCH(Amine_Cracking!$W17,'Tables - Part 2'!$AV$6:$AV$13,0),MATCH(Amine_Cracking!$U17,'Tables - Part 2'!$AX$5:$BA$5,0)))/2)/2))/2,0)</f>
        <v>0</v>
      </c>
      <c r="AU17" s="248">
        <f>IF($T17=$AU$3,(INDEX('Tables - Part 2'!$BF$6:$BI$13,MATCH(Amine_Cracking!$W17,'Tables - Part 2'!$AV$6:$AV$13,0),MATCH(Amine_Cracking!$U17,'Tables - Part 2'!$AX$5:$BA$5,0))+(INDEX('Tables - Part 2'!$BF$6:$BI$13,MATCH(Amine_Cracking!$W17,'Tables - Part 2'!$AV$6:$AV$13,0),MATCH(Amine_Cracking!$U17,'Tables - Part 2'!$AX$5:$BA$5,0))+INDEX('Tables - Part 2'!$AX$17:$BA$24,MATCH(Amine_Cracking!$W17,'Tables - Part 2'!$AV$6:$AV$13,0),MATCH(Amine_Cracking!$U17,'Tables - Part 2'!$AX$5:$BA$5,0)))/2)/2,0)</f>
        <v>0</v>
      </c>
      <c r="AV17" s="248">
        <f>IF($T17=$AV$3,(((INDEX('Tables - Part 2'!$BF$6:$BI$13,MATCH(Amine_Cracking!$W17,'Tables - Part 2'!$AV$6:$AV$13,0),MATCH(Amine_Cracking!$U17,'Tables - Part 2'!$AX$5:$BA$5,0))+(INDEX('Tables - Part 2'!$BF$6:$BI$13,MATCH(Amine_Cracking!$W17,'Tables - Part 2'!$AV$6:$AV$13,0),MATCH(Amine_Cracking!$U17,'Tables - Part 2'!$AX$5:$BA$5,0))+INDEX('Tables - Part 2'!$AX$17:$BA$24,MATCH(Amine_Cracking!$W17,'Tables - Part 2'!$AV$6:$AV$13,0),MATCH(Amine_Cracking!$U17,'Tables - Part 2'!$AX$5:$BA$5,0)))/2)/2)+((INDEX('Tables - Part 2'!$BF$6:$BI$13,MATCH(Amine_Cracking!$W17,'Tables - Part 2'!$AV$6:$AV$13,0),MATCH(Amine_Cracking!$U17,'Tables - Part 2'!$AX$5:$BA$5,0))+INDEX('Tables - Part 2'!$AX$17:$BA$24,MATCH(Amine_Cracking!$W17,'Tables - Part 2'!$AV$6:$AV$13,0),MATCH(Amine_Cracking!$U17,'Tables - Part 2'!$AX$5:$BA$5,0)))/2))/2,0)</f>
        <v>0</v>
      </c>
      <c r="AW17" s="248">
        <f>IF($T17=$AW$3,(INDEX('Tables - Part 2'!$BF$6:$BI$13,MATCH(Amine_Cracking!$W17,'Tables - Part 2'!$AV$6:$AV$13,0),MATCH(Amine_Cracking!$U17,'Tables - Part 2'!$AX$5:$BA$5,0))+INDEX('Tables - Part 2'!$AX$17:$BA$24,MATCH(Amine_Cracking!$W17,'Tables - Part 2'!$AV$6:$AV$13,0),MATCH(Amine_Cracking!$U17,'Tables - Part 2'!$AX$5:$BA$5,0)))/2,0)</f>
        <v>0</v>
      </c>
      <c r="AX17" s="248">
        <f>IF($T17=$AX$3,(((INDEX('Tables - Part 2'!$BF$6:$BI$13,MATCH(Amine_Cracking!$W17,'Tables - Part 2'!$AV$6:$AV$13,0),MATCH(Amine_Cracking!$U17,'Tables - Part 2'!$AX$5:$BA$5,0))+INDEX('Tables - Part 2'!$AX$17:$BA$24,MATCH(Amine_Cracking!$W17,'Tables - Part 2'!$AV$6:$AV$13,0),MATCH(Amine_Cracking!$U17,'Tables - Part 2'!$AX$5:$BA$5,0)))/2)+((((INDEX('Tables - Part 2'!$BF$6:$BI$13,MATCH(Amine_Cracking!$W17,'Tables - Part 2'!$AV$6:$AV$13,0),MATCH(Amine_Cracking!$U17,'Tables - Part 2'!$AX$5:$BA$5,0))+INDEX('Tables - Part 2'!$AX$17:$BA$24,MATCH(Amine_Cracking!$W17,'Tables - Part 2'!$AV$6:$AV$13,0),MATCH(Amine_Cracking!$U17,'Tables - Part 2'!$AX$5:$BA$5,0)))/2)+INDEX('Tables - Part 2'!$AX$17:$BA$24,MATCH(Amine_Cracking!$W17,'Tables - Part 2'!$AV$6:$AV$13,0),MATCH(Amine_Cracking!$U17,'Tables - Part 2'!$AX$5:$BA$5,0)))/2))/2,0)</f>
        <v>0</v>
      </c>
      <c r="AY17" s="248">
        <f>IF($T17=$AY$3,(((INDEX('Tables - Part 2'!$BF$6:$BI$13,MATCH(Amine_Cracking!$W17,'Tables - Part 2'!$AV$6:$AV$13,0),MATCH(Amine_Cracking!$U17,'Tables - Part 2'!$AX$5:$BA$5,0))+INDEX('Tables - Part 2'!$AX$17:$BA$24,MATCH(Amine_Cracking!$W17,'Tables - Part 2'!$AV$6:$AV$13,0),MATCH(Amine_Cracking!$U17,'Tables - Part 2'!$AX$5:$BA$5,0)))/2)+INDEX('Tables - Part 2'!$AX$17:$BA$24,MATCH(Amine_Cracking!$W17,'Tables - Part 2'!$AV$6:$AV$13,0),MATCH(Amine_Cracking!$U17,'Tables - Part 2'!$AX$5:$BA$5,0)))/2,0)</f>
        <v>0</v>
      </c>
      <c r="AZ17" s="248">
        <f>IF($T17=$AZ$3,(((((INDEX('Tables - Part 2'!$BF$6:$BI$13,MATCH(Amine_Cracking!$W17,'Tables - Part 2'!$AV$6:$AV$13,0),MATCH(Amine_Cracking!$U17,'Tables - Part 2'!$AX$5:$BA$5,0))+INDEX('Tables - Part 2'!$AX$17:$BA$24,MATCH(Amine_Cracking!$W17,'Tables - Part 2'!$AV$6:$AV$13,0),MATCH(Amine_Cracking!$U17,'Tables - Part 2'!$AX$5:$BA$5,0)))/2)+INDEX('Tables - Part 2'!$AX$17:$BA$24,MATCH(Amine_Cracking!$W17,'Tables - Part 2'!$AV$6:$AV$13,0),MATCH(Amine_Cracking!$U17,'Tables - Part 2'!$AX$5:$BA$5,0)))/2)+(INDEX('Tables - Part 2'!$AX$17:$BA$24,MATCH(Amine_Cracking!$W17,'Tables - Part 2'!$AV$6:$AV$13,0),MATCH(Amine_Cracking!$U17,'Tables - Part 2'!$AX$5:$BA$5,0))))/2,0)</f>
        <v>0</v>
      </c>
      <c r="BA17" s="248">
        <f>IF($T17=$BA$3,INDEX('Tables - Part 2'!$AX$17:$BA$24,MATCH(Amine_Cracking!$W17,'Tables - Part 2'!$AV$6:$AV$13,0),MATCH(Amine_Cracking!$U17,'Tables - Part 2'!$AX$5:$BA$5,0)),0)</f>
        <v>0</v>
      </c>
      <c r="BB17" s="248">
        <f>IF($T17=$BB$3,((INDEX('Tables - Part 2'!$AX$17:$BA$24,MATCH(Amine_Cracking!$W17,'Tables - Part 2'!$AV$6:$AV$13,0),MATCH(Amine_Cracking!$U17,'Tables - Part 2'!$AX$5:$BA$5,0)))+(((INDEX('Tables - Part 2'!$AX$17:$BA$24,MATCH(Amine_Cracking!$W17,'Tables - Part 2'!$AV$6:$AV$13,0),MATCH(Amine_Cracking!$U17,'Tables - Part 2'!$AX$5:$BA$5,0)))+(INDEX('Tables - Part 2'!$AX$17:$BA$24,MATCH(Amine_Cracking!$W17,'Tables - Part 2'!$AV$6:$AV$13,0),MATCH(Amine_Cracking!$U17,'Tables - Part 2'!$AX$5:$BA$5,0))+INDEX('Tables - Part 2'!$BB$17:$BE$24,MATCH(Amine_Cracking!$W17,'Tables - Part 2'!$AV$6:$AV$13,0),MATCH(Amine_Cracking!$U17,'Tables - Part 2'!$AX$5:$BA$5,0)))/2)/2))/2,0)</f>
        <v>0</v>
      </c>
      <c r="BC17" s="248">
        <f>IF($T17=$BC$3,((INDEX('Tables - Part 2'!$AX$17:$BA$24,MATCH(Amine_Cracking!$W17,'Tables - Part 2'!$AV$6:$AV$13,0),MATCH(Amine_Cracking!$U17,'Tables - Part 2'!$AX$5:$BA$5,0)))+(INDEX('Tables - Part 2'!$AX$17:$BA$24,MATCH(Amine_Cracking!$W17,'Tables - Part 2'!$AV$6:$AV$13,0),MATCH(Amine_Cracking!$U17,'Tables - Part 2'!$AX$5:$BA$5,0))+INDEX('Tables - Part 2'!$BB$17:$BE$24,MATCH(Amine_Cracking!$W17,'Tables - Part 2'!$AV$6:$AV$13,0),MATCH(Amine_Cracking!$U17,'Tables - Part 2'!$AX$5:$BA$5,0)))/2)/2,0)</f>
        <v>0</v>
      </c>
      <c r="BD17" s="248">
        <f>IF($T17=$BD$3,((((INDEX('Tables - Part 2'!$AX$17:$BA$24,MATCH(Amine_Cracking!$W17,'Tables - Part 2'!$AV$6:$AV$13,0),MATCH(Amine_Cracking!$U17,'Tables - Part 2'!$AX$5:$BA$5,0)))+(INDEX('Tables - Part 2'!$AX$17:$BA$24,MATCH(Amine_Cracking!$W17,'Tables - Part 2'!$AV$6:$AV$13,0),MATCH(Amine_Cracking!$U17,'Tables - Part 2'!$AX$5:$BA$5,0))+INDEX('Tables - Part 2'!$BB$17:$BE$24,MATCH(Amine_Cracking!$W17,'Tables - Part 2'!$AV$6:$AV$13,0),MATCH(Amine_Cracking!$U17,'Tables - Part 2'!$AX$5:$BA$5,0)))/2)/2)+((INDEX('Tables - Part 2'!$AX$17:$BA$24,MATCH(Amine_Cracking!$W17,'Tables - Part 2'!$AV$6:$AV$13,0),MATCH(Amine_Cracking!$U17,'Tables - Part 2'!$AX$5:$BA$5,0))+INDEX('Tables - Part 2'!$BB$17:$BE$24,MATCH(Amine_Cracking!$W17,'Tables - Part 2'!$AV$6:$AV$13,0),MATCH(Amine_Cracking!$U17,'Tables - Part 2'!$AX$5:$BA$5,0)))/2))/2,0)</f>
        <v>0</v>
      </c>
      <c r="BE17" s="248">
        <f>IF($T17=$BE$3,(INDEX('Tables - Part 2'!$AX$17:$BA$24,MATCH(Amine_Cracking!$W17,'Tables - Part 2'!$AV$6:$AV$13,0),MATCH(Amine_Cracking!$U17,'Tables - Part 2'!$AX$5:$BA$5,0))+INDEX('Tables - Part 2'!$BB$17:$BE$24,MATCH(Amine_Cracking!$W17,'Tables - Part 2'!$AV$6:$AV$13,0),MATCH(Amine_Cracking!$U17,'Tables - Part 2'!$AX$5:$BA$5,0)))/2,0)</f>
        <v>0</v>
      </c>
      <c r="BF17" s="248">
        <f>IF($T17=$BF$3,(((INDEX('Tables - Part 2'!$AX$17:$BA$24,MATCH(Amine_Cracking!$W17,'Tables - Part 2'!$AV$6:$AV$13,0),MATCH(Amine_Cracking!$U17,'Tables - Part 2'!$AX$5:$BA$5,0))+INDEX('Tables - Part 2'!$BB$17:$BE$24,MATCH(Amine_Cracking!$W17,'Tables - Part 2'!$AV$6:$AV$13,0),MATCH(Amine_Cracking!$U17,'Tables - Part 2'!$AX$5:$BA$5,0)))/2)+((((INDEX('Tables - Part 2'!$AX$17:$BA$24,MATCH(Amine_Cracking!$W17,'Tables - Part 2'!$AV$6:$AV$13,0),MATCH(Amine_Cracking!$U17,'Tables - Part 2'!$AX$5:$BA$5,0))+INDEX('Tables - Part 2'!$BB$17:$BE$24,MATCH(Amine_Cracking!$W17,'Tables - Part 2'!$AV$6:$AV$13,0),MATCH(Amine_Cracking!$U17,'Tables - Part 2'!$AX$5:$BA$5,0)))/2)+INDEX('Tables - Part 2'!$BB$17:$BE$24,MATCH(Amine_Cracking!$W17,'Tables - Part 2'!$AV$6:$AV$13,0),MATCH(Amine_Cracking!$U17,'Tables - Part 2'!$AX$5:$BA$5,0)))/2))/2,0)</f>
        <v>0</v>
      </c>
      <c r="BG17" s="248">
        <f>IF($T17=$BG$3,(((INDEX('Tables - Part 2'!$AX$17:$BA$24,MATCH(Amine_Cracking!$W17,'Tables - Part 2'!$AV$6:$AV$13,0),MATCH(Amine_Cracking!$U17,'Tables - Part 2'!$AX$5:$BA$5,0))+INDEX('Tables - Part 2'!$BB$17:$BE$24,MATCH(Amine_Cracking!$W17,'Tables - Part 2'!$AV$6:$AV$13,0),MATCH(Amine_Cracking!$U17,'Tables - Part 2'!$AX$5:$BA$5,0)))/2)+INDEX('Tables - Part 2'!$BB$17:$BE$24,MATCH(Amine_Cracking!$W17,'Tables - Part 2'!$AV$6:$AV$13,0),MATCH(Amine_Cracking!$U17,'Tables - Part 2'!$AX$5:$BA$5,0)))/2,0)</f>
        <v>0</v>
      </c>
      <c r="BH17" s="248">
        <f>IF($T17=$BH$3,(((((INDEX('Tables - Part 2'!$AX$17:$BA$24,MATCH(Amine_Cracking!$W17,'Tables - Part 2'!$AV$6:$AV$13,0),MATCH(Amine_Cracking!$U17,'Tables - Part 2'!$AX$5:$BA$5,0))+INDEX('Tables - Part 2'!$BB$17:$BE$24,MATCH(Amine_Cracking!$W17,'Tables - Part 2'!$AV$6:$AV$13,0),MATCH(Amine_Cracking!$U17,'Tables - Part 2'!$AX$5:$BA$5,0)))/2)+INDEX('Tables - Part 2'!$BB$17:$BE$24,MATCH(Amine_Cracking!$W17,'Tables - Part 2'!$AV$6:$AV$13,0),MATCH(Amine_Cracking!$U17,'Tables - Part 2'!$AX$5:$BA$5,0)))/2)+(INDEX('Tables - Part 2'!$BB$17:$BE$24,MATCH(Amine_Cracking!$W17,'Tables - Part 2'!$AV$6:$AV$13,0),MATCH(Amine_Cracking!$U17,'Tables - Part 2'!$AX$5:$BA$5,0))))/2,0)</f>
        <v>0</v>
      </c>
      <c r="BI17" s="248">
        <f>IF($T17=$BI$3,INDEX('Tables - Part 2'!$BB$17:$BE$24,MATCH(Amine_Cracking!$W17,'Tables - Part 2'!$AV$6:$AV$13,0),MATCH(Amine_Cracking!$U17,'Tables - Part 2'!$AX$5:$BA$5,0)),0)</f>
        <v>0</v>
      </c>
      <c r="BJ17" s="248">
        <f>IF($T17=$BJ$3,((INDEX('Tables - Part 2'!$BB$17:$BE$24,MATCH(Amine_Cracking!$W17,'Tables - Part 2'!$AV$6:$AV$13,0),MATCH(Amine_Cracking!$U17,'Tables - Part 2'!$AX$5:$BA$5,0)))+(((INDEX('Tables - Part 2'!$BB$17:$BE$24,MATCH(Amine_Cracking!$W17,'Tables - Part 2'!$AV$6:$AV$13,0),MATCH(Amine_Cracking!$U17,'Tables - Part 2'!$AX$5:$BA$5,0)))+(INDEX('Tables - Part 2'!$BB$17:$BE$24,MATCH(Amine_Cracking!$W17,'Tables - Part 2'!$AV$6:$AV$13,0),MATCH(Amine_Cracking!$U17,'Tables - Part 2'!$AX$5:$BA$5,0))+INDEX('Tables - Part 2'!$BF$17:$BI$24,MATCH(Amine_Cracking!$W17,'Tables - Part 2'!$AV$6:$AV$13,0),MATCH(Amine_Cracking!$U17,'Tables - Part 2'!$AX$5:$BA$5,0)))/2)/2))/2,0)</f>
        <v>0</v>
      </c>
      <c r="BK17" s="248">
        <f>IF($T17=$BK$3,((INDEX('Tables - Part 2'!$BB$17:$BE$24,MATCH(Amine_Cracking!$W17,'Tables - Part 2'!$AV$6:$AV$13,0),MATCH(Amine_Cracking!$U17,'Tables - Part 2'!$AX$5:$BA$5,0)))+(INDEX('Tables - Part 2'!$BB$17:$BE$24,MATCH(Amine_Cracking!$W17,'Tables - Part 2'!$AV$6:$AV$13,0),MATCH(Amine_Cracking!$U17,'Tables - Part 2'!$AX$5:$BA$5,0))+INDEX('Tables - Part 2'!$BF$17:$BI$24,MATCH(Amine_Cracking!$W17,'Tables - Part 2'!$AV$6:$AV$13,0),MATCH(Amine_Cracking!$U17,'Tables - Part 2'!$AX$5:$BA$5,0)))/2)/2,0)</f>
        <v>0</v>
      </c>
      <c r="BL17" s="248">
        <f>IF($T17=$BL$3,((((INDEX('Tables - Part 2'!$BB$17:$BE$24,MATCH(Amine_Cracking!$W17,'Tables - Part 2'!$AV$6:$AV$13,0),MATCH(Amine_Cracking!$U17,'Tables - Part 2'!$AX$5:$BA$5,0)))+(INDEX('Tables - Part 2'!$BB$17:$BE$24,MATCH(Amine_Cracking!$W17,'Tables - Part 2'!$AV$6:$AV$13,0),MATCH(Amine_Cracking!$U17,'Tables - Part 2'!$AX$5:$BA$5,0))+INDEX('Tables - Part 2'!$BF$17:$BI$24,MATCH(Amine_Cracking!$W17,'Tables - Part 2'!$AV$6:$AV$13,0),MATCH(Amine_Cracking!$U17,'Tables - Part 2'!$AX$5:$BA$5,0)))/2)/2)+((INDEX('Tables - Part 2'!$BB$17:$BE$24,MATCH(Amine_Cracking!$W17,'Tables - Part 2'!$AV$6:$AV$13,0),MATCH(Amine_Cracking!$U17,'Tables - Part 2'!$AX$5:$BA$5,0))+INDEX('Tables - Part 2'!$BF$17:$BI$24,MATCH(Amine_Cracking!$W17,'Tables - Part 2'!$AV$6:$AV$13,0),MATCH(Amine_Cracking!$U17,'Tables - Part 2'!$AX$5:$BA$5,0)))/2))/2,0)</f>
        <v>0</v>
      </c>
      <c r="BM17" s="248">
        <f>IF($T17=$BM$3,(INDEX('Tables - Part 2'!$BB$17:$BE$24,MATCH(Amine_Cracking!$W17,'Tables - Part 2'!$AV$6:$AV$13,0),MATCH(Amine_Cracking!$U17,'Tables - Part 2'!$AX$5:$BA$5,0))+INDEX('Tables - Part 2'!$BF$17:$BI$24,MATCH(Amine_Cracking!$W17,'Tables - Part 2'!$AV$6:$AV$13,0),MATCH(Amine_Cracking!$U17,'Tables - Part 2'!$AX$5:$BA$5,0)))/2,0)</f>
        <v>0</v>
      </c>
      <c r="BN17" s="248">
        <f>IF($T17=$BN$3,(((INDEX('Tables - Part 2'!$BB$17:$BE$24,MATCH(Amine_Cracking!$W17,'Tables - Part 2'!$AV$6:$AV$13,0),MATCH(Amine_Cracking!$U17,'Tables - Part 2'!$AX$5:$BA$5,0))+INDEX('Tables - Part 2'!$BF$17:$BI$24,MATCH(Amine_Cracking!$W17,'Tables - Part 2'!$AV$6:$AV$13,0),MATCH(Amine_Cracking!$U17,'Tables - Part 2'!$AX$5:$BA$5,0)))/2)+((((INDEX('Tables - Part 2'!$BB$17:$BE$24,MATCH(Amine_Cracking!$W17,'Tables - Part 2'!$AV$6:$AV$13,0),MATCH(Amine_Cracking!$U17,'Tables - Part 2'!$AX$5:$BA$5,0))+INDEX('Tables - Part 2'!$BF$17:$BI$24,MATCH(Amine_Cracking!$W17,'Tables - Part 2'!$AV$6:$AV$13,0),MATCH(Amine_Cracking!$U17,'Tables - Part 2'!$AX$5:$BA$5,0)))/2)+INDEX('Tables - Part 2'!$BF$17:$BI$24,MATCH(Amine_Cracking!$W17,'Tables - Part 2'!$AV$6:$AV$13,0),MATCH(Amine_Cracking!$U17,'Tables - Part 2'!$AX$5:$BA$5,0)))/2))/2,0)</f>
        <v>0</v>
      </c>
      <c r="BO17" s="248">
        <f>IF($T17=$BO$3,(((INDEX('Tables - Part 2'!$BB$17:$BE$24,MATCH(Amine_Cracking!$W17,'Tables - Part 2'!$AV$6:$AV$13,0),MATCH(Amine_Cracking!$U17,'Tables - Part 2'!$AX$5:$BA$5,0))+INDEX('Tables - Part 2'!$BF$17:$BI$24,MATCH(Amine_Cracking!$W17,'Tables - Part 2'!$AV$6:$AV$13,0),MATCH(Amine_Cracking!$U17,'Tables - Part 2'!$AX$5:$BA$5,0)))/2)+INDEX('Tables - Part 2'!$BF$17:$BI$24,MATCH(Amine_Cracking!$W17,'Tables - Part 2'!$AV$6:$AV$13,0),MATCH(Amine_Cracking!$U17,'Tables - Part 2'!$AX$5:$BA$5,0)))/2,0)</f>
        <v>0</v>
      </c>
      <c r="BP17" s="248">
        <f>IF($T17=$BP$3,(((((INDEX('Tables - Part 2'!$BB$17:$BE$24,MATCH(Amine_Cracking!$W17,'Tables - Part 2'!$AV$6:$AV$13,0),MATCH(Amine_Cracking!$U17,'Tables - Part 2'!$AX$5:$BA$5,0))+INDEX('Tables - Part 2'!$BF$17:$BI$24,MATCH(Amine_Cracking!$W17,'Tables - Part 2'!$AV$6:$AV$13,0),MATCH(Amine_Cracking!$U17,'Tables - Part 2'!$AX$5:$BA$5,0)))/2)+INDEX('Tables - Part 2'!$BF$17:$BI$24,MATCH(Amine_Cracking!$W17,'Tables - Part 2'!$AV$6:$AV$13,0),MATCH(Amine_Cracking!$U17,'Tables - Part 2'!$AX$5:$BA$5,0)))/2)+(INDEX('Tables - Part 2'!$BF$17:$BI$24,MATCH(Amine_Cracking!$W17,'Tables - Part 2'!$AV$6:$AV$13,0),MATCH(Amine_Cracking!$U17,'Tables - Part 2'!$AX$5:$BA$5,0))))/2,0)</f>
        <v>0</v>
      </c>
      <c r="BQ17" s="248">
        <f>IF($T17=$BQ$3,INDEX('Tables - Part 2'!$BF$17:$BI$24,MATCH(Amine_Cracking!$W17,'Tables - Part 2'!$AV$6:$AV$13,0),MATCH(Amine_Cracking!$U17,'Tables - Part 2'!$AX$5:$BA$5,0)),0)</f>
        <v>0</v>
      </c>
      <c r="BR17" s="248">
        <f t="shared" si="5"/>
        <v>0</v>
      </c>
      <c r="BS17" s="238">
        <f t="shared" si="8"/>
        <v>3</v>
      </c>
      <c r="BT17" s="238">
        <f t="shared" si="9"/>
        <v>50.318647405225171</v>
      </c>
    </row>
    <row r="18" spans="2:72" x14ac:dyDescent="0.35">
      <c r="B18" s="161" t="str">
        <f>'Tratamento de Dados'!B26</f>
        <v>V-80</v>
      </c>
      <c r="C18" s="161" t="str">
        <f>'Tratamento de Dados'!D26</f>
        <v>Casco</v>
      </c>
      <c r="D18" s="209" t="s">
        <v>245</v>
      </c>
      <c r="E18" s="209" t="s">
        <v>245</v>
      </c>
      <c r="F18" s="209" t="s">
        <v>244</v>
      </c>
      <c r="G18" s="209" t="s">
        <v>244</v>
      </c>
      <c r="H18" s="209" t="s">
        <v>245</v>
      </c>
      <c r="I18" s="209">
        <v>100</v>
      </c>
      <c r="J18" s="209" t="s">
        <v>245</v>
      </c>
      <c r="K18" s="209" t="s">
        <v>245</v>
      </c>
      <c r="L18" s="209" t="s">
        <v>245</v>
      </c>
      <c r="M18" s="210">
        <v>39092</v>
      </c>
      <c r="N18" s="209">
        <v>0</v>
      </c>
      <c r="O18" s="209">
        <v>1</v>
      </c>
      <c r="P18" s="209">
        <v>1</v>
      </c>
      <c r="Q18" s="209">
        <v>4</v>
      </c>
      <c r="R18" s="253">
        <f>'Tratamento de Dados'!DA26</f>
        <v>0</v>
      </c>
      <c r="S18" s="253">
        <f>'Tratamento de Dados'!DB26</f>
        <v>0</v>
      </c>
      <c r="T18" s="256">
        <f t="shared" si="0"/>
        <v>2.5</v>
      </c>
      <c r="U18" s="246" t="str">
        <f t="shared" si="1"/>
        <v>B</v>
      </c>
      <c r="V18" s="238" t="str">
        <f t="shared" si="6"/>
        <v>High</v>
      </c>
      <c r="W18" s="238">
        <f>IF(AND(D18=$BY$2,E18&lt;&gt;$BY$2),"Fitness-For-Service",INDEX('Tables - Part 2'!$BL$4:$BL$7,MATCH(Amine_Cracking!V18,'Tables - Part 2'!$BK$4:$BK$7,0),))</f>
        <v>100</v>
      </c>
      <c r="X18" s="238">
        <f>IF(M18=0,(Thinning!G19-Thinning!F19)/365.25,(Thinning!G19-M18)/365.25)</f>
        <v>12.980150581793293</v>
      </c>
      <c r="Y18" s="248">
        <f t="shared" si="2"/>
        <v>0</v>
      </c>
      <c r="Z18" s="248">
        <f t="shared" si="3"/>
        <v>2.5</v>
      </c>
      <c r="AA18" s="247">
        <f t="shared" si="7"/>
        <v>3</v>
      </c>
      <c r="AB18" s="247">
        <f t="shared" si="4"/>
        <v>4</v>
      </c>
      <c r="AC18" s="248">
        <f>IF($T18=$AC$3,INDEX('Tables - Part 2'!$AX$6:$BA$13,MATCH(Amine_Cracking!W18,'Tables - Part 2'!$AV$6:$AV$13,0),MATCH(Amine_Cracking!U18,'Tables - Part 2'!$AX$5:$BA$5,0)),0)</f>
        <v>0</v>
      </c>
      <c r="AD18" s="248">
        <f>IF($T18=$AD$3,(INDEX('Tables - Part 2'!$AX$6:$BA$13,MATCH(Amine_Cracking!W18,'Tables - Part 2'!$AV$6:$AV$13,0),MATCH(Amine_Cracking!U18,'Tables - Part 2'!$AX$5:$BA$5,0))+(INDEX('Tables - Part 2'!$AX$6:$BA$13,MATCH(Amine_Cracking!W18,'Tables - Part 2'!$AV$6:$AV$13,0),MATCH(Amine_Cracking!U18,'Tables - Part 2'!$AX$5:$BA$5,0))+((INDEX('Tables - Part 2'!$AX$6:$BA$13,MATCH(Amine_Cracking!W18,'Tables - Part 2'!$AV$6:$AV$13,0),MATCH(Amine_Cracking!U18,'Tables - Part 2'!$AX$5:$BA$5,0))+INDEX('Tables - Part 2'!$BB$6:$BE$13,MATCH(Amine_Cracking!$W18,'Tables - Part 2'!$AV$6:$AV$13,0),MATCH(Amine_Cracking!$U18,'Tables - Part 2'!$AX$5:$BA$5,0)))/2))/2)/2,0)</f>
        <v>0</v>
      </c>
      <c r="AE18" s="248">
        <f>IF($T18=$AE$3,(INDEX('Tables - Part 2'!$AX$6:$BA$13,MATCH(Amine_Cracking!W18,'Tables - Part 2'!$AV$6:$AV$13,0),MATCH(Amine_Cracking!U18,'Tables - Part 2'!$AX$5:$BA$5,0))+((INDEX('Tables - Part 2'!$AX$6:$BA$13,MATCH(Amine_Cracking!W18,'Tables - Part 2'!$AV$6:$AV$13,0),MATCH(Amine_Cracking!U18,'Tables - Part 2'!$AX$5:$BA$5,0))+INDEX('Tables - Part 2'!$BB$6:$BE$13,MATCH(Amine_Cracking!$W18,'Tables - Part 2'!$AV$6:$AV$13,0),MATCH(Amine_Cracking!$U18,'Tables - Part 2'!$AX$5:$BA$5,0)))/2))/2,0)</f>
        <v>0</v>
      </c>
      <c r="AF18" s="248">
        <f>IF($T18=$AF$3,(((INDEX('Tables - Part 2'!$AX$6:$BA$13,MATCH(Amine_Cracking!W18,'Tables - Part 2'!$AV$6:$AV$13,0),MATCH(Amine_Cracking!U18,'Tables - Part 2'!$AX$5:$BA$5,0))+((INDEX('Tables - Part 2'!$AX$6:$BA$13,MATCH(Amine_Cracking!W18,'Tables - Part 2'!$AV$6:$AV$13,0),MATCH(Amine_Cracking!U18,'Tables - Part 2'!$AX$5:$BA$5,0))+INDEX('Tables - Part 2'!$BB$6:$BE$13,MATCH(Amine_Cracking!$W18,'Tables - Part 2'!$AV$6:$AV$13,0),MATCH(Amine_Cracking!$U18,'Tables - Part 2'!$AX$5:$BA$5,0)))/2))/2)+(INDEX('Tables - Part 2'!$AX$6:$BA$13,MATCH(Amine_Cracking!W18,'Tables - Part 2'!$AV$6:$AV$13,0),MATCH(Amine_Cracking!U18,'Tables - Part 2'!$AX$5:$BA$5,0))+INDEX('Tables - Part 2'!$BB$6:$BE$13,MATCH(Amine_Cracking!$W18,'Tables - Part 2'!$AV$6:$AV$13,0),MATCH(Amine_Cracking!$U18,'Tables - Part 2'!$AX$5:$BA$5,0)))/2)/2,0)</f>
        <v>0</v>
      </c>
      <c r="AG18" s="248">
        <f>IF($T18=$AG$3,(INDEX('Tables - Part 2'!$AX$6:$BA$13,MATCH(Amine_Cracking!W18,'Tables - Part 2'!$AV$6:$AV$13,0),MATCH(Amine_Cracking!U18,'Tables - Part 2'!$AX$5:$BA$5,0))+INDEX('Tables - Part 2'!$BB$6:$BE$13,MATCH(Amine_Cracking!$W18,'Tables - Part 2'!$AV$6:$AV$13,0),MATCH(Amine_Cracking!$U18,'Tables - Part 2'!$AX$5:$BA$5,0)))/2,0)</f>
        <v>0</v>
      </c>
      <c r="AH18" s="248">
        <f>IF($T18=$AH$3,(((INDEX('Tables - Part 2'!$AX$6:$BA$13,MATCH(Amine_Cracking!W18,'Tables - Part 2'!$AV$6:$AV$13,0),MATCH(Amine_Cracking!U18,'Tables - Part 2'!$AX$5:$BA$5,0))+INDEX('Tables - Part 2'!$BB$6:$BE$13,MATCH(Amine_Cracking!$W18,'Tables - Part 2'!$AV$6:$AV$13,0),MATCH(Amine_Cracking!$U18,'Tables - Part 2'!$AX$5:$BA$5,0)))/2)+(((INDEX('Tables - Part 2'!$AX$6:$BA$13,MATCH(Amine_Cracking!W18,'Tables - Part 2'!$AV$6:$AV$13,0),MATCH(Amine_Cracking!U18,'Tables - Part 2'!$AX$5:$BA$5,0))+INDEX('Tables - Part 2'!$BB$6:$BE$13,MATCH(Amine_Cracking!$W18,'Tables - Part 2'!$AV$6:$AV$13,0),MATCH(Amine_Cracking!$U18,'Tables - Part 2'!$AX$5:$BA$5,0)))/2)+INDEX('Tables - Part 2'!$BB$6:$BE$13,MATCH(Amine_Cracking!$W18,'Tables - Part 2'!$AV$6:$AV$13,0),MATCH(Amine_Cracking!$U18,'Tables - Part 2'!$AX$5:$BA$5,0)))/2)/2,0)</f>
        <v>0</v>
      </c>
      <c r="AI18" s="248">
        <f>IF($T18=$AI$3,(((INDEX('Tables - Part 2'!$AX$6:$BA$13,MATCH(Amine_Cracking!W18,'Tables - Part 2'!$AV$6:$AV$13,0),MATCH(Amine_Cracking!U18,'Tables - Part 2'!$AX$5:$BA$5,0))+INDEX('Tables - Part 2'!$BB$6:$BE$13,MATCH(Amine_Cracking!$W18,'Tables - Part 2'!$AV$6:$AV$13,0),MATCH(Amine_Cracking!$U18,'Tables - Part 2'!$AX$5:$BA$5,0)))/2)+INDEX('Tables - Part 2'!$BB$6:$BE$13,MATCH(Amine_Cracking!$W18,'Tables - Part 2'!$AV$6:$AV$13,0),MATCH(Amine_Cracking!$U18,'Tables - Part 2'!$AX$5:$BA$5,0)))/2,0)</f>
        <v>0</v>
      </c>
      <c r="AJ18" s="248">
        <f>IF($T18=$AJ$3,(((((INDEX('Tables - Part 2'!$AX$6:$BA$13,MATCH(Amine_Cracking!W18,'Tables - Part 2'!$AV$6:$AV$13,0),MATCH(Amine_Cracking!U18,'Tables - Part 2'!$AX$5:$BA$5,0))+INDEX('Tables - Part 2'!$BB$6:$BE$13,MATCH(Amine_Cracking!$W18,'Tables - Part 2'!$AV$6:$AV$13,0),MATCH(Amine_Cracking!$U18,'Tables - Part 2'!$AX$5:$BA$5,0)))/2)+INDEX('Tables - Part 2'!$BB$6:$BE$13,MATCH(Amine_Cracking!$W18,'Tables - Part 2'!$AV$6:$AV$13,0),MATCH(Amine_Cracking!$U18,'Tables - Part 2'!$AX$5:$BA$5,0)))/2)+INDEX('Tables - Part 2'!$BB$6:$BE$13,MATCH(Amine_Cracking!$W18,'Tables - Part 2'!$AV$6:$AV$13,0),MATCH(Amine_Cracking!$U18,'Tables - Part 2'!$AX$5:$BA$5,0)))/2,0)</f>
        <v>0</v>
      </c>
      <c r="AK18" s="248">
        <f>IF($T18=$AK$3,INDEX('Tables - Part 2'!$BB$6:$BE$13,MATCH(Amine_Cracking!$W18,'Tables - Part 2'!$AV$6:$AV$13,0),MATCH(Amine_Cracking!$U18,'Tables - Part 2'!$AX$5:$BA$5,0)),0)</f>
        <v>0</v>
      </c>
      <c r="AL18" s="248">
        <f>IF($T18=$AL$3,((INDEX('Tables - Part 2'!$BB$6:$BE$13,MATCH(Amine_Cracking!$W18,'Tables - Part 2'!$AV$6:$AV$13,0),MATCH(Amine_Cracking!$U18,'Tables - Part 2'!$AX$5:$BA$5,0)))+(INDEX('Tables - Part 2'!$BB$6:$BE$13,MATCH(Amine_Cracking!$W18,'Tables - Part 2'!$AV$6:$AV$13,0),MATCH(Amine_Cracking!$U18,'Tables - Part 2'!$AX$5:$BA$5,0))+(INDEX('Tables - Part 2'!$BB$6:$BE$13,MATCH(Amine_Cracking!$W18,'Tables - Part 2'!$AV$6:$AV$13,0),MATCH(Amine_Cracking!$U18,'Tables - Part 2'!$AX$5:$BA$5,0))+INDEX('Tables - Part 2'!$BF$6:$BI$13,MATCH(Amine_Cracking!$W18,'Tables - Part 2'!$AV$6:$AV$13,0),MATCH(Amine_Cracking!$U18,'Tables - Part 2'!$AX$5:$BA$5,0)))/2)/2)/2,0)</f>
        <v>0</v>
      </c>
      <c r="AM18" s="248">
        <f>IF($T18=$AM$3,(INDEX('Tables - Part 2'!$BB$6:$BE$13,MATCH(Amine_Cracking!$W18,'Tables - Part 2'!$AV$6:$AV$13,0),MATCH(Amine_Cracking!$U18,'Tables - Part 2'!$AX$5:$BA$5,0))+(INDEX('Tables - Part 2'!$BB$6:$BE$13,MATCH(Amine_Cracking!$W18,'Tables - Part 2'!$AV$6:$AV$13,0),MATCH(Amine_Cracking!$U18,'Tables - Part 2'!$AX$5:$BA$5,0))+INDEX('Tables - Part 2'!$BF$6:$BI$13,MATCH(Amine_Cracking!$W18,'Tables - Part 2'!$AV$6:$AV$13,0),MATCH(Amine_Cracking!$U18,'Tables - Part 2'!$AX$5:$BA$5,0)))/2)/2,0)</f>
        <v>0</v>
      </c>
      <c r="AN18" s="248">
        <f>IF($T18=$AN$3,(((INDEX('Tables - Part 2'!$BB$6:$BE$13,MATCH(Amine_Cracking!$W18,'Tables - Part 2'!$AV$6:$AV$13,0),MATCH(Amine_Cracking!$U18,'Tables - Part 2'!$AX$5:$BA$5,0))+(INDEX('Tables - Part 2'!$BB$6:$BE$13,MATCH(Amine_Cracking!$W18,'Tables - Part 2'!$AV$6:$AV$13,0),MATCH(Amine_Cracking!$U18,'Tables - Part 2'!$AX$5:$BA$5,0))+INDEX('Tables - Part 2'!$BF$6:$BI$13,MATCH(Amine_Cracking!$W18,'Tables - Part 2'!$AV$6:$AV$13,0),MATCH(Amine_Cracking!$U18,'Tables - Part 2'!$AX$5:$BA$5,0)))/2)/2)+((INDEX('Tables - Part 2'!$BB$6:$BE$13,MATCH(Amine_Cracking!$W18,'Tables - Part 2'!$AV$6:$AV$13,0),MATCH(Amine_Cracking!$U18,'Tables - Part 2'!$AX$5:$BA$5,0))+INDEX('Tables - Part 2'!$BF$6:$BI$13,MATCH(Amine_Cracking!$W18,'Tables - Part 2'!$AV$6:$AV$13,0),MATCH(Amine_Cracking!$U18,'Tables - Part 2'!$AX$5:$BA$5,0)))/2))/2,0)</f>
        <v>0</v>
      </c>
      <c r="AO18" s="248">
        <f>IF($T18=$AO$3,(INDEX('Tables - Part 2'!$BB$6:$BE$13,MATCH(Amine_Cracking!$W18,'Tables - Part 2'!$AV$6:$AV$13,0),MATCH(Amine_Cracking!$U18,'Tables - Part 2'!$AX$5:$BA$5,0))+INDEX('Tables - Part 2'!$BF$6:$BI$13,MATCH(Amine_Cracking!$W18,'Tables - Part 2'!$AV$6:$AV$13,0),MATCH(Amine_Cracking!$U18,'Tables - Part 2'!$AX$5:$BA$5,0)))/2,0)</f>
        <v>3</v>
      </c>
      <c r="AP18" s="248">
        <f>IF($T18=$AP$3,(((INDEX('Tables - Part 2'!$BB$6:$BE$13,MATCH(Amine_Cracking!$W18,'Tables - Part 2'!$AV$6:$AV$13,0),MATCH(Amine_Cracking!$U18,'Tables - Part 2'!$AX$5:$BA$5,0))+INDEX('Tables - Part 2'!$BF$6:$BI$13,MATCH(Amine_Cracking!$W18,'Tables - Part 2'!$AV$6:$AV$13,0),MATCH(Amine_Cracking!$U18,'Tables - Part 2'!$AX$5:$BA$5,0)))/2)+((((INDEX('Tables - Part 2'!$BB$6:$BE$13,MATCH(Amine_Cracking!$W18,'Tables - Part 2'!$AV$6:$AV$13,0),MATCH(Amine_Cracking!$U18,'Tables - Part 2'!$AX$5:$BA$5,0))+INDEX('Tables - Part 2'!$BF$6:$BI$13,MATCH(Amine_Cracking!$W18,'Tables - Part 2'!$AV$6:$AV$13,0),MATCH(Amine_Cracking!$U18,'Tables - Part 2'!$AX$5:$BA$5,0)))/2)+INDEX('Tables - Part 2'!$BF$6:$BI$13,MATCH(Amine_Cracking!$W18,'Tables - Part 2'!$AV$6:$AV$13,0),MATCH(Amine_Cracking!$U18,'Tables - Part 2'!$AX$5:$BA$5,0)))/2))/2,0)</f>
        <v>0</v>
      </c>
      <c r="AQ18" s="248">
        <f>IF($T18=$AQ$3,(((INDEX('Tables - Part 2'!$BB$6:$BE$13,MATCH(Amine_Cracking!$W18,'Tables - Part 2'!$AV$6:$AV$13,0),MATCH(Amine_Cracking!$U18,'Tables - Part 2'!$AX$5:$BA$5,0))+INDEX('Tables - Part 2'!$BF$6:$BI$13,MATCH(Amine_Cracking!$W18,'Tables - Part 2'!$AV$6:$AV$13,0),MATCH(Amine_Cracking!$U18,'Tables - Part 2'!$AX$5:$BA$5,0)))/2)+INDEX('Tables - Part 2'!$BF$6:$BI$13,MATCH(Amine_Cracking!$W18,'Tables - Part 2'!$AV$6:$AV$13,0),MATCH(Amine_Cracking!$U18,'Tables - Part 2'!$AX$5:$BA$5,0)))/2,0)</f>
        <v>0</v>
      </c>
      <c r="AR18" s="248">
        <f>IF($T18=$AR$3,(((((INDEX('Tables - Part 2'!$BB$6:$BE$13,MATCH(Amine_Cracking!$W18,'Tables - Part 2'!$AV$6:$AV$13,0),MATCH(Amine_Cracking!$U18,'Tables - Part 2'!$AX$5:$BA$5,0))+INDEX('Tables - Part 2'!$BF$6:$BI$13,MATCH(Amine_Cracking!$W18,'Tables - Part 2'!$AV$6:$AV$13,0),MATCH(Amine_Cracking!$U18,'Tables - Part 2'!$AX$5:$BA$5,0)))/2)+INDEX('Tables - Part 2'!$BF$6:$BI$13,MATCH(Amine_Cracking!$W18,'Tables - Part 2'!$AV$6:$AV$13,0),MATCH(Amine_Cracking!$U18,'Tables - Part 2'!$AX$5:$BA$5,0)))/2)+INDEX('Tables - Part 2'!$BF$6:$BI$13,MATCH(Amine_Cracking!$W18,'Tables - Part 2'!$AV$6:$AV$13,0),MATCH(Amine_Cracking!$U18,'Tables - Part 2'!$AX$5:$BA$5,0)))/2,0)</f>
        <v>0</v>
      </c>
      <c r="AS18" s="248">
        <f>IF($T18=$AS$3,INDEX('Tables - Part 2'!$BF$6:$BI$13,MATCH(Amine_Cracking!$W18,'Tables - Part 2'!$AV$6:$AV$13,0),MATCH(Amine_Cracking!$U18,'Tables - Part 2'!$AX$5:$BA$5,0)),0)</f>
        <v>0</v>
      </c>
      <c r="AT18" s="248">
        <f>IF($T18=$AT$3,(INDEX('Tables - Part 2'!$BF$6:$BI$13,MATCH(Amine_Cracking!$W18,'Tables - Part 2'!$AV$6:$AV$13,0),MATCH(Amine_Cracking!$U18,'Tables - Part 2'!$AX$5:$BA$5,0))+((INDEX('Tables - Part 2'!$BF$6:$BI$13,MATCH(Amine_Cracking!$W18,'Tables - Part 2'!$AV$6:$AV$13,0),MATCH(Amine_Cracking!$U18,'Tables - Part 2'!$AX$5:$BA$5,0))+(INDEX('Tables - Part 2'!$BF$6:$BI$13,MATCH(Amine_Cracking!$W18,'Tables - Part 2'!$AV$6:$AV$13,0),MATCH(Amine_Cracking!$U18,'Tables - Part 2'!$AX$5:$BA$5,0))+INDEX('Tables - Part 2'!$AX$17:$BA$24,MATCH(Amine_Cracking!$W18,'Tables - Part 2'!$AV$6:$AV$13,0),MATCH(Amine_Cracking!$U18,'Tables - Part 2'!$AX$5:$BA$5,0)))/2)/2))/2,0)</f>
        <v>0</v>
      </c>
      <c r="AU18" s="248">
        <f>IF($T18=$AU$3,(INDEX('Tables - Part 2'!$BF$6:$BI$13,MATCH(Amine_Cracking!$W18,'Tables - Part 2'!$AV$6:$AV$13,0),MATCH(Amine_Cracking!$U18,'Tables - Part 2'!$AX$5:$BA$5,0))+(INDEX('Tables - Part 2'!$BF$6:$BI$13,MATCH(Amine_Cracking!$W18,'Tables - Part 2'!$AV$6:$AV$13,0),MATCH(Amine_Cracking!$U18,'Tables - Part 2'!$AX$5:$BA$5,0))+INDEX('Tables - Part 2'!$AX$17:$BA$24,MATCH(Amine_Cracking!$W18,'Tables - Part 2'!$AV$6:$AV$13,0),MATCH(Amine_Cracking!$U18,'Tables - Part 2'!$AX$5:$BA$5,0)))/2)/2,0)</f>
        <v>0</v>
      </c>
      <c r="AV18" s="248">
        <f>IF($T18=$AV$3,(((INDEX('Tables - Part 2'!$BF$6:$BI$13,MATCH(Amine_Cracking!$W18,'Tables - Part 2'!$AV$6:$AV$13,0),MATCH(Amine_Cracking!$U18,'Tables - Part 2'!$AX$5:$BA$5,0))+(INDEX('Tables - Part 2'!$BF$6:$BI$13,MATCH(Amine_Cracking!$W18,'Tables - Part 2'!$AV$6:$AV$13,0),MATCH(Amine_Cracking!$U18,'Tables - Part 2'!$AX$5:$BA$5,0))+INDEX('Tables - Part 2'!$AX$17:$BA$24,MATCH(Amine_Cracking!$W18,'Tables - Part 2'!$AV$6:$AV$13,0),MATCH(Amine_Cracking!$U18,'Tables - Part 2'!$AX$5:$BA$5,0)))/2)/2)+((INDEX('Tables - Part 2'!$BF$6:$BI$13,MATCH(Amine_Cracking!$W18,'Tables - Part 2'!$AV$6:$AV$13,0),MATCH(Amine_Cracking!$U18,'Tables - Part 2'!$AX$5:$BA$5,0))+INDEX('Tables - Part 2'!$AX$17:$BA$24,MATCH(Amine_Cracking!$W18,'Tables - Part 2'!$AV$6:$AV$13,0),MATCH(Amine_Cracking!$U18,'Tables - Part 2'!$AX$5:$BA$5,0)))/2))/2,0)</f>
        <v>0</v>
      </c>
      <c r="AW18" s="248">
        <f>IF($T18=$AW$3,(INDEX('Tables - Part 2'!$BF$6:$BI$13,MATCH(Amine_Cracking!$W18,'Tables - Part 2'!$AV$6:$AV$13,0),MATCH(Amine_Cracking!$U18,'Tables - Part 2'!$AX$5:$BA$5,0))+INDEX('Tables - Part 2'!$AX$17:$BA$24,MATCH(Amine_Cracking!$W18,'Tables - Part 2'!$AV$6:$AV$13,0),MATCH(Amine_Cracking!$U18,'Tables - Part 2'!$AX$5:$BA$5,0)))/2,0)</f>
        <v>0</v>
      </c>
      <c r="AX18" s="248">
        <f>IF($T18=$AX$3,(((INDEX('Tables - Part 2'!$BF$6:$BI$13,MATCH(Amine_Cracking!$W18,'Tables - Part 2'!$AV$6:$AV$13,0),MATCH(Amine_Cracking!$U18,'Tables - Part 2'!$AX$5:$BA$5,0))+INDEX('Tables - Part 2'!$AX$17:$BA$24,MATCH(Amine_Cracking!$W18,'Tables - Part 2'!$AV$6:$AV$13,0),MATCH(Amine_Cracking!$U18,'Tables - Part 2'!$AX$5:$BA$5,0)))/2)+((((INDEX('Tables - Part 2'!$BF$6:$BI$13,MATCH(Amine_Cracking!$W18,'Tables - Part 2'!$AV$6:$AV$13,0),MATCH(Amine_Cracking!$U18,'Tables - Part 2'!$AX$5:$BA$5,0))+INDEX('Tables - Part 2'!$AX$17:$BA$24,MATCH(Amine_Cracking!$W18,'Tables - Part 2'!$AV$6:$AV$13,0),MATCH(Amine_Cracking!$U18,'Tables - Part 2'!$AX$5:$BA$5,0)))/2)+INDEX('Tables - Part 2'!$AX$17:$BA$24,MATCH(Amine_Cracking!$W18,'Tables - Part 2'!$AV$6:$AV$13,0),MATCH(Amine_Cracking!$U18,'Tables - Part 2'!$AX$5:$BA$5,0)))/2))/2,0)</f>
        <v>0</v>
      </c>
      <c r="AY18" s="248">
        <f>IF($T18=$AY$3,(((INDEX('Tables - Part 2'!$BF$6:$BI$13,MATCH(Amine_Cracking!$W18,'Tables - Part 2'!$AV$6:$AV$13,0),MATCH(Amine_Cracking!$U18,'Tables - Part 2'!$AX$5:$BA$5,0))+INDEX('Tables - Part 2'!$AX$17:$BA$24,MATCH(Amine_Cracking!$W18,'Tables - Part 2'!$AV$6:$AV$13,0),MATCH(Amine_Cracking!$U18,'Tables - Part 2'!$AX$5:$BA$5,0)))/2)+INDEX('Tables - Part 2'!$AX$17:$BA$24,MATCH(Amine_Cracking!$W18,'Tables - Part 2'!$AV$6:$AV$13,0),MATCH(Amine_Cracking!$U18,'Tables - Part 2'!$AX$5:$BA$5,0)))/2,0)</f>
        <v>0</v>
      </c>
      <c r="AZ18" s="248">
        <f>IF($T18=$AZ$3,(((((INDEX('Tables - Part 2'!$BF$6:$BI$13,MATCH(Amine_Cracking!$W18,'Tables - Part 2'!$AV$6:$AV$13,0),MATCH(Amine_Cracking!$U18,'Tables - Part 2'!$AX$5:$BA$5,0))+INDEX('Tables - Part 2'!$AX$17:$BA$24,MATCH(Amine_Cracking!$W18,'Tables - Part 2'!$AV$6:$AV$13,0),MATCH(Amine_Cracking!$U18,'Tables - Part 2'!$AX$5:$BA$5,0)))/2)+INDEX('Tables - Part 2'!$AX$17:$BA$24,MATCH(Amine_Cracking!$W18,'Tables - Part 2'!$AV$6:$AV$13,0),MATCH(Amine_Cracking!$U18,'Tables - Part 2'!$AX$5:$BA$5,0)))/2)+(INDEX('Tables - Part 2'!$AX$17:$BA$24,MATCH(Amine_Cracking!$W18,'Tables - Part 2'!$AV$6:$AV$13,0),MATCH(Amine_Cracking!$U18,'Tables - Part 2'!$AX$5:$BA$5,0))))/2,0)</f>
        <v>0</v>
      </c>
      <c r="BA18" s="248">
        <f>IF($T18=$BA$3,INDEX('Tables - Part 2'!$AX$17:$BA$24,MATCH(Amine_Cracking!$W18,'Tables - Part 2'!$AV$6:$AV$13,0),MATCH(Amine_Cracking!$U18,'Tables - Part 2'!$AX$5:$BA$5,0)),0)</f>
        <v>0</v>
      </c>
      <c r="BB18" s="248">
        <f>IF($T18=$BB$3,((INDEX('Tables - Part 2'!$AX$17:$BA$24,MATCH(Amine_Cracking!$W18,'Tables - Part 2'!$AV$6:$AV$13,0),MATCH(Amine_Cracking!$U18,'Tables - Part 2'!$AX$5:$BA$5,0)))+(((INDEX('Tables - Part 2'!$AX$17:$BA$24,MATCH(Amine_Cracking!$W18,'Tables - Part 2'!$AV$6:$AV$13,0),MATCH(Amine_Cracking!$U18,'Tables - Part 2'!$AX$5:$BA$5,0)))+(INDEX('Tables - Part 2'!$AX$17:$BA$24,MATCH(Amine_Cracking!$W18,'Tables - Part 2'!$AV$6:$AV$13,0),MATCH(Amine_Cracking!$U18,'Tables - Part 2'!$AX$5:$BA$5,0))+INDEX('Tables - Part 2'!$BB$17:$BE$24,MATCH(Amine_Cracking!$W18,'Tables - Part 2'!$AV$6:$AV$13,0),MATCH(Amine_Cracking!$U18,'Tables - Part 2'!$AX$5:$BA$5,0)))/2)/2))/2,0)</f>
        <v>0</v>
      </c>
      <c r="BC18" s="248">
        <f>IF($T18=$BC$3,((INDEX('Tables - Part 2'!$AX$17:$BA$24,MATCH(Amine_Cracking!$W18,'Tables - Part 2'!$AV$6:$AV$13,0),MATCH(Amine_Cracking!$U18,'Tables - Part 2'!$AX$5:$BA$5,0)))+(INDEX('Tables - Part 2'!$AX$17:$BA$24,MATCH(Amine_Cracking!$W18,'Tables - Part 2'!$AV$6:$AV$13,0),MATCH(Amine_Cracking!$U18,'Tables - Part 2'!$AX$5:$BA$5,0))+INDEX('Tables - Part 2'!$BB$17:$BE$24,MATCH(Amine_Cracking!$W18,'Tables - Part 2'!$AV$6:$AV$13,0),MATCH(Amine_Cracking!$U18,'Tables - Part 2'!$AX$5:$BA$5,0)))/2)/2,0)</f>
        <v>0</v>
      </c>
      <c r="BD18" s="248">
        <f>IF($T18=$BD$3,((((INDEX('Tables - Part 2'!$AX$17:$BA$24,MATCH(Amine_Cracking!$W18,'Tables - Part 2'!$AV$6:$AV$13,0),MATCH(Amine_Cracking!$U18,'Tables - Part 2'!$AX$5:$BA$5,0)))+(INDEX('Tables - Part 2'!$AX$17:$BA$24,MATCH(Amine_Cracking!$W18,'Tables - Part 2'!$AV$6:$AV$13,0),MATCH(Amine_Cracking!$U18,'Tables - Part 2'!$AX$5:$BA$5,0))+INDEX('Tables - Part 2'!$BB$17:$BE$24,MATCH(Amine_Cracking!$W18,'Tables - Part 2'!$AV$6:$AV$13,0),MATCH(Amine_Cracking!$U18,'Tables - Part 2'!$AX$5:$BA$5,0)))/2)/2)+((INDEX('Tables - Part 2'!$AX$17:$BA$24,MATCH(Amine_Cracking!$W18,'Tables - Part 2'!$AV$6:$AV$13,0),MATCH(Amine_Cracking!$U18,'Tables - Part 2'!$AX$5:$BA$5,0))+INDEX('Tables - Part 2'!$BB$17:$BE$24,MATCH(Amine_Cracking!$W18,'Tables - Part 2'!$AV$6:$AV$13,0),MATCH(Amine_Cracking!$U18,'Tables - Part 2'!$AX$5:$BA$5,0)))/2))/2,0)</f>
        <v>0</v>
      </c>
      <c r="BE18" s="248">
        <f>IF($T18=$BE$3,(INDEX('Tables - Part 2'!$AX$17:$BA$24,MATCH(Amine_Cracking!$W18,'Tables - Part 2'!$AV$6:$AV$13,0),MATCH(Amine_Cracking!$U18,'Tables - Part 2'!$AX$5:$BA$5,0))+INDEX('Tables - Part 2'!$BB$17:$BE$24,MATCH(Amine_Cracking!$W18,'Tables - Part 2'!$AV$6:$AV$13,0),MATCH(Amine_Cracking!$U18,'Tables - Part 2'!$AX$5:$BA$5,0)))/2,0)</f>
        <v>0</v>
      </c>
      <c r="BF18" s="248">
        <f>IF($T18=$BF$3,(((INDEX('Tables - Part 2'!$AX$17:$BA$24,MATCH(Amine_Cracking!$W18,'Tables - Part 2'!$AV$6:$AV$13,0),MATCH(Amine_Cracking!$U18,'Tables - Part 2'!$AX$5:$BA$5,0))+INDEX('Tables - Part 2'!$BB$17:$BE$24,MATCH(Amine_Cracking!$W18,'Tables - Part 2'!$AV$6:$AV$13,0),MATCH(Amine_Cracking!$U18,'Tables - Part 2'!$AX$5:$BA$5,0)))/2)+((((INDEX('Tables - Part 2'!$AX$17:$BA$24,MATCH(Amine_Cracking!$W18,'Tables - Part 2'!$AV$6:$AV$13,0),MATCH(Amine_Cracking!$U18,'Tables - Part 2'!$AX$5:$BA$5,0))+INDEX('Tables - Part 2'!$BB$17:$BE$24,MATCH(Amine_Cracking!$W18,'Tables - Part 2'!$AV$6:$AV$13,0),MATCH(Amine_Cracking!$U18,'Tables - Part 2'!$AX$5:$BA$5,0)))/2)+INDEX('Tables - Part 2'!$BB$17:$BE$24,MATCH(Amine_Cracking!$W18,'Tables - Part 2'!$AV$6:$AV$13,0),MATCH(Amine_Cracking!$U18,'Tables - Part 2'!$AX$5:$BA$5,0)))/2))/2,0)</f>
        <v>0</v>
      </c>
      <c r="BG18" s="248">
        <f>IF($T18=$BG$3,(((INDEX('Tables - Part 2'!$AX$17:$BA$24,MATCH(Amine_Cracking!$W18,'Tables - Part 2'!$AV$6:$AV$13,0),MATCH(Amine_Cracking!$U18,'Tables - Part 2'!$AX$5:$BA$5,0))+INDEX('Tables - Part 2'!$BB$17:$BE$24,MATCH(Amine_Cracking!$W18,'Tables - Part 2'!$AV$6:$AV$13,0),MATCH(Amine_Cracking!$U18,'Tables - Part 2'!$AX$5:$BA$5,0)))/2)+INDEX('Tables - Part 2'!$BB$17:$BE$24,MATCH(Amine_Cracking!$W18,'Tables - Part 2'!$AV$6:$AV$13,0),MATCH(Amine_Cracking!$U18,'Tables - Part 2'!$AX$5:$BA$5,0)))/2,0)</f>
        <v>0</v>
      </c>
      <c r="BH18" s="248">
        <f>IF($T18=$BH$3,(((((INDEX('Tables - Part 2'!$AX$17:$BA$24,MATCH(Amine_Cracking!$W18,'Tables - Part 2'!$AV$6:$AV$13,0),MATCH(Amine_Cracking!$U18,'Tables - Part 2'!$AX$5:$BA$5,0))+INDEX('Tables - Part 2'!$BB$17:$BE$24,MATCH(Amine_Cracking!$W18,'Tables - Part 2'!$AV$6:$AV$13,0),MATCH(Amine_Cracking!$U18,'Tables - Part 2'!$AX$5:$BA$5,0)))/2)+INDEX('Tables - Part 2'!$BB$17:$BE$24,MATCH(Amine_Cracking!$W18,'Tables - Part 2'!$AV$6:$AV$13,0),MATCH(Amine_Cracking!$U18,'Tables - Part 2'!$AX$5:$BA$5,0)))/2)+(INDEX('Tables - Part 2'!$BB$17:$BE$24,MATCH(Amine_Cracking!$W18,'Tables - Part 2'!$AV$6:$AV$13,0),MATCH(Amine_Cracking!$U18,'Tables - Part 2'!$AX$5:$BA$5,0))))/2,0)</f>
        <v>0</v>
      </c>
      <c r="BI18" s="248">
        <f>IF($T18=$BI$3,INDEX('Tables - Part 2'!$BB$17:$BE$24,MATCH(Amine_Cracking!$W18,'Tables - Part 2'!$AV$6:$AV$13,0),MATCH(Amine_Cracking!$U18,'Tables - Part 2'!$AX$5:$BA$5,0)),0)</f>
        <v>0</v>
      </c>
      <c r="BJ18" s="248">
        <f>IF($T18=$BJ$3,((INDEX('Tables - Part 2'!$BB$17:$BE$24,MATCH(Amine_Cracking!$W18,'Tables - Part 2'!$AV$6:$AV$13,0),MATCH(Amine_Cracking!$U18,'Tables - Part 2'!$AX$5:$BA$5,0)))+(((INDEX('Tables - Part 2'!$BB$17:$BE$24,MATCH(Amine_Cracking!$W18,'Tables - Part 2'!$AV$6:$AV$13,0),MATCH(Amine_Cracking!$U18,'Tables - Part 2'!$AX$5:$BA$5,0)))+(INDEX('Tables - Part 2'!$BB$17:$BE$24,MATCH(Amine_Cracking!$W18,'Tables - Part 2'!$AV$6:$AV$13,0),MATCH(Amine_Cracking!$U18,'Tables - Part 2'!$AX$5:$BA$5,0))+INDEX('Tables - Part 2'!$BF$17:$BI$24,MATCH(Amine_Cracking!$W18,'Tables - Part 2'!$AV$6:$AV$13,0),MATCH(Amine_Cracking!$U18,'Tables - Part 2'!$AX$5:$BA$5,0)))/2)/2))/2,0)</f>
        <v>0</v>
      </c>
      <c r="BK18" s="248">
        <f>IF($T18=$BK$3,((INDEX('Tables - Part 2'!$BB$17:$BE$24,MATCH(Amine_Cracking!$W18,'Tables - Part 2'!$AV$6:$AV$13,0),MATCH(Amine_Cracking!$U18,'Tables - Part 2'!$AX$5:$BA$5,0)))+(INDEX('Tables - Part 2'!$BB$17:$BE$24,MATCH(Amine_Cracking!$W18,'Tables - Part 2'!$AV$6:$AV$13,0),MATCH(Amine_Cracking!$U18,'Tables - Part 2'!$AX$5:$BA$5,0))+INDEX('Tables - Part 2'!$BF$17:$BI$24,MATCH(Amine_Cracking!$W18,'Tables - Part 2'!$AV$6:$AV$13,0),MATCH(Amine_Cracking!$U18,'Tables - Part 2'!$AX$5:$BA$5,0)))/2)/2,0)</f>
        <v>0</v>
      </c>
      <c r="BL18" s="248">
        <f>IF($T18=$BL$3,((((INDEX('Tables - Part 2'!$BB$17:$BE$24,MATCH(Amine_Cracking!$W18,'Tables - Part 2'!$AV$6:$AV$13,0),MATCH(Amine_Cracking!$U18,'Tables - Part 2'!$AX$5:$BA$5,0)))+(INDEX('Tables - Part 2'!$BB$17:$BE$24,MATCH(Amine_Cracking!$W18,'Tables - Part 2'!$AV$6:$AV$13,0),MATCH(Amine_Cracking!$U18,'Tables - Part 2'!$AX$5:$BA$5,0))+INDEX('Tables - Part 2'!$BF$17:$BI$24,MATCH(Amine_Cracking!$W18,'Tables - Part 2'!$AV$6:$AV$13,0),MATCH(Amine_Cracking!$U18,'Tables - Part 2'!$AX$5:$BA$5,0)))/2)/2)+((INDEX('Tables - Part 2'!$BB$17:$BE$24,MATCH(Amine_Cracking!$W18,'Tables - Part 2'!$AV$6:$AV$13,0),MATCH(Amine_Cracking!$U18,'Tables - Part 2'!$AX$5:$BA$5,0))+INDEX('Tables - Part 2'!$BF$17:$BI$24,MATCH(Amine_Cracking!$W18,'Tables - Part 2'!$AV$6:$AV$13,0),MATCH(Amine_Cracking!$U18,'Tables - Part 2'!$AX$5:$BA$5,0)))/2))/2,0)</f>
        <v>0</v>
      </c>
      <c r="BM18" s="248">
        <f>IF($T18=$BM$3,(INDEX('Tables - Part 2'!$BB$17:$BE$24,MATCH(Amine_Cracking!$W18,'Tables - Part 2'!$AV$6:$AV$13,0),MATCH(Amine_Cracking!$U18,'Tables - Part 2'!$AX$5:$BA$5,0))+INDEX('Tables - Part 2'!$BF$17:$BI$24,MATCH(Amine_Cracking!$W18,'Tables - Part 2'!$AV$6:$AV$13,0),MATCH(Amine_Cracking!$U18,'Tables - Part 2'!$AX$5:$BA$5,0)))/2,0)</f>
        <v>0</v>
      </c>
      <c r="BN18" s="248">
        <f>IF($T18=$BN$3,(((INDEX('Tables - Part 2'!$BB$17:$BE$24,MATCH(Amine_Cracking!$W18,'Tables - Part 2'!$AV$6:$AV$13,0),MATCH(Amine_Cracking!$U18,'Tables - Part 2'!$AX$5:$BA$5,0))+INDEX('Tables - Part 2'!$BF$17:$BI$24,MATCH(Amine_Cracking!$W18,'Tables - Part 2'!$AV$6:$AV$13,0),MATCH(Amine_Cracking!$U18,'Tables - Part 2'!$AX$5:$BA$5,0)))/2)+((((INDEX('Tables - Part 2'!$BB$17:$BE$24,MATCH(Amine_Cracking!$W18,'Tables - Part 2'!$AV$6:$AV$13,0),MATCH(Amine_Cracking!$U18,'Tables - Part 2'!$AX$5:$BA$5,0))+INDEX('Tables - Part 2'!$BF$17:$BI$24,MATCH(Amine_Cracking!$W18,'Tables - Part 2'!$AV$6:$AV$13,0),MATCH(Amine_Cracking!$U18,'Tables - Part 2'!$AX$5:$BA$5,0)))/2)+INDEX('Tables - Part 2'!$BF$17:$BI$24,MATCH(Amine_Cracking!$W18,'Tables - Part 2'!$AV$6:$AV$13,0),MATCH(Amine_Cracking!$U18,'Tables - Part 2'!$AX$5:$BA$5,0)))/2))/2,0)</f>
        <v>0</v>
      </c>
      <c r="BO18" s="248">
        <f>IF($T18=$BO$3,(((INDEX('Tables - Part 2'!$BB$17:$BE$24,MATCH(Amine_Cracking!$W18,'Tables - Part 2'!$AV$6:$AV$13,0),MATCH(Amine_Cracking!$U18,'Tables - Part 2'!$AX$5:$BA$5,0))+INDEX('Tables - Part 2'!$BF$17:$BI$24,MATCH(Amine_Cracking!$W18,'Tables - Part 2'!$AV$6:$AV$13,0),MATCH(Amine_Cracking!$U18,'Tables - Part 2'!$AX$5:$BA$5,0)))/2)+INDEX('Tables - Part 2'!$BF$17:$BI$24,MATCH(Amine_Cracking!$W18,'Tables - Part 2'!$AV$6:$AV$13,0),MATCH(Amine_Cracking!$U18,'Tables - Part 2'!$AX$5:$BA$5,0)))/2,0)</f>
        <v>0</v>
      </c>
      <c r="BP18" s="248">
        <f>IF($T18=$BP$3,(((((INDEX('Tables - Part 2'!$BB$17:$BE$24,MATCH(Amine_Cracking!$W18,'Tables - Part 2'!$AV$6:$AV$13,0),MATCH(Amine_Cracking!$U18,'Tables - Part 2'!$AX$5:$BA$5,0))+INDEX('Tables - Part 2'!$BF$17:$BI$24,MATCH(Amine_Cracking!$W18,'Tables - Part 2'!$AV$6:$AV$13,0),MATCH(Amine_Cracking!$U18,'Tables - Part 2'!$AX$5:$BA$5,0)))/2)+INDEX('Tables - Part 2'!$BF$17:$BI$24,MATCH(Amine_Cracking!$W18,'Tables - Part 2'!$AV$6:$AV$13,0),MATCH(Amine_Cracking!$U18,'Tables - Part 2'!$AX$5:$BA$5,0)))/2)+(INDEX('Tables - Part 2'!$BF$17:$BI$24,MATCH(Amine_Cracking!$W18,'Tables - Part 2'!$AV$6:$AV$13,0),MATCH(Amine_Cracking!$U18,'Tables - Part 2'!$AX$5:$BA$5,0))))/2,0)</f>
        <v>0</v>
      </c>
      <c r="BQ18" s="248">
        <f>IF($T18=$BQ$3,INDEX('Tables - Part 2'!$BF$17:$BI$24,MATCH(Amine_Cracking!$W18,'Tables - Part 2'!$AV$6:$AV$13,0),MATCH(Amine_Cracking!$U18,'Tables - Part 2'!$AX$5:$BA$5,0)),0)</f>
        <v>0</v>
      </c>
      <c r="BR18" s="248">
        <f t="shared" si="5"/>
        <v>0</v>
      </c>
      <c r="BS18" s="238">
        <f t="shared" si="8"/>
        <v>3</v>
      </c>
      <c r="BT18" s="238">
        <f t="shared" si="9"/>
        <v>50.318647405225171</v>
      </c>
    </row>
    <row r="19" spans="2:72" x14ac:dyDescent="0.35">
      <c r="B19" s="161" t="str">
        <f>'Tratamento de Dados'!B27</f>
        <v>V-8</v>
      </c>
      <c r="C19" s="161" t="str">
        <f>'Tratamento de Dados'!D27</f>
        <v>Casco</v>
      </c>
      <c r="D19" s="209" t="s">
        <v>245</v>
      </c>
      <c r="E19" s="209" t="s">
        <v>245</v>
      </c>
      <c r="F19" s="209" t="s">
        <v>244</v>
      </c>
      <c r="G19" s="209" t="s">
        <v>244</v>
      </c>
      <c r="H19" s="209" t="s">
        <v>245</v>
      </c>
      <c r="I19" s="209">
        <v>100</v>
      </c>
      <c r="J19" s="209" t="s">
        <v>245</v>
      </c>
      <c r="K19" s="209" t="s">
        <v>245</v>
      </c>
      <c r="L19" s="209" t="s">
        <v>245</v>
      </c>
      <c r="M19" s="210">
        <v>39092</v>
      </c>
      <c r="N19" s="209">
        <v>0</v>
      </c>
      <c r="O19" s="209">
        <v>1</v>
      </c>
      <c r="P19" s="209">
        <v>1</v>
      </c>
      <c r="Q19" s="209">
        <v>4</v>
      </c>
      <c r="R19" s="253">
        <f>'Tratamento de Dados'!DA27</f>
        <v>0</v>
      </c>
      <c r="S19" s="253">
        <f>'Tratamento de Dados'!DB27</f>
        <v>0</v>
      </c>
      <c r="T19" s="256">
        <f t="shared" si="0"/>
        <v>2.5</v>
      </c>
      <c r="U19" s="246" t="str">
        <f t="shared" si="1"/>
        <v>B</v>
      </c>
      <c r="V19" s="238" t="str">
        <f t="shared" si="6"/>
        <v>High</v>
      </c>
      <c r="W19" s="238">
        <f>IF(AND(D19=$BY$2,E19&lt;&gt;$BY$2),"Fitness-For-Service",INDEX('Tables - Part 2'!$BL$4:$BL$7,MATCH(Amine_Cracking!V19,'Tables - Part 2'!$BK$4:$BK$7,0),))</f>
        <v>100</v>
      </c>
      <c r="X19" s="238">
        <f>IF(M19=0,(Thinning!G20-Thinning!F20)/365.25,(Thinning!G20-M19)/365.25)</f>
        <v>12.980150581793293</v>
      </c>
      <c r="Y19" s="248">
        <f t="shared" si="2"/>
        <v>0</v>
      </c>
      <c r="Z19" s="248">
        <f t="shared" si="3"/>
        <v>2.5</v>
      </c>
      <c r="AA19" s="247">
        <f t="shared" si="7"/>
        <v>3</v>
      </c>
      <c r="AB19" s="247">
        <f t="shared" si="4"/>
        <v>4</v>
      </c>
      <c r="AC19" s="248">
        <f>IF($T19=$AC$3,INDEX('Tables - Part 2'!$AX$6:$BA$13,MATCH(Amine_Cracking!W19,'Tables - Part 2'!$AV$6:$AV$13,0),MATCH(Amine_Cracking!U19,'Tables - Part 2'!$AX$5:$BA$5,0)),0)</f>
        <v>0</v>
      </c>
      <c r="AD19" s="248">
        <f>IF($T19=$AD$3,(INDEX('Tables - Part 2'!$AX$6:$BA$13,MATCH(Amine_Cracking!W19,'Tables - Part 2'!$AV$6:$AV$13,0),MATCH(Amine_Cracking!U19,'Tables - Part 2'!$AX$5:$BA$5,0))+(INDEX('Tables - Part 2'!$AX$6:$BA$13,MATCH(Amine_Cracking!W19,'Tables - Part 2'!$AV$6:$AV$13,0),MATCH(Amine_Cracking!U19,'Tables - Part 2'!$AX$5:$BA$5,0))+((INDEX('Tables - Part 2'!$AX$6:$BA$13,MATCH(Amine_Cracking!W19,'Tables - Part 2'!$AV$6:$AV$13,0),MATCH(Amine_Cracking!U19,'Tables - Part 2'!$AX$5:$BA$5,0))+INDEX('Tables - Part 2'!$BB$6:$BE$13,MATCH(Amine_Cracking!$W19,'Tables - Part 2'!$AV$6:$AV$13,0),MATCH(Amine_Cracking!$U19,'Tables - Part 2'!$AX$5:$BA$5,0)))/2))/2)/2,0)</f>
        <v>0</v>
      </c>
      <c r="AE19" s="248">
        <f>IF($T19=$AE$3,(INDEX('Tables - Part 2'!$AX$6:$BA$13,MATCH(Amine_Cracking!W19,'Tables - Part 2'!$AV$6:$AV$13,0),MATCH(Amine_Cracking!U19,'Tables - Part 2'!$AX$5:$BA$5,0))+((INDEX('Tables - Part 2'!$AX$6:$BA$13,MATCH(Amine_Cracking!W19,'Tables - Part 2'!$AV$6:$AV$13,0),MATCH(Amine_Cracking!U19,'Tables - Part 2'!$AX$5:$BA$5,0))+INDEX('Tables - Part 2'!$BB$6:$BE$13,MATCH(Amine_Cracking!$W19,'Tables - Part 2'!$AV$6:$AV$13,0),MATCH(Amine_Cracking!$U19,'Tables - Part 2'!$AX$5:$BA$5,0)))/2))/2,0)</f>
        <v>0</v>
      </c>
      <c r="AF19" s="248">
        <f>IF($T19=$AF$3,(((INDEX('Tables - Part 2'!$AX$6:$BA$13,MATCH(Amine_Cracking!W19,'Tables - Part 2'!$AV$6:$AV$13,0),MATCH(Amine_Cracking!U19,'Tables - Part 2'!$AX$5:$BA$5,0))+((INDEX('Tables - Part 2'!$AX$6:$BA$13,MATCH(Amine_Cracking!W19,'Tables - Part 2'!$AV$6:$AV$13,0),MATCH(Amine_Cracking!U19,'Tables - Part 2'!$AX$5:$BA$5,0))+INDEX('Tables - Part 2'!$BB$6:$BE$13,MATCH(Amine_Cracking!$W19,'Tables - Part 2'!$AV$6:$AV$13,0),MATCH(Amine_Cracking!$U19,'Tables - Part 2'!$AX$5:$BA$5,0)))/2))/2)+(INDEX('Tables - Part 2'!$AX$6:$BA$13,MATCH(Amine_Cracking!W19,'Tables - Part 2'!$AV$6:$AV$13,0),MATCH(Amine_Cracking!U19,'Tables - Part 2'!$AX$5:$BA$5,0))+INDEX('Tables - Part 2'!$BB$6:$BE$13,MATCH(Amine_Cracking!$W19,'Tables - Part 2'!$AV$6:$AV$13,0),MATCH(Amine_Cracking!$U19,'Tables - Part 2'!$AX$5:$BA$5,0)))/2)/2,0)</f>
        <v>0</v>
      </c>
      <c r="AG19" s="248">
        <f>IF($T19=$AG$3,(INDEX('Tables - Part 2'!$AX$6:$BA$13,MATCH(Amine_Cracking!W19,'Tables - Part 2'!$AV$6:$AV$13,0),MATCH(Amine_Cracking!U19,'Tables - Part 2'!$AX$5:$BA$5,0))+INDEX('Tables - Part 2'!$BB$6:$BE$13,MATCH(Amine_Cracking!$W19,'Tables - Part 2'!$AV$6:$AV$13,0),MATCH(Amine_Cracking!$U19,'Tables - Part 2'!$AX$5:$BA$5,0)))/2,0)</f>
        <v>0</v>
      </c>
      <c r="AH19" s="248">
        <f>IF($T19=$AH$3,(((INDEX('Tables - Part 2'!$AX$6:$BA$13,MATCH(Amine_Cracking!W19,'Tables - Part 2'!$AV$6:$AV$13,0),MATCH(Amine_Cracking!U19,'Tables - Part 2'!$AX$5:$BA$5,0))+INDEX('Tables - Part 2'!$BB$6:$BE$13,MATCH(Amine_Cracking!$W19,'Tables - Part 2'!$AV$6:$AV$13,0),MATCH(Amine_Cracking!$U19,'Tables - Part 2'!$AX$5:$BA$5,0)))/2)+(((INDEX('Tables - Part 2'!$AX$6:$BA$13,MATCH(Amine_Cracking!W19,'Tables - Part 2'!$AV$6:$AV$13,0),MATCH(Amine_Cracking!U19,'Tables - Part 2'!$AX$5:$BA$5,0))+INDEX('Tables - Part 2'!$BB$6:$BE$13,MATCH(Amine_Cracking!$W19,'Tables - Part 2'!$AV$6:$AV$13,0),MATCH(Amine_Cracking!$U19,'Tables - Part 2'!$AX$5:$BA$5,0)))/2)+INDEX('Tables - Part 2'!$BB$6:$BE$13,MATCH(Amine_Cracking!$W19,'Tables - Part 2'!$AV$6:$AV$13,0),MATCH(Amine_Cracking!$U19,'Tables - Part 2'!$AX$5:$BA$5,0)))/2)/2,0)</f>
        <v>0</v>
      </c>
      <c r="AI19" s="248">
        <f>IF($T19=$AI$3,(((INDEX('Tables - Part 2'!$AX$6:$BA$13,MATCH(Amine_Cracking!W19,'Tables - Part 2'!$AV$6:$AV$13,0),MATCH(Amine_Cracking!U19,'Tables - Part 2'!$AX$5:$BA$5,0))+INDEX('Tables - Part 2'!$BB$6:$BE$13,MATCH(Amine_Cracking!$W19,'Tables - Part 2'!$AV$6:$AV$13,0),MATCH(Amine_Cracking!$U19,'Tables - Part 2'!$AX$5:$BA$5,0)))/2)+INDEX('Tables - Part 2'!$BB$6:$BE$13,MATCH(Amine_Cracking!$W19,'Tables - Part 2'!$AV$6:$AV$13,0),MATCH(Amine_Cracking!$U19,'Tables - Part 2'!$AX$5:$BA$5,0)))/2,0)</f>
        <v>0</v>
      </c>
      <c r="AJ19" s="248">
        <f>IF($T19=$AJ$3,(((((INDEX('Tables - Part 2'!$AX$6:$BA$13,MATCH(Amine_Cracking!W19,'Tables - Part 2'!$AV$6:$AV$13,0),MATCH(Amine_Cracking!U19,'Tables - Part 2'!$AX$5:$BA$5,0))+INDEX('Tables - Part 2'!$BB$6:$BE$13,MATCH(Amine_Cracking!$W19,'Tables - Part 2'!$AV$6:$AV$13,0),MATCH(Amine_Cracking!$U19,'Tables - Part 2'!$AX$5:$BA$5,0)))/2)+INDEX('Tables - Part 2'!$BB$6:$BE$13,MATCH(Amine_Cracking!$W19,'Tables - Part 2'!$AV$6:$AV$13,0),MATCH(Amine_Cracking!$U19,'Tables - Part 2'!$AX$5:$BA$5,0)))/2)+INDEX('Tables - Part 2'!$BB$6:$BE$13,MATCH(Amine_Cracking!$W19,'Tables - Part 2'!$AV$6:$AV$13,0),MATCH(Amine_Cracking!$U19,'Tables - Part 2'!$AX$5:$BA$5,0)))/2,0)</f>
        <v>0</v>
      </c>
      <c r="AK19" s="248">
        <f>IF($T19=$AK$3,INDEX('Tables - Part 2'!$BB$6:$BE$13,MATCH(Amine_Cracking!$W19,'Tables - Part 2'!$AV$6:$AV$13,0),MATCH(Amine_Cracking!$U19,'Tables - Part 2'!$AX$5:$BA$5,0)),0)</f>
        <v>0</v>
      </c>
      <c r="AL19" s="248">
        <f>IF($T19=$AL$3,((INDEX('Tables - Part 2'!$BB$6:$BE$13,MATCH(Amine_Cracking!$W19,'Tables - Part 2'!$AV$6:$AV$13,0),MATCH(Amine_Cracking!$U19,'Tables - Part 2'!$AX$5:$BA$5,0)))+(INDEX('Tables - Part 2'!$BB$6:$BE$13,MATCH(Amine_Cracking!$W19,'Tables - Part 2'!$AV$6:$AV$13,0),MATCH(Amine_Cracking!$U19,'Tables - Part 2'!$AX$5:$BA$5,0))+(INDEX('Tables - Part 2'!$BB$6:$BE$13,MATCH(Amine_Cracking!$W19,'Tables - Part 2'!$AV$6:$AV$13,0),MATCH(Amine_Cracking!$U19,'Tables - Part 2'!$AX$5:$BA$5,0))+INDEX('Tables - Part 2'!$BF$6:$BI$13,MATCH(Amine_Cracking!$W19,'Tables - Part 2'!$AV$6:$AV$13,0),MATCH(Amine_Cracking!$U19,'Tables - Part 2'!$AX$5:$BA$5,0)))/2)/2)/2,0)</f>
        <v>0</v>
      </c>
      <c r="AM19" s="248">
        <f>IF($T19=$AM$3,(INDEX('Tables - Part 2'!$BB$6:$BE$13,MATCH(Amine_Cracking!$W19,'Tables - Part 2'!$AV$6:$AV$13,0),MATCH(Amine_Cracking!$U19,'Tables - Part 2'!$AX$5:$BA$5,0))+(INDEX('Tables - Part 2'!$BB$6:$BE$13,MATCH(Amine_Cracking!$W19,'Tables - Part 2'!$AV$6:$AV$13,0),MATCH(Amine_Cracking!$U19,'Tables - Part 2'!$AX$5:$BA$5,0))+INDEX('Tables - Part 2'!$BF$6:$BI$13,MATCH(Amine_Cracking!$W19,'Tables - Part 2'!$AV$6:$AV$13,0),MATCH(Amine_Cracking!$U19,'Tables - Part 2'!$AX$5:$BA$5,0)))/2)/2,0)</f>
        <v>0</v>
      </c>
      <c r="AN19" s="248">
        <f>IF($T19=$AN$3,(((INDEX('Tables - Part 2'!$BB$6:$BE$13,MATCH(Amine_Cracking!$W19,'Tables - Part 2'!$AV$6:$AV$13,0),MATCH(Amine_Cracking!$U19,'Tables - Part 2'!$AX$5:$BA$5,0))+(INDEX('Tables - Part 2'!$BB$6:$BE$13,MATCH(Amine_Cracking!$W19,'Tables - Part 2'!$AV$6:$AV$13,0),MATCH(Amine_Cracking!$U19,'Tables - Part 2'!$AX$5:$BA$5,0))+INDEX('Tables - Part 2'!$BF$6:$BI$13,MATCH(Amine_Cracking!$W19,'Tables - Part 2'!$AV$6:$AV$13,0),MATCH(Amine_Cracking!$U19,'Tables - Part 2'!$AX$5:$BA$5,0)))/2)/2)+((INDEX('Tables - Part 2'!$BB$6:$BE$13,MATCH(Amine_Cracking!$W19,'Tables - Part 2'!$AV$6:$AV$13,0),MATCH(Amine_Cracking!$U19,'Tables - Part 2'!$AX$5:$BA$5,0))+INDEX('Tables - Part 2'!$BF$6:$BI$13,MATCH(Amine_Cracking!$W19,'Tables - Part 2'!$AV$6:$AV$13,0),MATCH(Amine_Cracking!$U19,'Tables - Part 2'!$AX$5:$BA$5,0)))/2))/2,0)</f>
        <v>0</v>
      </c>
      <c r="AO19" s="248">
        <f>IF($T19=$AO$3,(INDEX('Tables - Part 2'!$BB$6:$BE$13,MATCH(Amine_Cracking!$W19,'Tables - Part 2'!$AV$6:$AV$13,0),MATCH(Amine_Cracking!$U19,'Tables - Part 2'!$AX$5:$BA$5,0))+INDEX('Tables - Part 2'!$BF$6:$BI$13,MATCH(Amine_Cracking!$W19,'Tables - Part 2'!$AV$6:$AV$13,0),MATCH(Amine_Cracking!$U19,'Tables - Part 2'!$AX$5:$BA$5,0)))/2,0)</f>
        <v>3</v>
      </c>
      <c r="AP19" s="248">
        <f>IF($T19=$AP$3,(((INDEX('Tables - Part 2'!$BB$6:$BE$13,MATCH(Amine_Cracking!$W19,'Tables - Part 2'!$AV$6:$AV$13,0),MATCH(Amine_Cracking!$U19,'Tables - Part 2'!$AX$5:$BA$5,0))+INDEX('Tables - Part 2'!$BF$6:$BI$13,MATCH(Amine_Cracking!$W19,'Tables - Part 2'!$AV$6:$AV$13,0),MATCH(Amine_Cracking!$U19,'Tables - Part 2'!$AX$5:$BA$5,0)))/2)+((((INDEX('Tables - Part 2'!$BB$6:$BE$13,MATCH(Amine_Cracking!$W19,'Tables - Part 2'!$AV$6:$AV$13,0),MATCH(Amine_Cracking!$U19,'Tables - Part 2'!$AX$5:$BA$5,0))+INDEX('Tables - Part 2'!$BF$6:$BI$13,MATCH(Amine_Cracking!$W19,'Tables - Part 2'!$AV$6:$AV$13,0),MATCH(Amine_Cracking!$U19,'Tables - Part 2'!$AX$5:$BA$5,0)))/2)+INDEX('Tables - Part 2'!$BF$6:$BI$13,MATCH(Amine_Cracking!$W19,'Tables - Part 2'!$AV$6:$AV$13,0),MATCH(Amine_Cracking!$U19,'Tables - Part 2'!$AX$5:$BA$5,0)))/2))/2,0)</f>
        <v>0</v>
      </c>
      <c r="AQ19" s="248">
        <f>IF($T19=$AQ$3,(((INDEX('Tables - Part 2'!$BB$6:$BE$13,MATCH(Amine_Cracking!$W19,'Tables - Part 2'!$AV$6:$AV$13,0),MATCH(Amine_Cracking!$U19,'Tables - Part 2'!$AX$5:$BA$5,0))+INDEX('Tables - Part 2'!$BF$6:$BI$13,MATCH(Amine_Cracking!$W19,'Tables - Part 2'!$AV$6:$AV$13,0),MATCH(Amine_Cracking!$U19,'Tables - Part 2'!$AX$5:$BA$5,0)))/2)+INDEX('Tables - Part 2'!$BF$6:$BI$13,MATCH(Amine_Cracking!$W19,'Tables - Part 2'!$AV$6:$AV$13,0),MATCH(Amine_Cracking!$U19,'Tables - Part 2'!$AX$5:$BA$5,0)))/2,0)</f>
        <v>0</v>
      </c>
      <c r="AR19" s="248">
        <f>IF($T19=$AR$3,(((((INDEX('Tables - Part 2'!$BB$6:$BE$13,MATCH(Amine_Cracking!$W19,'Tables - Part 2'!$AV$6:$AV$13,0),MATCH(Amine_Cracking!$U19,'Tables - Part 2'!$AX$5:$BA$5,0))+INDEX('Tables - Part 2'!$BF$6:$BI$13,MATCH(Amine_Cracking!$W19,'Tables - Part 2'!$AV$6:$AV$13,0),MATCH(Amine_Cracking!$U19,'Tables - Part 2'!$AX$5:$BA$5,0)))/2)+INDEX('Tables - Part 2'!$BF$6:$BI$13,MATCH(Amine_Cracking!$W19,'Tables - Part 2'!$AV$6:$AV$13,0),MATCH(Amine_Cracking!$U19,'Tables - Part 2'!$AX$5:$BA$5,0)))/2)+INDEX('Tables - Part 2'!$BF$6:$BI$13,MATCH(Amine_Cracking!$W19,'Tables - Part 2'!$AV$6:$AV$13,0),MATCH(Amine_Cracking!$U19,'Tables - Part 2'!$AX$5:$BA$5,0)))/2,0)</f>
        <v>0</v>
      </c>
      <c r="AS19" s="248">
        <f>IF($T19=$AS$3,INDEX('Tables - Part 2'!$BF$6:$BI$13,MATCH(Amine_Cracking!$W19,'Tables - Part 2'!$AV$6:$AV$13,0),MATCH(Amine_Cracking!$U19,'Tables - Part 2'!$AX$5:$BA$5,0)),0)</f>
        <v>0</v>
      </c>
      <c r="AT19" s="248">
        <f>IF($T19=$AT$3,(INDEX('Tables - Part 2'!$BF$6:$BI$13,MATCH(Amine_Cracking!$W19,'Tables - Part 2'!$AV$6:$AV$13,0),MATCH(Amine_Cracking!$U19,'Tables - Part 2'!$AX$5:$BA$5,0))+((INDEX('Tables - Part 2'!$BF$6:$BI$13,MATCH(Amine_Cracking!$W19,'Tables - Part 2'!$AV$6:$AV$13,0),MATCH(Amine_Cracking!$U19,'Tables - Part 2'!$AX$5:$BA$5,0))+(INDEX('Tables - Part 2'!$BF$6:$BI$13,MATCH(Amine_Cracking!$W19,'Tables - Part 2'!$AV$6:$AV$13,0),MATCH(Amine_Cracking!$U19,'Tables - Part 2'!$AX$5:$BA$5,0))+INDEX('Tables - Part 2'!$AX$17:$BA$24,MATCH(Amine_Cracking!$W19,'Tables - Part 2'!$AV$6:$AV$13,0),MATCH(Amine_Cracking!$U19,'Tables - Part 2'!$AX$5:$BA$5,0)))/2)/2))/2,0)</f>
        <v>0</v>
      </c>
      <c r="AU19" s="248">
        <f>IF($T19=$AU$3,(INDEX('Tables - Part 2'!$BF$6:$BI$13,MATCH(Amine_Cracking!$W19,'Tables - Part 2'!$AV$6:$AV$13,0),MATCH(Amine_Cracking!$U19,'Tables - Part 2'!$AX$5:$BA$5,0))+(INDEX('Tables - Part 2'!$BF$6:$BI$13,MATCH(Amine_Cracking!$W19,'Tables - Part 2'!$AV$6:$AV$13,0),MATCH(Amine_Cracking!$U19,'Tables - Part 2'!$AX$5:$BA$5,0))+INDEX('Tables - Part 2'!$AX$17:$BA$24,MATCH(Amine_Cracking!$W19,'Tables - Part 2'!$AV$6:$AV$13,0),MATCH(Amine_Cracking!$U19,'Tables - Part 2'!$AX$5:$BA$5,0)))/2)/2,0)</f>
        <v>0</v>
      </c>
      <c r="AV19" s="248">
        <f>IF($T19=$AV$3,(((INDEX('Tables - Part 2'!$BF$6:$BI$13,MATCH(Amine_Cracking!$W19,'Tables - Part 2'!$AV$6:$AV$13,0),MATCH(Amine_Cracking!$U19,'Tables - Part 2'!$AX$5:$BA$5,0))+(INDEX('Tables - Part 2'!$BF$6:$BI$13,MATCH(Amine_Cracking!$W19,'Tables - Part 2'!$AV$6:$AV$13,0),MATCH(Amine_Cracking!$U19,'Tables - Part 2'!$AX$5:$BA$5,0))+INDEX('Tables - Part 2'!$AX$17:$BA$24,MATCH(Amine_Cracking!$W19,'Tables - Part 2'!$AV$6:$AV$13,0),MATCH(Amine_Cracking!$U19,'Tables - Part 2'!$AX$5:$BA$5,0)))/2)/2)+((INDEX('Tables - Part 2'!$BF$6:$BI$13,MATCH(Amine_Cracking!$W19,'Tables - Part 2'!$AV$6:$AV$13,0),MATCH(Amine_Cracking!$U19,'Tables - Part 2'!$AX$5:$BA$5,0))+INDEX('Tables - Part 2'!$AX$17:$BA$24,MATCH(Amine_Cracking!$W19,'Tables - Part 2'!$AV$6:$AV$13,0),MATCH(Amine_Cracking!$U19,'Tables - Part 2'!$AX$5:$BA$5,0)))/2))/2,0)</f>
        <v>0</v>
      </c>
      <c r="AW19" s="248">
        <f>IF($T19=$AW$3,(INDEX('Tables - Part 2'!$BF$6:$BI$13,MATCH(Amine_Cracking!$W19,'Tables - Part 2'!$AV$6:$AV$13,0),MATCH(Amine_Cracking!$U19,'Tables - Part 2'!$AX$5:$BA$5,0))+INDEX('Tables - Part 2'!$AX$17:$BA$24,MATCH(Amine_Cracking!$W19,'Tables - Part 2'!$AV$6:$AV$13,0),MATCH(Amine_Cracking!$U19,'Tables - Part 2'!$AX$5:$BA$5,0)))/2,0)</f>
        <v>0</v>
      </c>
      <c r="AX19" s="248">
        <f>IF($T19=$AX$3,(((INDEX('Tables - Part 2'!$BF$6:$BI$13,MATCH(Amine_Cracking!$W19,'Tables - Part 2'!$AV$6:$AV$13,0),MATCH(Amine_Cracking!$U19,'Tables - Part 2'!$AX$5:$BA$5,0))+INDEX('Tables - Part 2'!$AX$17:$BA$24,MATCH(Amine_Cracking!$W19,'Tables - Part 2'!$AV$6:$AV$13,0),MATCH(Amine_Cracking!$U19,'Tables - Part 2'!$AX$5:$BA$5,0)))/2)+((((INDEX('Tables - Part 2'!$BF$6:$BI$13,MATCH(Amine_Cracking!$W19,'Tables - Part 2'!$AV$6:$AV$13,0),MATCH(Amine_Cracking!$U19,'Tables - Part 2'!$AX$5:$BA$5,0))+INDEX('Tables - Part 2'!$AX$17:$BA$24,MATCH(Amine_Cracking!$W19,'Tables - Part 2'!$AV$6:$AV$13,0),MATCH(Amine_Cracking!$U19,'Tables - Part 2'!$AX$5:$BA$5,0)))/2)+INDEX('Tables - Part 2'!$AX$17:$BA$24,MATCH(Amine_Cracking!$W19,'Tables - Part 2'!$AV$6:$AV$13,0),MATCH(Amine_Cracking!$U19,'Tables - Part 2'!$AX$5:$BA$5,0)))/2))/2,0)</f>
        <v>0</v>
      </c>
      <c r="AY19" s="248">
        <f>IF($T19=$AY$3,(((INDEX('Tables - Part 2'!$BF$6:$BI$13,MATCH(Amine_Cracking!$W19,'Tables - Part 2'!$AV$6:$AV$13,0),MATCH(Amine_Cracking!$U19,'Tables - Part 2'!$AX$5:$BA$5,0))+INDEX('Tables - Part 2'!$AX$17:$BA$24,MATCH(Amine_Cracking!$W19,'Tables - Part 2'!$AV$6:$AV$13,0),MATCH(Amine_Cracking!$U19,'Tables - Part 2'!$AX$5:$BA$5,0)))/2)+INDEX('Tables - Part 2'!$AX$17:$BA$24,MATCH(Amine_Cracking!$W19,'Tables - Part 2'!$AV$6:$AV$13,0),MATCH(Amine_Cracking!$U19,'Tables - Part 2'!$AX$5:$BA$5,0)))/2,0)</f>
        <v>0</v>
      </c>
      <c r="AZ19" s="248">
        <f>IF($T19=$AZ$3,(((((INDEX('Tables - Part 2'!$BF$6:$BI$13,MATCH(Amine_Cracking!$W19,'Tables - Part 2'!$AV$6:$AV$13,0),MATCH(Amine_Cracking!$U19,'Tables - Part 2'!$AX$5:$BA$5,0))+INDEX('Tables - Part 2'!$AX$17:$BA$24,MATCH(Amine_Cracking!$W19,'Tables - Part 2'!$AV$6:$AV$13,0),MATCH(Amine_Cracking!$U19,'Tables - Part 2'!$AX$5:$BA$5,0)))/2)+INDEX('Tables - Part 2'!$AX$17:$BA$24,MATCH(Amine_Cracking!$W19,'Tables - Part 2'!$AV$6:$AV$13,0),MATCH(Amine_Cracking!$U19,'Tables - Part 2'!$AX$5:$BA$5,0)))/2)+(INDEX('Tables - Part 2'!$AX$17:$BA$24,MATCH(Amine_Cracking!$W19,'Tables - Part 2'!$AV$6:$AV$13,0),MATCH(Amine_Cracking!$U19,'Tables - Part 2'!$AX$5:$BA$5,0))))/2,0)</f>
        <v>0</v>
      </c>
      <c r="BA19" s="248">
        <f>IF($T19=$BA$3,INDEX('Tables - Part 2'!$AX$17:$BA$24,MATCH(Amine_Cracking!$W19,'Tables - Part 2'!$AV$6:$AV$13,0),MATCH(Amine_Cracking!$U19,'Tables - Part 2'!$AX$5:$BA$5,0)),0)</f>
        <v>0</v>
      </c>
      <c r="BB19" s="248">
        <f>IF($T19=$BB$3,((INDEX('Tables - Part 2'!$AX$17:$BA$24,MATCH(Amine_Cracking!$W19,'Tables - Part 2'!$AV$6:$AV$13,0),MATCH(Amine_Cracking!$U19,'Tables - Part 2'!$AX$5:$BA$5,0)))+(((INDEX('Tables - Part 2'!$AX$17:$BA$24,MATCH(Amine_Cracking!$W19,'Tables - Part 2'!$AV$6:$AV$13,0),MATCH(Amine_Cracking!$U19,'Tables - Part 2'!$AX$5:$BA$5,0)))+(INDEX('Tables - Part 2'!$AX$17:$BA$24,MATCH(Amine_Cracking!$W19,'Tables - Part 2'!$AV$6:$AV$13,0),MATCH(Amine_Cracking!$U19,'Tables - Part 2'!$AX$5:$BA$5,0))+INDEX('Tables - Part 2'!$BB$17:$BE$24,MATCH(Amine_Cracking!$W19,'Tables - Part 2'!$AV$6:$AV$13,0),MATCH(Amine_Cracking!$U19,'Tables - Part 2'!$AX$5:$BA$5,0)))/2)/2))/2,0)</f>
        <v>0</v>
      </c>
      <c r="BC19" s="248">
        <f>IF($T19=$BC$3,((INDEX('Tables - Part 2'!$AX$17:$BA$24,MATCH(Amine_Cracking!$W19,'Tables - Part 2'!$AV$6:$AV$13,0),MATCH(Amine_Cracking!$U19,'Tables - Part 2'!$AX$5:$BA$5,0)))+(INDEX('Tables - Part 2'!$AX$17:$BA$24,MATCH(Amine_Cracking!$W19,'Tables - Part 2'!$AV$6:$AV$13,0),MATCH(Amine_Cracking!$U19,'Tables - Part 2'!$AX$5:$BA$5,0))+INDEX('Tables - Part 2'!$BB$17:$BE$24,MATCH(Amine_Cracking!$W19,'Tables - Part 2'!$AV$6:$AV$13,0),MATCH(Amine_Cracking!$U19,'Tables - Part 2'!$AX$5:$BA$5,0)))/2)/2,0)</f>
        <v>0</v>
      </c>
      <c r="BD19" s="248">
        <f>IF($T19=$BD$3,((((INDEX('Tables - Part 2'!$AX$17:$BA$24,MATCH(Amine_Cracking!$W19,'Tables - Part 2'!$AV$6:$AV$13,0),MATCH(Amine_Cracking!$U19,'Tables - Part 2'!$AX$5:$BA$5,0)))+(INDEX('Tables - Part 2'!$AX$17:$BA$24,MATCH(Amine_Cracking!$W19,'Tables - Part 2'!$AV$6:$AV$13,0),MATCH(Amine_Cracking!$U19,'Tables - Part 2'!$AX$5:$BA$5,0))+INDEX('Tables - Part 2'!$BB$17:$BE$24,MATCH(Amine_Cracking!$W19,'Tables - Part 2'!$AV$6:$AV$13,0),MATCH(Amine_Cracking!$U19,'Tables - Part 2'!$AX$5:$BA$5,0)))/2)/2)+((INDEX('Tables - Part 2'!$AX$17:$BA$24,MATCH(Amine_Cracking!$W19,'Tables - Part 2'!$AV$6:$AV$13,0),MATCH(Amine_Cracking!$U19,'Tables - Part 2'!$AX$5:$BA$5,0))+INDEX('Tables - Part 2'!$BB$17:$BE$24,MATCH(Amine_Cracking!$W19,'Tables - Part 2'!$AV$6:$AV$13,0),MATCH(Amine_Cracking!$U19,'Tables - Part 2'!$AX$5:$BA$5,0)))/2))/2,0)</f>
        <v>0</v>
      </c>
      <c r="BE19" s="248">
        <f>IF($T19=$BE$3,(INDEX('Tables - Part 2'!$AX$17:$BA$24,MATCH(Amine_Cracking!$W19,'Tables - Part 2'!$AV$6:$AV$13,0),MATCH(Amine_Cracking!$U19,'Tables - Part 2'!$AX$5:$BA$5,0))+INDEX('Tables - Part 2'!$BB$17:$BE$24,MATCH(Amine_Cracking!$W19,'Tables - Part 2'!$AV$6:$AV$13,0),MATCH(Amine_Cracking!$U19,'Tables - Part 2'!$AX$5:$BA$5,0)))/2,0)</f>
        <v>0</v>
      </c>
      <c r="BF19" s="248">
        <f>IF($T19=$BF$3,(((INDEX('Tables - Part 2'!$AX$17:$BA$24,MATCH(Amine_Cracking!$W19,'Tables - Part 2'!$AV$6:$AV$13,0),MATCH(Amine_Cracking!$U19,'Tables - Part 2'!$AX$5:$BA$5,0))+INDEX('Tables - Part 2'!$BB$17:$BE$24,MATCH(Amine_Cracking!$W19,'Tables - Part 2'!$AV$6:$AV$13,0),MATCH(Amine_Cracking!$U19,'Tables - Part 2'!$AX$5:$BA$5,0)))/2)+((((INDEX('Tables - Part 2'!$AX$17:$BA$24,MATCH(Amine_Cracking!$W19,'Tables - Part 2'!$AV$6:$AV$13,0),MATCH(Amine_Cracking!$U19,'Tables - Part 2'!$AX$5:$BA$5,0))+INDEX('Tables - Part 2'!$BB$17:$BE$24,MATCH(Amine_Cracking!$W19,'Tables - Part 2'!$AV$6:$AV$13,0),MATCH(Amine_Cracking!$U19,'Tables - Part 2'!$AX$5:$BA$5,0)))/2)+INDEX('Tables - Part 2'!$BB$17:$BE$24,MATCH(Amine_Cracking!$W19,'Tables - Part 2'!$AV$6:$AV$13,0),MATCH(Amine_Cracking!$U19,'Tables - Part 2'!$AX$5:$BA$5,0)))/2))/2,0)</f>
        <v>0</v>
      </c>
      <c r="BG19" s="248">
        <f>IF($T19=$BG$3,(((INDEX('Tables - Part 2'!$AX$17:$BA$24,MATCH(Amine_Cracking!$W19,'Tables - Part 2'!$AV$6:$AV$13,0),MATCH(Amine_Cracking!$U19,'Tables - Part 2'!$AX$5:$BA$5,0))+INDEX('Tables - Part 2'!$BB$17:$BE$24,MATCH(Amine_Cracking!$W19,'Tables - Part 2'!$AV$6:$AV$13,0),MATCH(Amine_Cracking!$U19,'Tables - Part 2'!$AX$5:$BA$5,0)))/2)+INDEX('Tables - Part 2'!$BB$17:$BE$24,MATCH(Amine_Cracking!$W19,'Tables - Part 2'!$AV$6:$AV$13,0),MATCH(Amine_Cracking!$U19,'Tables - Part 2'!$AX$5:$BA$5,0)))/2,0)</f>
        <v>0</v>
      </c>
      <c r="BH19" s="248">
        <f>IF($T19=$BH$3,(((((INDEX('Tables - Part 2'!$AX$17:$BA$24,MATCH(Amine_Cracking!$W19,'Tables - Part 2'!$AV$6:$AV$13,0),MATCH(Amine_Cracking!$U19,'Tables - Part 2'!$AX$5:$BA$5,0))+INDEX('Tables - Part 2'!$BB$17:$BE$24,MATCH(Amine_Cracking!$W19,'Tables - Part 2'!$AV$6:$AV$13,0),MATCH(Amine_Cracking!$U19,'Tables - Part 2'!$AX$5:$BA$5,0)))/2)+INDEX('Tables - Part 2'!$BB$17:$BE$24,MATCH(Amine_Cracking!$W19,'Tables - Part 2'!$AV$6:$AV$13,0),MATCH(Amine_Cracking!$U19,'Tables - Part 2'!$AX$5:$BA$5,0)))/2)+(INDEX('Tables - Part 2'!$BB$17:$BE$24,MATCH(Amine_Cracking!$W19,'Tables - Part 2'!$AV$6:$AV$13,0),MATCH(Amine_Cracking!$U19,'Tables - Part 2'!$AX$5:$BA$5,0))))/2,0)</f>
        <v>0</v>
      </c>
      <c r="BI19" s="248">
        <f>IF($T19=$BI$3,INDEX('Tables - Part 2'!$BB$17:$BE$24,MATCH(Amine_Cracking!$W19,'Tables - Part 2'!$AV$6:$AV$13,0),MATCH(Amine_Cracking!$U19,'Tables - Part 2'!$AX$5:$BA$5,0)),0)</f>
        <v>0</v>
      </c>
      <c r="BJ19" s="248">
        <f>IF($T19=$BJ$3,((INDEX('Tables - Part 2'!$BB$17:$BE$24,MATCH(Amine_Cracking!$W19,'Tables - Part 2'!$AV$6:$AV$13,0),MATCH(Amine_Cracking!$U19,'Tables - Part 2'!$AX$5:$BA$5,0)))+(((INDEX('Tables - Part 2'!$BB$17:$BE$24,MATCH(Amine_Cracking!$W19,'Tables - Part 2'!$AV$6:$AV$13,0),MATCH(Amine_Cracking!$U19,'Tables - Part 2'!$AX$5:$BA$5,0)))+(INDEX('Tables - Part 2'!$BB$17:$BE$24,MATCH(Amine_Cracking!$W19,'Tables - Part 2'!$AV$6:$AV$13,0),MATCH(Amine_Cracking!$U19,'Tables - Part 2'!$AX$5:$BA$5,0))+INDEX('Tables - Part 2'!$BF$17:$BI$24,MATCH(Amine_Cracking!$W19,'Tables - Part 2'!$AV$6:$AV$13,0),MATCH(Amine_Cracking!$U19,'Tables - Part 2'!$AX$5:$BA$5,0)))/2)/2))/2,0)</f>
        <v>0</v>
      </c>
      <c r="BK19" s="248">
        <f>IF($T19=$BK$3,((INDEX('Tables - Part 2'!$BB$17:$BE$24,MATCH(Amine_Cracking!$W19,'Tables - Part 2'!$AV$6:$AV$13,0),MATCH(Amine_Cracking!$U19,'Tables - Part 2'!$AX$5:$BA$5,0)))+(INDEX('Tables - Part 2'!$BB$17:$BE$24,MATCH(Amine_Cracking!$W19,'Tables - Part 2'!$AV$6:$AV$13,0),MATCH(Amine_Cracking!$U19,'Tables - Part 2'!$AX$5:$BA$5,0))+INDEX('Tables - Part 2'!$BF$17:$BI$24,MATCH(Amine_Cracking!$W19,'Tables - Part 2'!$AV$6:$AV$13,0),MATCH(Amine_Cracking!$U19,'Tables - Part 2'!$AX$5:$BA$5,0)))/2)/2,0)</f>
        <v>0</v>
      </c>
      <c r="BL19" s="248">
        <f>IF($T19=$BL$3,((((INDEX('Tables - Part 2'!$BB$17:$BE$24,MATCH(Amine_Cracking!$W19,'Tables - Part 2'!$AV$6:$AV$13,0),MATCH(Amine_Cracking!$U19,'Tables - Part 2'!$AX$5:$BA$5,0)))+(INDEX('Tables - Part 2'!$BB$17:$BE$24,MATCH(Amine_Cracking!$W19,'Tables - Part 2'!$AV$6:$AV$13,0),MATCH(Amine_Cracking!$U19,'Tables - Part 2'!$AX$5:$BA$5,0))+INDEX('Tables - Part 2'!$BF$17:$BI$24,MATCH(Amine_Cracking!$W19,'Tables - Part 2'!$AV$6:$AV$13,0),MATCH(Amine_Cracking!$U19,'Tables - Part 2'!$AX$5:$BA$5,0)))/2)/2)+((INDEX('Tables - Part 2'!$BB$17:$BE$24,MATCH(Amine_Cracking!$W19,'Tables - Part 2'!$AV$6:$AV$13,0),MATCH(Amine_Cracking!$U19,'Tables - Part 2'!$AX$5:$BA$5,0))+INDEX('Tables - Part 2'!$BF$17:$BI$24,MATCH(Amine_Cracking!$W19,'Tables - Part 2'!$AV$6:$AV$13,0),MATCH(Amine_Cracking!$U19,'Tables - Part 2'!$AX$5:$BA$5,0)))/2))/2,0)</f>
        <v>0</v>
      </c>
      <c r="BM19" s="248">
        <f>IF($T19=$BM$3,(INDEX('Tables - Part 2'!$BB$17:$BE$24,MATCH(Amine_Cracking!$W19,'Tables - Part 2'!$AV$6:$AV$13,0),MATCH(Amine_Cracking!$U19,'Tables - Part 2'!$AX$5:$BA$5,0))+INDEX('Tables - Part 2'!$BF$17:$BI$24,MATCH(Amine_Cracking!$W19,'Tables - Part 2'!$AV$6:$AV$13,0),MATCH(Amine_Cracking!$U19,'Tables - Part 2'!$AX$5:$BA$5,0)))/2,0)</f>
        <v>0</v>
      </c>
      <c r="BN19" s="248">
        <f>IF($T19=$BN$3,(((INDEX('Tables - Part 2'!$BB$17:$BE$24,MATCH(Amine_Cracking!$W19,'Tables - Part 2'!$AV$6:$AV$13,0),MATCH(Amine_Cracking!$U19,'Tables - Part 2'!$AX$5:$BA$5,0))+INDEX('Tables - Part 2'!$BF$17:$BI$24,MATCH(Amine_Cracking!$W19,'Tables - Part 2'!$AV$6:$AV$13,0),MATCH(Amine_Cracking!$U19,'Tables - Part 2'!$AX$5:$BA$5,0)))/2)+((((INDEX('Tables - Part 2'!$BB$17:$BE$24,MATCH(Amine_Cracking!$W19,'Tables - Part 2'!$AV$6:$AV$13,0),MATCH(Amine_Cracking!$U19,'Tables - Part 2'!$AX$5:$BA$5,0))+INDEX('Tables - Part 2'!$BF$17:$BI$24,MATCH(Amine_Cracking!$W19,'Tables - Part 2'!$AV$6:$AV$13,0),MATCH(Amine_Cracking!$U19,'Tables - Part 2'!$AX$5:$BA$5,0)))/2)+INDEX('Tables - Part 2'!$BF$17:$BI$24,MATCH(Amine_Cracking!$W19,'Tables - Part 2'!$AV$6:$AV$13,0),MATCH(Amine_Cracking!$U19,'Tables - Part 2'!$AX$5:$BA$5,0)))/2))/2,0)</f>
        <v>0</v>
      </c>
      <c r="BO19" s="248">
        <f>IF($T19=$BO$3,(((INDEX('Tables - Part 2'!$BB$17:$BE$24,MATCH(Amine_Cracking!$W19,'Tables - Part 2'!$AV$6:$AV$13,0),MATCH(Amine_Cracking!$U19,'Tables - Part 2'!$AX$5:$BA$5,0))+INDEX('Tables - Part 2'!$BF$17:$BI$24,MATCH(Amine_Cracking!$W19,'Tables - Part 2'!$AV$6:$AV$13,0),MATCH(Amine_Cracking!$U19,'Tables - Part 2'!$AX$5:$BA$5,0)))/2)+INDEX('Tables - Part 2'!$BF$17:$BI$24,MATCH(Amine_Cracking!$W19,'Tables - Part 2'!$AV$6:$AV$13,0),MATCH(Amine_Cracking!$U19,'Tables - Part 2'!$AX$5:$BA$5,0)))/2,0)</f>
        <v>0</v>
      </c>
      <c r="BP19" s="248">
        <f>IF($T19=$BP$3,(((((INDEX('Tables - Part 2'!$BB$17:$BE$24,MATCH(Amine_Cracking!$W19,'Tables - Part 2'!$AV$6:$AV$13,0),MATCH(Amine_Cracking!$U19,'Tables - Part 2'!$AX$5:$BA$5,0))+INDEX('Tables - Part 2'!$BF$17:$BI$24,MATCH(Amine_Cracking!$W19,'Tables - Part 2'!$AV$6:$AV$13,0),MATCH(Amine_Cracking!$U19,'Tables - Part 2'!$AX$5:$BA$5,0)))/2)+INDEX('Tables - Part 2'!$BF$17:$BI$24,MATCH(Amine_Cracking!$W19,'Tables - Part 2'!$AV$6:$AV$13,0),MATCH(Amine_Cracking!$U19,'Tables - Part 2'!$AX$5:$BA$5,0)))/2)+(INDEX('Tables - Part 2'!$BF$17:$BI$24,MATCH(Amine_Cracking!$W19,'Tables - Part 2'!$AV$6:$AV$13,0),MATCH(Amine_Cracking!$U19,'Tables - Part 2'!$AX$5:$BA$5,0))))/2,0)</f>
        <v>0</v>
      </c>
      <c r="BQ19" s="248">
        <f>IF($T19=$BQ$3,INDEX('Tables - Part 2'!$BF$17:$BI$24,MATCH(Amine_Cracking!$W19,'Tables - Part 2'!$AV$6:$AV$13,0),MATCH(Amine_Cracking!$U19,'Tables - Part 2'!$AX$5:$BA$5,0)),0)</f>
        <v>0</v>
      </c>
      <c r="BR19" s="248">
        <f t="shared" si="5"/>
        <v>0</v>
      </c>
      <c r="BS19" s="238">
        <f t="shared" si="8"/>
        <v>3</v>
      </c>
      <c r="BT19" s="238">
        <f t="shared" si="9"/>
        <v>50.318647405225171</v>
      </c>
    </row>
    <row r="20" spans="2:72" x14ac:dyDescent="0.35">
      <c r="B20" s="161" t="str">
        <f>'Tratamento de Dados'!B28</f>
        <v>V-90</v>
      </c>
      <c r="C20" s="161" t="str">
        <f>'Tratamento de Dados'!D28</f>
        <v>Casco</v>
      </c>
      <c r="D20" s="209" t="s">
        <v>245</v>
      </c>
      <c r="E20" s="209" t="s">
        <v>245</v>
      </c>
      <c r="F20" s="209" t="s">
        <v>244</v>
      </c>
      <c r="G20" s="209" t="s">
        <v>244</v>
      </c>
      <c r="H20" s="209" t="s">
        <v>245</v>
      </c>
      <c r="I20" s="209">
        <v>100</v>
      </c>
      <c r="J20" s="209" t="s">
        <v>245</v>
      </c>
      <c r="K20" s="209" t="s">
        <v>245</v>
      </c>
      <c r="L20" s="209" t="s">
        <v>245</v>
      </c>
      <c r="M20" s="210">
        <v>39092</v>
      </c>
      <c r="N20" s="209">
        <v>0</v>
      </c>
      <c r="O20" s="209">
        <v>1</v>
      </c>
      <c r="P20" s="209">
        <v>1</v>
      </c>
      <c r="Q20" s="209">
        <v>4</v>
      </c>
      <c r="R20" s="253">
        <f>'Tratamento de Dados'!DA28</f>
        <v>0</v>
      </c>
      <c r="S20" s="253">
        <f>'Tratamento de Dados'!DB28</f>
        <v>0</v>
      </c>
      <c r="T20" s="256">
        <f t="shared" si="0"/>
        <v>2.5</v>
      </c>
      <c r="U20" s="246" t="str">
        <f t="shared" si="1"/>
        <v>B</v>
      </c>
      <c r="V20" s="238" t="str">
        <f t="shared" si="6"/>
        <v>High</v>
      </c>
      <c r="W20" s="238">
        <f>IF(AND(D20=$BY$2,E20&lt;&gt;$BY$2),"Fitness-For-Service",INDEX('Tables - Part 2'!$BL$4:$BL$7,MATCH(Amine_Cracking!V20,'Tables - Part 2'!$BK$4:$BK$7,0),))</f>
        <v>100</v>
      </c>
      <c r="X20" s="238">
        <f>IF(M20=0,(Thinning!G21-Thinning!F21)/365.25,(Thinning!G21-M20)/365.25)</f>
        <v>12.980150581793293</v>
      </c>
      <c r="Y20" s="248">
        <f t="shared" si="2"/>
        <v>0</v>
      </c>
      <c r="Z20" s="248">
        <f t="shared" si="3"/>
        <v>2.5</v>
      </c>
      <c r="AA20" s="247">
        <f t="shared" si="7"/>
        <v>3</v>
      </c>
      <c r="AB20" s="247">
        <f t="shared" si="4"/>
        <v>4</v>
      </c>
      <c r="AC20" s="248">
        <f>IF($T20=$AC$3,INDEX('Tables - Part 2'!$AX$6:$BA$13,MATCH(Amine_Cracking!W20,'Tables - Part 2'!$AV$6:$AV$13,0),MATCH(Amine_Cracking!U20,'Tables - Part 2'!$AX$5:$BA$5,0)),0)</f>
        <v>0</v>
      </c>
      <c r="AD20" s="248">
        <f>IF($T20=$AD$3,(INDEX('Tables - Part 2'!$AX$6:$BA$13,MATCH(Amine_Cracking!W20,'Tables - Part 2'!$AV$6:$AV$13,0),MATCH(Amine_Cracking!U20,'Tables - Part 2'!$AX$5:$BA$5,0))+(INDEX('Tables - Part 2'!$AX$6:$BA$13,MATCH(Amine_Cracking!W20,'Tables - Part 2'!$AV$6:$AV$13,0),MATCH(Amine_Cracking!U20,'Tables - Part 2'!$AX$5:$BA$5,0))+((INDEX('Tables - Part 2'!$AX$6:$BA$13,MATCH(Amine_Cracking!W20,'Tables - Part 2'!$AV$6:$AV$13,0),MATCH(Amine_Cracking!U20,'Tables - Part 2'!$AX$5:$BA$5,0))+INDEX('Tables - Part 2'!$BB$6:$BE$13,MATCH(Amine_Cracking!$W20,'Tables - Part 2'!$AV$6:$AV$13,0),MATCH(Amine_Cracking!$U20,'Tables - Part 2'!$AX$5:$BA$5,0)))/2))/2)/2,0)</f>
        <v>0</v>
      </c>
      <c r="AE20" s="248">
        <f>IF($T20=$AE$3,(INDEX('Tables - Part 2'!$AX$6:$BA$13,MATCH(Amine_Cracking!W20,'Tables - Part 2'!$AV$6:$AV$13,0),MATCH(Amine_Cracking!U20,'Tables - Part 2'!$AX$5:$BA$5,0))+((INDEX('Tables - Part 2'!$AX$6:$BA$13,MATCH(Amine_Cracking!W20,'Tables - Part 2'!$AV$6:$AV$13,0),MATCH(Amine_Cracking!U20,'Tables - Part 2'!$AX$5:$BA$5,0))+INDEX('Tables - Part 2'!$BB$6:$BE$13,MATCH(Amine_Cracking!$W20,'Tables - Part 2'!$AV$6:$AV$13,0),MATCH(Amine_Cracking!$U20,'Tables - Part 2'!$AX$5:$BA$5,0)))/2))/2,0)</f>
        <v>0</v>
      </c>
      <c r="AF20" s="248">
        <f>IF($T20=$AF$3,(((INDEX('Tables - Part 2'!$AX$6:$BA$13,MATCH(Amine_Cracking!W20,'Tables - Part 2'!$AV$6:$AV$13,0),MATCH(Amine_Cracking!U20,'Tables - Part 2'!$AX$5:$BA$5,0))+((INDEX('Tables - Part 2'!$AX$6:$BA$13,MATCH(Amine_Cracking!W20,'Tables - Part 2'!$AV$6:$AV$13,0),MATCH(Amine_Cracking!U20,'Tables - Part 2'!$AX$5:$BA$5,0))+INDEX('Tables - Part 2'!$BB$6:$BE$13,MATCH(Amine_Cracking!$W20,'Tables - Part 2'!$AV$6:$AV$13,0),MATCH(Amine_Cracking!$U20,'Tables - Part 2'!$AX$5:$BA$5,0)))/2))/2)+(INDEX('Tables - Part 2'!$AX$6:$BA$13,MATCH(Amine_Cracking!W20,'Tables - Part 2'!$AV$6:$AV$13,0),MATCH(Amine_Cracking!U20,'Tables - Part 2'!$AX$5:$BA$5,0))+INDEX('Tables - Part 2'!$BB$6:$BE$13,MATCH(Amine_Cracking!$W20,'Tables - Part 2'!$AV$6:$AV$13,0),MATCH(Amine_Cracking!$U20,'Tables - Part 2'!$AX$5:$BA$5,0)))/2)/2,0)</f>
        <v>0</v>
      </c>
      <c r="AG20" s="248">
        <f>IF($T20=$AG$3,(INDEX('Tables - Part 2'!$AX$6:$BA$13,MATCH(Amine_Cracking!W20,'Tables - Part 2'!$AV$6:$AV$13,0),MATCH(Amine_Cracking!U20,'Tables - Part 2'!$AX$5:$BA$5,0))+INDEX('Tables - Part 2'!$BB$6:$BE$13,MATCH(Amine_Cracking!$W20,'Tables - Part 2'!$AV$6:$AV$13,0),MATCH(Amine_Cracking!$U20,'Tables - Part 2'!$AX$5:$BA$5,0)))/2,0)</f>
        <v>0</v>
      </c>
      <c r="AH20" s="248">
        <f>IF($T20=$AH$3,(((INDEX('Tables - Part 2'!$AX$6:$BA$13,MATCH(Amine_Cracking!W20,'Tables - Part 2'!$AV$6:$AV$13,0),MATCH(Amine_Cracking!U20,'Tables - Part 2'!$AX$5:$BA$5,0))+INDEX('Tables - Part 2'!$BB$6:$BE$13,MATCH(Amine_Cracking!$W20,'Tables - Part 2'!$AV$6:$AV$13,0),MATCH(Amine_Cracking!$U20,'Tables - Part 2'!$AX$5:$BA$5,0)))/2)+(((INDEX('Tables - Part 2'!$AX$6:$BA$13,MATCH(Amine_Cracking!W20,'Tables - Part 2'!$AV$6:$AV$13,0),MATCH(Amine_Cracking!U20,'Tables - Part 2'!$AX$5:$BA$5,0))+INDEX('Tables - Part 2'!$BB$6:$BE$13,MATCH(Amine_Cracking!$W20,'Tables - Part 2'!$AV$6:$AV$13,0),MATCH(Amine_Cracking!$U20,'Tables - Part 2'!$AX$5:$BA$5,0)))/2)+INDEX('Tables - Part 2'!$BB$6:$BE$13,MATCH(Amine_Cracking!$W20,'Tables - Part 2'!$AV$6:$AV$13,0),MATCH(Amine_Cracking!$U20,'Tables - Part 2'!$AX$5:$BA$5,0)))/2)/2,0)</f>
        <v>0</v>
      </c>
      <c r="AI20" s="248">
        <f>IF($T20=$AI$3,(((INDEX('Tables - Part 2'!$AX$6:$BA$13,MATCH(Amine_Cracking!W20,'Tables - Part 2'!$AV$6:$AV$13,0),MATCH(Amine_Cracking!U20,'Tables - Part 2'!$AX$5:$BA$5,0))+INDEX('Tables - Part 2'!$BB$6:$BE$13,MATCH(Amine_Cracking!$W20,'Tables - Part 2'!$AV$6:$AV$13,0),MATCH(Amine_Cracking!$U20,'Tables - Part 2'!$AX$5:$BA$5,0)))/2)+INDEX('Tables - Part 2'!$BB$6:$BE$13,MATCH(Amine_Cracking!$W20,'Tables - Part 2'!$AV$6:$AV$13,0),MATCH(Amine_Cracking!$U20,'Tables - Part 2'!$AX$5:$BA$5,0)))/2,0)</f>
        <v>0</v>
      </c>
      <c r="AJ20" s="248">
        <f>IF($T20=$AJ$3,(((((INDEX('Tables - Part 2'!$AX$6:$BA$13,MATCH(Amine_Cracking!W20,'Tables - Part 2'!$AV$6:$AV$13,0),MATCH(Amine_Cracking!U20,'Tables - Part 2'!$AX$5:$BA$5,0))+INDEX('Tables - Part 2'!$BB$6:$BE$13,MATCH(Amine_Cracking!$W20,'Tables - Part 2'!$AV$6:$AV$13,0),MATCH(Amine_Cracking!$U20,'Tables - Part 2'!$AX$5:$BA$5,0)))/2)+INDEX('Tables - Part 2'!$BB$6:$BE$13,MATCH(Amine_Cracking!$W20,'Tables - Part 2'!$AV$6:$AV$13,0),MATCH(Amine_Cracking!$U20,'Tables - Part 2'!$AX$5:$BA$5,0)))/2)+INDEX('Tables - Part 2'!$BB$6:$BE$13,MATCH(Amine_Cracking!$W20,'Tables - Part 2'!$AV$6:$AV$13,0),MATCH(Amine_Cracking!$U20,'Tables - Part 2'!$AX$5:$BA$5,0)))/2,0)</f>
        <v>0</v>
      </c>
      <c r="AK20" s="248">
        <f>IF($T20=$AK$3,INDEX('Tables - Part 2'!$BB$6:$BE$13,MATCH(Amine_Cracking!$W20,'Tables - Part 2'!$AV$6:$AV$13,0),MATCH(Amine_Cracking!$U20,'Tables - Part 2'!$AX$5:$BA$5,0)),0)</f>
        <v>0</v>
      </c>
      <c r="AL20" s="248">
        <f>IF($T20=$AL$3,((INDEX('Tables - Part 2'!$BB$6:$BE$13,MATCH(Amine_Cracking!$W20,'Tables - Part 2'!$AV$6:$AV$13,0),MATCH(Amine_Cracking!$U20,'Tables - Part 2'!$AX$5:$BA$5,0)))+(INDEX('Tables - Part 2'!$BB$6:$BE$13,MATCH(Amine_Cracking!$W20,'Tables - Part 2'!$AV$6:$AV$13,0),MATCH(Amine_Cracking!$U20,'Tables - Part 2'!$AX$5:$BA$5,0))+(INDEX('Tables - Part 2'!$BB$6:$BE$13,MATCH(Amine_Cracking!$W20,'Tables - Part 2'!$AV$6:$AV$13,0),MATCH(Amine_Cracking!$U20,'Tables - Part 2'!$AX$5:$BA$5,0))+INDEX('Tables - Part 2'!$BF$6:$BI$13,MATCH(Amine_Cracking!$W20,'Tables - Part 2'!$AV$6:$AV$13,0),MATCH(Amine_Cracking!$U20,'Tables - Part 2'!$AX$5:$BA$5,0)))/2)/2)/2,0)</f>
        <v>0</v>
      </c>
      <c r="AM20" s="248">
        <f>IF($T20=$AM$3,(INDEX('Tables - Part 2'!$BB$6:$BE$13,MATCH(Amine_Cracking!$W20,'Tables - Part 2'!$AV$6:$AV$13,0),MATCH(Amine_Cracking!$U20,'Tables - Part 2'!$AX$5:$BA$5,0))+(INDEX('Tables - Part 2'!$BB$6:$BE$13,MATCH(Amine_Cracking!$W20,'Tables - Part 2'!$AV$6:$AV$13,0),MATCH(Amine_Cracking!$U20,'Tables - Part 2'!$AX$5:$BA$5,0))+INDEX('Tables - Part 2'!$BF$6:$BI$13,MATCH(Amine_Cracking!$W20,'Tables - Part 2'!$AV$6:$AV$13,0),MATCH(Amine_Cracking!$U20,'Tables - Part 2'!$AX$5:$BA$5,0)))/2)/2,0)</f>
        <v>0</v>
      </c>
      <c r="AN20" s="248">
        <f>IF($T20=$AN$3,(((INDEX('Tables - Part 2'!$BB$6:$BE$13,MATCH(Amine_Cracking!$W20,'Tables - Part 2'!$AV$6:$AV$13,0),MATCH(Amine_Cracking!$U20,'Tables - Part 2'!$AX$5:$BA$5,0))+(INDEX('Tables - Part 2'!$BB$6:$BE$13,MATCH(Amine_Cracking!$W20,'Tables - Part 2'!$AV$6:$AV$13,0),MATCH(Amine_Cracking!$U20,'Tables - Part 2'!$AX$5:$BA$5,0))+INDEX('Tables - Part 2'!$BF$6:$BI$13,MATCH(Amine_Cracking!$W20,'Tables - Part 2'!$AV$6:$AV$13,0),MATCH(Amine_Cracking!$U20,'Tables - Part 2'!$AX$5:$BA$5,0)))/2)/2)+((INDEX('Tables - Part 2'!$BB$6:$BE$13,MATCH(Amine_Cracking!$W20,'Tables - Part 2'!$AV$6:$AV$13,0),MATCH(Amine_Cracking!$U20,'Tables - Part 2'!$AX$5:$BA$5,0))+INDEX('Tables - Part 2'!$BF$6:$BI$13,MATCH(Amine_Cracking!$W20,'Tables - Part 2'!$AV$6:$AV$13,0),MATCH(Amine_Cracking!$U20,'Tables - Part 2'!$AX$5:$BA$5,0)))/2))/2,0)</f>
        <v>0</v>
      </c>
      <c r="AO20" s="248">
        <f>IF($T20=$AO$3,(INDEX('Tables - Part 2'!$BB$6:$BE$13,MATCH(Amine_Cracking!$W20,'Tables - Part 2'!$AV$6:$AV$13,0),MATCH(Amine_Cracking!$U20,'Tables - Part 2'!$AX$5:$BA$5,0))+INDEX('Tables - Part 2'!$BF$6:$BI$13,MATCH(Amine_Cracking!$W20,'Tables - Part 2'!$AV$6:$AV$13,0),MATCH(Amine_Cracking!$U20,'Tables - Part 2'!$AX$5:$BA$5,0)))/2,0)</f>
        <v>3</v>
      </c>
      <c r="AP20" s="248">
        <f>IF($T20=$AP$3,(((INDEX('Tables - Part 2'!$BB$6:$BE$13,MATCH(Amine_Cracking!$W20,'Tables - Part 2'!$AV$6:$AV$13,0),MATCH(Amine_Cracking!$U20,'Tables - Part 2'!$AX$5:$BA$5,0))+INDEX('Tables - Part 2'!$BF$6:$BI$13,MATCH(Amine_Cracking!$W20,'Tables - Part 2'!$AV$6:$AV$13,0),MATCH(Amine_Cracking!$U20,'Tables - Part 2'!$AX$5:$BA$5,0)))/2)+((((INDEX('Tables - Part 2'!$BB$6:$BE$13,MATCH(Amine_Cracking!$W20,'Tables - Part 2'!$AV$6:$AV$13,0),MATCH(Amine_Cracking!$U20,'Tables - Part 2'!$AX$5:$BA$5,0))+INDEX('Tables - Part 2'!$BF$6:$BI$13,MATCH(Amine_Cracking!$W20,'Tables - Part 2'!$AV$6:$AV$13,0),MATCH(Amine_Cracking!$U20,'Tables - Part 2'!$AX$5:$BA$5,0)))/2)+INDEX('Tables - Part 2'!$BF$6:$BI$13,MATCH(Amine_Cracking!$W20,'Tables - Part 2'!$AV$6:$AV$13,0),MATCH(Amine_Cracking!$U20,'Tables - Part 2'!$AX$5:$BA$5,0)))/2))/2,0)</f>
        <v>0</v>
      </c>
      <c r="AQ20" s="248">
        <f>IF($T20=$AQ$3,(((INDEX('Tables - Part 2'!$BB$6:$BE$13,MATCH(Amine_Cracking!$W20,'Tables - Part 2'!$AV$6:$AV$13,0),MATCH(Amine_Cracking!$U20,'Tables - Part 2'!$AX$5:$BA$5,0))+INDEX('Tables - Part 2'!$BF$6:$BI$13,MATCH(Amine_Cracking!$W20,'Tables - Part 2'!$AV$6:$AV$13,0),MATCH(Amine_Cracking!$U20,'Tables - Part 2'!$AX$5:$BA$5,0)))/2)+INDEX('Tables - Part 2'!$BF$6:$BI$13,MATCH(Amine_Cracking!$W20,'Tables - Part 2'!$AV$6:$AV$13,0),MATCH(Amine_Cracking!$U20,'Tables - Part 2'!$AX$5:$BA$5,0)))/2,0)</f>
        <v>0</v>
      </c>
      <c r="AR20" s="248">
        <f>IF($T20=$AR$3,(((((INDEX('Tables - Part 2'!$BB$6:$BE$13,MATCH(Amine_Cracking!$W20,'Tables - Part 2'!$AV$6:$AV$13,0),MATCH(Amine_Cracking!$U20,'Tables - Part 2'!$AX$5:$BA$5,0))+INDEX('Tables - Part 2'!$BF$6:$BI$13,MATCH(Amine_Cracking!$W20,'Tables - Part 2'!$AV$6:$AV$13,0),MATCH(Amine_Cracking!$U20,'Tables - Part 2'!$AX$5:$BA$5,0)))/2)+INDEX('Tables - Part 2'!$BF$6:$BI$13,MATCH(Amine_Cracking!$W20,'Tables - Part 2'!$AV$6:$AV$13,0),MATCH(Amine_Cracking!$U20,'Tables - Part 2'!$AX$5:$BA$5,0)))/2)+INDEX('Tables - Part 2'!$BF$6:$BI$13,MATCH(Amine_Cracking!$W20,'Tables - Part 2'!$AV$6:$AV$13,0),MATCH(Amine_Cracking!$U20,'Tables - Part 2'!$AX$5:$BA$5,0)))/2,0)</f>
        <v>0</v>
      </c>
      <c r="AS20" s="248">
        <f>IF($T20=$AS$3,INDEX('Tables - Part 2'!$BF$6:$BI$13,MATCH(Amine_Cracking!$W20,'Tables - Part 2'!$AV$6:$AV$13,0),MATCH(Amine_Cracking!$U20,'Tables - Part 2'!$AX$5:$BA$5,0)),0)</f>
        <v>0</v>
      </c>
      <c r="AT20" s="248">
        <f>IF($T20=$AT$3,(INDEX('Tables - Part 2'!$BF$6:$BI$13,MATCH(Amine_Cracking!$W20,'Tables - Part 2'!$AV$6:$AV$13,0),MATCH(Amine_Cracking!$U20,'Tables - Part 2'!$AX$5:$BA$5,0))+((INDEX('Tables - Part 2'!$BF$6:$BI$13,MATCH(Amine_Cracking!$W20,'Tables - Part 2'!$AV$6:$AV$13,0),MATCH(Amine_Cracking!$U20,'Tables - Part 2'!$AX$5:$BA$5,0))+(INDEX('Tables - Part 2'!$BF$6:$BI$13,MATCH(Amine_Cracking!$W20,'Tables - Part 2'!$AV$6:$AV$13,0),MATCH(Amine_Cracking!$U20,'Tables - Part 2'!$AX$5:$BA$5,0))+INDEX('Tables - Part 2'!$AX$17:$BA$24,MATCH(Amine_Cracking!$W20,'Tables - Part 2'!$AV$6:$AV$13,0),MATCH(Amine_Cracking!$U20,'Tables - Part 2'!$AX$5:$BA$5,0)))/2)/2))/2,0)</f>
        <v>0</v>
      </c>
      <c r="AU20" s="248">
        <f>IF($T20=$AU$3,(INDEX('Tables - Part 2'!$BF$6:$BI$13,MATCH(Amine_Cracking!$W20,'Tables - Part 2'!$AV$6:$AV$13,0),MATCH(Amine_Cracking!$U20,'Tables - Part 2'!$AX$5:$BA$5,0))+(INDEX('Tables - Part 2'!$BF$6:$BI$13,MATCH(Amine_Cracking!$W20,'Tables - Part 2'!$AV$6:$AV$13,0),MATCH(Amine_Cracking!$U20,'Tables - Part 2'!$AX$5:$BA$5,0))+INDEX('Tables - Part 2'!$AX$17:$BA$24,MATCH(Amine_Cracking!$W20,'Tables - Part 2'!$AV$6:$AV$13,0),MATCH(Amine_Cracking!$U20,'Tables - Part 2'!$AX$5:$BA$5,0)))/2)/2,0)</f>
        <v>0</v>
      </c>
      <c r="AV20" s="248">
        <f>IF($T20=$AV$3,(((INDEX('Tables - Part 2'!$BF$6:$BI$13,MATCH(Amine_Cracking!$W20,'Tables - Part 2'!$AV$6:$AV$13,0),MATCH(Amine_Cracking!$U20,'Tables - Part 2'!$AX$5:$BA$5,0))+(INDEX('Tables - Part 2'!$BF$6:$BI$13,MATCH(Amine_Cracking!$W20,'Tables - Part 2'!$AV$6:$AV$13,0),MATCH(Amine_Cracking!$U20,'Tables - Part 2'!$AX$5:$BA$5,0))+INDEX('Tables - Part 2'!$AX$17:$BA$24,MATCH(Amine_Cracking!$W20,'Tables - Part 2'!$AV$6:$AV$13,0),MATCH(Amine_Cracking!$U20,'Tables - Part 2'!$AX$5:$BA$5,0)))/2)/2)+((INDEX('Tables - Part 2'!$BF$6:$BI$13,MATCH(Amine_Cracking!$W20,'Tables - Part 2'!$AV$6:$AV$13,0),MATCH(Amine_Cracking!$U20,'Tables - Part 2'!$AX$5:$BA$5,0))+INDEX('Tables - Part 2'!$AX$17:$BA$24,MATCH(Amine_Cracking!$W20,'Tables - Part 2'!$AV$6:$AV$13,0),MATCH(Amine_Cracking!$U20,'Tables - Part 2'!$AX$5:$BA$5,0)))/2))/2,0)</f>
        <v>0</v>
      </c>
      <c r="AW20" s="248">
        <f>IF($T20=$AW$3,(INDEX('Tables - Part 2'!$BF$6:$BI$13,MATCH(Amine_Cracking!$W20,'Tables - Part 2'!$AV$6:$AV$13,0),MATCH(Amine_Cracking!$U20,'Tables - Part 2'!$AX$5:$BA$5,0))+INDEX('Tables - Part 2'!$AX$17:$BA$24,MATCH(Amine_Cracking!$W20,'Tables - Part 2'!$AV$6:$AV$13,0),MATCH(Amine_Cracking!$U20,'Tables - Part 2'!$AX$5:$BA$5,0)))/2,0)</f>
        <v>0</v>
      </c>
      <c r="AX20" s="248">
        <f>IF($T20=$AX$3,(((INDEX('Tables - Part 2'!$BF$6:$BI$13,MATCH(Amine_Cracking!$W20,'Tables - Part 2'!$AV$6:$AV$13,0),MATCH(Amine_Cracking!$U20,'Tables - Part 2'!$AX$5:$BA$5,0))+INDEX('Tables - Part 2'!$AX$17:$BA$24,MATCH(Amine_Cracking!$W20,'Tables - Part 2'!$AV$6:$AV$13,0),MATCH(Amine_Cracking!$U20,'Tables - Part 2'!$AX$5:$BA$5,0)))/2)+((((INDEX('Tables - Part 2'!$BF$6:$BI$13,MATCH(Amine_Cracking!$W20,'Tables - Part 2'!$AV$6:$AV$13,0),MATCH(Amine_Cracking!$U20,'Tables - Part 2'!$AX$5:$BA$5,0))+INDEX('Tables - Part 2'!$AX$17:$BA$24,MATCH(Amine_Cracking!$W20,'Tables - Part 2'!$AV$6:$AV$13,0),MATCH(Amine_Cracking!$U20,'Tables - Part 2'!$AX$5:$BA$5,0)))/2)+INDEX('Tables - Part 2'!$AX$17:$BA$24,MATCH(Amine_Cracking!$W20,'Tables - Part 2'!$AV$6:$AV$13,0),MATCH(Amine_Cracking!$U20,'Tables - Part 2'!$AX$5:$BA$5,0)))/2))/2,0)</f>
        <v>0</v>
      </c>
      <c r="AY20" s="248">
        <f>IF($T20=$AY$3,(((INDEX('Tables - Part 2'!$BF$6:$BI$13,MATCH(Amine_Cracking!$W20,'Tables - Part 2'!$AV$6:$AV$13,0),MATCH(Amine_Cracking!$U20,'Tables - Part 2'!$AX$5:$BA$5,0))+INDEX('Tables - Part 2'!$AX$17:$BA$24,MATCH(Amine_Cracking!$W20,'Tables - Part 2'!$AV$6:$AV$13,0),MATCH(Amine_Cracking!$U20,'Tables - Part 2'!$AX$5:$BA$5,0)))/2)+INDEX('Tables - Part 2'!$AX$17:$BA$24,MATCH(Amine_Cracking!$W20,'Tables - Part 2'!$AV$6:$AV$13,0),MATCH(Amine_Cracking!$U20,'Tables - Part 2'!$AX$5:$BA$5,0)))/2,0)</f>
        <v>0</v>
      </c>
      <c r="AZ20" s="248">
        <f>IF($T20=$AZ$3,(((((INDEX('Tables - Part 2'!$BF$6:$BI$13,MATCH(Amine_Cracking!$W20,'Tables - Part 2'!$AV$6:$AV$13,0),MATCH(Amine_Cracking!$U20,'Tables - Part 2'!$AX$5:$BA$5,0))+INDEX('Tables - Part 2'!$AX$17:$BA$24,MATCH(Amine_Cracking!$W20,'Tables - Part 2'!$AV$6:$AV$13,0),MATCH(Amine_Cracking!$U20,'Tables - Part 2'!$AX$5:$BA$5,0)))/2)+INDEX('Tables - Part 2'!$AX$17:$BA$24,MATCH(Amine_Cracking!$W20,'Tables - Part 2'!$AV$6:$AV$13,0),MATCH(Amine_Cracking!$U20,'Tables - Part 2'!$AX$5:$BA$5,0)))/2)+(INDEX('Tables - Part 2'!$AX$17:$BA$24,MATCH(Amine_Cracking!$W20,'Tables - Part 2'!$AV$6:$AV$13,0),MATCH(Amine_Cracking!$U20,'Tables - Part 2'!$AX$5:$BA$5,0))))/2,0)</f>
        <v>0</v>
      </c>
      <c r="BA20" s="248">
        <f>IF($T20=$BA$3,INDEX('Tables - Part 2'!$AX$17:$BA$24,MATCH(Amine_Cracking!$W20,'Tables - Part 2'!$AV$6:$AV$13,0),MATCH(Amine_Cracking!$U20,'Tables - Part 2'!$AX$5:$BA$5,0)),0)</f>
        <v>0</v>
      </c>
      <c r="BB20" s="248">
        <f>IF($T20=$BB$3,((INDEX('Tables - Part 2'!$AX$17:$BA$24,MATCH(Amine_Cracking!$W20,'Tables - Part 2'!$AV$6:$AV$13,0),MATCH(Amine_Cracking!$U20,'Tables - Part 2'!$AX$5:$BA$5,0)))+(((INDEX('Tables - Part 2'!$AX$17:$BA$24,MATCH(Amine_Cracking!$W20,'Tables - Part 2'!$AV$6:$AV$13,0),MATCH(Amine_Cracking!$U20,'Tables - Part 2'!$AX$5:$BA$5,0)))+(INDEX('Tables - Part 2'!$AX$17:$BA$24,MATCH(Amine_Cracking!$W20,'Tables - Part 2'!$AV$6:$AV$13,0),MATCH(Amine_Cracking!$U20,'Tables - Part 2'!$AX$5:$BA$5,0))+INDEX('Tables - Part 2'!$BB$17:$BE$24,MATCH(Amine_Cracking!$W20,'Tables - Part 2'!$AV$6:$AV$13,0),MATCH(Amine_Cracking!$U20,'Tables - Part 2'!$AX$5:$BA$5,0)))/2)/2))/2,0)</f>
        <v>0</v>
      </c>
      <c r="BC20" s="248">
        <f>IF($T20=$BC$3,((INDEX('Tables - Part 2'!$AX$17:$BA$24,MATCH(Amine_Cracking!$W20,'Tables - Part 2'!$AV$6:$AV$13,0),MATCH(Amine_Cracking!$U20,'Tables - Part 2'!$AX$5:$BA$5,0)))+(INDEX('Tables - Part 2'!$AX$17:$BA$24,MATCH(Amine_Cracking!$W20,'Tables - Part 2'!$AV$6:$AV$13,0),MATCH(Amine_Cracking!$U20,'Tables - Part 2'!$AX$5:$BA$5,0))+INDEX('Tables - Part 2'!$BB$17:$BE$24,MATCH(Amine_Cracking!$W20,'Tables - Part 2'!$AV$6:$AV$13,0),MATCH(Amine_Cracking!$U20,'Tables - Part 2'!$AX$5:$BA$5,0)))/2)/2,0)</f>
        <v>0</v>
      </c>
      <c r="BD20" s="248">
        <f>IF($T20=$BD$3,((((INDEX('Tables - Part 2'!$AX$17:$BA$24,MATCH(Amine_Cracking!$W20,'Tables - Part 2'!$AV$6:$AV$13,0),MATCH(Amine_Cracking!$U20,'Tables - Part 2'!$AX$5:$BA$5,0)))+(INDEX('Tables - Part 2'!$AX$17:$BA$24,MATCH(Amine_Cracking!$W20,'Tables - Part 2'!$AV$6:$AV$13,0),MATCH(Amine_Cracking!$U20,'Tables - Part 2'!$AX$5:$BA$5,0))+INDEX('Tables - Part 2'!$BB$17:$BE$24,MATCH(Amine_Cracking!$W20,'Tables - Part 2'!$AV$6:$AV$13,0),MATCH(Amine_Cracking!$U20,'Tables - Part 2'!$AX$5:$BA$5,0)))/2)/2)+((INDEX('Tables - Part 2'!$AX$17:$BA$24,MATCH(Amine_Cracking!$W20,'Tables - Part 2'!$AV$6:$AV$13,0),MATCH(Amine_Cracking!$U20,'Tables - Part 2'!$AX$5:$BA$5,0))+INDEX('Tables - Part 2'!$BB$17:$BE$24,MATCH(Amine_Cracking!$W20,'Tables - Part 2'!$AV$6:$AV$13,0),MATCH(Amine_Cracking!$U20,'Tables - Part 2'!$AX$5:$BA$5,0)))/2))/2,0)</f>
        <v>0</v>
      </c>
      <c r="BE20" s="248">
        <f>IF($T20=$BE$3,(INDEX('Tables - Part 2'!$AX$17:$BA$24,MATCH(Amine_Cracking!$W20,'Tables - Part 2'!$AV$6:$AV$13,0),MATCH(Amine_Cracking!$U20,'Tables - Part 2'!$AX$5:$BA$5,0))+INDEX('Tables - Part 2'!$BB$17:$BE$24,MATCH(Amine_Cracking!$W20,'Tables - Part 2'!$AV$6:$AV$13,0),MATCH(Amine_Cracking!$U20,'Tables - Part 2'!$AX$5:$BA$5,0)))/2,0)</f>
        <v>0</v>
      </c>
      <c r="BF20" s="248">
        <f>IF($T20=$BF$3,(((INDEX('Tables - Part 2'!$AX$17:$BA$24,MATCH(Amine_Cracking!$W20,'Tables - Part 2'!$AV$6:$AV$13,0),MATCH(Amine_Cracking!$U20,'Tables - Part 2'!$AX$5:$BA$5,0))+INDEX('Tables - Part 2'!$BB$17:$BE$24,MATCH(Amine_Cracking!$W20,'Tables - Part 2'!$AV$6:$AV$13,0),MATCH(Amine_Cracking!$U20,'Tables - Part 2'!$AX$5:$BA$5,0)))/2)+((((INDEX('Tables - Part 2'!$AX$17:$BA$24,MATCH(Amine_Cracking!$W20,'Tables - Part 2'!$AV$6:$AV$13,0),MATCH(Amine_Cracking!$U20,'Tables - Part 2'!$AX$5:$BA$5,0))+INDEX('Tables - Part 2'!$BB$17:$BE$24,MATCH(Amine_Cracking!$W20,'Tables - Part 2'!$AV$6:$AV$13,0),MATCH(Amine_Cracking!$U20,'Tables - Part 2'!$AX$5:$BA$5,0)))/2)+INDEX('Tables - Part 2'!$BB$17:$BE$24,MATCH(Amine_Cracking!$W20,'Tables - Part 2'!$AV$6:$AV$13,0),MATCH(Amine_Cracking!$U20,'Tables - Part 2'!$AX$5:$BA$5,0)))/2))/2,0)</f>
        <v>0</v>
      </c>
      <c r="BG20" s="248">
        <f>IF($T20=$BG$3,(((INDEX('Tables - Part 2'!$AX$17:$BA$24,MATCH(Amine_Cracking!$W20,'Tables - Part 2'!$AV$6:$AV$13,0),MATCH(Amine_Cracking!$U20,'Tables - Part 2'!$AX$5:$BA$5,0))+INDEX('Tables - Part 2'!$BB$17:$BE$24,MATCH(Amine_Cracking!$W20,'Tables - Part 2'!$AV$6:$AV$13,0),MATCH(Amine_Cracking!$U20,'Tables - Part 2'!$AX$5:$BA$5,0)))/2)+INDEX('Tables - Part 2'!$BB$17:$BE$24,MATCH(Amine_Cracking!$W20,'Tables - Part 2'!$AV$6:$AV$13,0),MATCH(Amine_Cracking!$U20,'Tables - Part 2'!$AX$5:$BA$5,0)))/2,0)</f>
        <v>0</v>
      </c>
      <c r="BH20" s="248">
        <f>IF($T20=$BH$3,(((((INDEX('Tables - Part 2'!$AX$17:$BA$24,MATCH(Amine_Cracking!$W20,'Tables - Part 2'!$AV$6:$AV$13,0),MATCH(Amine_Cracking!$U20,'Tables - Part 2'!$AX$5:$BA$5,0))+INDEX('Tables - Part 2'!$BB$17:$BE$24,MATCH(Amine_Cracking!$W20,'Tables - Part 2'!$AV$6:$AV$13,0),MATCH(Amine_Cracking!$U20,'Tables - Part 2'!$AX$5:$BA$5,0)))/2)+INDEX('Tables - Part 2'!$BB$17:$BE$24,MATCH(Amine_Cracking!$W20,'Tables - Part 2'!$AV$6:$AV$13,0),MATCH(Amine_Cracking!$U20,'Tables - Part 2'!$AX$5:$BA$5,0)))/2)+(INDEX('Tables - Part 2'!$BB$17:$BE$24,MATCH(Amine_Cracking!$W20,'Tables - Part 2'!$AV$6:$AV$13,0),MATCH(Amine_Cracking!$U20,'Tables - Part 2'!$AX$5:$BA$5,0))))/2,0)</f>
        <v>0</v>
      </c>
      <c r="BI20" s="248">
        <f>IF($T20=$BI$3,INDEX('Tables - Part 2'!$BB$17:$BE$24,MATCH(Amine_Cracking!$W20,'Tables - Part 2'!$AV$6:$AV$13,0),MATCH(Amine_Cracking!$U20,'Tables - Part 2'!$AX$5:$BA$5,0)),0)</f>
        <v>0</v>
      </c>
      <c r="BJ20" s="248">
        <f>IF($T20=$BJ$3,((INDEX('Tables - Part 2'!$BB$17:$BE$24,MATCH(Amine_Cracking!$W20,'Tables - Part 2'!$AV$6:$AV$13,0),MATCH(Amine_Cracking!$U20,'Tables - Part 2'!$AX$5:$BA$5,0)))+(((INDEX('Tables - Part 2'!$BB$17:$BE$24,MATCH(Amine_Cracking!$W20,'Tables - Part 2'!$AV$6:$AV$13,0),MATCH(Amine_Cracking!$U20,'Tables - Part 2'!$AX$5:$BA$5,0)))+(INDEX('Tables - Part 2'!$BB$17:$BE$24,MATCH(Amine_Cracking!$W20,'Tables - Part 2'!$AV$6:$AV$13,0),MATCH(Amine_Cracking!$U20,'Tables - Part 2'!$AX$5:$BA$5,0))+INDEX('Tables - Part 2'!$BF$17:$BI$24,MATCH(Amine_Cracking!$W20,'Tables - Part 2'!$AV$6:$AV$13,0),MATCH(Amine_Cracking!$U20,'Tables - Part 2'!$AX$5:$BA$5,0)))/2)/2))/2,0)</f>
        <v>0</v>
      </c>
      <c r="BK20" s="248">
        <f>IF($T20=$BK$3,((INDEX('Tables - Part 2'!$BB$17:$BE$24,MATCH(Amine_Cracking!$W20,'Tables - Part 2'!$AV$6:$AV$13,0),MATCH(Amine_Cracking!$U20,'Tables - Part 2'!$AX$5:$BA$5,0)))+(INDEX('Tables - Part 2'!$BB$17:$BE$24,MATCH(Amine_Cracking!$W20,'Tables - Part 2'!$AV$6:$AV$13,0),MATCH(Amine_Cracking!$U20,'Tables - Part 2'!$AX$5:$BA$5,0))+INDEX('Tables - Part 2'!$BF$17:$BI$24,MATCH(Amine_Cracking!$W20,'Tables - Part 2'!$AV$6:$AV$13,0),MATCH(Amine_Cracking!$U20,'Tables - Part 2'!$AX$5:$BA$5,0)))/2)/2,0)</f>
        <v>0</v>
      </c>
      <c r="BL20" s="248">
        <f>IF($T20=$BL$3,((((INDEX('Tables - Part 2'!$BB$17:$BE$24,MATCH(Amine_Cracking!$W20,'Tables - Part 2'!$AV$6:$AV$13,0),MATCH(Amine_Cracking!$U20,'Tables - Part 2'!$AX$5:$BA$5,0)))+(INDEX('Tables - Part 2'!$BB$17:$BE$24,MATCH(Amine_Cracking!$W20,'Tables - Part 2'!$AV$6:$AV$13,0),MATCH(Amine_Cracking!$U20,'Tables - Part 2'!$AX$5:$BA$5,0))+INDEX('Tables - Part 2'!$BF$17:$BI$24,MATCH(Amine_Cracking!$W20,'Tables - Part 2'!$AV$6:$AV$13,0),MATCH(Amine_Cracking!$U20,'Tables - Part 2'!$AX$5:$BA$5,0)))/2)/2)+((INDEX('Tables - Part 2'!$BB$17:$BE$24,MATCH(Amine_Cracking!$W20,'Tables - Part 2'!$AV$6:$AV$13,0),MATCH(Amine_Cracking!$U20,'Tables - Part 2'!$AX$5:$BA$5,0))+INDEX('Tables - Part 2'!$BF$17:$BI$24,MATCH(Amine_Cracking!$W20,'Tables - Part 2'!$AV$6:$AV$13,0),MATCH(Amine_Cracking!$U20,'Tables - Part 2'!$AX$5:$BA$5,0)))/2))/2,0)</f>
        <v>0</v>
      </c>
      <c r="BM20" s="248">
        <f>IF($T20=$BM$3,(INDEX('Tables - Part 2'!$BB$17:$BE$24,MATCH(Amine_Cracking!$W20,'Tables - Part 2'!$AV$6:$AV$13,0),MATCH(Amine_Cracking!$U20,'Tables - Part 2'!$AX$5:$BA$5,0))+INDEX('Tables - Part 2'!$BF$17:$BI$24,MATCH(Amine_Cracking!$W20,'Tables - Part 2'!$AV$6:$AV$13,0),MATCH(Amine_Cracking!$U20,'Tables - Part 2'!$AX$5:$BA$5,0)))/2,0)</f>
        <v>0</v>
      </c>
      <c r="BN20" s="248">
        <f>IF($T20=$BN$3,(((INDEX('Tables - Part 2'!$BB$17:$BE$24,MATCH(Amine_Cracking!$W20,'Tables - Part 2'!$AV$6:$AV$13,0),MATCH(Amine_Cracking!$U20,'Tables - Part 2'!$AX$5:$BA$5,0))+INDEX('Tables - Part 2'!$BF$17:$BI$24,MATCH(Amine_Cracking!$W20,'Tables - Part 2'!$AV$6:$AV$13,0),MATCH(Amine_Cracking!$U20,'Tables - Part 2'!$AX$5:$BA$5,0)))/2)+((((INDEX('Tables - Part 2'!$BB$17:$BE$24,MATCH(Amine_Cracking!$W20,'Tables - Part 2'!$AV$6:$AV$13,0),MATCH(Amine_Cracking!$U20,'Tables - Part 2'!$AX$5:$BA$5,0))+INDEX('Tables - Part 2'!$BF$17:$BI$24,MATCH(Amine_Cracking!$W20,'Tables - Part 2'!$AV$6:$AV$13,0),MATCH(Amine_Cracking!$U20,'Tables - Part 2'!$AX$5:$BA$5,0)))/2)+INDEX('Tables - Part 2'!$BF$17:$BI$24,MATCH(Amine_Cracking!$W20,'Tables - Part 2'!$AV$6:$AV$13,0),MATCH(Amine_Cracking!$U20,'Tables - Part 2'!$AX$5:$BA$5,0)))/2))/2,0)</f>
        <v>0</v>
      </c>
      <c r="BO20" s="248">
        <f>IF($T20=$BO$3,(((INDEX('Tables - Part 2'!$BB$17:$BE$24,MATCH(Amine_Cracking!$W20,'Tables - Part 2'!$AV$6:$AV$13,0),MATCH(Amine_Cracking!$U20,'Tables - Part 2'!$AX$5:$BA$5,0))+INDEX('Tables - Part 2'!$BF$17:$BI$24,MATCH(Amine_Cracking!$W20,'Tables - Part 2'!$AV$6:$AV$13,0),MATCH(Amine_Cracking!$U20,'Tables - Part 2'!$AX$5:$BA$5,0)))/2)+INDEX('Tables - Part 2'!$BF$17:$BI$24,MATCH(Amine_Cracking!$W20,'Tables - Part 2'!$AV$6:$AV$13,0),MATCH(Amine_Cracking!$U20,'Tables - Part 2'!$AX$5:$BA$5,0)))/2,0)</f>
        <v>0</v>
      </c>
      <c r="BP20" s="248">
        <f>IF($T20=$BP$3,(((((INDEX('Tables - Part 2'!$BB$17:$BE$24,MATCH(Amine_Cracking!$W20,'Tables - Part 2'!$AV$6:$AV$13,0),MATCH(Amine_Cracking!$U20,'Tables - Part 2'!$AX$5:$BA$5,0))+INDEX('Tables - Part 2'!$BF$17:$BI$24,MATCH(Amine_Cracking!$W20,'Tables - Part 2'!$AV$6:$AV$13,0),MATCH(Amine_Cracking!$U20,'Tables - Part 2'!$AX$5:$BA$5,0)))/2)+INDEX('Tables - Part 2'!$BF$17:$BI$24,MATCH(Amine_Cracking!$W20,'Tables - Part 2'!$AV$6:$AV$13,0),MATCH(Amine_Cracking!$U20,'Tables - Part 2'!$AX$5:$BA$5,0)))/2)+(INDEX('Tables - Part 2'!$BF$17:$BI$24,MATCH(Amine_Cracking!$W20,'Tables - Part 2'!$AV$6:$AV$13,0),MATCH(Amine_Cracking!$U20,'Tables - Part 2'!$AX$5:$BA$5,0))))/2,0)</f>
        <v>0</v>
      </c>
      <c r="BQ20" s="248">
        <f>IF($T20=$BQ$3,INDEX('Tables - Part 2'!$BF$17:$BI$24,MATCH(Amine_Cracking!$W20,'Tables - Part 2'!$AV$6:$AV$13,0),MATCH(Amine_Cracking!$U20,'Tables - Part 2'!$AX$5:$BA$5,0)),0)</f>
        <v>0</v>
      </c>
      <c r="BR20" s="248">
        <f t="shared" si="5"/>
        <v>0</v>
      </c>
      <c r="BS20" s="238">
        <f t="shared" si="8"/>
        <v>3</v>
      </c>
      <c r="BT20" s="238">
        <f t="shared" si="9"/>
        <v>50.318647405225171</v>
      </c>
    </row>
    <row r="21" spans="2:72" x14ac:dyDescent="0.35">
      <c r="B21" s="161" t="str">
        <f>'Tratamento de Dados'!B29</f>
        <v>V-9</v>
      </c>
      <c r="C21" s="161" t="str">
        <f>'Tratamento de Dados'!D29</f>
        <v>Casco</v>
      </c>
      <c r="D21" s="209" t="s">
        <v>245</v>
      </c>
      <c r="E21" s="209" t="s">
        <v>245</v>
      </c>
      <c r="F21" s="209" t="s">
        <v>244</v>
      </c>
      <c r="G21" s="209" t="s">
        <v>244</v>
      </c>
      <c r="H21" s="209" t="s">
        <v>245</v>
      </c>
      <c r="I21" s="209">
        <v>100</v>
      </c>
      <c r="J21" s="209" t="s">
        <v>245</v>
      </c>
      <c r="K21" s="209" t="s">
        <v>245</v>
      </c>
      <c r="L21" s="209" t="s">
        <v>245</v>
      </c>
      <c r="M21" s="210">
        <v>39092</v>
      </c>
      <c r="N21" s="209">
        <v>0</v>
      </c>
      <c r="O21" s="209">
        <v>1</v>
      </c>
      <c r="P21" s="209">
        <v>1</v>
      </c>
      <c r="Q21" s="209">
        <v>4</v>
      </c>
      <c r="R21" s="253">
        <f>'Tratamento de Dados'!DA29</f>
        <v>0</v>
      </c>
      <c r="S21" s="253">
        <f>'Tratamento de Dados'!DB29</f>
        <v>0</v>
      </c>
      <c r="T21" s="256">
        <f t="shared" si="0"/>
        <v>2.5</v>
      </c>
      <c r="U21" s="246" t="str">
        <f t="shared" si="1"/>
        <v>B</v>
      </c>
      <c r="V21" s="238" t="str">
        <f t="shared" si="6"/>
        <v>High</v>
      </c>
      <c r="W21" s="238">
        <f>IF(AND(D21=$BY$2,E21&lt;&gt;$BY$2),"Fitness-For-Service",INDEX('Tables - Part 2'!$BL$4:$BL$7,MATCH(Amine_Cracking!V21,'Tables - Part 2'!$BK$4:$BK$7,0),))</f>
        <v>100</v>
      </c>
      <c r="X21" s="238">
        <f>IF(M21=0,(Thinning!G22-Thinning!F22)/365.25,(Thinning!G22-M21)/365.25)</f>
        <v>12.980150581793293</v>
      </c>
      <c r="Y21" s="248">
        <f t="shared" si="2"/>
        <v>0</v>
      </c>
      <c r="Z21" s="248">
        <f t="shared" si="3"/>
        <v>2.5</v>
      </c>
      <c r="AA21" s="247">
        <f t="shared" si="7"/>
        <v>3</v>
      </c>
      <c r="AB21" s="247">
        <f t="shared" si="4"/>
        <v>4</v>
      </c>
      <c r="AC21" s="248">
        <f>IF($T21=$AC$3,INDEX('Tables - Part 2'!$AX$6:$BA$13,MATCH(Amine_Cracking!W21,'Tables - Part 2'!$AV$6:$AV$13,0),MATCH(Amine_Cracking!U21,'Tables - Part 2'!$AX$5:$BA$5,0)),0)</f>
        <v>0</v>
      </c>
      <c r="AD21" s="248">
        <f>IF($T21=$AD$3,(INDEX('Tables - Part 2'!$AX$6:$BA$13,MATCH(Amine_Cracking!W21,'Tables - Part 2'!$AV$6:$AV$13,0),MATCH(Amine_Cracking!U21,'Tables - Part 2'!$AX$5:$BA$5,0))+(INDEX('Tables - Part 2'!$AX$6:$BA$13,MATCH(Amine_Cracking!W21,'Tables - Part 2'!$AV$6:$AV$13,0),MATCH(Amine_Cracking!U21,'Tables - Part 2'!$AX$5:$BA$5,0))+((INDEX('Tables - Part 2'!$AX$6:$BA$13,MATCH(Amine_Cracking!W21,'Tables - Part 2'!$AV$6:$AV$13,0),MATCH(Amine_Cracking!U21,'Tables - Part 2'!$AX$5:$BA$5,0))+INDEX('Tables - Part 2'!$BB$6:$BE$13,MATCH(Amine_Cracking!$W21,'Tables - Part 2'!$AV$6:$AV$13,0),MATCH(Amine_Cracking!$U21,'Tables - Part 2'!$AX$5:$BA$5,0)))/2))/2)/2,0)</f>
        <v>0</v>
      </c>
      <c r="AE21" s="248">
        <f>IF($T21=$AE$3,(INDEX('Tables - Part 2'!$AX$6:$BA$13,MATCH(Amine_Cracking!W21,'Tables - Part 2'!$AV$6:$AV$13,0),MATCH(Amine_Cracking!U21,'Tables - Part 2'!$AX$5:$BA$5,0))+((INDEX('Tables - Part 2'!$AX$6:$BA$13,MATCH(Amine_Cracking!W21,'Tables - Part 2'!$AV$6:$AV$13,0),MATCH(Amine_Cracking!U21,'Tables - Part 2'!$AX$5:$BA$5,0))+INDEX('Tables - Part 2'!$BB$6:$BE$13,MATCH(Amine_Cracking!$W21,'Tables - Part 2'!$AV$6:$AV$13,0),MATCH(Amine_Cracking!$U21,'Tables - Part 2'!$AX$5:$BA$5,0)))/2))/2,0)</f>
        <v>0</v>
      </c>
      <c r="AF21" s="248">
        <f>IF($T21=$AF$3,(((INDEX('Tables - Part 2'!$AX$6:$BA$13,MATCH(Amine_Cracking!W21,'Tables - Part 2'!$AV$6:$AV$13,0),MATCH(Amine_Cracking!U21,'Tables - Part 2'!$AX$5:$BA$5,0))+((INDEX('Tables - Part 2'!$AX$6:$BA$13,MATCH(Amine_Cracking!W21,'Tables - Part 2'!$AV$6:$AV$13,0),MATCH(Amine_Cracking!U21,'Tables - Part 2'!$AX$5:$BA$5,0))+INDEX('Tables - Part 2'!$BB$6:$BE$13,MATCH(Amine_Cracking!$W21,'Tables - Part 2'!$AV$6:$AV$13,0),MATCH(Amine_Cracking!$U21,'Tables - Part 2'!$AX$5:$BA$5,0)))/2))/2)+(INDEX('Tables - Part 2'!$AX$6:$BA$13,MATCH(Amine_Cracking!W21,'Tables - Part 2'!$AV$6:$AV$13,0),MATCH(Amine_Cracking!U21,'Tables - Part 2'!$AX$5:$BA$5,0))+INDEX('Tables - Part 2'!$BB$6:$BE$13,MATCH(Amine_Cracking!$W21,'Tables - Part 2'!$AV$6:$AV$13,0),MATCH(Amine_Cracking!$U21,'Tables - Part 2'!$AX$5:$BA$5,0)))/2)/2,0)</f>
        <v>0</v>
      </c>
      <c r="AG21" s="248">
        <f>IF($T21=$AG$3,(INDEX('Tables - Part 2'!$AX$6:$BA$13,MATCH(Amine_Cracking!W21,'Tables - Part 2'!$AV$6:$AV$13,0),MATCH(Amine_Cracking!U21,'Tables - Part 2'!$AX$5:$BA$5,0))+INDEX('Tables - Part 2'!$BB$6:$BE$13,MATCH(Amine_Cracking!$W21,'Tables - Part 2'!$AV$6:$AV$13,0),MATCH(Amine_Cracking!$U21,'Tables - Part 2'!$AX$5:$BA$5,0)))/2,0)</f>
        <v>0</v>
      </c>
      <c r="AH21" s="248">
        <f>IF($T21=$AH$3,(((INDEX('Tables - Part 2'!$AX$6:$BA$13,MATCH(Amine_Cracking!W21,'Tables - Part 2'!$AV$6:$AV$13,0),MATCH(Amine_Cracking!U21,'Tables - Part 2'!$AX$5:$BA$5,0))+INDEX('Tables - Part 2'!$BB$6:$BE$13,MATCH(Amine_Cracking!$W21,'Tables - Part 2'!$AV$6:$AV$13,0),MATCH(Amine_Cracking!$U21,'Tables - Part 2'!$AX$5:$BA$5,0)))/2)+(((INDEX('Tables - Part 2'!$AX$6:$BA$13,MATCH(Amine_Cracking!W21,'Tables - Part 2'!$AV$6:$AV$13,0),MATCH(Amine_Cracking!U21,'Tables - Part 2'!$AX$5:$BA$5,0))+INDEX('Tables - Part 2'!$BB$6:$BE$13,MATCH(Amine_Cracking!$W21,'Tables - Part 2'!$AV$6:$AV$13,0),MATCH(Amine_Cracking!$U21,'Tables - Part 2'!$AX$5:$BA$5,0)))/2)+INDEX('Tables - Part 2'!$BB$6:$BE$13,MATCH(Amine_Cracking!$W21,'Tables - Part 2'!$AV$6:$AV$13,0),MATCH(Amine_Cracking!$U21,'Tables - Part 2'!$AX$5:$BA$5,0)))/2)/2,0)</f>
        <v>0</v>
      </c>
      <c r="AI21" s="248">
        <f>IF($T21=$AI$3,(((INDEX('Tables - Part 2'!$AX$6:$BA$13,MATCH(Amine_Cracking!W21,'Tables - Part 2'!$AV$6:$AV$13,0),MATCH(Amine_Cracking!U21,'Tables - Part 2'!$AX$5:$BA$5,0))+INDEX('Tables - Part 2'!$BB$6:$BE$13,MATCH(Amine_Cracking!$W21,'Tables - Part 2'!$AV$6:$AV$13,0),MATCH(Amine_Cracking!$U21,'Tables - Part 2'!$AX$5:$BA$5,0)))/2)+INDEX('Tables - Part 2'!$BB$6:$BE$13,MATCH(Amine_Cracking!$W21,'Tables - Part 2'!$AV$6:$AV$13,0),MATCH(Amine_Cracking!$U21,'Tables - Part 2'!$AX$5:$BA$5,0)))/2,0)</f>
        <v>0</v>
      </c>
      <c r="AJ21" s="248">
        <f>IF($T21=$AJ$3,(((((INDEX('Tables - Part 2'!$AX$6:$BA$13,MATCH(Amine_Cracking!W21,'Tables - Part 2'!$AV$6:$AV$13,0),MATCH(Amine_Cracking!U21,'Tables - Part 2'!$AX$5:$BA$5,0))+INDEX('Tables - Part 2'!$BB$6:$BE$13,MATCH(Amine_Cracking!$W21,'Tables - Part 2'!$AV$6:$AV$13,0),MATCH(Amine_Cracking!$U21,'Tables - Part 2'!$AX$5:$BA$5,0)))/2)+INDEX('Tables - Part 2'!$BB$6:$BE$13,MATCH(Amine_Cracking!$W21,'Tables - Part 2'!$AV$6:$AV$13,0),MATCH(Amine_Cracking!$U21,'Tables - Part 2'!$AX$5:$BA$5,0)))/2)+INDEX('Tables - Part 2'!$BB$6:$BE$13,MATCH(Amine_Cracking!$W21,'Tables - Part 2'!$AV$6:$AV$13,0),MATCH(Amine_Cracking!$U21,'Tables - Part 2'!$AX$5:$BA$5,0)))/2,0)</f>
        <v>0</v>
      </c>
      <c r="AK21" s="248">
        <f>IF($T21=$AK$3,INDEX('Tables - Part 2'!$BB$6:$BE$13,MATCH(Amine_Cracking!$W21,'Tables - Part 2'!$AV$6:$AV$13,0),MATCH(Amine_Cracking!$U21,'Tables - Part 2'!$AX$5:$BA$5,0)),0)</f>
        <v>0</v>
      </c>
      <c r="AL21" s="248">
        <f>IF($T21=$AL$3,((INDEX('Tables - Part 2'!$BB$6:$BE$13,MATCH(Amine_Cracking!$W21,'Tables - Part 2'!$AV$6:$AV$13,0),MATCH(Amine_Cracking!$U21,'Tables - Part 2'!$AX$5:$BA$5,0)))+(INDEX('Tables - Part 2'!$BB$6:$BE$13,MATCH(Amine_Cracking!$W21,'Tables - Part 2'!$AV$6:$AV$13,0),MATCH(Amine_Cracking!$U21,'Tables - Part 2'!$AX$5:$BA$5,0))+(INDEX('Tables - Part 2'!$BB$6:$BE$13,MATCH(Amine_Cracking!$W21,'Tables - Part 2'!$AV$6:$AV$13,0),MATCH(Amine_Cracking!$U21,'Tables - Part 2'!$AX$5:$BA$5,0))+INDEX('Tables - Part 2'!$BF$6:$BI$13,MATCH(Amine_Cracking!$W21,'Tables - Part 2'!$AV$6:$AV$13,0),MATCH(Amine_Cracking!$U21,'Tables - Part 2'!$AX$5:$BA$5,0)))/2)/2)/2,0)</f>
        <v>0</v>
      </c>
      <c r="AM21" s="248">
        <f>IF($T21=$AM$3,(INDEX('Tables - Part 2'!$BB$6:$BE$13,MATCH(Amine_Cracking!$W21,'Tables - Part 2'!$AV$6:$AV$13,0),MATCH(Amine_Cracking!$U21,'Tables - Part 2'!$AX$5:$BA$5,0))+(INDEX('Tables - Part 2'!$BB$6:$BE$13,MATCH(Amine_Cracking!$W21,'Tables - Part 2'!$AV$6:$AV$13,0),MATCH(Amine_Cracking!$U21,'Tables - Part 2'!$AX$5:$BA$5,0))+INDEX('Tables - Part 2'!$BF$6:$BI$13,MATCH(Amine_Cracking!$W21,'Tables - Part 2'!$AV$6:$AV$13,0),MATCH(Amine_Cracking!$U21,'Tables - Part 2'!$AX$5:$BA$5,0)))/2)/2,0)</f>
        <v>0</v>
      </c>
      <c r="AN21" s="248">
        <f>IF($T21=$AN$3,(((INDEX('Tables - Part 2'!$BB$6:$BE$13,MATCH(Amine_Cracking!$W21,'Tables - Part 2'!$AV$6:$AV$13,0),MATCH(Amine_Cracking!$U21,'Tables - Part 2'!$AX$5:$BA$5,0))+(INDEX('Tables - Part 2'!$BB$6:$BE$13,MATCH(Amine_Cracking!$W21,'Tables - Part 2'!$AV$6:$AV$13,0),MATCH(Amine_Cracking!$U21,'Tables - Part 2'!$AX$5:$BA$5,0))+INDEX('Tables - Part 2'!$BF$6:$BI$13,MATCH(Amine_Cracking!$W21,'Tables - Part 2'!$AV$6:$AV$13,0),MATCH(Amine_Cracking!$U21,'Tables - Part 2'!$AX$5:$BA$5,0)))/2)/2)+((INDEX('Tables - Part 2'!$BB$6:$BE$13,MATCH(Amine_Cracking!$W21,'Tables - Part 2'!$AV$6:$AV$13,0),MATCH(Amine_Cracking!$U21,'Tables - Part 2'!$AX$5:$BA$5,0))+INDEX('Tables - Part 2'!$BF$6:$BI$13,MATCH(Amine_Cracking!$W21,'Tables - Part 2'!$AV$6:$AV$13,0),MATCH(Amine_Cracking!$U21,'Tables - Part 2'!$AX$5:$BA$5,0)))/2))/2,0)</f>
        <v>0</v>
      </c>
      <c r="AO21" s="248">
        <f>IF($T21=$AO$3,(INDEX('Tables - Part 2'!$BB$6:$BE$13,MATCH(Amine_Cracking!$W21,'Tables - Part 2'!$AV$6:$AV$13,0),MATCH(Amine_Cracking!$U21,'Tables - Part 2'!$AX$5:$BA$5,0))+INDEX('Tables - Part 2'!$BF$6:$BI$13,MATCH(Amine_Cracking!$W21,'Tables - Part 2'!$AV$6:$AV$13,0),MATCH(Amine_Cracking!$U21,'Tables - Part 2'!$AX$5:$BA$5,0)))/2,0)</f>
        <v>3</v>
      </c>
      <c r="AP21" s="248">
        <f>IF($T21=$AP$3,(((INDEX('Tables - Part 2'!$BB$6:$BE$13,MATCH(Amine_Cracking!$W21,'Tables - Part 2'!$AV$6:$AV$13,0),MATCH(Amine_Cracking!$U21,'Tables - Part 2'!$AX$5:$BA$5,0))+INDEX('Tables - Part 2'!$BF$6:$BI$13,MATCH(Amine_Cracking!$W21,'Tables - Part 2'!$AV$6:$AV$13,0),MATCH(Amine_Cracking!$U21,'Tables - Part 2'!$AX$5:$BA$5,0)))/2)+((((INDEX('Tables - Part 2'!$BB$6:$BE$13,MATCH(Amine_Cracking!$W21,'Tables - Part 2'!$AV$6:$AV$13,0),MATCH(Amine_Cracking!$U21,'Tables - Part 2'!$AX$5:$BA$5,0))+INDEX('Tables - Part 2'!$BF$6:$BI$13,MATCH(Amine_Cracking!$W21,'Tables - Part 2'!$AV$6:$AV$13,0),MATCH(Amine_Cracking!$U21,'Tables - Part 2'!$AX$5:$BA$5,0)))/2)+INDEX('Tables - Part 2'!$BF$6:$BI$13,MATCH(Amine_Cracking!$W21,'Tables - Part 2'!$AV$6:$AV$13,0),MATCH(Amine_Cracking!$U21,'Tables - Part 2'!$AX$5:$BA$5,0)))/2))/2,0)</f>
        <v>0</v>
      </c>
      <c r="AQ21" s="248">
        <f>IF($T21=$AQ$3,(((INDEX('Tables - Part 2'!$BB$6:$BE$13,MATCH(Amine_Cracking!$W21,'Tables - Part 2'!$AV$6:$AV$13,0),MATCH(Amine_Cracking!$U21,'Tables - Part 2'!$AX$5:$BA$5,0))+INDEX('Tables - Part 2'!$BF$6:$BI$13,MATCH(Amine_Cracking!$W21,'Tables - Part 2'!$AV$6:$AV$13,0),MATCH(Amine_Cracking!$U21,'Tables - Part 2'!$AX$5:$BA$5,0)))/2)+INDEX('Tables - Part 2'!$BF$6:$BI$13,MATCH(Amine_Cracking!$W21,'Tables - Part 2'!$AV$6:$AV$13,0),MATCH(Amine_Cracking!$U21,'Tables - Part 2'!$AX$5:$BA$5,0)))/2,0)</f>
        <v>0</v>
      </c>
      <c r="AR21" s="248">
        <f>IF($T21=$AR$3,(((((INDEX('Tables - Part 2'!$BB$6:$BE$13,MATCH(Amine_Cracking!$W21,'Tables - Part 2'!$AV$6:$AV$13,0),MATCH(Amine_Cracking!$U21,'Tables - Part 2'!$AX$5:$BA$5,0))+INDEX('Tables - Part 2'!$BF$6:$BI$13,MATCH(Amine_Cracking!$W21,'Tables - Part 2'!$AV$6:$AV$13,0),MATCH(Amine_Cracking!$U21,'Tables - Part 2'!$AX$5:$BA$5,0)))/2)+INDEX('Tables - Part 2'!$BF$6:$BI$13,MATCH(Amine_Cracking!$W21,'Tables - Part 2'!$AV$6:$AV$13,0),MATCH(Amine_Cracking!$U21,'Tables - Part 2'!$AX$5:$BA$5,0)))/2)+INDEX('Tables - Part 2'!$BF$6:$BI$13,MATCH(Amine_Cracking!$W21,'Tables - Part 2'!$AV$6:$AV$13,0),MATCH(Amine_Cracking!$U21,'Tables - Part 2'!$AX$5:$BA$5,0)))/2,0)</f>
        <v>0</v>
      </c>
      <c r="AS21" s="248">
        <f>IF($T21=$AS$3,INDEX('Tables - Part 2'!$BF$6:$BI$13,MATCH(Amine_Cracking!$W21,'Tables - Part 2'!$AV$6:$AV$13,0),MATCH(Amine_Cracking!$U21,'Tables - Part 2'!$AX$5:$BA$5,0)),0)</f>
        <v>0</v>
      </c>
      <c r="AT21" s="248">
        <f>IF($T21=$AT$3,(INDEX('Tables - Part 2'!$BF$6:$BI$13,MATCH(Amine_Cracking!$W21,'Tables - Part 2'!$AV$6:$AV$13,0),MATCH(Amine_Cracking!$U21,'Tables - Part 2'!$AX$5:$BA$5,0))+((INDEX('Tables - Part 2'!$BF$6:$BI$13,MATCH(Amine_Cracking!$W21,'Tables - Part 2'!$AV$6:$AV$13,0),MATCH(Amine_Cracking!$U21,'Tables - Part 2'!$AX$5:$BA$5,0))+(INDEX('Tables - Part 2'!$BF$6:$BI$13,MATCH(Amine_Cracking!$W21,'Tables - Part 2'!$AV$6:$AV$13,0),MATCH(Amine_Cracking!$U21,'Tables - Part 2'!$AX$5:$BA$5,0))+INDEX('Tables - Part 2'!$AX$17:$BA$24,MATCH(Amine_Cracking!$W21,'Tables - Part 2'!$AV$6:$AV$13,0),MATCH(Amine_Cracking!$U21,'Tables - Part 2'!$AX$5:$BA$5,0)))/2)/2))/2,0)</f>
        <v>0</v>
      </c>
      <c r="AU21" s="248">
        <f>IF($T21=$AU$3,(INDEX('Tables - Part 2'!$BF$6:$BI$13,MATCH(Amine_Cracking!$W21,'Tables - Part 2'!$AV$6:$AV$13,0),MATCH(Amine_Cracking!$U21,'Tables - Part 2'!$AX$5:$BA$5,0))+(INDEX('Tables - Part 2'!$BF$6:$BI$13,MATCH(Amine_Cracking!$W21,'Tables - Part 2'!$AV$6:$AV$13,0),MATCH(Amine_Cracking!$U21,'Tables - Part 2'!$AX$5:$BA$5,0))+INDEX('Tables - Part 2'!$AX$17:$BA$24,MATCH(Amine_Cracking!$W21,'Tables - Part 2'!$AV$6:$AV$13,0),MATCH(Amine_Cracking!$U21,'Tables - Part 2'!$AX$5:$BA$5,0)))/2)/2,0)</f>
        <v>0</v>
      </c>
      <c r="AV21" s="248">
        <f>IF($T21=$AV$3,(((INDEX('Tables - Part 2'!$BF$6:$BI$13,MATCH(Amine_Cracking!$W21,'Tables - Part 2'!$AV$6:$AV$13,0),MATCH(Amine_Cracking!$U21,'Tables - Part 2'!$AX$5:$BA$5,0))+(INDEX('Tables - Part 2'!$BF$6:$BI$13,MATCH(Amine_Cracking!$W21,'Tables - Part 2'!$AV$6:$AV$13,0),MATCH(Amine_Cracking!$U21,'Tables - Part 2'!$AX$5:$BA$5,0))+INDEX('Tables - Part 2'!$AX$17:$BA$24,MATCH(Amine_Cracking!$W21,'Tables - Part 2'!$AV$6:$AV$13,0),MATCH(Amine_Cracking!$U21,'Tables - Part 2'!$AX$5:$BA$5,0)))/2)/2)+((INDEX('Tables - Part 2'!$BF$6:$BI$13,MATCH(Amine_Cracking!$W21,'Tables - Part 2'!$AV$6:$AV$13,0),MATCH(Amine_Cracking!$U21,'Tables - Part 2'!$AX$5:$BA$5,0))+INDEX('Tables - Part 2'!$AX$17:$BA$24,MATCH(Amine_Cracking!$W21,'Tables - Part 2'!$AV$6:$AV$13,0),MATCH(Amine_Cracking!$U21,'Tables - Part 2'!$AX$5:$BA$5,0)))/2))/2,0)</f>
        <v>0</v>
      </c>
      <c r="AW21" s="248">
        <f>IF($T21=$AW$3,(INDEX('Tables - Part 2'!$BF$6:$BI$13,MATCH(Amine_Cracking!$W21,'Tables - Part 2'!$AV$6:$AV$13,0),MATCH(Amine_Cracking!$U21,'Tables - Part 2'!$AX$5:$BA$5,0))+INDEX('Tables - Part 2'!$AX$17:$BA$24,MATCH(Amine_Cracking!$W21,'Tables - Part 2'!$AV$6:$AV$13,0),MATCH(Amine_Cracking!$U21,'Tables - Part 2'!$AX$5:$BA$5,0)))/2,0)</f>
        <v>0</v>
      </c>
      <c r="AX21" s="248">
        <f>IF($T21=$AX$3,(((INDEX('Tables - Part 2'!$BF$6:$BI$13,MATCH(Amine_Cracking!$W21,'Tables - Part 2'!$AV$6:$AV$13,0),MATCH(Amine_Cracking!$U21,'Tables - Part 2'!$AX$5:$BA$5,0))+INDEX('Tables - Part 2'!$AX$17:$BA$24,MATCH(Amine_Cracking!$W21,'Tables - Part 2'!$AV$6:$AV$13,0),MATCH(Amine_Cracking!$U21,'Tables - Part 2'!$AX$5:$BA$5,0)))/2)+((((INDEX('Tables - Part 2'!$BF$6:$BI$13,MATCH(Amine_Cracking!$W21,'Tables - Part 2'!$AV$6:$AV$13,0),MATCH(Amine_Cracking!$U21,'Tables - Part 2'!$AX$5:$BA$5,0))+INDEX('Tables - Part 2'!$AX$17:$BA$24,MATCH(Amine_Cracking!$W21,'Tables - Part 2'!$AV$6:$AV$13,0),MATCH(Amine_Cracking!$U21,'Tables - Part 2'!$AX$5:$BA$5,0)))/2)+INDEX('Tables - Part 2'!$AX$17:$BA$24,MATCH(Amine_Cracking!$W21,'Tables - Part 2'!$AV$6:$AV$13,0),MATCH(Amine_Cracking!$U21,'Tables - Part 2'!$AX$5:$BA$5,0)))/2))/2,0)</f>
        <v>0</v>
      </c>
      <c r="AY21" s="248">
        <f>IF($T21=$AY$3,(((INDEX('Tables - Part 2'!$BF$6:$BI$13,MATCH(Amine_Cracking!$W21,'Tables - Part 2'!$AV$6:$AV$13,0),MATCH(Amine_Cracking!$U21,'Tables - Part 2'!$AX$5:$BA$5,0))+INDEX('Tables - Part 2'!$AX$17:$BA$24,MATCH(Amine_Cracking!$W21,'Tables - Part 2'!$AV$6:$AV$13,0),MATCH(Amine_Cracking!$U21,'Tables - Part 2'!$AX$5:$BA$5,0)))/2)+INDEX('Tables - Part 2'!$AX$17:$BA$24,MATCH(Amine_Cracking!$W21,'Tables - Part 2'!$AV$6:$AV$13,0),MATCH(Amine_Cracking!$U21,'Tables - Part 2'!$AX$5:$BA$5,0)))/2,0)</f>
        <v>0</v>
      </c>
      <c r="AZ21" s="248">
        <f>IF($T21=$AZ$3,(((((INDEX('Tables - Part 2'!$BF$6:$BI$13,MATCH(Amine_Cracking!$W21,'Tables - Part 2'!$AV$6:$AV$13,0),MATCH(Amine_Cracking!$U21,'Tables - Part 2'!$AX$5:$BA$5,0))+INDEX('Tables - Part 2'!$AX$17:$BA$24,MATCH(Amine_Cracking!$W21,'Tables - Part 2'!$AV$6:$AV$13,0),MATCH(Amine_Cracking!$U21,'Tables - Part 2'!$AX$5:$BA$5,0)))/2)+INDEX('Tables - Part 2'!$AX$17:$BA$24,MATCH(Amine_Cracking!$W21,'Tables - Part 2'!$AV$6:$AV$13,0),MATCH(Amine_Cracking!$U21,'Tables - Part 2'!$AX$5:$BA$5,0)))/2)+(INDEX('Tables - Part 2'!$AX$17:$BA$24,MATCH(Amine_Cracking!$W21,'Tables - Part 2'!$AV$6:$AV$13,0),MATCH(Amine_Cracking!$U21,'Tables - Part 2'!$AX$5:$BA$5,0))))/2,0)</f>
        <v>0</v>
      </c>
      <c r="BA21" s="248">
        <f>IF($T21=$BA$3,INDEX('Tables - Part 2'!$AX$17:$BA$24,MATCH(Amine_Cracking!$W21,'Tables - Part 2'!$AV$6:$AV$13,0),MATCH(Amine_Cracking!$U21,'Tables - Part 2'!$AX$5:$BA$5,0)),0)</f>
        <v>0</v>
      </c>
      <c r="BB21" s="248">
        <f>IF($T21=$BB$3,((INDEX('Tables - Part 2'!$AX$17:$BA$24,MATCH(Amine_Cracking!$W21,'Tables - Part 2'!$AV$6:$AV$13,0),MATCH(Amine_Cracking!$U21,'Tables - Part 2'!$AX$5:$BA$5,0)))+(((INDEX('Tables - Part 2'!$AX$17:$BA$24,MATCH(Amine_Cracking!$W21,'Tables - Part 2'!$AV$6:$AV$13,0),MATCH(Amine_Cracking!$U21,'Tables - Part 2'!$AX$5:$BA$5,0)))+(INDEX('Tables - Part 2'!$AX$17:$BA$24,MATCH(Amine_Cracking!$W21,'Tables - Part 2'!$AV$6:$AV$13,0),MATCH(Amine_Cracking!$U21,'Tables - Part 2'!$AX$5:$BA$5,0))+INDEX('Tables - Part 2'!$BB$17:$BE$24,MATCH(Amine_Cracking!$W21,'Tables - Part 2'!$AV$6:$AV$13,0),MATCH(Amine_Cracking!$U21,'Tables - Part 2'!$AX$5:$BA$5,0)))/2)/2))/2,0)</f>
        <v>0</v>
      </c>
      <c r="BC21" s="248">
        <f>IF($T21=$BC$3,((INDEX('Tables - Part 2'!$AX$17:$BA$24,MATCH(Amine_Cracking!$W21,'Tables - Part 2'!$AV$6:$AV$13,0),MATCH(Amine_Cracking!$U21,'Tables - Part 2'!$AX$5:$BA$5,0)))+(INDEX('Tables - Part 2'!$AX$17:$BA$24,MATCH(Amine_Cracking!$W21,'Tables - Part 2'!$AV$6:$AV$13,0),MATCH(Amine_Cracking!$U21,'Tables - Part 2'!$AX$5:$BA$5,0))+INDEX('Tables - Part 2'!$BB$17:$BE$24,MATCH(Amine_Cracking!$W21,'Tables - Part 2'!$AV$6:$AV$13,0),MATCH(Amine_Cracking!$U21,'Tables - Part 2'!$AX$5:$BA$5,0)))/2)/2,0)</f>
        <v>0</v>
      </c>
      <c r="BD21" s="248">
        <f>IF($T21=$BD$3,((((INDEX('Tables - Part 2'!$AX$17:$BA$24,MATCH(Amine_Cracking!$W21,'Tables - Part 2'!$AV$6:$AV$13,0),MATCH(Amine_Cracking!$U21,'Tables - Part 2'!$AX$5:$BA$5,0)))+(INDEX('Tables - Part 2'!$AX$17:$BA$24,MATCH(Amine_Cracking!$W21,'Tables - Part 2'!$AV$6:$AV$13,0),MATCH(Amine_Cracking!$U21,'Tables - Part 2'!$AX$5:$BA$5,0))+INDEX('Tables - Part 2'!$BB$17:$BE$24,MATCH(Amine_Cracking!$W21,'Tables - Part 2'!$AV$6:$AV$13,0),MATCH(Amine_Cracking!$U21,'Tables - Part 2'!$AX$5:$BA$5,0)))/2)/2)+((INDEX('Tables - Part 2'!$AX$17:$BA$24,MATCH(Amine_Cracking!$W21,'Tables - Part 2'!$AV$6:$AV$13,0),MATCH(Amine_Cracking!$U21,'Tables - Part 2'!$AX$5:$BA$5,0))+INDEX('Tables - Part 2'!$BB$17:$BE$24,MATCH(Amine_Cracking!$W21,'Tables - Part 2'!$AV$6:$AV$13,0),MATCH(Amine_Cracking!$U21,'Tables - Part 2'!$AX$5:$BA$5,0)))/2))/2,0)</f>
        <v>0</v>
      </c>
      <c r="BE21" s="248">
        <f>IF($T21=$BE$3,(INDEX('Tables - Part 2'!$AX$17:$BA$24,MATCH(Amine_Cracking!$W21,'Tables - Part 2'!$AV$6:$AV$13,0),MATCH(Amine_Cracking!$U21,'Tables - Part 2'!$AX$5:$BA$5,0))+INDEX('Tables - Part 2'!$BB$17:$BE$24,MATCH(Amine_Cracking!$W21,'Tables - Part 2'!$AV$6:$AV$13,0),MATCH(Amine_Cracking!$U21,'Tables - Part 2'!$AX$5:$BA$5,0)))/2,0)</f>
        <v>0</v>
      </c>
      <c r="BF21" s="248">
        <f>IF($T21=$BF$3,(((INDEX('Tables - Part 2'!$AX$17:$BA$24,MATCH(Amine_Cracking!$W21,'Tables - Part 2'!$AV$6:$AV$13,0),MATCH(Amine_Cracking!$U21,'Tables - Part 2'!$AX$5:$BA$5,0))+INDEX('Tables - Part 2'!$BB$17:$BE$24,MATCH(Amine_Cracking!$W21,'Tables - Part 2'!$AV$6:$AV$13,0),MATCH(Amine_Cracking!$U21,'Tables - Part 2'!$AX$5:$BA$5,0)))/2)+((((INDEX('Tables - Part 2'!$AX$17:$BA$24,MATCH(Amine_Cracking!$W21,'Tables - Part 2'!$AV$6:$AV$13,0),MATCH(Amine_Cracking!$U21,'Tables - Part 2'!$AX$5:$BA$5,0))+INDEX('Tables - Part 2'!$BB$17:$BE$24,MATCH(Amine_Cracking!$W21,'Tables - Part 2'!$AV$6:$AV$13,0),MATCH(Amine_Cracking!$U21,'Tables - Part 2'!$AX$5:$BA$5,0)))/2)+INDEX('Tables - Part 2'!$BB$17:$BE$24,MATCH(Amine_Cracking!$W21,'Tables - Part 2'!$AV$6:$AV$13,0),MATCH(Amine_Cracking!$U21,'Tables - Part 2'!$AX$5:$BA$5,0)))/2))/2,0)</f>
        <v>0</v>
      </c>
      <c r="BG21" s="248">
        <f>IF($T21=$BG$3,(((INDEX('Tables - Part 2'!$AX$17:$BA$24,MATCH(Amine_Cracking!$W21,'Tables - Part 2'!$AV$6:$AV$13,0),MATCH(Amine_Cracking!$U21,'Tables - Part 2'!$AX$5:$BA$5,0))+INDEX('Tables - Part 2'!$BB$17:$BE$24,MATCH(Amine_Cracking!$W21,'Tables - Part 2'!$AV$6:$AV$13,0),MATCH(Amine_Cracking!$U21,'Tables - Part 2'!$AX$5:$BA$5,0)))/2)+INDEX('Tables - Part 2'!$BB$17:$BE$24,MATCH(Amine_Cracking!$W21,'Tables - Part 2'!$AV$6:$AV$13,0),MATCH(Amine_Cracking!$U21,'Tables - Part 2'!$AX$5:$BA$5,0)))/2,0)</f>
        <v>0</v>
      </c>
      <c r="BH21" s="248">
        <f>IF($T21=$BH$3,(((((INDEX('Tables - Part 2'!$AX$17:$BA$24,MATCH(Amine_Cracking!$W21,'Tables - Part 2'!$AV$6:$AV$13,0),MATCH(Amine_Cracking!$U21,'Tables - Part 2'!$AX$5:$BA$5,0))+INDEX('Tables - Part 2'!$BB$17:$BE$24,MATCH(Amine_Cracking!$W21,'Tables - Part 2'!$AV$6:$AV$13,0),MATCH(Amine_Cracking!$U21,'Tables - Part 2'!$AX$5:$BA$5,0)))/2)+INDEX('Tables - Part 2'!$BB$17:$BE$24,MATCH(Amine_Cracking!$W21,'Tables - Part 2'!$AV$6:$AV$13,0),MATCH(Amine_Cracking!$U21,'Tables - Part 2'!$AX$5:$BA$5,0)))/2)+(INDEX('Tables - Part 2'!$BB$17:$BE$24,MATCH(Amine_Cracking!$W21,'Tables - Part 2'!$AV$6:$AV$13,0),MATCH(Amine_Cracking!$U21,'Tables - Part 2'!$AX$5:$BA$5,0))))/2,0)</f>
        <v>0</v>
      </c>
      <c r="BI21" s="248">
        <f>IF($T21=$BI$3,INDEX('Tables - Part 2'!$BB$17:$BE$24,MATCH(Amine_Cracking!$W21,'Tables - Part 2'!$AV$6:$AV$13,0),MATCH(Amine_Cracking!$U21,'Tables - Part 2'!$AX$5:$BA$5,0)),0)</f>
        <v>0</v>
      </c>
      <c r="BJ21" s="248">
        <f>IF($T21=$BJ$3,((INDEX('Tables - Part 2'!$BB$17:$BE$24,MATCH(Amine_Cracking!$W21,'Tables - Part 2'!$AV$6:$AV$13,0),MATCH(Amine_Cracking!$U21,'Tables - Part 2'!$AX$5:$BA$5,0)))+(((INDEX('Tables - Part 2'!$BB$17:$BE$24,MATCH(Amine_Cracking!$W21,'Tables - Part 2'!$AV$6:$AV$13,0),MATCH(Amine_Cracking!$U21,'Tables - Part 2'!$AX$5:$BA$5,0)))+(INDEX('Tables - Part 2'!$BB$17:$BE$24,MATCH(Amine_Cracking!$W21,'Tables - Part 2'!$AV$6:$AV$13,0),MATCH(Amine_Cracking!$U21,'Tables - Part 2'!$AX$5:$BA$5,0))+INDEX('Tables - Part 2'!$BF$17:$BI$24,MATCH(Amine_Cracking!$W21,'Tables - Part 2'!$AV$6:$AV$13,0),MATCH(Amine_Cracking!$U21,'Tables - Part 2'!$AX$5:$BA$5,0)))/2)/2))/2,0)</f>
        <v>0</v>
      </c>
      <c r="BK21" s="248">
        <f>IF($T21=$BK$3,((INDEX('Tables - Part 2'!$BB$17:$BE$24,MATCH(Amine_Cracking!$W21,'Tables - Part 2'!$AV$6:$AV$13,0),MATCH(Amine_Cracking!$U21,'Tables - Part 2'!$AX$5:$BA$5,0)))+(INDEX('Tables - Part 2'!$BB$17:$BE$24,MATCH(Amine_Cracking!$W21,'Tables - Part 2'!$AV$6:$AV$13,0),MATCH(Amine_Cracking!$U21,'Tables - Part 2'!$AX$5:$BA$5,0))+INDEX('Tables - Part 2'!$BF$17:$BI$24,MATCH(Amine_Cracking!$W21,'Tables - Part 2'!$AV$6:$AV$13,0),MATCH(Amine_Cracking!$U21,'Tables - Part 2'!$AX$5:$BA$5,0)))/2)/2,0)</f>
        <v>0</v>
      </c>
      <c r="BL21" s="248">
        <f>IF($T21=$BL$3,((((INDEX('Tables - Part 2'!$BB$17:$BE$24,MATCH(Amine_Cracking!$W21,'Tables - Part 2'!$AV$6:$AV$13,0),MATCH(Amine_Cracking!$U21,'Tables - Part 2'!$AX$5:$BA$5,0)))+(INDEX('Tables - Part 2'!$BB$17:$BE$24,MATCH(Amine_Cracking!$W21,'Tables - Part 2'!$AV$6:$AV$13,0),MATCH(Amine_Cracking!$U21,'Tables - Part 2'!$AX$5:$BA$5,0))+INDEX('Tables - Part 2'!$BF$17:$BI$24,MATCH(Amine_Cracking!$W21,'Tables - Part 2'!$AV$6:$AV$13,0),MATCH(Amine_Cracking!$U21,'Tables - Part 2'!$AX$5:$BA$5,0)))/2)/2)+((INDEX('Tables - Part 2'!$BB$17:$BE$24,MATCH(Amine_Cracking!$W21,'Tables - Part 2'!$AV$6:$AV$13,0),MATCH(Amine_Cracking!$U21,'Tables - Part 2'!$AX$5:$BA$5,0))+INDEX('Tables - Part 2'!$BF$17:$BI$24,MATCH(Amine_Cracking!$W21,'Tables - Part 2'!$AV$6:$AV$13,0),MATCH(Amine_Cracking!$U21,'Tables - Part 2'!$AX$5:$BA$5,0)))/2))/2,0)</f>
        <v>0</v>
      </c>
      <c r="BM21" s="248">
        <f>IF($T21=$BM$3,(INDEX('Tables - Part 2'!$BB$17:$BE$24,MATCH(Amine_Cracking!$W21,'Tables - Part 2'!$AV$6:$AV$13,0),MATCH(Amine_Cracking!$U21,'Tables - Part 2'!$AX$5:$BA$5,0))+INDEX('Tables - Part 2'!$BF$17:$BI$24,MATCH(Amine_Cracking!$W21,'Tables - Part 2'!$AV$6:$AV$13,0),MATCH(Amine_Cracking!$U21,'Tables - Part 2'!$AX$5:$BA$5,0)))/2,0)</f>
        <v>0</v>
      </c>
      <c r="BN21" s="248">
        <f>IF($T21=$BN$3,(((INDEX('Tables - Part 2'!$BB$17:$BE$24,MATCH(Amine_Cracking!$W21,'Tables - Part 2'!$AV$6:$AV$13,0),MATCH(Amine_Cracking!$U21,'Tables - Part 2'!$AX$5:$BA$5,0))+INDEX('Tables - Part 2'!$BF$17:$BI$24,MATCH(Amine_Cracking!$W21,'Tables - Part 2'!$AV$6:$AV$13,0),MATCH(Amine_Cracking!$U21,'Tables - Part 2'!$AX$5:$BA$5,0)))/2)+((((INDEX('Tables - Part 2'!$BB$17:$BE$24,MATCH(Amine_Cracking!$W21,'Tables - Part 2'!$AV$6:$AV$13,0),MATCH(Amine_Cracking!$U21,'Tables - Part 2'!$AX$5:$BA$5,0))+INDEX('Tables - Part 2'!$BF$17:$BI$24,MATCH(Amine_Cracking!$W21,'Tables - Part 2'!$AV$6:$AV$13,0),MATCH(Amine_Cracking!$U21,'Tables - Part 2'!$AX$5:$BA$5,0)))/2)+INDEX('Tables - Part 2'!$BF$17:$BI$24,MATCH(Amine_Cracking!$W21,'Tables - Part 2'!$AV$6:$AV$13,0),MATCH(Amine_Cracking!$U21,'Tables - Part 2'!$AX$5:$BA$5,0)))/2))/2,0)</f>
        <v>0</v>
      </c>
      <c r="BO21" s="248">
        <f>IF($T21=$BO$3,(((INDEX('Tables - Part 2'!$BB$17:$BE$24,MATCH(Amine_Cracking!$W21,'Tables - Part 2'!$AV$6:$AV$13,0),MATCH(Amine_Cracking!$U21,'Tables - Part 2'!$AX$5:$BA$5,0))+INDEX('Tables - Part 2'!$BF$17:$BI$24,MATCH(Amine_Cracking!$W21,'Tables - Part 2'!$AV$6:$AV$13,0),MATCH(Amine_Cracking!$U21,'Tables - Part 2'!$AX$5:$BA$5,0)))/2)+INDEX('Tables - Part 2'!$BF$17:$BI$24,MATCH(Amine_Cracking!$W21,'Tables - Part 2'!$AV$6:$AV$13,0),MATCH(Amine_Cracking!$U21,'Tables - Part 2'!$AX$5:$BA$5,0)))/2,0)</f>
        <v>0</v>
      </c>
      <c r="BP21" s="248">
        <f>IF($T21=$BP$3,(((((INDEX('Tables - Part 2'!$BB$17:$BE$24,MATCH(Amine_Cracking!$W21,'Tables - Part 2'!$AV$6:$AV$13,0),MATCH(Amine_Cracking!$U21,'Tables - Part 2'!$AX$5:$BA$5,0))+INDEX('Tables - Part 2'!$BF$17:$BI$24,MATCH(Amine_Cracking!$W21,'Tables - Part 2'!$AV$6:$AV$13,0),MATCH(Amine_Cracking!$U21,'Tables - Part 2'!$AX$5:$BA$5,0)))/2)+INDEX('Tables - Part 2'!$BF$17:$BI$24,MATCH(Amine_Cracking!$W21,'Tables - Part 2'!$AV$6:$AV$13,0),MATCH(Amine_Cracking!$U21,'Tables - Part 2'!$AX$5:$BA$5,0)))/2)+(INDEX('Tables - Part 2'!$BF$17:$BI$24,MATCH(Amine_Cracking!$W21,'Tables - Part 2'!$AV$6:$AV$13,0),MATCH(Amine_Cracking!$U21,'Tables - Part 2'!$AX$5:$BA$5,0))))/2,0)</f>
        <v>0</v>
      </c>
      <c r="BQ21" s="248">
        <f>IF($T21=$BQ$3,INDEX('Tables - Part 2'!$BF$17:$BI$24,MATCH(Amine_Cracking!$W21,'Tables - Part 2'!$AV$6:$AV$13,0),MATCH(Amine_Cracking!$U21,'Tables - Part 2'!$AX$5:$BA$5,0)),0)</f>
        <v>0</v>
      </c>
      <c r="BR21" s="248">
        <f t="shared" si="5"/>
        <v>0</v>
      </c>
      <c r="BS21" s="238">
        <f t="shared" si="8"/>
        <v>3</v>
      </c>
      <c r="BT21" s="238">
        <f t="shared" si="9"/>
        <v>50.318647405225171</v>
      </c>
    </row>
  </sheetData>
  <mergeCells count="1">
    <mergeCell ref="Y2:AB2"/>
  </mergeCells>
  <dataValidations count="2">
    <dataValidation type="list" allowBlank="1" showInputMessage="1" showErrorMessage="1" sqref="E4:E21" xr:uid="{00000000-0002-0000-1000-000000000000}">
      <formula1>$BY$2:$BY$4</formula1>
    </dataValidation>
    <dataValidation type="list" allowBlank="1" showInputMessage="1" showErrorMessage="1" sqref="J4:L21 D4:D21 F4:H21" xr:uid="{00000000-0002-0000-1000-000001000000}">
      <formula1>$BY$2:$BY$3</formula1>
    </dataValidation>
  </dataValidations>
  <pageMargins left="0.511811024" right="0.511811024" top="0.78740157499999996" bottom="0.78740157499999996" header="0.31496062000000002" footer="0.31496062000000002"/>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9">
    <tabColor rgb="FFFFFF00"/>
  </sheetPr>
  <dimension ref="B1:CF21"/>
  <sheetViews>
    <sheetView topLeftCell="U1" zoomScale="70" zoomScaleNormal="70" workbookViewId="0">
      <selection activeCell="U4" sqref="U4"/>
    </sheetView>
  </sheetViews>
  <sheetFormatPr defaultRowHeight="14.5" x14ac:dyDescent="0.35"/>
  <cols>
    <col min="1" max="1" width="1.26953125" customWidth="1"/>
    <col min="2" max="3" width="18.26953125" customWidth="1"/>
    <col min="4" max="4" width="21.26953125" customWidth="1"/>
    <col min="5" max="5" width="10.453125" customWidth="1"/>
    <col min="6" max="6" width="11.54296875" customWidth="1"/>
    <col min="7" max="7" width="21.7265625" customWidth="1"/>
    <col min="8" max="8" width="12.1796875" customWidth="1"/>
    <col min="9" max="9" width="22.453125" bestFit="1" customWidth="1"/>
    <col min="10" max="10" width="8.54296875" bestFit="1" customWidth="1"/>
    <col min="11" max="11" width="23.54296875" customWidth="1"/>
    <col min="12" max="12" width="13.453125" customWidth="1"/>
    <col min="13" max="15" width="12.81640625" customWidth="1"/>
    <col min="16" max="16" width="16.1796875" customWidth="1"/>
    <col min="17" max="17" width="12.81640625" customWidth="1"/>
    <col min="18" max="18" width="16.453125" customWidth="1"/>
    <col min="19" max="19" width="12.1796875" customWidth="1"/>
    <col min="20" max="20" width="22.1796875" customWidth="1"/>
    <col min="21" max="21" width="25.26953125" bestFit="1" customWidth="1"/>
    <col min="22" max="22" width="11" customWidth="1"/>
    <col min="23" max="27" width="19.81640625" customWidth="1"/>
    <col min="28" max="28" width="5.7265625" bestFit="1" customWidth="1"/>
    <col min="29" max="29" width="6" customWidth="1"/>
    <col min="30" max="30" width="5.54296875" customWidth="1"/>
    <col min="31" max="31" width="6.7265625" customWidth="1"/>
    <col min="32" max="32" width="6" customWidth="1"/>
    <col min="33" max="33" width="6.7265625" customWidth="1"/>
    <col min="34" max="34" width="5.54296875" customWidth="1"/>
    <col min="35" max="35" width="6" customWidth="1"/>
    <col min="36" max="36" width="5.7265625" bestFit="1" customWidth="1"/>
    <col min="37" max="37" width="6.7265625" customWidth="1"/>
    <col min="38" max="38" width="6" customWidth="1"/>
    <col min="39" max="39" width="6.7265625" customWidth="1"/>
    <col min="40" max="40" width="4.81640625" customWidth="1"/>
    <col min="41" max="41" width="6" customWidth="1"/>
    <col min="42" max="42" width="5.54296875" customWidth="1"/>
    <col min="43" max="43" width="6.7265625" customWidth="1"/>
    <col min="44" max="44" width="6" customWidth="1"/>
    <col min="45" max="45" width="6.7265625" customWidth="1"/>
    <col min="46" max="48" width="6" customWidth="1"/>
    <col min="49" max="49" width="6.7265625" customWidth="1"/>
    <col min="50" max="50" width="6" customWidth="1"/>
    <col min="51" max="51" width="6.7265625" customWidth="1"/>
    <col min="52" max="54" width="6" customWidth="1"/>
    <col min="55" max="55" width="6.7265625" customWidth="1"/>
    <col min="56" max="56" width="6" customWidth="1"/>
    <col min="57" max="57" width="6.7265625" customWidth="1"/>
    <col min="58" max="60" width="6" customWidth="1"/>
    <col min="61" max="61" width="6.7265625" customWidth="1"/>
    <col min="62" max="62" width="6" customWidth="1"/>
    <col min="63" max="63" width="6.7265625" customWidth="1"/>
    <col min="64" max="64" width="4.81640625" customWidth="1"/>
    <col min="65" max="65" width="6" customWidth="1"/>
    <col min="66" max="66" width="5.54296875" customWidth="1"/>
    <col min="67" max="67" width="6.7265625" customWidth="1"/>
    <col min="68" max="69" width="4.81640625" customWidth="1"/>
    <col min="70" max="71" width="19.81640625" customWidth="1"/>
    <col min="72" max="73" width="9.1796875" customWidth="1"/>
    <col min="74" max="74" width="26.81640625" customWidth="1"/>
    <col min="75" max="75" width="23.54296875" customWidth="1"/>
    <col min="76" max="76" width="35.54296875" customWidth="1"/>
  </cols>
  <sheetData>
    <row r="1" spans="2:84" ht="3.75" customHeight="1" x14ac:dyDescent="0.35"/>
    <row r="2" spans="2:84" x14ac:dyDescent="0.35">
      <c r="X2" s="702" t="s">
        <v>897</v>
      </c>
      <c r="Y2" s="702"/>
      <c r="Z2" s="702"/>
      <c r="AA2" s="702"/>
      <c r="AB2" s="449"/>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1"/>
      <c r="BS2" s="451"/>
      <c r="BV2" s="237" t="s">
        <v>839</v>
      </c>
      <c r="BX2" s="158" t="s">
        <v>244</v>
      </c>
      <c r="CC2" s="208"/>
      <c r="CD2" s="208"/>
      <c r="CF2" s="208"/>
    </row>
    <row r="3" spans="2:84" ht="29.25" customHeight="1" x14ac:dyDescent="0.35">
      <c r="B3" s="346" t="s">
        <v>968</v>
      </c>
      <c r="C3" s="346" t="s">
        <v>969</v>
      </c>
      <c r="D3" s="139" t="s">
        <v>843</v>
      </c>
      <c r="E3" s="139" t="s">
        <v>860</v>
      </c>
      <c r="F3" s="139" t="s">
        <v>829</v>
      </c>
      <c r="G3" s="139" t="s">
        <v>844</v>
      </c>
      <c r="H3" s="139" t="s">
        <v>846</v>
      </c>
      <c r="I3" s="346" t="s">
        <v>1117</v>
      </c>
      <c r="J3" s="346" t="s">
        <v>858</v>
      </c>
      <c r="K3" s="139" t="s">
        <v>867</v>
      </c>
      <c r="L3" s="139" t="s">
        <v>893</v>
      </c>
      <c r="M3" s="139" t="s">
        <v>894</v>
      </c>
      <c r="N3" s="139" t="s">
        <v>895</v>
      </c>
      <c r="O3" s="139" t="s">
        <v>896</v>
      </c>
      <c r="P3" s="139" t="s">
        <v>882</v>
      </c>
      <c r="Q3" s="139" t="s">
        <v>880</v>
      </c>
      <c r="R3" s="139" t="s">
        <v>882</v>
      </c>
      <c r="S3" s="139" t="s">
        <v>880</v>
      </c>
      <c r="T3" s="346" t="s">
        <v>847</v>
      </c>
      <c r="U3" s="346" t="s">
        <v>855</v>
      </c>
      <c r="V3" s="244" t="s">
        <v>861</v>
      </c>
      <c r="W3" s="346" t="s">
        <v>869</v>
      </c>
      <c r="X3" s="346" t="s">
        <v>278</v>
      </c>
      <c r="Y3" s="346" t="s">
        <v>279</v>
      </c>
      <c r="Z3" s="346" t="s">
        <v>280</v>
      </c>
      <c r="AA3" s="346" t="s">
        <v>274</v>
      </c>
      <c r="AB3" s="346">
        <v>1</v>
      </c>
      <c r="AC3" s="252">
        <v>1.125</v>
      </c>
      <c r="AD3" s="346">
        <v>1.25</v>
      </c>
      <c r="AE3" s="346">
        <v>1.375</v>
      </c>
      <c r="AF3" s="254">
        <v>1.5</v>
      </c>
      <c r="AG3" s="346">
        <v>1.625</v>
      </c>
      <c r="AH3" s="346">
        <v>1.75</v>
      </c>
      <c r="AI3" s="252">
        <v>1.875</v>
      </c>
      <c r="AJ3" s="346">
        <v>2</v>
      </c>
      <c r="AK3" s="346">
        <v>2.125</v>
      </c>
      <c r="AL3" s="252">
        <v>2.25</v>
      </c>
      <c r="AM3" s="346">
        <v>2.375</v>
      </c>
      <c r="AN3" s="346">
        <v>2.5</v>
      </c>
      <c r="AO3" s="252">
        <v>2.625</v>
      </c>
      <c r="AP3" s="346">
        <v>2.75</v>
      </c>
      <c r="AQ3" s="346">
        <v>2.875</v>
      </c>
      <c r="AR3" s="255">
        <v>3</v>
      </c>
      <c r="AS3" s="346">
        <v>3.125</v>
      </c>
      <c r="AT3" s="346">
        <v>3.25</v>
      </c>
      <c r="AU3" s="252">
        <v>3.375</v>
      </c>
      <c r="AV3" s="346">
        <v>3.5</v>
      </c>
      <c r="AW3" s="346">
        <v>3.625</v>
      </c>
      <c r="AX3" s="252">
        <v>3.75</v>
      </c>
      <c r="AY3" s="346">
        <v>3.875</v>
      </c>
      <c r="AZ3" s="346">
        <v>4</v>
      </c>
      <c r="BA3" s="252">
        <v>4.125</v>
      </c>
      <c r="BB3" s="346">
        <v>4.25</v>
      </c>
      <c r="BC3" s="346">
        <v>4.375</v>
      </c>
      <c r="BD3" s="254">
        <v>4.5</v>
      </c>
      <c r="BE3" s="346">
        <v>4.625</v>
      </c>
      <c r="BF3" s="346">
        <v>4.75</v>
      </c>
      <c r="BG3" s="252">
        <v>4.875</v>
      </c>
      <c r="BH3" s="346">
        <v>5</v>
      </c>
      <c r="BI3" s="346">
        <v>5.125</v>
      </c>
      <c r="BJ3" s="252">
        <v>5.25</v>
      </c>
      <c r="BK3" s="346">
        <v>5.375</v>
      </c>
      <c r="BL3" s="346">
        <v>5.5</v>
      </c>
      <c r="BM3" s="252">
        <v>5.625</v>
      </c>
      <c r="BN3" s="346">
        <v>5.75</v>
      </c>
      <c r="BO3" s="346">
        <v>5.875</v>
      </c>
      <c r="BP3" s="346">
        <v>6</v>
      </c>
      <c r="BQ3" s="346" t="s">
        <v>281</v>
      </c>
      <c r="BR3" s="346" t="s">
        <v>1119</v>
      </c>
      <c r="BS3" s="141" t="s">
        <v>1118</v>
      </c>
      <c r="BV3" s="237" t="s">
        <v>840</v>
      </c>
      <c r="BX3" s="158" t="s">
        <v>245</v>
      </c>
      <c r="CB3" s="208"/>
    </row>
    <row r="4" spans="2:84" x14ac:dyDescent="0.35">
      <c r="B4" s="161" t="str">
        <f>'Tratamento de Dados'!B12</f>
        <v>V-90</v>
      </c>
      <c r="C4" s="161" t="str">
        <f>'Tratamento de Dados'!D12</f>
        <v>Casco</v>
      </c>
      <c r="D4" s="209" t="s">
        <v>245</v>
      </c>
      <c r="E4" s="209" t="s">
        <v>61</v>
      </c>
      <c r="F4" s="209" t="s">
        <v>836</v>
      </c>
      <c r="G4" s="209" t="s">
        <v>832</v>
      </c>
      <c r="H4" s="209" t="s">
        <v>245</v>
      </c>
      <c r="I4" s="209" t="s">
        <v>1113</v>
      </c>
      <c r="J4" s="209" t="s">
        <v>245</v>
      </c>
      <c r="K4" s="210">
        <v>39092</v>
      </c>
      <c r="L4" s="209">
        <v>0</v>
      </c>
      <c r="M4" s="209">
        <v>1</v>
      </c>
      <c r="N4" s="209">
        <v>1</v>
      </c>
      <c r="O4" s="209">
        <v>4</v>
      </c>
      <c r="P4" s="253">
        <f>'Tratamento de Dados'!DA12</f>
        <v>0</v>
      </c>
      <c r="Q4" s="253">
        <f>'Tratamento de Dados'!DB12</f>
        <v>0</v>
      </c>
      <c r="R4" s="256">
        <f t="shared" ref="R4:R21" si="0">IF(P4=0,IF(X4&gt;=1,X4,IF(Y4&gt;=1,Y4,IF(Z4&gt;=1,Z4,IF(AA4&gt;=1,AA4,0)))),P4)</f>
        <v>2.5</v>
      </c>
      <c r="S4" s="246" t="str">
        <f t="shared" ref="S4:S21" si="1">IF(Q4=0,IF(X4&gt;=1,$X$3,IF(Y4&gt;=1,$Y$3,IF(Z4&gt;=1,$Z$3,IF(AA4&gt;=1,$AA$3,"E")))),Q4)</f>
        <v>B</v>
      </c>
      <c r="T4" s="238" t="str">
        <f>IF(D4=$BX$2,$BV$4,IF(AND(H4=$BX$2,OR(F4='Tables - Part 2'!$BN$8,'Tables - Part 2'!$BN$9),OR('SCC_Sulfide (SSC)'!G4='Tables - Part 2'!$BQ$4,'SCC_Sulfide (SSC)'!G4='Tables - Part 2'!$BR$4)),$BV$4,INDEX('Tables - Part 2'!$BO$5:$BR$9,MATCH('SCC_Sulfide (SSC)'!F4,'Tables - Part 2'!$BN$5:$BN$9,0),MATCH('SCC_Sulfide (SSC)'!G4,'Tables - Part 2'!$BO$4:$BR$4,0))))</f>
        <v>Moderate</v>
      </c>
      <c r="U4" s="238" t="str">
        <f>IF(D4=$BX$2,$BV$4,IF(J4=$BX$2,INDEX('Tables - Part 2'!$BX$6:$BZ$8,MATCH('SCC_Sulfide (SSC)'!T4,'Tables - Part 2'!$BT$6:$BT$8,0),MATCH('SCC_Sulfide (SSC)'!I4,'Tables - Part 2'!$BX$5:$BZ$5,0)),INDEX('Tables - Part 2'!$BU$6:$BW$8,MATCH('SCC_Sulfide (SSC)'!T4,'Tables - Part 2'!$BT$6:$BT$8,0),MATCH('SCC_Sulfide (SSC)'!I4,'Tables - Part 2'!$BU$5:$BW$5,0))))</f>
        <v>Medium</v>
      </c>
      <c r="V4" s="238">
        <f>IF(AND(D4=$BX$2,E4&lt;&gt;$BX$2),"Fitness-For-Service",INDEX('Tables - Part 2'!$CC$4:$CC$7,MATCH('SCC_Sulfide (SSC)'!U4,'Tables - Part 2'!$CB$4:$CB$7,0),))</f>
        <v>10</v>
      </c>
      <c r="W4" s="238">
        <f>IF(K4=0,(Thinning!G5-Thinning!F5)/365.25,(Thinning!G5-K4)/365.25)</f>
        <v>12.980150581793293</v>
      </c>
      <c r="X4" s="248">
        <f t="shared" ref="X4:X21" si="2">IF(L4=0,0,_xlfn.FLOOR.MATH((Y4/2)+L4,0.25))</f>
        <v>0</v>
      </c>
      <c r="Y4" s="248">
        <f t="shared" ref="Y4:Y21" si="3">IF(AND(L4=0,M4=0),0,_xlfn.FLOOR.MATH((Z4/2)+M4,0.25))</f>
        <v>2.5</v>
      </c>
      <c r="Z4" s="248">
        <f t="shared" ref="Z4:Z21" si="4">_xlfn.FLOOR.MATH((AA4/2)+N4,0.25)</f>
        <v>3</v>
      </c>
      <c r="AA4" s="247">
        <f t="shared" ref="AA4:AA21" si="5">O4</f>
        <v>4</v>
      </c>
      <c r="AB4" s="248">
        <f>IF($R4=$AB$3,INDEX('Tables - Part 2'!$AX$6:$BA$13,MATCH('SCC_Sulfide (SSC)'!V4,'Tables - Part 2'!$AV$6:$AV$13,0),MATCH('SCC_Sulfide (SSC)'!S4,'Tables - Part 2'!$AX$5:$BA$5,0)),0)</f>
        <v>0</v>
      </c>
      <c r="AC4" s="248">
        <f>IF($R4=$AC$3,(INDEX('Tables - Part 2'!$AX$6:$BA$13,MATCH('SCC_Sulfide (SSC)'!V4,'Tables - Part 2'!$AV$6:$AV$13,0),MATCH('SCC_Sulfide (SSC)'!S4,'Tables - Part 2'!$AX$5:$BA$5,0))+(INDEX('Tables - Part 2'!$AX$6:$BA$13,MATCH('SCC_Sulfide (SSC)'!V4,'Tables - Part 2'!$AV$6:$AV$13,0),MATCH('SCC_Sulfide (SSC)'!S4,'Tables - Part 2'!$AX$5:$BA$5,0))+((INDEX('Tables - Part 2'!$AX$6:$BA$13,MATCH('SCC_Sulfide (SSC)'!V4,'Tables - Part 2'!$AV$6:$AV$13,0),MATCH('SCC_Sulfide (SSC)'!S4,'Tables - Part 2'!$AX$5:$BA$5,0))+INDEX('Tables - Part 2'!$BB$6:$BE$13,MATCH('SCC_Sulfide (SSC)'!$V4,'Tables - Part 2'!$AV$6:$AV$13,0),MATCH('SCC_Sulfide (SSC)'!$S4,'Tables - Part 2'!$AX$5:$BA$5,0)))/2))/2)/2,0)</f>
        <v>0</v>
      </c>
      <c r="AD4" s="248">
        <f>IF($R4=$AD$3,(INDEX('Tables - Part 2'!$AX$6:$BA$13,MATCH('SCC_Sulfide (SSC)'!V4,'Tables - Part 2'!$AV$6:$AV$13,0),MATCH('SCC_Sulfide (SSC)'!S4,'Tables - Part 2'!$AX$5:$BA$5,0))+((INDEX('Tables - Part 2'!$AX$6:$BA$13,MATCH('SCC_Sulfide (SSC)'!V4,'Tables - Part 2'!$AV$6:$AV$13,0),MATCH('SCC_Sulfide (SSC)'!S4,'Tables - Part 2'!$AX$5:$BA$5,0))+INDEX('Tables - Part 2'!$BB$6:$BE$13,MATCH('SCC_Sulfide (SSC)'!$V4,'Tables - Part 2'!$AV$6:$AV$13,0),MATCH('SCC_Sulfide (SSC)'!$S4,'Tables - Part 2'!$AX$5:$BA$5,0)))/2))/2,0)</f>
        <v>0</v>
      </c>
      <c r="AE4" s="248">
        <f>IF($R4=$AE$3,(((INDEX('Tables - Part 2'!$AX$6:$BA$13,MATCH('SCC_Sulfide (SSC)'!V4,'Tables - Part 2'!$AV$6:$AV$13,0),MATCH('SCC_Sulfide (SSC)'!S4,'Tables - Part 2'!$AX$5:$BA$5,0))+((INDEX('Tables - Part 2'!$AX$6:$BA$13,MATCH('SCC_Sulfide (SSC)'!V4,'Tables - Part 2'!$AV$6:$AV$13,0),MATCH('SCC_Sulfide (SSC)'!S4,'Tables - Part 2'!$AX$5:$BA$5,0))+INDEX('Tables - Part 2'!$BB$6:$BE$13,MATCH('SCC_Sulfide (SSC)'!$V4,'Tables - Part 2'!$AV$6:$AV$13,0),MATCH('SCC_Sulfide (SSC)'!$S4,'Tables - Part 2'!$AX$5:$BA$5,0)))/2))/2)+(INDEX('Tables - Part 2'!$AX$6:$BA$13,MATCH('SCC_Sulfide (SSC)'!V4,'Tables - Part 2'!$AV$6:$AV$13,0),MATCH('SCC_Sulfide (SSC)'!S4,'Tables - Part 2'!$AX$5:$BA$5,0))+INDEX('Tables - Part 2'!$BB$6:$BE$13,MATCH('SCC_Sulfide (SSC)'!$V4,'Tables - Part 2'!$AV$6:$AV$13,0),MATCH('SCC_Sulfide (SSC)'!$S4,'Tables - Part 2'!$AX$5:$BA$5,0)))/2)/2,0)</f>
        <v>0</v>
      </c>
      <c r="AF4" s="248">
        <f>IF($R4=$AF$3,(INDEX('Tables - Part 2'!$AX$6:$BA$13,MATCH('SCC_Sulfide (SSC)'!V4,'Tables - Part 2'!$AV$6:$AV$13,0),MATCH('SCC_Sulfide (SSC)'!S4,'Tables - Part 2'!$AX$5:$BA$5,0))+INDEX('Tables - Part 2'!$BB$6:$BE$13,MATCH('SCC_Sulfide (SSC)'!$V4,'Tables - Part 2'!$AV$6:$AV$13,0),MATCH('SCC_Sulfide (SSC)'!$S4,'Tables - Part 2'!$AX$5:$BA$5,0)))/2,0)</f>
        <v>0</v>
      </c>
      <c r="AG4" s="248">
        <f>IF($R4=$AG$3,(((INDEX('Tables - Part 2'!$AX$6:$BA$13,MATCH('SCC_Sulfide (SSC)'!V4,'Tables - Part 2'!$AV$6:$AV$13,0),MATCH('SCC_Sulfide (SSC)'!S4,'Tables - Part 2'!$AX$5:$BA$5,0))+INDEX('Tables - Part 2'!$BB$6:$BE$13,MATCH('SCC_Sulfide (SSC)'!$V4,'Tables - Part 2'!$AV$6:$AV$13,0),MATCH('SCC_Sulfide (SSC)'!$S4,'Tables - Part 2'!$AX$5:$BA$5,0)))/2)+(((INDEX('Tables - Part 2'!$AX$6:$BA$13,MATCH('SCC_Sulfide (SSC)'!V4,'Tables - Part 2'!$AV$6:$AV$13,0),MATCH('SCC_Sulfide (SSC)'!S4,'Tables - Part 2'!$AX$5:$BA$5,0))+INDEX('Tables - Part 2'!$BB$6:$BE$13,MATCH('SCC_Sulfide (SSC)'!$V4,'Tables - Part 2'!$AV$6:$AV$13,0),MATCH('SCC_Sulfide (SSC)'!$S4,'Tables - Part 2'!$AX$5:$BA$5,0)))/2)+INDEX('Tables - Part 2'!$BB$6:$BE$13,MATCH('SCC_Sulfide (SSC)'!$V4,'Tables - Part 2'!$AV$6:$AV$13,0),MATCH('SCC_Sulfide (SSC)'!$S4,'Tables - Part 2'!$AX$5:$BA$5,0)))/2)/2,0)</f>
        <v>0</v>
      </c>
      <c r="AH4" s="248">
        <f>IF($R4=$AH$3,(((INDEX('Tables - Part 2'!$AX$6:$BA$13,MATCH('SCC_Sulfide (SSC)'!V4,'Tables - Part 2'!$AV$6:$AV$13,0),MATCH('SCC_Sulfide (SSC)'!S4,'Tables - Part 2'!$AX$5:$BA$5,0))+INDEX('Tables - Part 2'!$BB$6:$BE$13,MATCH('SCC_Sulfide (SSC)'!$V4,'Tables - Part 2'!$AV$6:$AV$13,0),MATCH('SCC_Sulfide (SSC)'!$S4,'Tables - Part 2'!$AX$5:$BA$5,0)))/2)+INDEX('Tables - Part 2'!$BB$6:$BE$13,MATCH('SCC_Sulfide (SSC)'!$V4,'Tables - Part 2'!$AV$6:$AV$13,0),MATCH('SCC_Sulfide (SSC)'!$S4,'Tables - Part 2'!$AX$5:$BA$5,0)))/2,0)</f>
        <v>0</v>
      </c>
      <c r="AI4" s="248">
        <f>IF($R4=$AI$3,(((((INDEX('Tables - Part 2'!$AX$6:$BA$13,MATCH('SCC_Sulfide (SSC)'!V4,'Tables - Part 2'!$AV$6:$AV$13,0),MATCH('SCC_Sulfide (SSC)'!S4,'Tables - Part 2'!$AX$5:$BA$5,0))+INDEX('Tables - Part 2'!$BB$6:$BE$13,MATCH('SCC_Sulfide (SSC)'!$V4,'Tables - Part 2'!$AV$6:$AV$13,0),MATCH('SCC_Sulfide (SSC)'!$S4,'Tables - Part 2'!$AX$5:$BA$5,0)))/2)+INDEX('Tables - Part 2'!$BB$6:$BE$13,MATCH('SCC_Sulfide (SSC)'!$V4,'Tables - Part 2'!$AV$6:$AV$13,0),MATCH('SCC_Sulfide (SSC)'!$S4,'Tables - Part 2'!$AX$5:$BA$5,0)))/2)+INDEX('Tables - Part 2'!$BB$6:$BE$13,MATCH('SCC_Sulfide (SSC)'!$V4,'Tables - Part 2'!$AV$6:$AV$13,0),MATCH('SCC_Sulfide (SSC)'!$S4,'Tables - Part 2'!$AX$5:$BA$5,0)))/2,0)</f>
        <v>0</v>
      </c>
      <c r="AJ4" s="248">
        <f>IF($R4=$AJ$3,INDEX('Tables - Part 2'!$BB$6:$BE$13,MATCH('SCC_Sulfide (SSC)'!$V4,'Tables - Part 2'!$AV$6:$AV$13,0),MATCH('SCC_Sulfide (SSC)'!$S4,'Tables - Part 2'!$AX$5:$BA$5,0)),0)</f>
        <v>0</v>
      </c>
      <c r="AK4" s="248">
        <f>IF($R4=$AK$3,((INDEX('Tables - Part 2'!$BB$6:$BE$13,MATCH('SCC_Sulfide (SSC)'!$V4,'Tables - Part 2'!$AV$6:$AV$13,0),MATCH('SCC_Sulfide (SSC)'!$S4,'Tables - Part 2'!$AX$5:$BA$5,0)))+(INDEX('Tables - Part 2'!$BB$6:$BE$13,MATCH('SCC_Sulfide (SSC)'!$V4,'Tables - Part 2'!$AV$6:$AV$13,0),MATCH('SCC_Sulfide (SSC)'!$S4,'Tables - Part 2'!$AX$5:$BA$5,0))+(INDEX('Tables - Part 2'!$BB$6:$BE$13,MATCH('SCC_Sulfide (SSC)'!$V4,'Tables - Part 2'!$AV$6:$AV$13,0),MATCH('SCC_Sulfide (SSC)'!$S4,'Tables - Part 2'!$AX$5:$BA$5,0))+INDEX('Tables - Part 2'!$BF$6:$BI$13,MATCH('SCC_Sulfide (SSC)'!$V4,'Tables - Part 2'!$AV$6:$AV$13,0),MATCH('SCC_Sulfide (SSC)'!$S4,'Tables - Part 2'!$AX$5:$BA$5,0)))/2)/2)/2,0)</f>
        <v>0</v>
      </c>
      <c r="AL4" s="248">
        <f>IF($R4=$AL$3,(INDEX('Tables - Part 2'!$BB$6:$BE$13,MATCH('SCC_Sulfide (SSC)'!$V4,'Tables - Part 2'!$AV$6:$AV$13,0),MATCH('SCC_Sulfide (SSC)'!$S4,'Tables - Part 2'!$AX$5:$BA$5,0))+(INDEX('Tables - Part 2'!$BB$6:$BE$13,MATCH('SCC_Sulfide (SSC)'!$V4,'Tables - Part 2'!$AV$6:$AV$13,0),MATCH('SCC_Sulfide (SSC)'!$S4,'Tables - Part 2'!$AX$5:$BA$5,0))+INDEX('Tables - Part 2'!$BF$6:$BI$13,MATCH('SCC_Sulfide (SSC)'!$V4,'Tables - Part 2'!$AV$6:$AV$13,0),MATCH('SCC_Sulfide (SSC)'!$S4,'Tables - Part 2'!$AX$5:$BA$5,0)))/2)/2,0)</f>
        <v>0</v>
      </c>
      <c r="AM4" s="248">
        <f>IF($R4=$AM$3,(((INDEX('Tables - Part 2'!$BB$6:$BE$13,MATCH('SCC_Sulfide (SSC)'!$V4,'Tables - Part 2'!$AV$6:$AV$13,0),MATCH('SCC_Sulfide (SSC)'!$S4,'Tables - Part 2'!$AX$5:$BA$5,0))+(INDEX('Tables - Part 2'!$BB$6:$BE$13,MATCH('SCC_Sulfide (SSC)'!$V4,'Tables - Part 2'!$AV$6:$AV$13,0),MATCH('SCC_Sulfide (SSC)'!$S4,'Tables - Part 2'!$AX$5:$BA$5,0))+INDEX('Tables - Part 2'!$BF$6:$BI$13,MATCH('SCC_Sulfide (SSC)'!$V4,'Tables - Part 2'!$AV$6:$AV$13,0),MATCH('SCC_Sulfide (SSC)'!$S4,'Tables - Part 2'!$AX$5:$BA$5,0)))/2)/2)+((INDEX('Tables - Part 2'!$BB$6:$BE$13,MATCH('SCC_Sulfide (SSC)'!$V4,'Tables - Part 2'!$AV$6:$AV$13,0),MATCH('SCC_Sulfide (SSC)'!$S4,'Tables - Part 2'!$AX$5:$BA$5,0))+INDEX('Tables - Part 2'!$BF$6:$BI$13,MATCH('SCC_Sulfide (SSC)'!$V4,'Tables - Part 2'!$AV$6:$AV$13,0),MATCH('SCC_Sulfide (SSC)'!$S4,'Tables - Part 2'!$AX$5:$BA$5,0)))/2))/2,0)</f>
        <v>0</v>
      </c>
      <c r="AN4" s="248">
        <f>IF($R4=$AN$3,(INDEX('Tables - Part 2'!$BB$6:$BE$13,MATCH('SCC_Sulfide (SSC)'!$V4,'Tables - Part 2'!$AV$6:$AV$13,0),MATCH('SCC_Sulfide (SSC)'!$S4,'Tables - Part 2'!$AX$5:$BA$5,0))+INDEX('Tables - Part 2'!$BF$6:$BI$13,MATCH('SCC_Sulfide (SSC)'!$V4,'Tables - Part 2'!$AV$6:$AV$13,0),MATCH('SCC_Sulfide (SSC)'!$S4,'Tables - Part 2'!$AX$5:$BA$5,0)))/2,0)</f>
        <v>1</v>
      </c>
      <c r="AO4" s="248">
        <f>IF($R4=$AO$3,(((INDEX('Tables - Part 2'!$BB$6:$BE$13,MATCH('SCC_Sulfide (SSC)'!$V4,'Tables - Part 2'!$AV$6:$AV$13,0),MATCH('SCC_Sulfide (SSC)'!$S4,'Tables - Part 2'!$AX$5:$BA$5,0))+INDEX('Tables - Part 2'!$BF$6:$BI$13,MATCH('SCC_Sulfide (SSC)'!$V4,'Tables - Part 2'!$AV$6:$AV$13,0),MATCH('SCC_Sulfide (SSC)'!$S4,'Tables - Part 2'!$AX$5:$BA$5,0)))/2)+((((INDEX('Tables - Part 2'!$BB$6:$BE$13,MATCH('SCC_Sulfide (SSC)'!$V4,'Tables - Part 2'!$AV$6:$AV$13,0),MATCH('SCC_Sulfide (SSC)'!$S4,'Tables - Part 2'!$AX$5:$BA$5,0))+INDEX('Tables - Part 2'!$BF$6:$BI$13,MATCH('SCC_Sulfide (SSC)'!$V4,'Tables - Part 2'!$AV$6:$AV$13,0),MATCH('SCC_Sulfide (SSC)'!$S4,'Tables - Part 2'!$AX$5:$BA$5,0)))/2)+INDEX('Tables - Part 2'!$BF$6:$BI$13,MATCH('SCC_Sulfide (SSC)'!$V4,'Tables - Part 2'!$AV$6:$AV$13,0),MATCH('SCC_Sulfide (SSC)'!$S4,'Tables - Part 2'!$AX$5:$BA$5,0)))/2))/2,0)</f>
        <v>0</v>
      </c>
      <c r="AP4" s="248">
        <f>IF($R4=$AP$3,(((INDEX('Tables - Part 2'!$BB$6:$BE$13,MATCH('SCC_Sulfide (SSC)'!$V4,'Tables - Part 2'!$AV$6:$AV$13,0),MATCH('SCC_Sulfide (SSC)'!$S4,'Tables - Part 2'!$AX$5:$BA$5,0))+INDEX('Tables - Part 2'!$BF$6:$BI$13,MATCH('SCC_Sulfide (SSC)'!$V4,'Tables - Part 2'!$AV$6:$AV$13,0),MATCH('SCC_Sulfide (SSC)'!$S4,'Tables - Part 2'!$AX$5:$BA$5,0)))/2)+INDEX('Tables - Part 2'!$BF$6:$BI$13,MATCH('SCC_Sulfide (SSC)'!$V4,'Tables - Part 2'!$AV$6:$AV$13,0),MATCH('SCC_Sulfide (SSC)'!$S4,'Tables - Part 2'!$AX$5:$BA$5,0)))/2,0)</f>
        <v>0</v>
      </c>
      <c r="AQ4" s="248">
        <f>IF($R4=$AQ$3,(((((INDEX('Tables - Part 2'!$BB$6:$BE$13,MATCH('SCC_Sulfide (SSC)'!$V4,'Tables - Part 2'!$AV$6:$AV$13,0),MATCH('SCC_Sulfide (SSC)'!$S4,'Tables - Part 2'!$AX$5:$BA$5,0))+INDEX('Tables - Part 2'!$BF$6:$BI$13,MATCH('SCC_Sulfide (SSC)'!$V4,'Tables - Part 2'!$AV$6:$AV$13,0),MATCH('SCC_Sulfide (SSC)'!$S4,'Tables - Part 2'!$AX$5:$BA$5,0)))/2)+INDEX('Tables - Part 2'!$BF$6:$BI$13,MATCH('SCC_Sulfide (SSC)'!$V4,'Tables - Part 2'!$AV$6:$AV$13,0),MATCH('SCC_Sulfide (SSC)'!$S4,'Tables - Part 2'!$AX$5:$BA$5,0)))/2)+INDEX('Tables - Part 2'!$BF$6:$BI$13,MATCH('SCC_Sulfide (SSC)'!$V4,'Tables - Part 2'!$AV$6:$AV$13,0),MATCH('SCC_Sulfide (SSC)'!$S4,'Tables - Part 2'!$AX$5:$BA$5,0)))/2,0)</f>
        <v>0</v>
      </c>
      <c r="AR4" s="248">
        <f>IF($R4=$AR$3,INDEX('Tables - Part 2'!$BF$6:$BI$13,MATCH('SCC_Sulfide (SSC)'!$V4,'Tables - Part 2'!$AV$6:$AV$13,0),MATCH('SCC_Sulfide (SSC)'!$S4,'Tables - Part 2'!$AX$5:$BA$5,0)),0)</f>
        <v>0</v>
      </c>
      <c r="AS4" s="248">
        <f>IF($R4=$AS$3,(INDEX('Tables - Part 2'!$BF$6:$BI$13,MATCH('SCC_Sulfide (SSC)'!$V4,'Tables - Part 2'!$AV$6:$AV$13,0),MATCH('SCC_Sulfide (SSC)'!$S4,'Tables - Part 2'!$AX$5:$BA$5,0))+((INDEX('Tables - Part 2'!$BF$6:$BI$13,MATCH('SCC_Sulfide (SSC)'!$V4,'Tables - Part 2'!$AV$6:$AV$13,0),MATCH('SCC_Sulfide (SSC)'!$S4,'Tables - Part 2'!$AX$5:$BA$5,0))+(INDEX('Tables - Part 2'!$BF$6:$BI$13,MATCH('SCC_Sulfide (SSC)'!$V4,'Tables - Part 2'!$AV$6:$AV$13,0),MATCH('SCC_Sulfide (SSC)'!$S4,'Tables - Part 2'!$AX$5:$BA$5,0))+INDEX('Tables - Part 2'!$AX$17:$BA$24,MATCH('SCC_Sulfide (SSC)'!$V4,'Tables - Part 2'!$AV$6:$AV$13,0),MATCH('SCC_Sulfide (SSC)'!$S4,'Tables - Part 2'!$AX$5:$BA$5,0)))/2)/2))/2,0)</f>
        <v>0</v>
      </c>
      <c r="AT4" s="248">
        <f>IF($R4=$AT$3,(INDEX('Tables - Part 2'!$BF$6:$BI$13,MATCH('SCC_Sulfide (SSC)'!$V4,'Tables - Part 2'!$AV$6:$AV$13,0),MATCH('SCC_Sulfide (SSC)'!$S4,'Tables - Part 2'!$AX$5:$BA$5,0))+(INDEX('Tables - Part 2'!$BF$6:$BI$13,MATCH('SCC_Sulfide (SSC)'!$V4,'Tables - Part 2'!$AV$6:$AV$13,0),MATCH('SCC_Sulfide (SSC)'!$S4,'Tables - Part 2'!$AX$5:$BA$5,0))+INDEX('Tables - Part 2'!$AX$17:$BA$24,MATCH('SCC_Sulfide (SSC)'!$V4,'Tables - Part 2'!$AV$6:$AV$13,0),MATCH('SCC_Sulfide (SSC)'!$S4,'Tables - Part 2'!$AX$5:$BA$5,0)))/2)/2,0)</f>
        <v>0</v>
      </c>
      <c r="AU4" s="248">
        <f>IF($R4=$AU$3,(((INDEX('Tables - Part 2'!$BF$6:$BI$13,MATCH('SCC_Sulfide (SSC)'!$V4,'Tables - Part 2'!$AV$6:$AV$13,0),MATCH('SCC_Sulfide (SSC)'!$S4,'Tables - Part 2'!$AX$5:$BA$5,0))+(INDEX('Tables - Part 2'!$BF$6:$BI$13,MATCH('SCC_Sulfide (SSC)'!$V4,'Tables - Part 2'!$AV$6:$AV$13,0),MATCH('SCC_Sulfide (SSC)'!$S4,'Tables - Part 2'!$AX$5:$BA$5,0))+INDEX('Tables - Part 2'!$AX$17:$BA$24,MATCH('SCC_Sulfide (SSC)'!$V4,'Tables - Part 2'!$AV$6:$AV$13,0),MATCH('SCC_Sulfide (SSC)'!$S4,'Tables - Part 2'!$AX$5:$BA$5,0)))/2)/2)+((INDEX('Tables - Part 2'!$BF$6:$BI$13,MATCH('SCC_Sulfide (SSC)'!$V4,'Tables - Part 2'!$AV$6:$AV$13,0),MATCH('SCC_Sulfide (SSC)'!$S4,'Tables - Part 2'!$AX$5:$BA$5,0))+INDEX('Tables - Part 2'!$AX$17:$BA$24,MATCH('SCC_Sulfide (SSC)'!$V4,'Tables - Part 2'!$AV$6:$AV$13,0),MATCH('SCC_Sulfide (SSC)'!$S4,'Tables - Part 2'!$AX$5:$BA$5,0)))/2))/2,0)</f>
        <v>0</v>
      </c>
      <c r="AV4" s="248">
        <f>IF($R4=$AV$3,(INDEX('Tables - Part 2'!$BF$6:$BI$13,MATCH('SCC_Sulfide (SSC)'!$V4,'Tables - Part 2'!$AV$6:$AV$13,0),MATCH('SCC_Sulfide (SSC)'!$S4,'Tables - Part 2'!$AX$5:$BA$5,0))+INDEX('Tables - Part 2'!$AX$17:$BA$24,MATCH('SCC_Sulfide (SSC)'!$V4,'Tables - Part 2'!$AV$6:$AV$13,0),MATCH('SCC_Sulfide (SSC)'!$S4,'Tables - Part 2'!$AX$5:$BA$5,0)))/2,0)</f>
        <v>0</v>
      </c>
      <c r="AW4" s="248">
        <f>IF($R4=$AW$3,(((INDEX('Tables - Part 2'!$BF$6:$BI$13,MATCH('SCC_Sulfide (SSC)'!$V4,'Tables - Part 2'!$AV$6:$AV$13,0),MATCH('SCC_Sulfide (SSC)'!$S4,'Tables - Part 2'!$AX$5:$BA$5,0))+INDEX('Tables - Part 2'!$AX$17:$BA$24,MATCH('SCC_Sulfide (SSC)'!$V4,'Tables - Part 2'!$AV$6:$AV$13,0),MATCH('SCC_Sulfide (SSC)'!$S4,'Tables - Part 2'!$AX$5:$BA$5,0)))/2)+((((INDEX('Tables - Part 2'!$BF$6:$BI$13,MATCH('SCC_Sulfide (SSC)'!$V4,'Tables - Part 2'!$AV$6:$AV$13,0),MATCH('SCC_Sulfide (SSC)'!$S4,'Tables - Part 2'!$AX$5:$BA$5,0))+INDEX('Tables - Part 2'!$AX$17:$BA$24,MATCH('SCC_Sulfide (SSC)'!$V4,'Tables - Part 2'!$AV$6:$AV$13,0),MATCH('SCC_Sulfide (SSC)'!$S4,'Tables - Part 2'!$AX$5:$BA$5,0)))/2)+INDEX('Tables - Part 2'!$AX$17:$BA$24,MATCH('SCC_Sulfide (SSC)'!$V4,'Tables - Part 2'!$AV$6:$AV$13,0),MATCH('SCC_Sulfide (SSC)'!$S4,'Tables - Part 2'!$AX$5:$BA$5,0)))/2))/2,0)</f>
        <v>0</v>
      </c>
      <c r="AX4" s="248">
        <f>IF($R4=$AX$3,(((INDEX('Tables - Part 2'!$BF$6:$BI$13,MATCH('SCC_Sulfide (SSC)'!$V4,'Tables - Part 2'!$AV$6:$AV$13,0),MATCH('SCC_Sulfide (SSC)'!$S4,'Tables - Part 2'!$AX$5:$BA$5,0))+INDEX('Tables - Part 2'!$AX$17:$BA$24,MATCH('SCC_Sulfide (SSC)'!$V4,'Tables - Part 2'!$AV$6:$AV$13,0),MATCH('SCC_Sulfide (SSC)'!$S4,'Tables - Part 2'!$AX$5:$BA$5,0)))/2)+INDEX('Tables - Part 2'!$AX$17:$BA$24,MATCH('SCC_Sulfide (SSC)'!$V4,'Tables - Part 2'!$AV$6:$AV$13,0),MATCH('SCC_Sulfide (SSC)'!$S4,'Tables - Part 2'!$AX$5:$BA$5,0)))/2,0)</f>
        <v>0</v>
      </c>
      <c r="AY4" s="248">
        <f>IF($R4=$AY$3,(((((INDEX('Tables - Part 2'!$BF$6:$BI$13,MATCH('SCC_Sulfide (SSC)'!$V4,'Tables - Part 2'!$AV$6:$AV$13,0),MATCH('SCC_Sulfide (SSC)'!$S4,'Tables - Part 2'!$AX$5:$BA$5,0))+INDEX('Tables - Part 2'!$AX$17:$BA$24,MATCH('SCC_Sulfide (SSC)'!$V4,'Tables - Part 2'!$AV$6:$AV$13,0),MATCH('SCC_Sulfide (SSC)'!$S4,'Tables - Part 2'!$AX$5:$BA$5,0)))/2)+INDEX('Tables - Part 2'!$AX$17:$BA$24,MATCH('SCC_Sulfide (SSC)'!$V4,'Tables - Part 2'!$AV$6:$AV$13,0),MATCH('SCC_Sulfide (SSC)'!$S4,'Tables - Part 2'!$AX$5:$BA$5,0)))/2)+(INDEX('Tables - Part 2'!$AX$17:$BA$24,MATCH('SCC_Sulfide (SSC)'!$V4,'Tables - Part 2'!$AV$6:$AV$13,0),MATCH('SCC_Sulfide (SSC)'!$S4,'Tables - Part 2'!$AX$5:$BA$5,0))))/2,0)</f>
        <v>0</v>
      </c>
      <c r="AZ4" s="248">
        <f>IF($R4=$AZ$3,INDEX('Tables - Part 2'!$AX$17:$BA$24,MATCH('SCC_Sulfide (SSC)'!$V4,'Tables - Part 2'!$AV$6:$AV$13,0),MATCH('SCC_Sulfide (SSC)'!$S4,'Tables - Part 2'!$AX$5:$BA$5,0)),0)</f>
        <v>0</v>
      </c>
      <c r="BA4" s="248">
        <f>IF($R4=$BA$3,((INDEX('Tables - Part 2'!$AX$17:$BA$24,MATCH('SCC_Sulfide (SSC)'!$V4,'Tables - Part 2'!$AV$6:$AV$13,0),MATCH('SCC_Sulfide (SSC)'!$S4,'Tables - Part 2'!$AX$5:$BA$5,0)))+(((INDEX('Tables - Part 2'!$AX$17:$BA$24,MATCH('SCC_Sulfide (SSC)'!$V4,'Tables - Part 2'!$AV$6:$AV$13,0),MATCH('SCC_Sulfide (SSC)'!$S4,'Tables - Part 2'!$AX$5:$BA$5,0)))+(INDEX('Tables - Part 2'!$AX$17:$BA$24,MATCH('SCC_Sulfide (SSC)'!$V4,'Tables - Part 2'!$AV$6:$AV$13,0),MATCH('SCC_Sulfide (SSC)'!$S4,'Tables - Part 2'!$AX$5:$BA$5,0))+INDEX('Tables - Part 2'!$BB$17:$BE$24,MATCH('SCC_Sulfide (SSC)'!$V4,'Tables - Part 2'!$AV$6:$AV$13,0),MATCH('SCC_Sulfide (SSC)'!$S4,'Tables - Part 2'!$AX$5:$BA$5,0)))/2)/2))/2,0)</f>
        <v>0</v>
      </c>
      <c r="BB4" s="248">
        <f>IF($R4=$BB$3,((INDEX('Tables - Part 2'!$AX$17:$BA$24,MATCH('SCC_Sulfide (SSC)'!$V4,'Tables - Part 2'!$AV$6:$AV$13,0),MATCH('SCC_Sulfide (SSC)'!$S4,'Tables - Part 2'!$AX$5:$BA$5,0)))+(INDEX('Tables - Part 2'!$AX$17:$BA$24,MATCH('SCC_Sulfide (SSC)'!$V4,'Tables - Part 2'!$AV$6:$AV$13,0),MATCH('SCC_Sulfide (SSC)'!$S4,'Tables - Part 2'!$AX$5:$BA$5,0))+INDEX('Tables - Part 2'!$BB$17:$BE$24,MATCH('SCC_Sulfide (SSC)'!$V4,'Tables - Part 2'!$AV$6:$AV$13,0),MATCH('SCC_Sulfide (SSC)'!$S4,'Tables - Part 2'!$AX$5:$BA$5,0)))/2)/2,0)</f>
        <v>0</v>
      </c>
      <c r="BC4" s="248">
        <f>IF($R4=$BC$3,((((INDEX('Tables - Part 2'!$AX$17:$BA$24,MATCH('SCC_Sulfide (SSC)'!$V4,'Tables - Part 2'!$AV$6:$AV$13,0),MATCH('SCC_Sulfide (SSC)'!$S4,'Tables - Part 2'!$AX$5:$BA$5,0)))+(INDEX('Tables - Part 2'!$AX$17:$BA$24,MATCH('SCC_Sulfide (SSC)'!$V4,'Tables - Part 2'!$AV$6:$AV$13,0),MATCH('SCC_Sulfide (SSC)'!$S4,'Tables - Part 2'!$AX$5:$BA$5,0))+INDEX('Tables - Part 2'!$BB$17:$BE$24,MATCH('SCC_Sulfide (SSC)'!$V4,'Tables - Part 2'!$AV$6:$AV$13,0),MATCH('SCC_Sulfide (SSC)'!$S4,'Tables - Part 2'!$AX$5:$BA$5,0)))/2)/2)+((INDEX('Tables - Part 2'!$AX$17:$BA$24,MATCH('SCC_Sulfide (SSC)'!$V4,'Tables - Part 2'!$AV$6:$AV$13,0),MATCH('SCC_Sulfide (SSC)'!$S4,'Tables - Part 2'!$AX$5:$BA$5,0))+INDEX('Tables - Part 2'!$BB$17:$BE$24,MATCH('SCC_Sulfide (SSC)'!$V4,'Tables - Part 2'!$AV$6:$AV$13,0),MATCH('SCC_Sulfide (SSC)'!$S4,'Tables - Part 2'!$AX$5:$BA$5,0)))/2))/2,0)</f>
        <v>0</v>
      </c>
      <c r="BD4" s="248">
        <f>IF($R4=$BD$3,(INDEX('Tables - Part 2'!$AX$17:$BA$24,MATCH('SCC_Sulfide (SSC)'!$V4,'Tables - Part 2'!$AV$6:$AV$13,0),MATCH('SCC_Sulfide (SSC)'!$S4,'Tables - Part 2'!$AX$5:$BA$5,0))+INDEX('Tables - Part 2'!$BB$17:$BE$24,MATCH('SCC_Sulfide (SSC)'!$V4,'Tables - Part 2'!$AV$6:$AV$13,0),MATCH('SCC_Sulfide (SSC)'!$S4,'Tables - Part 2'!$AX$5:$BA$5,0)))/2,0)</f>
        <v>0</v>
      </c>
      <c r="BE4" s="248">
        <f>IF($R4=$BE$3,(((INDEX('Tables - Part 2'!$AX$17:$BA$24,MATCH('SCC_Sulfide (SSC)'!$V4,'Tables - Part 2'!$AV$6:$AV$13,0),MATCH('SCC_Sulfide (SSC)'!$S4,'Tables - Part 2'!$AX$5:$BA$5,0))+INDEX('Tables - Part 2'!$BB$17:$BE$24,MATCH('SCC_Sulfide (SSC)'!$V4,'Tables - Part 2'!$AV$6:$AV$13,0),MATCH('SCC_Sulfide (SSC)'!$S4,'Tables - Part 2'!$AX$5:$BA$5,0)))/2)+((((INDEX('Tables - Part 2'!$AX$17:$BA$24,MATCH('SCC_Sulfide (SSC)'!$V4,'Tables - Part 2'!$AV$6:$AV$13,0),MATCH('SCC_Sulfide (SSC)'!$S4,'Tables - Part 2'!$AX$5:$BA$5,0))+INDEX('Tables - Part 2'!$BB$17:$BE$24,MATCH('SCC_Sulfide (SSC)'!$V4,'Tables - Part 2'!$AV$6:$AV$13,0),MATCH('SCC_Sulfide (SSC)'!$S4,'Tables - Part 2'!$AX$5:$BA$5,0)))/2)+INDEX('Tables - Part 2'!$BB$17:$BE$24,MATCH('SCC_Sulfide (SSC)'!$V4,'Tables - Part 2'!$AV$6:$AV$13,0),MATCH('SCC_Sulfide (SSC)'!$S4,'Tables - Part 2'!$AX$5:$BA$5,0)))/2))/2,0)</f>
        <v>0</v>
      </c>
      <c r="BF4" s="248">
        <f>IF($R4=$BF$3,(((INDEX('Tables - Part 2'!$AX$17:$BA$24,MATCH('SCC_Sulfide (SSC)'!$V4,'Tables - Part 2'!$AV$6:$AV$13,0),MATCH('SCC_Sulfide (SSC)'!$S4,'Tables - Part 2'!$AX$5:$BA$5,0))+INDEX('Tables - Part 2'!$BB$17:$BE$24,MATCH('SCC_Sulfide (SSC)'!$V4,'Tables - Part 2'!$AV$6:$AV$13,0),MATCH('SCC_Sulfide (SSC)'!$S4,'Tables - Part 2'!$AX$5:$BA$5,0)))/2)+INDEX('Tables - Part 2'!$BB$17:$BE$24,MATCH('SCC_Sulfide (SSC)'!$V4,'Tables - Part 2'!$AV$6:$AV$13,0),MATCH('SCC_Sulfide (SSC)'!$S4,'Tables - Part 2'!$AX$5:$BA$5,0)))/2,0)</f>
        <v>0</v>
      </c>
      <c r="BG4" s="248">
        <f>IF($R4=$BG$3,(((((INDEX('Tables - Part 2'!$AX$17:$BA$24,MATCH('SCC_Sulfide (SSC)'!$V4,'Tables - Part 2'!$AV$6:$AV$13,0),MATCH('SCC_Sulfide (SSC)'!$S4,'Tables - Part 2'!$AX$5:$BA$5,0))+INDEX('Tables - Part 2'!$BB$17:$BE$24,MATCH('SCC_Sulfide (SSC)'!$V4,'Tables - Part 2'!$AV$6:$AV$13,0),MATCH('SCC_Sulfide (SSC)'!$S4,'Tables - Part 2'!$AX$5:$BA$5,0)))/2)+INDEX('Tables - Part 2'!$BB$17:$BE$24,MATCH('SCC_Sulfide (SSC)'!$V4,'Tables - Part 2'!$AV$6:$AV$13,0),MATCH('SCC_Sulfide (SSC)'!$S4,'Tables - Part 2'!$AX$5:$BA$5,0)))/2)+(INDEX('Tables - Part 2'!$BB$17:$BE$24,MATCH('SCC_Sulfide (SSC)'!$V4,'Tables - Part 2'!$AV$6:$AV$13,0),MATCH('SCC_Sulfide (SSC)'!$S4,'Tables - Part 2'!$AX$5:$BA$5,0))))/2,0)</f>
        <v>0</v>
      </c>
      <c r="BH4" s="248">
        <f>IF($R4=$BH$3,INDEX('Tables - Part 2'!$BB$17:$BE$24,MATCH('SCC_Sulfide (SSC)'!$V4,'Tables - Part 2'!$AV$6:$AV$13,0),MATCH('SCC_Sulfide (SSC)'!$S4,'Tables - Part 2'!$AX$5:$BA$5,0)),0)</f>
        <v>0</v>
      </c>
      <c r="BI4" s="248">
        <f>IF($R4=$BI$3,((INDEX('Tables - Part 2'!$BB$17:$BE$24,MATCH('SCC_Sulfide (SSC)'!$V4,'Tables - Part 2'!$AV$6:$AV$13,0),MATCH('SCC_Sulfide (SSC)'!$S4,'Tables - Part 2'!$AX$5:$BA$5,0)))+(((INDEX('Tables - Part 2'!$BB$17:$BE$24,MATCH('SCC_Sulfide (SSC)'!$V4,'Tables - Part 2'!$AV$6:$AV$13,0),MATCH('SCC_Sulfide (SSC)'!$S4,'Tables - Part 2'!$AX$5:$BA$5,0)))+(INDEX('Tables - Part 2'!$BB$17:$BE$24,MATCH('SCC_Sulfide (SSC)'!$V4,'Tables - Part 2'!$AV$6:$AV$13,0),MATCH('SCC_Sulfide (SSC)'!$S4,'Tables - Part 2'!$AX$5:$BA$5,0))+INDEX('Tables - Part 2'!$BF$17:$BI$24,MATCH('SCC_Sulfide (SSC)'!$V4,'Tables - Part 2'!$AV$6:$AV$13,0),MATCH('SCC_Sulfide (SSC)'!$S4,'Tables - Part 2'!$AX$5:$BA$5,0)))/2)/2))/2,0)</f>
        <v>0</v>
      </c>
      <c r="BJ4" s="248">
        <f>IF($R4=$BJ$3,((INDEX('Tables - Part 2'!$BB$17:$BE$24,MATCH('SCC_Sulfide (SSC)'!$V4,'Tables - Part 2'!$AV$6:$AV$13,0),MATCH('SCC_Sulfide (SSC)'!$S4,'Tables - Part 2'!$AX$5:$BA$5,0)))+(INDEX('Tables - Part 2'!$BB$17:$BE$24,MATCH('SCC_Sulfide (SSC)'!$V4,'Tables - Part 2'!$AV$6:$AV$13,0),MATCH('SCC_Sulfide (SSC)'!$S4,'Tables - Part 2'!$AX$5:$BA$5,0))+INDEX('Tables - Part 2'!$BF$17:$BI$24,MATCH('SCC_Sulfide (SSC)'!$V4,'Tables - Part 2'!$AV$6:$AV$13,0),MATCH('SCC_Sulfide (SSC)'!$S4,'Tables - Part 2'!$AX$5:$BA$5,0)))/2)/2,0)</f>
        <v>0</v>
      </c>
      <c r="BK4" s="248">
        <f>IF($R4=$BK$3,((((INDEX('Tables - Part 2'!$BB$17:$BE$24,MATCH('SCC_Sulfide (SSC)'!$V4,'Tables - Part 2'!$AV$6:$AV$13,0),MATCH('SCC_Sulfide (SSC)'!$S4,'Tables - Part 2'!$AX$5:$BA$5,0)))+(INDEX('Tables - Part 2'!$BB$17:$BE$24,MATCH('SCC_Sulfide (SSC)'!$V4,'Tables - Part 2'!$AV$6:$AV$13,0),MATCH('SCC_Sulfide (SSC)'!$S4,'Tables - Part 2'!$AX$5:$BA$5,0))+INDEX('Tables - Part 2'!$BF$17:$BI$24,MATCH('SCC_Sulfide (SSC)'!$V4,'Tables - Part 2'!$AV$6:$AV$13,0),MATCH('SCC_Sulfide (SSC)'!$S4,'Tables - Part 2'!$AX$5:$BA$5,0)))/2)/2)+((INDEX('Tables - Part 2'!$BB$17:$BE$24,MATCH('SCC_Sulfide (SSC)'!$V4,'Tables - Part 2'!$AV$6:$AV$13,0),MATCH('SCC_Sulfide (SSC)'!$S4,'Tables - Part 2'!$AX$5:$BA$5,0))+INDEX('Tables - Part 2'!$BF$17:$BI$24,MATCH('SCC_Sulfide (SSC)'!$V4,'Tables - Part 2'!$AV$6:$AV$13,0),MATCH('SCC_Sulfide (SSC)'!$S4,'Tables - Part 2'!$AX$5:$BA$5,0)))/2))/2,0)</f>
        <v>0</v>
      </c>
      <c r="BL4" s="248">
        <f>IF($R4=$BL$3,(INDEX('Tables - Part 2'!$BB$17:$BE$24,MATCH('SCC_Sulfide (SSC)'!$V4,'Tables - Part 2'!$AV$6:$AV$13,0),MATCH('SCC_Sulfide (SSC)'!$S4,'Tables - Part 2'!$AX$5:$BA$5,0))+INDEX('Tables - Part 2'!$BF$17:$BI$24,MATCH('SCC_Sulfide (SSC)'!$V4,'Tables - Part 2'!$AV$6:$AV$13,0),MATCH('SCC_Sulfide (SSC)'!$S4,'Tables - Part 2'!$AX$5:$BA$5,0)))/2,0)</f>
        <v>0</v>
      </c>
      <c r="BM4" s="248">
        <f>IF($R4=$BM$3,(((INDEX('Tables - Part 2'!$BB$17:$BE$24,MATCH('SCC_Sulfide (SSC)'!$V4,'Tables - Part 2'!$AV$6:$AV$13,0),MATCH('SCC_Sulfide (SSC)'!$S4,'Tables - Part 2'!$AX$5:$BA$5,0))+INDEX('Tables - Part 2'!$BF$17:$BI$24,MATCH('SCC_Sulfide (SSC)'!$V4,'Tables - Part 2'!$AV$6:$AV$13,0),MATCH('SCC_Sulfide (SSC)'!$S4,'Tables - Part 2'!$AX$5:$BA$5,0)))/2)+((((INDEX('Tables - Part 2'!$BB$17:$BE$24,MATCH('SCC_Sulfide (SSC)'!$V4,'Tables - Part 2'!$AV$6:$AV$13,0),MATCH('SCC_Sulfide (SSC)'!$S4,'Tables - Part 2'!$AX$5:$BA$5,0))+INDEX('Tables - Part 2'!$BF$17:$BI$24,MATCH('SCC_Sulfide (SSC)'!$V4,'Tables - Part 2'!$AV$6:$AV$13,0),MATCH('SCC_Sulfide (SSC)'!$S4,'Tables - Part 2'!$AX$5:$BA$5,0)))/2)+INDEX('Tables - Part 2'!$BF$17:$BI$24,MATCH('SCC_Sulfide (SSC)'!$V4,'Tables - Part 2'!$AV$6:$AV$13,0),MATCH('SCC_Sulfide (SSC)'!$S4,'Tables - Part 2'!$AX$5:$BA$5,0)))/2))/2,0)</f>
        <v>0</v>
      </c>
      <c r="BN4" s="248">
        <f>IF($R4=$BN$3,(((INDEX('Tables - Part 2'!$BB$17:$BE$24,MATCH('SCC_Sulfide (SSC)'!$V4,'Tables - Part 2'!$AV$6:$AV$13,0),MATCH('SCC_Sulfide (SSC)'!$S4,'Tables - Part 2'!$AX$5:$BA$5,0))+INDEX('Tables - Part 2'!$BF$17:$BI$24,MATCH('SCC_Sulfide (SSC)'!$V4,'Tables - Part 2'!$AV$6:$AV$13,0),MATCH('SCC_Sulfide (SSC)'!$S4,'Tables - Part 2'!$AX$5:$BA$5,0)))/2)+INDEX('Tables - Part 2'!$BF$17:$BI$24,MATCH('SCC_Sulfide (SSC)'!$V4,'Tables - Part 2'!$AV$6:$AV$13,0),MATCH('SCC_Sulfide (SSC)'!$S4,'Tables - Part 2'!$AX$5:$BA$5,0)))/2,0)</f>
        <v>0</v>
      </c>
      <c r="BO4" s="248">
        <f>IF($R4=$BO$3,(((((INDEX('Tables - Part 2'!$BB$17:$BE$24,MATCH('SCC_Sulfide (SSC)'!$V4,'Tables - Part 2'!$AV$6:$AV$13,0),MATCH('SCC_Sulfide (SSC)'!$S4,'Tables - Part 2'!$AX$5:$BA$5,0))+INDEX('Tables - Part 2'!$BF$17:$BI$24,MATCH('SCC_Sulfide (SSC)'!$V4,'Tables - Part 2'!$AV$6:$AV$13,0),MATCH('SCC_Sulfide (SSC)'!$S4,'Tables - Part 2'!$AX$5:$BA$5,0)))/2)+INDEX('Tables - Part 2'!$BF$17:$BI$24,MATCH('SCC_Sulfide (SSC)'!$V4,'Tables - Part 2'!$AV$6:$AV$13,0),MATCH('SCC_Sulfide (SSC)'!$S4,'Tables - Part 2'!$AX$5:$BA$5,0)))/2)+(INDEX('Tables - Part 2'!$BF$17:$BI$24,MATCH('SCC_Sulfide (SSC)'!$V4,'Tables - Part 2'!$AV$6:$AV$13,0),MATCH('SCC_Sulfide (SSC)'!$S4,'Tables - Part 2'!$AX$5:$BA$5,0))))/2,0)</f>
        <v>0</v>
      </c>
      <c r="BP4" s="248">
        <f>IF($R4=$BP$3,INDEX('Tables - Part 2'!$BF$17:$BI$24,MATCH('SCC_Sulfide (SSC)'!$V4,'Tables - Part 2'!$AV$6:$AV$13,0),MATCH('SCC_Sulfide (SSC)'!$S4,'Tables - Part 2'!$AX$5:$BA$5,0)),0)</f>
        <v>0</v>
      </c>
      <c r="BQ4" s="248">
        <f t="shared" ref="BQ4:BQ21" si="6">IF(R4=0,V4,0)</f>
        <v>0</v>
      </c>
      <c r="BR4" s="238">
        <f>SUM(AB4:BQ4)</f>
        <v>1</v>
      </c>
      <c r="BS4" s="238">
        <f t="shared" ref="BS4:BS21" si="7">IF(B4="",0,MIN(BR4*POWER(MAX(W4,1),1.1),5000))</f>
        <v>16.77288246840839</v>
      </c>
      <c r="BV4" s="237" t="s">
        <v>841</v>
      </c>
      <c r="BX4" t="s">
        <v>61</v>
      </c>
      <c r="CB4" s="208"/>
    </row>
    <row r="5" spans="2:84" x14ac:dyDescent="0.35">
      <c r="B5" s="161" t="str">
        <f>'Tratamento de Dados'!B13</f>
        <v>V-07</v>
      </c>
      <c r="C5" s="161" t="str">
        <f>'Tratamento de Dados'!D13</f>
        <v>Tampo_Sul</v>
      </c>
      <c r="D5" s="209" t="s">
        <v>245</v>
      </c>
      <c r="E5" s="209" t="s">
        <v>61</v>
      </c>
      <c r="F5" s="209" t="s">
        <v>836</v>
      </c>
      <c r="G5" s="209" t="s">
        <v>832</v>
      </c>
      <c r="H5" s="209" t="s">
        <v>245</v>
      </c>
      <c r="I5" s="209" t="s">
        <v>1113</v>
      </c>
      <c r="J5" s="209" t="s">
        <v>245</v>
      </c>
      <c r="K5" s="210">
        <v>39092</v>
      </c>
      <c r="L5" s="209">
        <v>0</v>
      </c>
      <c r="M5" s="209">
        <v>1</v>
      </c>
      <c r="N5" s="209">
        <v>1</v>
      </c>
      <c r="O5" s="209">
        <v>4</v>
      </c>
      <c r="P5" s="253">
        <f>'Tratamento de Dados'!DA13</f>
        <v>0</v>
      </c>
      <c r="Q5" s="253">
        <f>'Tratamento de Dados'!DB13</f>
        <v>0</v>
      </c>
      <c r="R5" s="256">
        <f t="shared" si="0"/>
        <v>2.5</v>
      </c>
      <c r="S5" s="246" t="str">
        <f t="shared" si="1"/>
        <v>B</v>
      </c>
      <c r="T5" s="238" t="str">
        <f>IF(D5=$BX$2,$BV$4,IF(AND(H5=$BX$2,OR(F5='Tables - Part 2'!$BN$8,'Tables - Part 2'!$BN$9),OR('SCC_Sulfide (SSC)'!G5='Tables - Part 2'!$BQ$4,'SCC_Sulfide (SSC)'!G5='Tables - Part 2'!$BR$4)),$BV$4,INDEX('Tables - Part 2'!$BO$5:$BR$9,MATCH('SCC_Sulfide (SSC)'!F5,'Tables - Part 2'!$BN$5:$BN$9,0),MATCH('SCC_Sulfide (SSC)'!G5,'Tables - Part 2'!$BO$4:$BR$4,0))))</f>
        <v>Moderate</v>
      </c>
      <c r="U5" s="238" t="str">
        <f>IF(D5=$BX$2,$BV$4,IF(J5=$BX$2,INDEX('Tables - Part 2'!$BX$6:$BZ$8,MATCH('SCC_Sulfide (SSC)'!T5,'Tables - Part 2'!$BT$6:$BT$8,0),MATCH('SCC_Sulfide (SSC)'!I5,'Tables - Part 2'!$BX$5:$BZ$5,0)),INDEX('Tables - Part 2'!$BU$6:$BW$8,MATCH('SCC_Sulfide (SSC)'!T5,'Tables - Part 2'!$BT$6:$BT$8,0),MATCH('SCC_Sulfide (SSC)'!I5,'Tables - Part 2'!$BU$5:$BW$5,0))))</f>
        <v>Medium</v>
      </c>
      <c r="V5" s="238">
        <f>IF(AND(D5=$BX$2,E5&lt;&gt;$BX$2),"Fitness-For-Service",INDEX('Tables - Part 2'!$CC$4:$CC$7,MATCH('SCC_Sulfide (SSC)'!U5,'Tables - Part 2'!$CB$4:$CB$7,0),))</f>
        <v>10</v>
      </c>
      <c r="W5" s="238">
        <f>IF(K5=0,(Thinning!G6-Thinning!F6)/365.25,(Thinning!G6-K5)/365.25)</f>
        <v>13.390828199863108</v>
      </c>
      <c r="X5" s="248">
        <f t="shared" si="2"/>
        <v>0</v>
      </c>
      <c r="Y5" s="248">
        <f t="shared" si="3"/>
        <v>2.5</v>
      </c>
      <c r="Z5" s="248">
        <f t="shared" si="4"/>
        <v>3</v>
      </c>
      <c r="AA5" s="247">
        <f t="shared" si="5"/>
        <v>4</v>
      </c>
      <c r="AB5" s="248">
        <f>IF($R5=$AB$3,INDEX('Tables - Part 2'!$AX$6:$BA$13,MATCH('SCC_Sulfide (SSC)'!V5,'Tables - Part 2'!$AV$6:$AV$13,0),MATCH('SCC_Sulfide (SSC)'!S5,'Tables - Part 2'!$AX$5:$BA$5,0)),0)</f>
        <v>0</v>
      </c>
      <c r="AC5" s="248">
        <f>IF($R5=$AC$3,(INDEX('Tables - Part 2'!$AX$6:$BA$13,MATCH('SCC_Sulfide (SSC)'!V5,'Tables - Part 2'!$AV$6:$AV$13,0),MATCH('SCC_Sulfide (SSC)'!S5,'Tables - Part 2'!$AX$5:$BA$5,0))+(INDEX('Tables - Part 2'!$AX$6:$BA$13,MATCH('SCC_Sulfide (SSC)'!V5,'Tables - Part 2'!$AV$6:$AV$13,0),MATCH('SCC_Sulfide (SSC)'!S5,'Tables - Part 2'!$AX$5:$BA$5,0))+((INDEX('Tables - Part 2'!$AX$6:$BA$13,MATCH('SCC_Sulfide (SSC)'!V5,'Tables - Part 2'!$AV$6:$AV$13,0),MATCH('SCC_Sulfide (SSC)'!S5,'Tables - Part 2'!$AX$5:$BA$5,0))+INDEX('Tables - Part 2'!$BB$6:$BE$13,MATCH('SCC_Sulfide (SSC)'!$V5,'Tables - Part 2'!$AV$6:$AV$13,0),MATCH('SCC_Sulfide (SSC)'!$S5,'Tables - Part 2'!$AX$5:$BA$5,0)))/2))/2)/2,0)</f>
        <v>0</v>
      </c>
      <c r="AD5" s="248">
        <f>IF($R5=$AD$3,(INDEX('Tables - Part 2'!$AX$6:$BA$13,MATCH('SCC_Sulfide (SSC)'!V5,'Tables - Part 2'!$AV$6:$AV$13,0),MATCH('SCC_Sulfide (SSC)'!S5,'Tables - Part 2'!$AX$5:$BA$5,0))+((INDEX('Tables - Part 2'!$AX$6:$BA$13,MATCH('SCC_Sulfide (SSC)'!V5,'Tables - Part 2'!$AV$6:$AV$13,0),MATCH('SCC_Sulfide (SSC)'!S5,'Tables - Part 2'!$AX$5:$BA$5,0))+INDEX('Tables - Part 2'!$BB$6:$BE$13,MATCH('SCC_Sulfide (SSC)'!$V5,'Tables - Part 2'!$AV$6:$AV$13,0),MATCH('SCC_Sulfide (SSC)'!$S5,'Tables - Part 2'!$AX$5:$BA$5,0)))/2))/2,0)</f>
        <v>0</v>
      </c>
      <c r="AE5" s="248">
        <f>IF($R5=$AE$3,(((INDEX('Tables - Part 2'!$AX$6:$BA$13,MATCH('SCC_Sulfide (SSC)'!V5,'Tables - Part 2'!$AV$6:$AV$13,0),MATCH('SCC_Sulfide (SSC)'!S5,'Tables - Part 2'!$AX$5:$BA$5,0))+((INDEX('Tables - Part 2'!$AX$6:$BA$13,MATCH('SCC_Sulfide (SSC)'!V5,'Tables - Part 2'!$AV$6:$AV$13,0),MATCH('SCC_Sulfide (SSC)'!S5,'Tables - Part 2'!$AX$5:$BA$5,0))+INDEX('Tables - Part 2'!$BB$6:$BE$13,MATCH('SCC_Sulfide (SSC)'!$V5,'Tables - Part 2'!$AV$6:$AV$13,0),MATCH('SCC_Sulfide (SSC)'!$S5,'Tables - Part 2'!$AX$5:$BA$5,0)))/2))/2)+(INDEX('Tables - Part 2'!$AX$6:$BA$13,MATCH('SCC_Sulfide (SSC)'!V5,'Tables - Part 2'!$AV$6:$AV$13,0),MATCH('SCC_Sulfide (SSC)'!S5,'Tables - Part 2'!$AX$5:$BA$5,0))+INDEX('Tables - Part 2'!$BB$6:$BE$13,MATCH('SCC_Sulfide (SSC)'!$V5,'Tables - Part 2'!$AV$6:$AV$13,0),MATCH('SCC_Sulfide (SSC)'!$S5,'Tables - Part 2'!$AX$5:$BA$5,0)))/2)/2,0)</f>
        <v>0</v>
      </c>
      <c r="AF5" s="248">
        <f>IF($R5=$AF$3,(INDEX('Tables - Part 2'!$AX$6:$BA$13,MATCH('SCC_Sulfide (SSC)'!V5,'Tables - Part 2'!$AV$6:$AV$13,0),MATCH('SCC_Sulfide (SSC)'!S5,'Tables - Part 2'!$AX$5:$BA$5,0))+INDEX('Tables - Part 2'!$BB$6:$BE$13,MATCH('SCC_Sulfide (SSC)'!$V5,'Tables - Part 2'!$AV$6:$AV$13,0),MATCH('SCC_Sulfide (SSC)'!$S5,'Tables - Part 2'!$AX$5:$BA$5,0)))/2,0)</f>
        <v>0</v>
      </c>
      <c r="AG5" s="248">
        <f>IF($R5=$AG$3,(((INDEX('Tables - Part 2'!$AX$6:$BA$13,MATCH('SCC_Sulfide (SSC)'!V5,'Tables - Part 2'!$AV$6:$AV$13,0),MATCH('SCC_Sulfide (SSC)'!S5,'Tables - Part 2'!$AX$5:$BA$5,0))+INDEX('Tables - Part 2'!$BB$6:$BE$13,MATCH('SCC_Sulfide (SSC)'!$V5,'Tables - Part 2'!$AV$6:$AV$13,0),MATCH('SCC_Sulfide (SSC)'!$S5,'Tables - Part 2'!$AX$5:$BA$5,0)))/2)+(((INDEX('Tables - Part 2'!$AX$6:$BA$13,MATCH('SCC_Sulfide (SSC)'!V5,'Tables - Part 2'!$AV$6:$AV$13,0),MATCH('SCC_Sulfide (SSC)'!S5,'Tables - Part 2'!$AX$5:$BA$5,0))+INDEX('Tables - Part 2'!$BB$6:$BE$13,MATCH('SCC_Sulfide (SSC)'!$V5,'Tables - Part 2'!$AV$6:$AV$13,0),MATCH('SCC_Sulfide (SSC)'!$S5,'Tables - Part 2'!$AX$5:$BA$5,0)))/2)+INDEX('Tables - Part 2'!$BB$6:$BE$13,MATCH('SCC_Sulfide (SSC)'!$V5,'Tables - Part 2'!$AV$6:$AV$13,0),MATCH('SCC_Sulfide (SSC)'!$S5,'Tables - Part 2'!$AX$5:$BA$5,0)))/2)/2,0)</f>
        <v>0</v>
      </c>
      <c r="AH5" s="248">
        <f>IF($R5=$AH$3,(((INDEX('Tables - Part 2'!$AX$6:$BA$13,MATCH('SCC_Sulfide (SSC)'!V5,'Tables - Part 2'!$AV$6:$AV$13,0),MATCH('SCC_Sulfide (SSC)'!S5,'Tables - Part 2'!$AX$5:$BA$5,0))+INDEX('Tables - Part 2'!$BB$6:$BE$13,MATCH('SCC_Sulfide (SSC)'!$V5,'Tables - Part 2'!$AV$6:$AV$13,0),MATCH('SCC_Sulfide (SSC)'!$S5,'Tables - Part 2'!$AX$5:$BA$5,0)))/2)+INDEX('Tables - Part 2'!$BB$6:$BE$13,MATCH('SCC_Sulfide (SSC)'!$V5,'Tables - Part 2'!$AV$6:$AV$13,0),MATCH('SCC_Sulfide (SSC)'!$S5,'Tables - Part 2'!$AX$5:$BA$5,0)))/2,0)</f>
        <v>0</v>
      </c>
      <c r="AI5" s="248">
        <f>IF($R5=$AI$3,(((((INDEX('Tables - Part 2'!$AX$6:$BA$13,MATCH('SCC_Sulfide (SSC)'!V5,'Tables - Part 2'!$AV$6:$AV$13,0),MATCH('SCC_Sulfide (SSC)'!S5,'Tables - Part 2'!$AX$5:$BA$5,0))+INDEX('Tables - Part 2'!$BB$6:$BE$13,MATCH('SCC_Sulfide (SSC)'!$V5,'Tables - Part 2'!$AV$6:$AV$13,0),MATCH('SCC_Sulfide (SSC)'!$S5,'Tables - Part 2'!$AX$5:$BA$5,0)))/2)+INDEX('Tables - Part 2'!$BB$6:$BE$13,MATCH('SCC_Sulfide (SSC)'!$V5,'Tables - Part 2'!$AV$6:$AV$13,0),MATCH('SCC_Sulfide (SSC)'!$S5,'Tables - Part 2'!$AX$5:$BA$5,0)))/2)+INDEX('Tables - Part 2'!$BB$6:$BE$13,MATCH('SCC_Sulfide (SSC)'!$V5,'Tables - Part 2'!$AV$6:$AV$13,0),MATCH('SCC_Sulfide (SSC)'!$S5,'Tables - Part 2'!$AX$5:$BA$5,0)))/2,0)</f>
        <v>0</v>
      </c>
      <c r="AJ5" s="248">
        <f>IF($R5=$AJ$3,INDEX('Tables - Part 2'!$BB$6:$BE$13,MATCH('SCC_Sulfide (SSC)'!$V5,'Tables - Part 2'!$AV$6:$AV$13,0),MATCH('SCC_Sulfide (SSC)'!$S5,'Tables - Part 2'!$AX$5:$BA$5,0)),0)</f>
        <v>0</v>
      </c>
      <c r="AK5" s="248">
        <f>IF($R5=$AK$3,((INDEX('Tables - Part 2'!$BB$6:$BE$13,MATCH('SCC_Sulfide (SSC)'!$V5,'Tables - Part 2'!$AV$6:$AV$13,0),MATCH('SCC_Sulfide (SSC)'!$S5,'Tables - Part 2'!$AX$5:$BA$5,0)))+(INDEX('Tables - Part 2'!$BB$6:$BE$13,MATCH('SCC_Sulfide (SSC)'!$V5,'Tables - Part 2'!$AV$6:$AV$13,0),MATCH('SCC_Sulfide (SSC)'!$S5,'Tables - Part 2'!$AX$5:$BA$5,0))+(INDEX('Tables - Part 2'!$BB$6:$BE$13,MATCH('SCC_Sulfide (SSC)'!$V5,'Tables - Part 2'!$AV$6:$AV$13,0),MATCH('SCC_Sulfide (SSC)'!$S5,'Tables - Part 2'!$AX$5:$BA$5,0))+INDEX('Tables - Part 2'!$BF$6:$BI$13,MATCH('SCC_Sulfide (SSC)'!$V5,'Tables - Part 2'!$AV$6:$AV$13,0),MATCH('SCC_Sulfide (SSC)'!$S5,'Tables - Part 2'!$AX$5:$BA$5,0)))/2)/2)/2,0)</f>
        <v>0</v>
      </c>
      <c r="AL5" s="248">
        <f>IF($R5=$AL$3,(INDEX('Tables - Part 2'!$BB$6:$BE$13,MATCH('SCC_Sulfide (SSC)'!$V5,'Tables - Part 2'!$AV$6:$AV$13,0),MATCH('SCC_Sulfide (SSC)'!$S5,'Tables - Part 2'!$AX$5:$BA$5,0))+(INDEX('Tables - Part 2'!$BB$6:$BE$13,MATCH('SCC_Sulfide (SSC)'!$V5,'Tables - Part 2'!$AV$6:$AV$13,0),MATCH('SCC_Sulfide (SSC)'!$S5,'Tables - Part 2'!$AX$5:$BA$5,0))+INDEX('Tables - Part 2'!$BF$6:$BI$13,MATCH('SCC_Sulfide (SSC)'!$V5,'Tables - Part 2'!$AV$6:$AV$13,0),MATCH('SCC_Sulfide (SSC)'!$S5,'Tables - Part 2'!$AX$5:$BA$5,0)))/2)/2,0)</f>
        <v>0</v>
      </c>
      <c r="AM5" s="248">
        <f>IF($R5=$AM$3,(((INDEX('Tables - Part 2'!$BB$6:$BE$13,MATCH('SCC_Sulfide (SSC)'!$V5,'Tables - Part 2'!$AV$6:$AV$13,0),MATCH('SCC_Sulfide (SSC)'!$S5,'Tables - Part 2'!$AX$5:$BA$5,0))+(INDEX('Tables - Part 2'!$BB$6:$BE$13,MATCH('SCC_Sulfide (SSC)'!$V5,'Tables - Part 2'!$AV$6:$AV$13,0),MATCH('SCC_Sulfide (SSC)'!$S5,'Tables - Part 2'!$AX$5:$BA$5,0))+INDEX('Tables - Part 2'!$BF$6:$BI$13,MATCH('SCC_Sulfide (SSC)'!$V5,'Tables - Part 2'!$AV$6:$AV$13,0),MATCH('SCC_Sulfide (SSC)'!$S5,'Tables - Part 2'!$AX$5:$BA$5,0)))/2)/2)+((INDEX('Tables - Part 2'!$BB$6:$BE$13,MATCH('SCC_Sulfide (SSC)'!$V5,'Tables - Part 2'!$AV$6:$AV$13,0),MATCH('SCC_Sulfide (SSC)'!$S5,'Tables - Part 2'!$AX$5:$BA$5,0))+INDEX('Tables - Part 2'!$BF$6:$BI$13,MATCH('SCC_Sulfide (SSC)'!$V5,'Tables - Part 2'!$AV$6:$AV$13,0),MATCH('SCC_Sulfide (SSC)'!$S5,'Tables - Part 2'!$AX$5:$BA$5,0)))/2))/2,0)</f>
        <v>0</v>
      </c>
      <c r="AN5" s="248">
        <f>IF($R5=$AN$3,(INDEX('Tables - Part 2'!$BB$6:$BE$13,MATCH('SCC_Sulfide (SSC)'!$V5,'Tables - Part 2'!$AV$6:$AV$13,0),MATCH('SCC_Sulfide (SSC)'!$S5,'Tables - Part 2'!$AX$5:$BA$5,0))+INDEX('Tables - Part 2'!$BF$6:$BI$13,MATCH('SCC_Sulfide (SSC)'!$V5,'Tables - Part 2'!$AV$6:$AV$13,0),MATCH('SCC_Sulfide (SSC)'!$S5,'Tables - Part 2'!$AX$5:$BA$5,0)))/2,0)</f>
        <v>1</v>
      </c>
      <c r="AO5" s="248">
        <f>IF($R5=$AO$3,(((INDEX('Tables - Part 2'!$BB$6:$BE$13,MATCH('SCC_Sulfide (SSC)'!$V5,'Tables - Part 2'!$AV$6:$AV$13,0),MATCH('SCC_Sulfide (SSC)'!$S5,'Tables - Part 2'!$AX$5:$BA$5,0))+INDEX('Tables - Part 2'!$BF$6:$BI$13,MATCH('SCC_Sulfide (SSC)'!$V5,'Tables - Part 2'!$AV$6:$AV$13,0),MATCH('SCC_Sulfide (SSC)'!$S5,'Tables - Part 2'!$AX$5:$BA$5,0)))/2)+((((INDEX('Tables - Part 2'!$BB$6:$BE$13,MATCH('SCC_Sulfide (SSC)'!$V5,'Tables - Part 2'!$AV$6:$AV$13,0),MATCH('SCC_Sulfide (SSC)'!$S5,'Tables - Part 2'!$AX$5:$BA$5,0))+INDEX('Tables - Part 2'!$BF$6:$BI$13,MATCH('SCC_Sulfide (SSC)'!$V5,'Tables - Part 2'!$AV$6:$AV$13,0),MATCH('SCC_Sulfide (SSC)'!$S5,'Tables - Part 2'!$AX$5:$BA$5,0)))/2)+INDEX('Tables - Part 2'!$BF$6:$BI$13,MATCH('SCC_Sulfide (SSC)'!$V5,'Tables - Part 2'!$AV$6:$AV$13,0),MATCH('SCC_Sulfide (SSC)'!$S5,'Tables - Part 2'!$AX$5:$BA$5,0)))/2))/2,0)</f>
        <v>0</v>
      </c>
      <c r="AP5" s="248">
        <f>IF($R5=$AP$3,(((INDEX('Tables - Part 2'!$BB$6:$BE$13,MATCH('SCC_Sulfide (SSC)'!$V5,'Tables - Part 2'!$AV$6:$AV$13,0),MATCH('SCC_Sulfide (SSC)'!$S5,'Tables - Part 2'!$AX$5:$BA$5,0))+INDEX('Tables - Part 2'!$BF$6:$BI$13,MATCH('SCC_Sulfide (SSC)'!$V5,'Tables - Part 2'!$AV$6:$AV$13,0),MATCH('SCC_Sulfide (SSC)'!$S5,'Tables - Part 2'!$AX$5:$BA$5,0)))/2)+INDEX('Tables - Part 2'!$BF$6:$BI$13,MATCH('SCC_Sulfide (SSC)'!$V5,'Tables - Part 2'!$AV$6:$AV$13,0),MATCH('SCC_Sulfide (SSC)'!$S5,'Tables - Part 2'!$AX$5:$BA$5,0)))/2,0)</f>
        <v>0</v>
      </c>
      <c r="AQ5" s="248">
        <f>IF($R5=$AQ$3,(((((INDEX('Tables - Part 2'!$BB$6:$BE$13,MATCH('SCC_Sulfide (SSC)'!$V5,'Tables - Part 2'!$AV$6:$AV$13,0),MATCH('SCC_Sulfide (SSC)'!$S5,'Tables - Part 2'!$AX$5:$BA$5,0))+INDEX('Tables - Part 2'!$BF$6:$BI$13,MATCH('SCC_Sulfide (SSC)'!$V5,'Tables - Part 2'!$AV$6:$AV$13,0),MATCH('SCC_Sulfide (SSC)'!$S5,'Tables - Part 2'!$AX$5:$BA$5,0)))/2)+INDEX('Tables - Part 2'!$BF$6:$BI$13,MATCH('SCC_Sulfide (SSC)'!$V5,'Tables - Part 2'!$AV$6:$AV$13,0),MATCH('SCC_Sulfide (SSC)'!$S5,'Tables - Part 2'!$AX$5:$BA$5,0)))/2)+INDEX('Tables - Part 2'!$BF$6:$BI$13,MATCH('SCC_Sulfide (SSC)'!$V5,'Tables - Part 2'!$AV$6:$AV$13,0),MATCH('SCC_Sulfide (SSC)'!$S5,'Tables - Part 2'!$AX$5:$BA$5,0)))/2,0)</f>
        <v>0</v>
      </c>
      <c r="AR5" s="248">
        <f>IF($R5=$AR$3,INDEX('Tables - Part 2'!$BF$6:$BI$13,MATCH('SCC_Sulfide (SSC)'!$V5,'Tables - Part 2'!$AV$6:$AV$13,0),MATCH('SCC_Sulfide (SSC)'!$S5,'Tables - Part 2'!$AX$5:$BA$5,0)),0)</f>
        <v>0</v>
      </c>
      <c r="AS5" s="248">
        <f>IF($R5=$AS$3,(INDEX('Tables - Part 2'!$BF$6:$BI$13,MATCH('SCC_Sulfide (SSC)'!$V5,'Tables - Part 2'!$AV$6:$AV$13,0),MATCH('SCC_Sulfide (SSC)'!$S5,'Tables - Part 2'!$AX$5:$BA$5,0))+((INDEX('Tables - Part 2'!$BF$6:$BI$13,MATCH('SCC_Sulfide (SSC)'!$V5,'Tables - Part 2'!$AV$6:$AV$13,0),MATCH('SCC_Sulfide (SSC)'!$S5,'Tables - Part 2'!$AX$5:$BA$5,0))+(INDEX('Tables - Part 2'!$BF$6:$BI$13,MATCH('SCC_Sulfide (SSC)'!$V5,'Tables - Part 2'!$AV$6:$AV$13,0),MATCH('SCC_Sulfide (SSC)'!$S5,'Tables - Part 2'!$AX$5:$BA$5,0))+INDEX('Tables - Part 2'!$AX$17:$BA$24,MATCH('SCC_Sulfide (SSC)'!$V5,'Tables - Part 2'!$AV$6:$AV$13,0),MATCH('SCC_Sulfide (SSC)'!$S5,'Tables - Part 2'!$AX$5:$BA$5,0)))/2)/2))/2,0)</f>
        <v>0</v>
      </c>
      <c r="AT5" s="248">
        <f>IF($R5=$AT$3,(INDEX('Tables - Part 2'!$BF$6:$BI$13,MATCH('SCC_Sulfide (SSC)'!$V5,'Tables - Part 2'!$AV$6:$AV$13,0),MATCH('SCC_Sulfide (SSC)'!$S5,'Tables - Part 2'!$AX$5:$BA$5,0))+(INDEX('Tables - Part 2'!$BF$6:$BI$13,MATCH('SCC_Sulfide (SSC)'!$V5,'Tables - Part 2'!$AV$6:$AV$13,0),MATCH('SCC_Sulfide (SSC)'!$S5,'Tables - Part 2'!$AX$5:$BA$5,0))+INDEX('Tables - Part 2'!$AX$17:$BA$24,MATCH('SCC_Sulfide (SSC)'!$V5,'Tables - Part 2'!$AV$6:$AV$13,0),MATCH('SCC_Sulfide (SSC)'!$S5,'Tables - Part 2'!$AX$5:$BA$5,0)))/2)/2,0)</f>
        <v>0</v>
      </c>
      <c r="AU5" s="248">
        <f>IF($R5=$AU$3,(((INDEX('Tables - Part 2'!$BF$6:$BI$13,MATCH('SCC_Sulfide (SSC)'!$V5,'Tables - Part 2'!$AV$6:$AV$13,0),MATCH('SCC_Sulfide (SSC)'!$S5,'Tables - Part 2'!$AX$5:$BA$5,0))+(INDEX('Tables - Part 2'!$BF$6:$BI$13,MATCH('SCC_Sulfide (SSC)'!$V5,'Tables - Part 2'!$AV$6:$AV$13,0),MATCH('SCC_Sulfide (SSC)'!$S5,'Tables - Part 2'!$AX$5:$BA$5,0))+INDEX('Tables - Part 2'!$AX$17:$BA$24,MATCH('SCC_Sulfide (SSC)'!$V5,'Tables - Part 2'!$AV$6:$AV$13,0),MATCH('SCC_Sulfide (SSC)'!$S5,'Tables - Part 2'!$AX$5:$BA$5,0)))/2)/2)+((INDEX('Tables - Part 2'!$BF$6:$BI$13,MATCH('SCC_Sulfide (SSC)'!$V5,'Tables - Part 2'!$AV$6:$AV$13,0),MATCH('SCC_Sulfide (SSC)'!$S5,'Tables - Part 2'!$AX$5:$BA$5,0))+INDEX('Tables - Part 2'!$AX$17:$BA$24,MATCH('SCC_Sulfide (SSC)'!$V5,'Tables - Part 2'!$AV$6:$AV$13,0),MATCH('SCC_Sulfide (SSC)'!$S5,'Tables - Part 2'!$AX$5:$BA$5,0)))/2))/2,0)</f>
        <v>0</v>
      </c>
      <c r="AV5" s="248">
        <f>IF($R5=$AV$3,(INDEX('Tables - Part 2'!$BF$6:$BI$13,MATCH('SCC_Sulfide (SSC)'!$V5,'Tables - Part 2'!$AV$6:$AV$13,0),MATCH('SCC_Sulfide (SSC)'!$S5,'Tables - Part 2'!$AX$5:$BA$5,0))+INDEX('Tables - Part 2'!$AX$17:$BA$24,MATCH('SCC_Sulfide (SSC)'!$V5,'Tables - Part 2'!$AV$6:$AV$13,0),MATCH('SCC_Sulfide (SSC)'!$S5,'Tables - Part 2'!$AX$5:$BA$5,0)))/2,0)</f>
        <v>0</v>
      </c>
      <c r="AW5" s="248">
        <f>IF($R5=$AW$3,(((INDEX('Tables - Part 2'!$BF$6:$BI$13,MATCH('SCC_Sulfide (SSC)'!$V5,'Tables - Part 2'!$AV$6:$AV$13,0),MATCH('SCC_Sulfide (SSC)'!$S5,'Tables - Part 2'!$AX$5:$BA$5,0))+INDEX('Tables - Part 2'!$AX$17:$BA$24,MATCH('SCC_Sulfide (SSC)'!$V5,'Tables - Part 2'!$AV$6:$AV$13,0),MATCH('SCC_Sulfide (SSC)'!$S5,'Tables - Part 2'!$AX$5:$BA$5,0)))/2)+((((INDEX('Tables - Part 2'!$BF$6:$BI$13,MATCH('SCC_Sulfide (SSC)'!$V5,'Tables - Part 2'!$AV$6:$AV$13,0),MATCH('SCC_Sulfide (SSC)'!$S5,'Tables - Part 2'!$AX$5:$BA$5,0))+INDEX('Tables - Part 2'!$AX$17:$BA$24,MATCH('SCC_Sulfide (SSC)'!$V5,'Tables - Part 2'!$AV$6:$AV$13,0),MATCH('SCC_Sulfide (SSC)'!$S5,'Tables - Part 2'!$AX$5:$BA$5,0)))/2)+INDEX('Tables - Part 2'!$AX$17:$BA$24,MATCH('SCC_Sulfide (SSC)'!$V5,'Tables - Part 2'!$AV$6:$AV$13,0),MATCH('SCC_Sulfide (SSC)'!$S5,'Tables - Part 2'!$AX$5:$BA$5,0)))/2))/2,0)</f>
        <v>0</v>
      </c>
      <c r="AX5" s="248">
        <f>IF($R5=$AX$3,(((INDEX('Tables - Part 2'!$BF$6:$BI$13,MATCH('SCC_Sulfide (SSC)'!$V5,'Tables - Part 2'!$AV$6:$AV$13,0),MATCH('SCC_Sulfide (SSC)'!$S5,'Tables - Part 2'!$AX$5:$BA$5,0))+INDEX('Tables - Part 2'!$AX$17:$BA$24,MATCH('SCC_Sulfide (SSC)'!$V5,'Tables - Part 2'!$AV$6:$AV$13,0),MATCH('SCC_Sulfide (SSC)'!$S5,'Tables - Part 2'!$AX$5:$BA$5,0)))/2)+INDEX('Tables - Part 2'!$AX$17:$BA$24,MATCH('SCC_Sulfide (SSC)'!$V5,'Tables - Part 2'!$AV$6:$AV$13,0),MATCH('SCC_Sulfide (SSC)'!$S5,'Tables - Part 2'!$AX$5:$BA$5,0)))/2,0)</f>
        <v>0</v>
      </c>
      <c r="AY5" s="248">
        <f>IF($R5=$AY$3,(((((INDEX('Tables - Part 2'!$BF$6:$BI$13,MATCH('SCC_Sulfide (SSC)'!$V5,'Tables - Part 2'!$AV$6:$AV$13,0),MATCH('SCC_Sulfide (SSC)'!$S5,'Tables - Part 2'!$AX$5:$BA$5,0))+INDEX('Tables - Part 2'!$AX$17:$BA$24,MATCH('SCC_Sulfide (SSC)'!$V5,'Tables - Part 2'!$AV$6:$AV$13,0),MATCH('SCC_Sulfide (SSC)'!$S5,'Tables - Part 2'!$AX$5:$BA$5,0)))/2)+INDEX('Tables - Part 2'!$AX$17:$BA$24,MATCH('SCC_Sulfide (SSC)'!$V5,'Tables - Part 2'!$AV$6:$AV$13,0),MATCH('SCC_Sulfide (SSC)'!$S5,'Tables - Part 2'!$AX$5:$BA$5,0)))/2)+(INDEX('Tables - Part 2'!$AX$17:$BA$24,MATCH('SCC_Sulfide (SSC)'!$V5,'Tables - Part 2'!$AV$6:$AV$13,0),MATCH('SCC_Sulfide (SSC)'!$S5,'Tables - Part 2'!$AX$5:$BA$5,0))))/2,0)</f>
        <v>0</v>
      </c>
      <c r="AZ5" s="248">
        <f>IF($R5=$AZ$3,INDEX('Tables - Part 2'!$AX$17:$BA$24,MATCH('SCC_Sulfide (SSC)'!$V5,'Tables - Part 2'!$AV$6:$AV$13,0),MATCH('SCC_Sulfide (SSC)'!$S5,'Tables - Part 2'!$AX$5:$BA$5,0)),0)</f>
        <v>0</v>
      </c>
      <c r="BA5" s="248">
        <f>IF($R5=$BA$3,((INDEX('Tables - Part 2'!$AX$17:$BA$24,MATCH('SCC_Sulfide (SSC)'!$V5,'Tables - Part 2'!$AV$6:$AV$13,0),MATCH('SCC_Sulfide (SSC)'!$S5,'Tables - Part 2'!$AX$5:$BA$5,0)))+(((INDEX('Tables - Part 2'!$AX$17:$BA$24,MATCH('SCC_Sulfide (SSC)'!$V5,'Tables - Part 2'!$AV$6:$AV$13,0),MATCH('SCC_Sulfide (SSC)'!$S5,'Tables - Part 2'!$AX$5:$BA$5,0)))+(INDEX('Tables - Part 2'!$AX$17:$BA$24,MATCH('SCC_Sulfide (SSC)'!$V5,'Tables - Part 2'!$AV$6:$AV$13,0),MATCH('SCC_Sulfide (SSC)'!$S5,'Tables - Part 2'!$AX$5:$BA$5,0))+INDEX('Tables - Part 2'!$BB$17:$BE$24,MATCH('SCC_Sulfide (SSC)'!$V5,'Tables - Part 2'!$AV$6:$AV$13,0),MATCH('SCC_Sulfide (SSC)'!$S5,'Tables - Part 2'!$AX$5:$BA$5,0)))/2)/2))/2,0)</f>
        <v>0</v>
      </c>
      <c r="BB5" s="248">
        <f>IF($R5=$BB$3,((INDEX('Tables - Part 2'!$AX$17:$BA$24,MATCH('SCC_Sulfide (SSC)'!$V5,'Tables - Part 2'!$AV$6:$AV$13,0),MATCH('SCC_Sulfide (SSC)'!$S5,'Tables - Part 2'!$AX$5:$BA$5,0)))+(INDEX('Tables - Part 2'!$AX$17:$BA$24,MATCH('SCC_Sulfide (SSC)'!$V5,'Tables - Part 2'!$AV$6:$AV$13,0),MATCH('SCC_Sulfide (SSC)'!$S5,'Tables - Part 2'!$AX$5:$BA$5,0))+INDEX('Tables - Part 2'!$BB$17:$BE$24,MATCH('SCC_Sulfide (SSC)'!$V5,'Tables - Part 2'!$AV$6:$AV$13,0),MATCH('SCC_Sulfide (SSC)'!$S5,'Tables - Part 2'!$AX$5:$BA$5,0)))/2)/2,0)</f>
        <v>0</v>
      </c>
      <c r="BC5" s="248">
        <f>IF($R5=$BC$3,((((INDEX('Tables - Part 2'!$AX$17:$BA$24,MATCH('SCC_Sulfide (SSC)'!$V5,'Tables - Part 2'!$AV$6:$AV$13,0),MATCH('SCC_Sulfide (SSC)'!$S5,'Tables - Part 2'!$AX$5:$BA$5,0)))+(INDEX('Tables - Part 2'!$AX$17:$BA$24,MATCH('SCC_Sulfide (SSC)'!$V5,'Tables - Part 2'!$AV$6:$AV$13,0),MATCH('SCC_Sulfide (SSC)'!$S5,'Tables - Part 2'!$AX$5:$BA$5,0))+INDEX('Tables - Part 2'!$BB$17:$BE$24,MATCH('SCC_Sulfide (SSC)'!$V5,'Tables - Part 2'!$AV$6:$AV$13,0),MATCH('SCC_Sulfide (SSC)'!$S5,'Tables - Part 2'!$AX$5:$BA$5,0)))/2)/2)+((INDEX('Tables - Part 2'!$AX$17:$BA$24,MATCH('SCC_Sulfide (SSC)'!$V5,'Tables - Part 2'!$AV$6:$AV$13,0),MATCH('SCC_Sulfide (SSC)'!$S5,'Tables - Part 2'!$AX$5:$BA$5,0))+INDEX('Tables - Part 2'!$BB$17:$BE$24,MATCH('SCC_Sulfide (SSC)'!$V5,'Tables - Part 2'!$AV$6:$AV$13,0),MATCH('SCC_Sulfide (SSC)'!$S5,'Tables - Part 2'!$AX$5:$BA$5,0)))/2))/2,0)</f>
        <v>0</v>
      </c>
      <c r="BD5" s="248">
        <f>IF($R5=$BD$3,(INDEX('Tables - Part 2'!$AX$17:$BA$24,MATCH('SCC_Sulfide (SSC)'!$V5,'Tables - Part 2'!$AV$6:$AV$13,0),MATCH('SCC_Sulfide (SSC)'!$S5,'Tables - Part 2'!$AX$5:$BA$5,0))+INDEX('Tables - Part 2'!$BB$17:$BE$24,MATCH('SCC_Sulfide (SSC)'!$V5,'Tables - Part 2'!$AV$6:$AV$13,0),MATCH('SCC_Sulfide (SSC)'!$S5,'Tables - Part 2'!$AX$5:$BA$5,0)))/2,0)</f>
        <v>0</v>
      </c>
      <c r="BE5" s="248">
        <f>IF($R5=$BE$3,(((INDEX('Tables - Part 2'!$AX$17:$BA$24,MATCH('SCC_Sulfide (SSC)'!$V5,'Tables - Part 2'!$AV$6:$AV$13,0),MATCH('SCC_Sulfide (SSC)'!$S5,'Tables - Part 2'!$AX$5:$BA$5,0))+INDEX('Tables - Part 2'!$BB$17:$BE$24,MATCH('SCC_Sulfide (SSC)'!$V5,'Tables - Part 2'!$AV$6:$AV$13,0),MATCH('SCC_Sulfide (SSC)'!$S5,'Tables - Part 2'!$AX$5:$BA$5,0)))/2)+((((INDEX('Tables - Part 2'!$AX$17:$BA$24,MATCH('SCC_Sulfide (SSC)'!$V5,'Tables - Part 2'!$AV$6:$AV$13,0),MATCH('SCC_Sulfide (SSC)'!$S5,'Tables - Part 2'!$AX$5:$BA$5,0))+INDEX('Tables - Part 2'!$BB$17:$BE$24,MATCH('SCC_Sulfide (SSC)'!$V5,'Tables - Part 2'!$AV$6:$AV$13,0),MATCH('SCC_Sulfide (SSC)'!$S5,'Tables - Part 2'!$AX$5:$BA$5,0)))/2)+INDEX('Tables - Part 2'!$BB$17:$BE$24,MATCH('SCC_Sulfide (SSC)'!$V5,'Tables - Part 2'!$AV$6:$AV$13,0),MATCH('SCC_Sulfide (SSC)'!$S5,'Tables - Part 2'!$AX$5:$BA$5,0)))/2))/2,0)</f>
        <v>0</v>
      </c>
      <c r="BF5" s="248">
        <f>IF($R5=$BF$3,(((INDEX('Tables - Part 2'!$AX$17:$BA$24,MATCH('SCC_Sulfide (SSC)'!$V5,'Tables - Part 2'!$AV$6:$AV$13,0),MATCH('SCC_Sulfide (SSC)'!$S5,'Tables - Part 2'!$AX$5:$BA$5,0))+INDEX('Tables - Part 2'!$BB$17:$BE$24,MATCH('SCC_Sulfide (SSC)'!$V5,'Tables - Part 2'!$AV$6:$AV$13,0),MATCH('SCC_Sulfide (SSC)'!$S5,'Tables - Part 2'!$AX$5:$BA$5,0)))/2)+INDEX('Tables - Part 2'!$BB$17:$BE$24,MATCH('SCC_Sulfide (SSC)'!$V5,'Tables - Part 2'!$AV$6:$AV$13,0),MATCH('SCC_Sulfide (SSC)'!$S5,'Tables - Part 2'!$AX$5:$BA$5,0)))/2,0)</f>
        <v>0</v>
      </c>
      <c r="BG5" s="248">
        <f>IF($R5=$BG$3,(((((INDEX('Tables - Part 2'!$AX$17:$BA$24,MATCH('SCC_Sulfide (SSC)'!$V5,'Tables - Part 2'!$AV$6:$AV$13,0),MATCH('SCC_Sulfide (SSC)'!$S5,'Tables - Part 2'!$AX$5:$BA$5,0))+INDEX('Tables - Part 2'!$BB$17:$BE$24,MATCH('SCC_Sulfide (SSC)'!$V5,'Tables - Part 2'!$AV$6:$AV$13,0),MATCH('SCC_Sulfide (SSC)'!$S5,'Tables - Part 2'!$AX$5:$BA$5,0)))/2)+INDEX('Tables - Part 2'!$BB$17:$BE$24,MATCH('SCC_Sulfide (SSC)'!$V5,'Tables - Part 2'!$AV$6:$AV$13,0),MATCH('SCC_Sulfide (SSC)'!$S5,'Tables - Part 2'!$AX$5:$BA$5,0)))/2)+(INDEX('Tables - Part 2'!$BB$17:$BE$24,MATCH('SCC_Sulfide (SSC)'!$V5,'Tables - Part 2'!$AV$6:$AV$13,0),MATCH('SCC_Sulfide (SSC)'!$S5,'Tables - Part 2'!$AX$5:$BA$5,0))))/2,0)</f>
        <v>0</v>
      </c>
      <c r="BH5" s="248">
        <f>IF($R5=$BH$3,INDEX('Tables - Part 2'!$BB$17:$BE$24,MATCH('SCC_Sulfide (SSC)'!$V5,'Tables - Part 2'!$AV$6:$AV$13,0),MATCH('SCC_Sulfide (SSC)'!$S5,'Tables - Part 2'!$AX$5:$BA$5,0)),0)</f>
        <v>0</v>
      </c>
      <c r="BI5" s="248">
        <f>IF($R5=$BI$3,((INDEX('Tables - Part 2'!$BB$17:$BE$24,MATCH('SCC_Sulfide (SSC)'!$V5,'Tables - Part 2'!$AV$6:$AV$13,0),MATCH('SCC_Sulfide (SSC)'!$S5,'Tables - Part 2'!$AX$5:$BA$5,0)))+(((INDEX('Tables - Part 2'!$BB$17:$BE$24,MATCH('SCC_Sulfide (SSC)'!$V5,'Tables - Part 2'!$AV$6:$AV$13,0),MATCH('SCC_Sulfide (SSC)'!$S5,'Tables - Part 2'!$AX$5:$BA$5,0)))+(INDEX('Tables - Part 2'!$BB$17:$BE$24,MATCH('SCC_Sulfide (SSC)'!$V5,'Tables - Part 2'!$AV$6:$AV$13,0),MATCH('SCC_Sulfide (SSC)'!$S5,'Tables - Part 2'!$AX$5:$BA$5,0))+INDEX('Tables - Part 2'!$BF$17:$BI$24,MATCH('SCC_Sulfide (SSC)'!$V5,'Tables - Part 2'!$AV$6:$AV$13,0),MATCH('SCC_Sulfide (SSC)'!$S5,'Tables - Part 2'!$AX$5:$BA$5,0)))/2)/2))/2,0)</f>
        <v>0</v>
      </c>
      <c r="BJ5" s="248">
        <f>IF($R5=$BJ$3,((INDEX('Tables - Part 2'!$BB$17:$BE$24,MATCH('SCC_Sulfide (SSC)'!$V5,'Tables - Part 2'!$AV$6:$AV$13,0),MATCH('SCC_Sulfide (SSC)'!$S5,'Tables - Part 2'!$AX$5:$BA$5,0)))+(INDEX('Tables - Part 2'!$BB$17:$BE$24,MATCH('SCC_Sulfide (SSC)'!$V5,'Tables - Part 2'!$AV$6:$AV$13,0),MATCH('SCC_Sulfide (SSC)'!$S5,'Tables - Part 2'!$AX$5:$BA$5,0))+INDEX('Tables - Part 2'!$BF$17:$BI$24,MATCH('SCC_Sulfide (SSC)'!$V5,'Tables - Part 2'!$AV$6:$AV$13,0),MATCH('SCC_Sulfide (SSC)'!$S5,'Tables - Part 2'!$AX$5:$BA$5,0)))/2)/2,0)</f>
        <v>0</v>
      </c>
      <c r="BK5" s="248">
        <f>IF($R5=$BK$3,((((INDEX('Tables - Part 2'!$BB$17:$BE$24,MATCH('SCC_Sulfide (SSC)'!$V5,'Tables - Part 2'!$AV$6:$AV$13,0),MATCH('SCC_Sulfide (SSC)'!$S5,'Tables - Part 2'!$AX$5:$BA$5,0)))+(INDEX('Tables - Part 2'!$BB$17:$BE$24,MATCH('SCC_Sulfide (SSC)'!$V5,'Tables - Part 2'!$AV$6:$AV$13,0),MATCH('SCC_Sulfide (SSC)'!$S5,'Tables - Part 2'!$AX$5:$BA$5,0))+INDEX('Tables - Part 2'!$BF$17:$BI$24,MATCH('SCC_Sulfide (SSC)'!$V5,'Tables - Part 2'!$AV$6:$AV$13,0),MATCH('SCC_Sulfide (SSC)'!$S5,'Tables - Part 2'!$AX$5:$BA$5,0)))/2)/2)+((INDEX('Tables - Part 2'!$BB$17:$BE$24,MATCH('SCC_Sulfide (SSC)'!$V5,'Tables - Part 2'!$AV$6:$AV$13,0),MATCH('SCC_Sulfide (SSC)'!$S5,'Tables - Part 2'!$AX$5:$BA$5,0))+INDEX('Tables - Part 2'!$BF$17:$BI$24,MATCH('SCC_Sulfide (SSC)'!$V5,'Tables - Part 2'!$AV$6:$AV$13,0),MATCH('SCC_Sulfide (SSC)'!$S5,'Tables - Part 2'!$AX$5:$BA$5,0)))/2))/2,0)</f>
        <v>0</v>
      </c>
      <c r="BL5" s="248">
        <f>IF($R5=$BL$3,(INDEX('Tables - Part 2'!$BB$17:$BE$24,MATCH('SCC_Sulfide (SSC)'!$V5,'Tables - Part 2'!$AV$6:$AV$13,0),MATCH('SCC_Sulfide (SSC)'!$S5,'Tables - Part 2'!$AX$5:$BA$5,0))+INDEX('Tables - Part 2'!$BF$17:$BI$24,MATCH('SCC_Sulfide (SSC)'!$V5,'Tables - Part 2'!$AV$6:$AV$13,0),MATCH('SCC_Sulfide (SSC)'!$S5,'Tables - Part 2'!$AX$5:$BA$5,0)))/2,0)</f>
        <v>0</v>
      </c>
      <c r="BM5" s="248">
        <f>IF($R5=$BM$3,(((INDEX('Tables - Part 2'!$BB$17:$BE$24,MATCH('SCC_Sulfide (SSC)'!$V5,'Tables - Part 2'!$AV$6:$AV$13,0),MATCH('SCC_Sulfide (SSC)'!$S5,'Tables - Part 2'!$AX$5:$BA$5,0))+INDEX('Tables - Part 2'!$BF$17:$BI$24,MATCH('SCC_Sulfide (SSC)'!$V5,'Tables - Part 2'!$AV$6:$AV$13,0),MATCH('SCC_Sulfide (SSC)'!$S5,'Tables - Part 2'!$AX$5:$BA$5,0)))/2)+((((INDEX('Tables - Part 2'!$BB$17:$BE$24,MATCH('SCC_Sulfide (SSC)'!$V5,'Tables - Part 2'!$AV$6:$AV$13,0),MATCH('SCC_Sulfide (SSC)'!$S5,'Tables - Part 2'!$AX$5:$BA$5,0))+INDEX('Tables - Part 2'!$BF$17:$BI$24,MATCH('SCC_Sulfide (SSC)'!$V5,'Tables - Part 2'!$AV$6:$AV$13,0),MATCH('SCC_Sulfide (SSC)'!$S5,'Tables - Part 2'!$AX$5:$BA$5,0)))/2)+INDEX('Tables - Part 2'!$BF$17:$BI$24,MATCH('SCC_Sulfide (SSC)'!$V5,'Tables - Part 2'!$AV$6:$AV$13,0),MATCH('SCC_Sulfide (SSC)'!$S5,'Tables - Part 2'!$AX$5:$BA$5,0)))/2))/2,0)</f>
        <v>0</v>
      </c>
      <c r="BN5" s="248">
        <f>IF($R5=$BN$3,(((INDEX('Tables - Part 2'!$BB$17:$BE$24,MATCH('SCC_Sulfide (SSC)'!$V5,'Tables - Part 2'!$AV$6:$AV$13,0),MATCH('SCC_Sulfide (SSC)'!$S5,'Tables - Part 2'!$AX$5:$BA$5,0))+INDEX('Tables - Part 2'!$BF$17:$BI$24,MATCH('SCC_Sulfide (SSC)'!$V5,'Tables - Part 2'!$AV$6:$AV$13,0),MATCH('SCC_Sulfide (SSC)'!$S5,'Tables - Part 2'!$AX$5:$BA$5,0)))/2)+INDEX('Tables - Part 2'!$BF$17:$BI$24,MATCH('SCC_Sulfide (SSC)'!$V5,'Tables - Part 2'!$AV$6:$AV$13,0),MATCH('SCC_Sulfide (SSC)'!$S5,'Tables - Part 2'!$AX$5:$BA$5,0)))/2,0)</f>
        <v>0</v>
      </c>
      <c r="BO5" s="248">
        <f>IF($R5=$BO$3,(((((INDEX('Tables - Part 2'!$BB$17:$BE$24,MATCH('SCC_Sulfide (SSC)'!$V5,'Tables - Part 2'!$AV$6:$AV$13,0),MATCH('SCC_Sulfide (SSC)'!$S5,'Tables - Part 2'!$AX$5:$BA$5,0))+INDEX('Tables - Part 2'!$BF$17:$BI$24,MATCH('SCC_Sulfide (SSC)'!$V5,'Tables - Part 2'!$AV$6:$AV$13,0),MATCH('SCC_Sulfide (SSC)'!$S5,'Tables - Part 2'!$AX$5:$BA$5,0)))/2)+INDEX('Tables - Part 2'!$BF$17:$BI$24,MATCH('SCC_Sulfide (SSC)'!$V5,'Tables - Part 2'!$AV$6:$AV$13,0),MATCH('SCC_Sulfide (SSC)'!$S5,'Tables - Part 2'!$AX$5:$BA$5,0)))/2)+(INDEX('Tables - Part 2'!$BF$17:$BI$24,MATCH('SCC_Sulfide (SSC)'!$V5,'Tables - Part 2'!$AV$6:$AV$13,0),MATCH('SCC_Sulfide (SSC)'!$S5,'Tables - Part 2'!$AX$5:$BA$5,0))))/2,0)</f>
        <v>0</v>
      </c>
      <c r="BP5" s="248">
        <f>IF($R5=$BP$3,INDEX('Tables - Part 2'!$BF$17:$BI$24,MATCH('SCC_Sulfide (SSC)'!$V5,'Tables - Part 2'!$AV$6:$AV$13,0),MATCH('SCC_Sulfide (SSC)'!$S5,'Tables - Part 2'!$AX$5:$BA$5,0)),0)</f>
        <v>0</v>
      </c>
      <c r="BQ5" s="248">
        <f t="shared" si="6"/>
        <v>0</v>
      </c>
      <c r="BR5" s="238">
        <f t="shared" ref="BR5:BR21" si="8">SUM(AB5:BQ5)</f>
        <v>1</v>
      </c>
      <c r="BS5" s="238">
        <f t="shared" si="7"/>
        <v>17.357540291215013</v>
      </c>
      <c r="BV5" s="438" t="s">
        <v>898</v>
      </c>
    </row>
    <row r="6" spans="2:84" x14ac:dyDescent="0.35">
      <c r="B6" s="161" t="str">
        <f>'Tratamento de Dados'!B14</f>
        <v>V-10</v>
      </c>
      <c r="C6" s="161" t="str">
        <f>'Tratamento de Dados'!D14</f>
        <v>Casco</v>
      </c>
      <c r="D6" s="209" t="s">
        <v>245</v>
      </c>
      <c r="E6" s="209" t="s">
        <v>61</v>
      </c>
      <c r="F6" s="209" t="s">
        <v>836</v>
      </c>
      <c r="G6" s="209" t="s">
        <v>832</v>
      </c>
      <c r="H6" s="209" t="s">
        <v>245</v>
      </c>
      <c r="I6" s="209" t="s">
        <v>1113</v>
      </c>
      <c r="J6" s="209" t="s">
        <v>245</v>
      </c>
      <c r="K6" s="210">
        <v>39092</v>
      </c>
      <c r="L6" s="209">
        <v>0</v>
      </c>
      <c r="M6" s="209">
        <v>1</v>
      </c>
      <c r="N6" s="209">
        <v>1</v>
      </c>
      <c r="O6" s="209">
        <v>4</v>
      </c>
      <c r="P6" s="253">
        <f>'Tratamento de Dados'!DA14</f>
        <v>0</v>
      </c>
      <c r="Q6" s="253">
        <f>'Tratamento de Dados'!DB14</f>
        <v>0</v>
      </c>
      <c r="R6" s="256">
        <f t="shared" si="0"/>
        <v>2.5</v>
      </c>
      <c r="S6" s="246" t="str">
        <f t="shared" si="1"/>
        <v>B</v>
      </c>
      <c r="T6" s="238" t="str">
        <f>IF(D6=$BX$2,$BV$4,IF(AND(H6=$BX$2,OR(F6='Tables - Part 2'!$BN$8,'Tables - Part 2'!$BN$9),OR('SCC_Sulfide (SSC)'!G6='Tables - Part 2'!$BQ$4,'SCC_Sulfide (SSC)'!G6='Tables - Part 2'!$BR$4)),$BV$4,INDEX('Tables - Part 2'!$BO$5:$BR$9,MATCH('SCC_Sulfide (SSC)'!F6,'Tables - Part 2'!$BN$5:$BN$9,0),MATCH('SCC_Sulfide (SSC)'!G6,'Tables - Part 2'!$BO$4:$BR$4,0))))</f>
        <v>Moderate</v>
      </c>
      <c r="U6" s="238" t="str">
        <f>IF(D6=$BX$2,$BV$4,IF(J6=$BX$2,INDEX('Tables - Part 2'!$BX$6:$BZ$8,MATCH('SCC_Sulfide (SSC)'!T6,'Tables - Part 2'!$BT$6:$BT$8,0),MATCH('SCC_Sulfide (SSC)'!I6,'Tables - Part 2'!$BX$5:$BZ$5,0)),INDEX('Tables - Part 2'!$BU$6:$BW$8,MATCH('SCC_Sulfide (SSC)'!T6,'Tables - Part 2'!$BT$6:$BT$8,0),MATCH('SCC_Sulfide (SSC)'!I6,'Tables - Part 2'!$BU$5:$BW$5,0))))</f>
        <v>Medium</v>
      </c>
      <c r="V6" s="238">
        <f>IF(AND(D6=$BX$2,E6&lt;&gt;$BX$2),"Fitness-For-Service",INDEX('Tables - Part 2'!$CC$4:$CC$7,MATCH('SCC_Sulfide (SSC)'!U6,'Tables - Part 2'!$CB$4:$CB$7,0),))</f>
        <v>10</v>
      </c>
      <c r="W6" s="238">
        <f>IF(K6=0,(Thinning!G7-Thinning!F7)/365.25,(Thinning!G7-K6)/365.25)</f>
        <v>12.980150581793293</v>
      </c>
      <c r="X6" s="248">
        <f t="shared" si="2"/>
        <v>0</v>
      </c>
      <c r="Y6" s="248">
        <f t="shared" si="3"/>
        <v>2.5</v>
      </c>
      <c r="Z6" s="248">
        <f t="shared" si="4"/>
        <v>3</v>
      </c>
      <c r="AA6" s="247">
        <f t="shared" si="5"/>
        <v>4</v>
      </c>
      <c r="AB6" s="248">
        <f>IF($R6=$AB$3,INDEX('Tables - Part 2'!$AX$6:$BA$13,MATCH('SCC_Sulfide (SSC)'!V6,'Tables - Part 2'!$AV$6:$AV$13,0),MATCH('SCC_Sulfide (SSC)'!S6,'Tables - Part 2'!$AX$5:$BA$5,0)),0)</f>
        <v>0</v>
      </c>
      <c r="AC6" s="248">
        <f>IF($R6=$AC$3,(INDEX('Tables - Part 2'!$AX$6:$BA$13,MATCH('SCC_Sulfide (SSC)'!V6,'Tables - Part 2'!$AV$6:$AV$13,0),MATCH('SCC_Sulfide (SSC)'!S6,'Tables - Part 2'!$AX$5:$BA$5,0))+(INDEX('Tables - Part 2'!$AX$6:$BA$13,MATCH('SCC_Sulfide (SSC)'!V6,'Tables - Part 2'!$AV$6:$AV$13,0),MATCH('SCC_Sulfide (SSC)'!S6,'Tables - Part 2'!$AX$5:$BA$5,0))+((INDEX('Tables - Part 2'!$AX$6:$BA$13,MATCH('SCC_Sulfide (SSC)'!V6,'Tables - Part 2'!$AV$6:$AV$13,0),MATCH('SCC_Sulfide (SSC)'!S6,'Tables - Part 2'!$AX$5:$BA$5,0))+INDEX('Tables - Part 2'!$BB$6:$BE$13,MATCH('SCC_Sulfide (SSC)'!$V6,'Tables - Part 2'!$AV$6:$AV$13,0),MATCH('SCC_Sulfide (SSC)'!$S6,'Tables - Part 2'!$AX$5:$BA$5,0)))/2))/2)/2,0)</f>
        <v>0</v>
      </c>
      <c r="AD6" s="248">
        <f>IF($R6=$AD$3,(INDEX('Tables - Part 2'!$AX$6:$BA$13,MATCH('SCC_Sulfide (SSC)'!V6,'Tables - Part 2'!$AV$6:$AV$13,0),MATCH('SCC_Sulfide (SSC)'!S6,'Tables - Part 2'!$AX$5:$BA$5,0))+((INDEX('Tables - Part 2'!$AX$6:$BA$13,MATCH('SCC_Sulfide (SSC)'!V6,'Tables - Part 2'!$AV$6:$AV$13,0),MATCH('SCC_Sulfide (SSC)'!S6,'Tables - Part 2'!$AX$5:$BA$5,0))+INDEX('Tables - Part 2'!$BB$6:$BE$13,MATCH('SCC_Sulfide (SSC)'!$V6,'Tables - Part 2'!$AV$6:$AV$13,0),MATCH('SCC_Sulfide (SSC)'!$S6,'Tables - Part 2'!$AX$5:$BA$5,0)))/2))/2,0)</f>
        <v>0</v>
      </c>
      <c r="AE6" s="248">
        <f>IF($R6=$AE$3,(((INDEX('Tables - Part 2'!$AX$6:$BA$13,MATCH('SCC_Sulfide (SSC)'!V6,'Tables - Part 2'!$AV$6:$AV$13,0),MATCH('SCC_Sulfide (SSC)'!S6,'Tables - Part 2'!$AX$5:$BA$5,0))+((INDEX('Tables - Part 2'!$AX$6:$BA$13,MATCH('SCC_Sulfide (SSC)'!V6,'Tables - Part 2'!$AV$6:$AV$13,0),MATCH('SCC_Sulfide (SSC)'!S6,'Tables - Part 2'!$AX$5:$BA$5,0))+INDEX('Tables - Part 2'!$BB$6:$BE$13,MATCH('SCC_Sulfide (SSC)'!$V6,'Tables - Part 2'!$AV$6:$AV$13,0),MATCH('SCC_Sulfide (SSC)'!$S6,'Tables - Part 2'!$AX$5:$BA$5,0)))/2))/2)+(INDEX('Tables - Part 2'!$AX$6:$BA$13,MATCH('SCC_Sulfide (SSC)'!V6,'Tables - Part 2'!$AV$6:$AV$13,0),MATCH('SCC_Sulfide (SSC)'!S6,'Tables - Part 2'!$AX$5:$BA$5,0))+INDEX('Tables - Part 2'!$BB$6:$BE$13,MATCH('SCC_Sulfide (SSC)'!$V6,'Tables - Part 2'!$AV$6:$AV$13,0),MATCH('SCC_Sulfide (SSC)'!$S6,'Tables - Part 2'!$AX$5:$BA$5,0)))/2)/2,0)</f>
        <v>0</v>
      </c>
      <c r="AF6" s="248">
        <f>IF($R6=$AF$3,(INDEX('Tables - Part 2'!$AX$6:$BA$13,MATCH('SCC_Sulfide (SSC)'!V6,'Tables - Part 2'!$AV$6:$AV$13,0),MATCH('SCC_Sulfide (SSC)'!S6,'Tables - Part 2'!$AX$5:$BA$5,0))+INDEX('Tables - Part 2'!$BB$6:$BE$13,MATCH('SCC_Sulfide (SSC)'!$V6,'Tables - Part 2'!$AV$6:$AV$13,0),MATCH('SCC_Sulfide (SSC)'!$S6,'Tables - Part 2'!$AX$5:$BA$5,0)))/2,0)</f>
        <v>0</v>
      </c>
      <c r="AG6" s="248">
        <f>IF($R6=$AG$3,(((INDEX('Tables - Part 2'!$AX$6:$BA$13,MATCH('SCC_Sulfide (SSC)'!V6,'Tables - Part 2'!$AV$6:$AV$13,0),MATCH('SCC_Sulfide (SSC)'!S6,'Tables - Part 2'!$AX$5:$BA$5,0))+INDEX('Tables - Part 2'!$BB$6:$BE$13,MATCH('SCC_Sulfide (SSC)'!$V6,'Tables - Part 2'!$AV$6:$AV$13,0),MATCH('SCC_Sulfide (SSC)'!$S6,'Tables - Part 2'!$AX$5:$BA$5,0)))/2)+(((INDEX('Tables - Part 2'!$AX$6:$BA$13,MATCH('SCC_Sulfide (SSC)'!V6,'Tables - Part 2'!$AV$6:$AV$13,0),MATCH('SCC_Sulfide (SSC)'!S6,'Tables - Part 2'!$AX$5:$BA$5,0))+INDEX('Tables - Part 2'!$BB$6:$BE$13,MATCH('SCC_Sulfide (SSC)'!$V6,'Tables - Part 2'!$AV$6:$AV$13,0),MATCH('SCC_Sulfide (SSC)'!$S6,'Tables - Part 2'!$AX$5:$BA$5,0)))/2)+INDEX('Tables - Part 2'!$BB$6:$BE$13,MATCH('SCC_Sulfide (SSC)'!$V6,'Tables - Part 2'!$AV$6:$AV$13,0),MATCH('SCC_Sulfide (SSC)'!$S6,'Tables - Part 2'!$AX$5:$BA$5,0)))/2)/2,0)</f>
        <v>0</v>
      </c>
      <c r="AH6" s="248">
        <f>IF($R6=$AH$3,(((INDEX('Tables - Part 2'!$AX$6:$BA$13,MATCH('SCC_Sulfide (SSC)'!V6,'Tables - Part 2'!$AV$6:$AV$13,0),MATCH('SCC_Sulfide (SSC)'!S6,'Tables - Part 2'!$AX$5:$BA$5,0))+INDEX('Tables - Part 2'!$BB$6:$BE$13,MATCH('SCC_Sulfide (SSC)'!$V6,'Tables - Part 2'!$AV$6:$AV$13,0),MATCH('SCC_Sulfide (SSC)'!$S6,'Tables - Part 2'!$AX$5:$BA$5,0)))/2)+INDEX('Tables - Part 2'!$BB$6:$BE$13,MATCH('SCC_Sulfide (SSC)'!$V6,'Tables - Part 2'!$AV$6:$AV$13,0),MATCH('SCC_Sulfide (SSC)'!$S6,'Tables - Part 2'!$AX$5:$BA$5,0)))/2,0)</f>
        <v>0</v>
      </c>
      <c r="AI6" s="248">
        <f>IF($R6=$AI$3,(((((INDEX('Tables - Part 2'!$AX$6:$BA$13,MATCH('SCC_Sulfide (SSC)'!V6,'Tables - Part 2'!$AV$6:$AV$13,0),MATCH('SCC_Sulfide (SSC)'!S6,'Tables - Part 2'!$AX$5:$BA$5,0))+INDEX('Tables - Part 2'!$BB$6:$BE$13,MATCH('SCC_Sulfide (SSC)'!$V6,'Tables - Part 2'!$AV$6:$AV$13,0),MATCH('SCC_Sulfide (SSC)'!$S6,'Tables - Part 2'!$AX$5:$BA$5,0)))/2)+INDEX('Tables - Part 2'!$BB$6:$BE$13,MATCH('SCC_Sulfide (SSC)'!$V6,'Tables - Part 2'!$AV$6:$AV$13,0),MATCH('SCC_Sulfide (SSC)'!$S6,'Tables - Part 2'!$AX$5:$BA$5,0)))/2)+INDEX('Tables - Part 2'!$BB$6:$BE$13,MATCH('SCC_Sulfide (SSC)'!$V6,'Tables - Part 2'!$AV$6:$AV$13,0),MATCH('SCC_Sulfide (SSC)'!$S6,'Tables - Part 2'!$AX$5:$BA$5,0)))/2,0)</f>
        <v>0</v>
      </c>
      <c r="AJ6" s="248">
        <f>IF($R6=$AJ$3,INDEX('Tables - Part 2'!$BB$6:$BE$13,MATCH('SCC_Sulfide (SSC)'!$V6,'Tables - Part 2'!$AV$6:$AV$13,0),MATCH('SCC_Sulfide (SSC)'!$S6,'Tables - Part 2'!$AX$5:$BA$5,0)),0)</f>
        <v>0</v>
      </c>
      <c r="AK6" s="248">
        <f>IF($R6=$AK$3,((INDEX('Tables - Part 2'!$BB$6:$BE$13,MATCH('SCC_Sulfide (SSC)'!$V6,'Tables - Part 2'!$AV$6:$AV$13,0),MATCH('SCC_Sulfide (SSC)'!$S6,'Tables - Part 2'!$AX$5:$BA$5,0)))+(INDEX('Tables - Part 2'!$BB$6:$BE$13,MATCH('SCC_Sulfide (SSC)'!$V6,'Tables - Part 2'!$AV$6:$AV$13,0),MATCH('SCC_Sulfide (SSC)'!$S6,'Tables - Part 2'!$AX$5:$BA$5,0))+(INDEX('Tables - Part 2'!$BB$6:$BE$13,MATCH('SCC_Sulfide (SSC)'!$V6,'Tables - Part 2'!$AV$6:$AV$13,0),MATCH('SCC_Sulfide (SSC)'!$S6,'Tables - Part 2'!$AX$5:$BA$5,0))+INDEX('Tables - Part 2'!$BF$6:$BI$13,MATCH('SCC_Sulfide (SSC)'!$V6,'Tables - Part 2'!$AV$6:$AV$13,0),MATCH('SCC_Sulfide (SSC)'!$S6,'Tables - Part 2'!$AX$5:$BA$5,0)))/2)/2)/2,0)</f>
        <v>0</v>
      </c>
      <c r="AL6" s="248">
        <f>IF($R6=$AL$3,(INDEX('Tables - Part 2'!$BB$6:$BE$13,MATCH('SCC_Sulfide (SSC)'!$V6,'Tables - Part 2'!$AV$6:$AV$13,0),MATCH('SCC_Sulfide (SSC)'!$S6,'Tables - Part 2'!$AX$5:$BA$5,0))+(INDEX('Tables - Part 2'!$BB$6:$BE$13,MATCH('SCC_Sulfide (SSC)'!$V6,'Tables - Part 2'!$AV$6:$AV$13,0),MATCH('SCC_Sulfide (SSC)'!$S6,'Tables - Part 2'!$AX$5:$BA$5,0))+INDEX('Tables - Part 2'!$BF$6:$BI$13,MATCH('SCC_Sulfide (SSC)'!$V6,'Tables - Part 2'!$AV$6:$AV$13,0),MATCH('SCC_Sulfide (SSC)'!$S6,'Tables - Part 2'!$AX$5:$BA$5,0)))/2)/2,0)</f>
        <v>0</v>
      </c>
      <c r="AM6" s="248">
        <f>IF($R6=$AM$3,(((INDEX('Tables - Part 2'!$BB$6:$BE$13,MATCH('SCC_Sulfide (SSC)'!$V6,'Tables - Part 2'!$AV$6:$AV$13,0),MATCH('SCC_Sulfide (SSC)'!$S6,'Tables - Part 2'!$AX$5:$BA$5,0))+(INDEX('Tables - Part 2'!$BB$6:$BE$13,MATCH('SCC_Sulfide (SSC)'!$V6,'Tables - Part 2'!$AV$6:$AV$13,0),MATCH('SCC_Sulfide (SSC)'!$S6,'Tables - Part 2'!$AX$5:$BA$5,0))+INDEX('Tables - Part 2'!$BF$6:$BI$13,MATCH('SCC_Sulfide (SSC)'!$V6,'Tables - Part 2'!$AV$6:$AV$13,0),MATCH('SCC_Sulfide (SSC)'!$S6,'Tables - Part 2'!$AX$5:$BA$5,0)))/2)/2)+((INDEX('Tables - Part 2'!$BB$6:$BE$13,MATCH('SCC_Sulfide (SSC)'!$V6,'Tables - Part 2'!$AV$6:$AV$13,0),MATCH('SCC_Sulfide (SSC)'!$S6,'Tables - Part 2'!$AX$5:$BA$5,0))+INDEX('Tables - Part 2'!$BF$6:$BI$13,MATCH('SCC_Sulfide (SSC)'!$V6,'Tables - Part 2'!$AV$6:$AV$13,0),MATCH('SCC_Sulfide (SSC)'!$S6,'Tables - Part 2'!$AX$5:$BA$5,0)))/2))/2,0)</f>
        <v>0</v>
      </c>
      <c r="AN6" s="248">
        <f>IF($R6=$AN$3,(INDEX('Tables - Part 2'!$BB$6:$BE$13,MATCH('SCC_Sulfide (SSC)'!$V6,'Tables - Part 2'!$AV$6:$AV$13,0),MATCH('SCC_Sulfide (SSC)'!$S6,'Tables - Part 2'!$AX$5:$BA$5,0))+INDEX('Tables - Part 2'!$BF$6:$BI$13,MATCH('SCC_Sulfide (SSC)'!$V6,'Tables - Part 2'!$AV$6:$AV$13,0),MATCH('SCC_Sulfide (SSC)'!$S6,'Tables - Part 2'!$AX$5:$BA$5,0)))/2,0)</f>
        <v>1</v>
      </c>
      <c r="AO6" s="248">
        <f>IF($R6=$AO$3,(((INDEX('Tables - Part 2'!$BB$6:$BE$13,MATCH('SCC_Sulfide (SSC)'!$V6,'Tables - Part 2'!$AV$6:$AV$13,0),MATCH('SCC_Sulfide (SSC)'!$S6,'Tables - Part 2'!$AX$5:$BA$5,0))+INDEX('Tables - Part 2'!$BF$6:$BI$13,MATCH('SCC_Sulfide (SSC)'!$V6,'Tables - Part 2'!$AV$6:$AV$13,0),MATCH('SCC_Sulfide (SSC)'!$S6,'Tables - Part 2'!$AX$5:$BA$5,0)))/2)+((((INDEX('Tables - Part 2'!$BB$6:$BE$13,MATCH('SCC_Sulfide (SSC)'!$V6,'Tables - Part 2'!$AV$6:$AV$13,0),MATCH('SCC_Sulfide (SSC)'!$S6,'Tables - Part 2'!$AX$5:$BA$5,0))+INDEX('Tables - Part 2'!$BF$6:$BI$13,MATCH('SCC_Sulfide (SSC)'!$V6,'Tables - Part 2'!$AV$6:$AV$13,0),MATCH('SCC_Sulfide (SSC)'!$S6,'Tables - Part 2'!$AX$5:$BA$5,0)))/2)+INDEX('Tables - Part 2'!$BF$6:$BI$13,MATCH('SCC_Sulfide (SSC)'!$V6,'Tables - Part 2'!$AV$6:$AV$13,0),MATCH('SCC_Sulfide (SSC)'!$S6,'Tables - Part 2'!$AX$5:$BA$5,0)))/2))/2,0)</f>
        <v>0</v>
      </c>
      <c r="AP6" s="248">
        <f>IF($R6=$AP$3,(((INDEX('Tables - Part 2'!$BB$6:$BE$13,MATCH('SCC_Sulfide (SSC)'!$V6,'Tables - Part 2'!$AV$6:$AV$13,0),MATCH('SCC_Sulfide (SSC)'!$S6,'Tables - Part 2'!$AX$5:$BA$5,0))+INDEX('Tables - Part 2'!$BF$6:$BI$13,MATCH('SCC_Sulfide (SSC)'!$V6,'Tables - Part 2'!$AV$6:$AV$13,0),MATCH('SCC_Sulfide (SSC)'!$S6,'Tables - Part 2'!$AX$5:$BA$5,0)))/2)+INDEX('Tables - Part 2'!$BF$6:$BI$13,MATCH('SCC_Sulfide (SSC)'!$V6,'Tables - Part 2'!$AV$6:$AV$13,0),MATCH('SCC_Sulfide (SSC)'!$S6,'Tables - Part 2'!$AX$5:$BA$5,0)))/2,0)</f>
        <v>0</v>
      </c>
      <c r="AQ6" s="248">
        <f>IF($R6=$AQ$3,(((((INDEX('Tables - Part 2'!$BB$6:$BE$13,MATCH('SCC_Sulfide (SSC)'!$V6,'Tables - Part 2'!$AV$6:$AV$13,0),MATCH('SCC_Sulfide (SSC)'!$S6,'Tables - Part 2'!$AX$5:$BA$5,0))+INDEX('Tables - Part 2'!$BF$6:$BI$13,MATCH('SCC_Sulfide (SSC)'!$V6,'Tables - Part 2'!$AV$6:$AV$13,0),MATCH('SCC_Sulfide (SSC)'!$S6,'Tables - Part 2'!$AX$5:$BA$5,0)))/2)+INDEX('Tables - Part 2'!$BF$6:$BI$13,MATCH('SCC_Sulfide (SSC)'!$V6,'Tables - Part 2'!$AV$6:$AV$13,0),MATCH('SCC_Sulfide (SSC)'!$S6,'Tables - Part 2'!$AX$5:$BA$5,0)))/2)+INDEX('Tables - Part 2'!$BF$6:$BI$13,MATCH('SCC_Sulfide (SSC)'!$V6,'Tables - Part 2'!$AV$6:$AV$13,0),MATCH('SCC_Sulfide (SSC)'!$S6,'Tables - Part 2'!$AX$5:$BA$5,0)))/2,0)</f>
        <v>0</v>
      </c>
      <c r="AR6" s="248">
        <f>IF($R6=$AR$3,INDEX('Tables - Part 2'!$BF$6:$BI$13,MATCH('SCC_Sulfide (SSC)'!$V6,'Tables - Part 2'!$AV$6:$AV$13,0),MATCH('SCC_Sulfide (SSC)'!$S6,'Tables - Part 2'!$AX$5:$BA$5,0)),0)</f>
        <v>0</v>
      </c>
      <c r="AS6" s="248">
        <f>IF($R6=$AS$3,(INDEX('Tables - Part 2'!$BF$6:$BI$13,MATCH('SCC_Sulfide (SSC)'!$V6,'Tables - Part 2'!$AV$6:$AV$13,0),MATCH('SCC_Sulfide (SSC)'!$S6,'Tables - Part 2'!$AX$5:$BA$5,0))+((INDEX('Tables - Part 2'!$BF$6:$BI$13,MATCH('SCC_Sulfide (SSC)'!$V6,'Tables - Part 2'!$AV$6:$AV$13,0),MATCH('SCC_Sulfide (SSC)'!$S6,'Tables - Part 2'!$AX$5:$BA$5,0))+(INDEX('Tables - Part 2'!$BF$6:$BI$13,MATCH('SCC_Sulfide (SSC)'!$V6,'Tables - Part 2'!$AV$6:$AV$13,0),MATCH('SCC_Sulfide (SSC)'!$S6,'Tables - Part 2'!$AX$5:$BA$5,0))+INDEX('Tables - Part 2'!$AX$17:$BA$24,MATCH('SCC_Sulfide (SSC)'!$V6,'Tables - Part 2'!$AV$6:$AV$13,0),MATCH('SCC_Sulfide (SSC)'!$S6,'Tables - Part 2'!$AX$5:$BA$5,0)))/2)/2))/2,0)</f>
        <v>0</v>
      </c>
      <c r="AT6" s="248">
        <f>IF($R6=$AT$3,(INDEX('Tables - Part 2'!$BF$6:$BI$13,MATCH('SCC_Sulfide (SSC)'!$V6,'Tables - Part 2'!$AV$6:$AV$13,0),MATCH('SCC_Sulfide (SSC)'!$S6,'Tables - Part 2'!$AX$5:$BA$5,0))+(INDEX('Tables - Part 2'!$BF$6:$BI$13,MATCH('SCC_Sulfide (SSC)'!$V6,'Tables - Part 2'!$AV$6:$AV$13,0),MATCH('SCC_Sulfide (SSC)'!$S6,'Tables - Part 2'!$AX$5:$BA$5,0))+INDEX('Tables - Part 2'!$AX$17:$BA$24,MATCH('SCC_Sulfide (SSC)'!$V6,'Tables - Part 2'!$AV$6:$AV$13,0),MATCH('SCC_Sulfide (SSC)'!$S6,'Tables - Part 2'!$AX$5:$BA$5,0)))/2)/2,0)</f>
        <v>0</v>
      </c>
      <c r="AU6" s="248">
        <f>IF($R6=$AU$3,(((INDEX('Tables - Part 2'!$BF$6:$BI$13,MATCH('SCC_Sulfide (SSC)'!$V6,'Tables - Part 2'!$AV$6:$AV$13,0),MATCH('SCC_Sulfide (SSC)'!$S6,'Tables - Part 2'!$AX$5:$BA$5,0))+(INDEX('Tables - Part 2'!$BF$6:$BI$13,MATCH('SCC_Sulfide (SSC)'!$V6,'Tables - Part 2'!$AV$6:$AV$13,0),MATCH('SCC_Sulfide (SSC)'!$S6,'Tables - Part 2'!$AX$5:$BA$5,0))+INDEX('Tables - Part 2'!$AX$17:$BA$24,MATCH('SCC_Sulfide (SSC)'!$V6,'Tables - Part 2'!$AV$6:$AV$13,0),MATCH('SCC_Sulfide (SSC)'!$S6,'Tables - Part 2'!$AX$5:$BA$5,0)))/2)/2)+((INDEX('Tables - Part 2'!$BF$6:$BI$13,MATCH('SCC_Sulfide (SSC)'!$V6,'Tables - Part 2'!$AV$6:$AV$13,0),MATCH('SCC_Sulfide (SSC)'!$S6,'Tables - Part 2'!$AX$5:$BA$5,0))+INDEX('Tables - Part 2'!$AX$17:$BA$24,MATCH('SCC_Sulfide (SSC)'!$V6,'Tables - Part 2'!$AV$6:$AV$13,0),MATCH('SCC_Sulfide (SSC)'!$S6,'Tables - Part 2'!$AX$5:$BA$5,0)))/2))/2,0)</f>
        <v>0</v>
      </c>
      <c r="AV6" s="248">
        <f>IF($R6=$AV$3,(INDEX('Tables - Part 2'!$BF$6:$BI$13,MATCH('SCC_Sulfide (SSC)'!$V6,'Tables - Part 2'!$AV$6:$AV$13,0),MATCH('SCC_Sulfide (SSC)'!$S6,'Tables - Part 2'!$AX$5:$BA$5,0))+INDEX('Tables - Part 2'!$AX$17:$BA$24,MATCH('SCC_Sulfide (SSC)'!$V6,'Tables - Part 2'!$AV$6:$AV$13,0),MATCH('SCC_Sulfide (SSC)'!$S6,'Tables - Part 2'!$AX$5:$BA$5,0)))/2,0)</f>
        <v>0</v>
      </c>
      <c r="AW6" s="248">
        <f>IF($R6=$AW$3,(((INDEX('Tables - Part 2'!$BF$6:$BI$13,MATCH('SCC_Sulfide (SSC)'!$V6,'Tables - Part 2'!$AV$6:$AV$13,0),MATCH('SCC_Sulfide (SSC)'!$S6,'Tables - Part 2'!$AX$5:$BA$5,0))+INDEX('Tables - Part 2'!$AX$17:$BA$24,MATCH('SCC_Sulfide (SSC)'!$V6,'Tables - Part 2'!$AV$6:$AV$13,0),MATCH('SCC_Sulfide (SSC)'!$S6,'Tables - Part 2'!$AX$5:$BA$5,0)))/2)+((((INDEX('Tables - Part 2'!$BF$6:$BI$13,MATCH('SCC_Sulfide (SSC)'!$V6,'Tables - Part 2'!$AV$6:$AV$13,0),MATCH('SCC_Sulfide (SSC)'!$S6,'Tables - Part 2'!$AX$5:$BA$5,0))+INDEX('Tables - Part 2'!$AX$17:$BA$24,MATCH('SCC_Sulfide (SSC)'!$V6,'Tables - Part 2'!$AV$6:$AV$13,0),MATCH('SCC_Sulfide (SSC)'!$S6,'Tables - Part 2'!$AX$5:$BA$5,0)))/2)+INDEX('Tables - Part 2'!$AX$17:$BA$24,MATCH('SCC_Sulfide (SSC)'!$V6,'Tables - Part 2'!$AV$6:$AV$13,0),MATCH('SCC_Sulfide (SSC)'!$S6,'Tables - Part 2'!$AX$5:$BA$5,0)))/2))/2,0)</f>
        <v>0</v>
      </c>
      <c r="AX6" s="248">
        <f>IF($R6=$AX$3,(((INDEX('Tables - Part 2'!$BF$6:$BI$13,MATCH('SCC_Sulfide (SSC)'!$V6,'Tables - Part 2'!$AV$6:$AV$13,0),MATCH('SCC_Sulfide (SSC)'!$S6,'Tables - Part 2'!$AX$5:$BA$5,0))+INDEX('Tables - Part 2'!$AX$17:$BA$24,MATCH('SCC_Sulfide (SSC)'!$V6,'Tables - Part 2'!$AV$6:$AV$13,0),MATCH('SCC_Sulfide (SSC)'!$S6,'Tables - Part 2'!$AX$5:$BA$5,0)))/2)+INDEX('Tables - Part 2'!$AX$17:$BA$24,MATCH('SCC_Sulfide (SSC)'!$V6,'Tables - Part 2'!$AV$6:$AV$13,0),MATCH('SCC_Sulfide (SSC)'!$S6,'Tables - Part 2'!$AX$5:$BA$5,0)))/2,0)</f>
        <v>0</v>
      </c>
      <c r="AY6" s="248">
        <f>IF($R6=$AY$3,(((((INDEX('Tables - Part 2'!$BF$6:$BI$13,MATCH('SCC_Sulfide (SSC)'!$V6,'Tables - Part 2'!$AV$6:$AV$13,0),MATCH('SCC_Sulfide (SSC)'!$S6,'Tables - Part 2'!$AX$5:$BA$5,0))+INDEX('Tables - Part 2'!$AX$17:$BA$24,MATCH('SCC_Sulfide (SSC)'!$V6,'Tables - Part 2'!$AV$6:$AV$13,0),MATCH('SCC_Sulfide (SSC)'!$S6,'Tables - Part 2'!$AX$5:$BA$5,0)))/2)+INDEX('Tables - Part 2'!$AX$17:$BA$24,MATCH('SCC_Sulfide (SSC)'!$V6,'Tables - Part 2'!$AV$6:$AV$13,0),MATCH('SCC_Sulfide (SSC)'!$S6,'Tables - Part 2'!$AX$5:$BA$5,0)))/2)+(INDEX('Tables - Part 2'!$AX$17:$BA$24,MATCH('SCC_Sulfide (SSC)'!$V6,'Tables - Part 2'!$AV$6:$AV$13,0),MATCH('SCC_Sulfide (SSC)'!$S6,'Tables - Part 2'!$AX$5:$BA$5,0))))/2,0)</f>
        <v>0</v>
      </c>
      <c r="AZ6" s="248">
        <f>IF($R6=$AZ$3,INDEX('Tables - Part 2'!$AX$17:$BA$24,MATCH('SCC_Sulfide (SSC)'!$V6,'Tables - Part 2'!$AV$6:$AV$13,0),MATCH('SCC_Sulfide (SSC)'!$S6,'Tables - Part 2'!$AX$5:$BA$5,0)),0)</f>
        <v>0</v>
      </c>
      <c r="BA6" s="248">
        <f>IF($R6=$BA$3,((INDEX('Tables - Part 2'!$AX$17:$BA$24,MATCH('SCC_Sulfide (SSC)'!$V6,'Tables - Part 2'!$AV$6:$AV$13,0),MATCH('SCC_Sulfide (SSC)'!$S6,'Tables - Part 2'!$AX$5:$BA$5,0)))+(((INDEX('Tables - Part 2'!$AX$17:$BA$24,MATCH('SCC_Sulfide (SSC)'!$V6,'Tables - Part 2'!$AV$6:$AV$13,0),MATCH('SCC_Sulfide (SSC)'!$S6,'Tables - Part 2'!$AX$5:$BA$5,0)))+(INDEX('Tables - Part 2'!$AX$17:$BA$24,MATCH('SCC_Sulfide (SSC)'!$V6,'Tables - Part 2'!$AV$6:$AV$13,0),MATCH('SCC_Sulfide (SSC)'!$S6,'Tables - Part 2'!$AX$5:$BA$5,0))+INDEX('Tables - Part 2'!$BB$17:$BE$24,MATCH('SCC_Sulfide (SSC)'!$V6,'Tables - Part 2'!$AV$6:$AV$13,0),MATCH('SCC_Sulfide (SSC)'!$S6,'Tables - Part 2'!$AX$5:$BA$5,0)))/2)/2))/2,0)</f>
        <v>0</v>
      </c>
      <c r="BB6" s="248">
        <f>IF($R6=$BB$3,((INDEX('Tables - Part 2'!$AX$17:$BA$24,MATCH('SCC_Sulfide (SSC)'!$V6,'Tables - Part 2'!$AV$6:$AV$13,0),MATCH('SCC_Sulfide (SSC)'!$S6,'Tables - Part 2'!$AX$5:$BA$5,0)))+(INDEX('Tables - Part 2'!$AX$17:$BA$24,MATCH('SCC_Sulfide (SSC)'!$V6,'Tables - Part 2'!$AV$6:$AV$13,0),MATCH('SCC_Sulfide (SSC)'!$S6,'Tables - Part 2'!$AX$5:$BA$5,0))+INDEX('Tables - Part 2'!$BB$17:$BE$24,MATCH('SCC_Sulfide (SSC)'!$V6,'Tables - Part 2'!$AV$6:$AV$13,0),MATCH('SCC_Sulfide (SSC)'!$S6,'Tables - Part 2'!$AX$5:$BA$5,0)))/2)/2,0)</f>
        <v>0</v>
      </c>
      <c r="BC6" s="248">
        <f>IF($R6=$BC$3,((((INDEX('Tables - Part 2'!$AX$17:$BA$24,MATCH('SCC_Sulfide (SSC)'!$V6,'Tables - Part 2'!$AV$6:$AV$13,0),MATCH('SCC_Sulfide (SSC)'!$S6,'Tables - Part 2'!$AX$5:$BA$5,0)))+(INDEX('Tables - Part 2'!$AX$17:$BA$24,MATCH('SCC_Sulfide (SSC)'!$V6,'Tables - Part 2'!$AV$6:$AV$13,0),MATCH('SCC_Sulfide (SSC)'!$S6,'Tables - Part 2'!$AX$5:$BA$5,0))+INDEX('Tables - Part 2'!$BB$17:$BE$24,MATCH('SCC_Sulfide (SSC)'!$V6,'Tables - Part 2'!$AV$6:$AV$13,0),MATCH('SCC_Sulfide (SSC)'!$S6,'Tables - Part 2'!$AX$5:$BA$5,0)))/2)/2)+((INDEX('Tables - Part 2'!$AX$17:$BA$24,MATCH('SCC_Sulfide (SSC)'!$V6,'Tables - Part 2'!$AV$6:$AV$13,0),MATCH('SCC_Sulfide (SSC)'!$S6,'Tables - Part 2'!$AX$5:$BA$5,0))+INDEX('Tables - Part 2'!$BB$17:$BE$24,MATCH('SCC_Sulfide (SSC)'!$V6,'Tables - Part 2'!$AV$6:$AV$13,0),MATCH('SCC_Sulfide (SSC)'!$S6,'Tables - Part 2'!$AX$5:$BA$5,0)))/2))/2,0)</f>
        <v>0</v>
      </c>
      <c r="BD6" s="248">
        <f>IF($R6=$BD$3,(INDEX('Tables - Part 2'!$AX$17:$BA$24,MATCH('SCC_Sulfide (SSC)'!$V6,'Tables - Part 2'!$AV$6:$AV$13,0),MATCH('SCC_Sulfide (SSC)'!$S6,'Tables - Part 2'!$AX$5:$BA$5,0))+INDEX('Tables - Part 2'!$BB$17:$BE$24,MATCH('SCC_Sulfide (SSC)'!$V6,'Tables - Part 2'!$AV$6:$AV$13,0),MATCH('SCC_Sulfide (SSC)'!$S6,'Tables - Part 2'!$AX$5:$BA$5,0)))/2,0)</f>
        <v>0</v>
      </c>
      <c r="BE6" s="248">
        <f>IF($R6=$BE$3,(((INDEX('Tables - Part 2'!$AX$17:$BA$24,MATCH('SCC_Sulfide (SSC)'!$V6,'Tables - Part 2'!$AV$6:$AV$13,0),MATCH('SCC_Sulfide (SSC)'!$S6,'Tables - Part 2'!$AX$5:$BA$5,0))+INDEX('Tables - Part 2'!$BB$17:$BE$24,MATCH('SCC_Sulfide (SSC)'!$V6,'Tables - Part 2'!$AV$6:$AV$13,0),MATCH('SCC_Sulfide (SSC)'!$S6,'Tables - Part 2'!$AX$5:$BA$5,0)))/2)+((((INDEX('Tables - Part 2'!$AX$17:$BA$24,MATCH('SCC_Sulfide (SSC)'!$V6,'Tables - Part 2'!$AV$6:$AV$13,0),MATCH('SCC_Sulfide (SSC)'!$S6,'Tables - Part 2'!$AX$5:$BA$5,0))+INDEX('Tables - Part 2'!$BB$17:$BE$24,MATCH('SCC_Sulfide (SSC)'!$V6,'Tables - Part 2'!$AV$6:$AV$13,0),MATCH('SCC_Sulfide (SSC)'!$S6,'Tables - Part 2'!$AX$5:$BA$5,0)))/2)+INDEX('Tables - Part 2'!$BB$17:$BE$24,MATCH('SCC_Sulfide (SSC)'!$V6,'Tables - Part 2'!$AV$6:$AV$13,0),MATCH('SCC_Sulfide (SSC)'!$S6,'Tables - Part 2'!$AX$5:$BA$5,0)))/2))/2,0)</f>
        <v>0</v>
      </c>
      <c r="BF6" s="248">
        <f>IF($R6=$BF$3,(((INDEX('Tables - Part 2'!$AX$17:$BA$24,MATCH('SCC_Sulfide (SSC)'!$V6,'Tables - Part 2'!$AV$6:$AV$13,0),MATCH('SCC_Sulfide (SSC)'!$S6,'Tables - Part 2'!$AX$5:$BA$5,0))+INDEX('Tables - Part 2'!$BB$17:$BE$24,MATCH('SCC_Sulfide (SSC)'!$V6,'Tables - Part 2'!$AV$6:$AV$13,0),MATCH('SCC_Sulfide (SSC)'!$S6,'Tables - Part 2'!$AX$5:$BA$5,0)))/2)+INDEX('Tables - Part 2'!$BB$17:$BE$24,MATCH('SCC_Sulfide (SSC)'!$V6,'Tables - Part 2'!$AV$6:$AV$13,0),MATCH('SCC_Sulfide (SSC)'!$S6,'Tables - Part 2'!$AX$5:$BA$5,0)))/2,0)</f>
        <v>0</v>
      </c>
      <c r="BG6" s="248">
        <f>IF($R6=$BG$3,(((((INDEX('Tables - Part 2'!$AX$17:$BA$24,MATCH('SCC_Sulfide (SSC)'!$V6,'Tables - Part 2'!$AV$6:$AV$13,0),MATCH('SCC_Sulfide (SSC)'!$S6,'Tables - Part 2'!$AX$5:$BA$5,0))+INDEX('Tables - Part 2'!$BB$17:$BE$24,MATCH('SCC_Sulfide (SSC)'!$V6,'Tables - Part 2'!$AV$6:$AV$13,0),MATCH('SCC_Sulfide (SSC)'!$S6,'Tables - Part 2'!$AX$5:$BA$5,0)))/2)+INDEX('Tables - Part 2'!$BB$17:$BE$24,MATCH('SCC_Sulfide (SSC)'!$V6,'Tables - Part 2'!$AV$6:$AV$13,0),MATCH('SCC_Sulfide (SSC)'!$S6,'Tables - Part 2'!$AX$5:$BA$5,0)))/2)+(INDEX('Tables - Part 2'!$BB$17:$BE$24,MATCH('SCC_Sulfide (SSC)'!$V6,'Tables - Part 2'!$AV$6:$AV$13,0),MATCH('SCC_Sulfide (SSC)'!$S6,'Tables - Part 2'!$AX$5:$BA$5,0))))/2,0)</f>
        <v>0</v>
      </c>
      <c r="BH6" s="248">
        <f>IF($R6=$BH$3,INDEX('Tables - Part 2'!$BB$17:$BE$24,MATCH('SCC_Sulfide (SSC)'!$V6,'Tables - Part 2'!$AV$6:$AV$13,0),MATCH('SCC_Sulfide (SSC)'!$S6,'Tables - Part 2'!$AX$5:$BA$5,0)),0)</f>
        <v>0</v>
      </c>
      <c r="BI6" s="248">
        <f>IF($R6=$BI$3,((INDEX('Tables - Part 2'!$BB$17:$BE$24,MATCH('SCC_Sulfide (SSC)'!$V6,'Tables - Part 2'!$AV$6:$AV$13,0),MATCH('SCC_Sulfide (SSC)'!$S6,'Tables - Part 2'!$AX$5:$BA$5,0)))+(((INDEX('Tables - Part 2'!$BB$17:$BE$24,MATCH('SCC_Sulfide (SSC)'!$V6,'Tables - Part 2'!$AV$6:$AV$13,0),MATCH('SCC_Sulfide (SSC)'!$S6,'Tables - Part 2'!$AX$5:$BA$5,0)))+(INDEX('Tables - Part 2'!$BB$17:$BE$24,MATCH('SCC_Sulfide (SSC)'!$V6,'Tables - Part 2'!$AV$6:$AV$13,0),MATCH('SCC_Sulfide (SSC)'!$S6,'Tables - Part 2'!$AX$5:$BA$5,0))+INDEX('Tables - Part 2'!$BF$17:$BI$24,MATCH('SCC_Sulfide (SSC)'!$V6,'Tables - Part 2'!$AV$6:$AV$13,0),MATCH('SCC_Sulfide (SSC)'!$S6,'Tables - Part 2'!$AX$5:$BA$5,0)))/2)/2))/2,0)</f>
        <v>0</v>
      </c>
      <c r="BJ6" s="248">
        <f>IF($R6=$BJ$3,((INDEX('Tables - Part 2'!$BB$17:$BE$24,MATCH('SCC_Sulfide (SSC)'!$V6,'Tables - Part 2'!$AV$6:$AV$13,0),MATCH('SCC_Sulfide (SSC)'!$S6,'Tables - Part 2'!$AX$5:$BA$5,0)))+(INDEX('Tables - Part 2'!$BB$17:$BE$24,MATCH('SCC_Sulfide (SSC)'!$V6,'Tables - Part 2'!$AV$6:$AV$13,0),MATCH('SCC_Sulfide (SSC)'!$S6,'Tables - Part 2'!$AX$5:$BA$5,0))+INDEX('Tables - Part 2'!$BF$17:$BI$24,MATCH('SCC_Sulfide (SSC)'!$V6,'Tables - Part 2'!$AV$6:$AV$13,0),MATCH('SCC_Sulfide (SSC)'!$S6,'Tables - Part 2'!$AX$5:$BA$5,0)))/2)/2,0)</f>
        <v>0</v>
      </c>
      <c r="BK6" s="248">
        <f>IF($R6=$BK$3,((((INDEX('Tables - Part 2'!$BB$17:$BE$24,MATCH('SCC_Sulfide (SSC)'!$V6,'Tables - Part 2'!$AV$6:$AV$13,0),MATCH('SCC_Sulfide (SSC)'!$S6,'Tables - Part 2'!$AX$5:$BA$5,0)))+(INDEX('Tables - Part 2'!$BB$17:$BE$24,MATCH('SCC_Sulfide (SSC)'!$V6,'Tables - Part 2'!$AV$6:$AV$13,0),MATCH('SCC_Sulfide (SSC)'!$S6,'Tables - Part 2'!$AX$5:$BA$5,0))+INDEX('Tables - Part 2'!$BF$17:$BI$24,MATCH('SCC_Sulfide (SSC)'!$V6,'Tables - Part 2'!$AV$6:$AV$13,0),MATCH('SCC_Sulfide (SSC)'!$S6,'Tables - Part 2'!$AX$5:$BA$5,0)))/2)/2)+((INDEX('Tables - Part 2'!$BB$17:$BE$24,MATCH('SCC_Sulfide (SSC)'!$V6,'Tables - Part 2'!$AV$6:$AV$13,0),MATCH('SCC_Sulfide (SSC)'!$S6,'Tables - Part 2'!$AX$5:$BA$5,0))+INDEX('Tables - Part 2'!$BF$17:$BI$24,MATCH('SCC_Sulfide (SSC)'!$V6,'Tables - Part 2'!$AV$6:$AV$13,0),MATCH('SCC_Sulfide (SSC)'!$S6,'Tables - Part 2'!$AX$5:$BA$5,0)))/2))/2,0)</f>
        <v>0</v>
      </c>
      <c r="BL6" s="248">
        <f>IF($R6=$BL$3,(INDEX('Tables - Part 2'!$BB$17:$BE$24,MATCH('SCC_Sulfide (SSC)'!$V6,'Tables - Part 2'!$AV$6:$AV$13,0),MATCH('SCC_Sulfide (SSC)'!$S6,'Tables - Part 2'!$AX$5:$BA$5,0))+INDEX('Tables - Part 2'!$BF$17:$BI$24,MATCH('SCC_Sulfide (SSC)'!$V6,'Tables - Part 2'!$AV$6:$AV$13,0),MATCH('SCC_Sulfide (SSC)'!$S6,'Tables - Part 2'!$AX$5:$BA$5,0)))/2,0)</f>
        <v>0</v>
      </c>
      <c r="BM6" s="248">
        <f>IF($R6=$BM$3,(((INDEX('Tables - Part 2'!$BB$17:$BE$24,MATCH('SCC_Sulfide (SSC)'!$V6,'Tables - Part 2'!$AV$6:$AV$13,0),MATCH('SCC_Sulfide (SSC)'!$S6,'Tables - Part 2'!$AX$5:$BA$5,0))+INDEX('Tables - Part 2'!$BF$17:$BI$24,MATCH('SCC_Sulfide (SSC)'!$V6,'Tables - Part 2'!$AV$6:$AV$13,0),MATCH('SCC_Sulfide (SSC)'!$S6,'Tables - Part 2'!$AX$5:$BA$5,0)))/2)+((((INDEX('Tables - Part 2'!$BB$17:$BE$24,MATCH('SCC_Sulfide (SSC)'!$V6,'Tables - Part 2'!$AV$6:$AV$13,0),MATCH('SCC_Sulfide (SSC)'!$S6,'Tables - Part 2'!$AX$5:$BA$5,0))+INDEX('Tables - Part 2'!$BF$17:$BI$24,MATCH('SCC_Sulfide (SSC)'!$V6,'Tables - Part 2'!$AV$6:$AV$13,0),MATCH('SCC_Sulfide (SSC)'!$S6,'Tables - Part 2'!$AX$5:$BA$5,0)))/2)+INDEX('Tables - Part 2'!$BF$17:$BI$24,MATCH('SCC_Sulfide (SSC)'!$V6,'Tables - Part 2'!$AV$6:$AV$13,0),MATCH('SCC_Sulfide (SSC)'!$S6,'Tables - Part 2'!$AX$5:$BA$5,0)))/2))/2,0)</f>
        <v>0</v>
      </c>
      <c r="BN6" s="248">
        <f>IF($R6=$BN$3,(((INDEX('Tables - Part 2'!$BB$17:$BE$24,MATCH('SCC_Sulfide (SSC)'!$V6,'Tables - Part 2'!$AV$6:$AV$13,0),MATCH('SCC_Sulfide (SSC)'!$S6,'Tables - Part 2'!$AX$5:$BA$5,0))+INDEX('Tables - Part 2'!$BF$17:$BI$24,MATCH('SCC_Sulfide (SSC)'!$V6,'Tables - Part 2'!$AV$6:$AV$13,0),MATCH('SCC_Sulfide (SSC)'!$S6,'Tables - Part 2'!$AX$5:$BA$5,0)))/2)+INDEX('Tables - Part 2'!$BF$17:$BI$24,MATCH('SCC_Sulfide (SSC)'!$V6,'Tables - Part 2'!$AV$6:$AV$13,0),MATCH('SCC_Sulfide (SSC)'!$S6,'Tables - Part 2'!$AX$5:$BA$5,0)))/2,0)</f>
        <v>0</v>
      </c>
      <c r="BO6" s="248">
        <f>IF($R6=$BO$3,(((((INDEX('Tables - Part 2'!$BB$17:$BE$24,MATCH('SCC_Sulfide (SSC)'!$V6,'Tables - Part 2'!$AV$6:$AV$13,0),MATCH('SCC_Sulfide (SSC)'!$S6,'Tables - Part 2'!$AX$5:$BA$5,0))+INDEX('Tables - Part 2'!$BF$17:$BI$24,MATCH('SCC_Sulfide (SSC)'!$V6,'Tables - Part 2'!$AV$6:$AV$13,0),MATCH('SCC_Sulfide (SSC)'!$S6,'Tables - Part 2'!$AX$5:$BA$5,0)))/2)+INDEX('Tables - Part 2'!$BF$17:$BI$24,MATCH('SCC_Sulfide (SSC)'!$V6,'Tables - Part 2'!$AV$6:$AV$13,0),MATCH('SCC_Sulfide (SSC)'!$S6,'Tables - Part 2'!$AX$5:$BA$5,0)))/2)+(INDEX('Tables - Part 2'!$BF$17:$BI$24,MATCH('SCC_Sulfide (SSC)'!$V6,'Tables - Part 2'!$AV$6:$AV$13,0),MATCH('SCC_Sulfide (SSC)'!$S6,'Tables - Part 2'!$AX$5:$BA$5,0))))/2,0)</f>
        <v>0</v>
      </c>
      <c r="BP6" s="248">
        <f>IF($R6=$BP$3,INDEX('Tables - Part 2'!$BF$17:$BI$24,MATCH('SCC_Sulfide (SSC)'!$V6,'Tables - Part 2'!$AV$6:$AV$13,0),MATCH('SCC_Sulfide (SSC)'!$S6,'Tables - Part 2'!$AX$5:$BA$5,0)),0)</f>
        <v>0</v>
      </c>
      <c r="BQ6" s="248">
        <f t="shared" si="6"/>
        <v>0</v>
      </c>
      <c r="BR6" s="238">
        <f t="shared" si="8"/>
        <v>1</v>
      </c>
      <c r="BS6" s="238">
        <f t="shared" si="7"/>
        <v>16.77288246840839</v>
      </c>
    </row>
    <row r="7" spans="2:84" x14ac:dyDescent="0.35">
      <c r="B7" s="161" t="str">
        <f>'Tratamento de Dados'!B15</f>
        <v>V-11</v>
      </c>
      <c r="C7" s="161" t="str">
        <f>'Tratamento de Dados'!D15</f>
        <v>Casco</v>
      </c>
      <c r="D7" s="209" t="s">
        <v>245</v>
      </c>
      <c r="E7" s="209" t="s">
        <v>61</v>
      </c>
      <c r="F7" s="209" t="s">
        <v>836</v>
      </c>
      <c r="G7" s="209" t="s">
        <v>832</v>
      </c>
      <c r="H7" s="209" t="s">
        <v>245</v>
      </c>
      <c r="I7" s="209" t="s">
        <v>1113</v>
      </c>
      <c r="J7" s="209" t="s">
        <v>245</v>
      </c>
      <c r="K7" s="210">
        <v>39092</v>
      </c>
      <c r="L7" s="209">
        <v>0</v>
      </c>
      <c r="M7" s="209">
        <v>1</v>
      </c>
      <c r="N7" s="209">
        <v>1</v>
      </c>
      <c r="O7" s="209">
        <v>4</v>
      </c>
      <c r="P7" s="253">
        <f>'Tratamento de Dados'!DA15</f>
        <v>0</v>
      </c>
      <c r="Q7" s="253">
        <f>'Tratamento de Dados'!DB15</f>
        <v>0</v>
      </c>
      <c r="R7" s="256">
        <f t="shared" si="0"/>
        <v>2.5</v>
      </c>
      <c r="S7" s="246" t="str">
        <f t="shared" si="1"/>
        <v>B</v>
      </c>
      <c r="T7" s="238" t="str">
        <f>IF(D7=$BX$2,$BV$4,IF(AND(H7=$BX$2,OR(F7='Tables - Part 2'!$BN$8,'Tables - Part 2'!$BN$9),OR('SCC_Sulfide (SSC)'!G7='Tables - Part 2'!$BQ$4,'SCC_Sulfide (SSC)'!G7='Tables - Part 2'!$BR$4)),$BV$4,INDEX('Tables - Part 2'!$BO$5:$BR$9,MATCH('SCC_Sulfide (SSC)'!F7,'Tables - Part 2'!$BN$5:$BN$9,0),MATCH('SCC_Sulfide (SSC)'!G7,'Tables - Part 2'!$BO$4:$BR$4,0))))</f>
        <v>Moderate</v>
      </c>
      <c r="U7" s="238" t="str">
        <f>IF(D7=$BX$2,$BV$4,IF(J7=$BX$2,INDEX('Tables - Part 2'!$BX$6:$BZ$8,MATCH('SCC_Sulfide (SSC)'!T7,'Tables - Part 2'!$BT$6:$BT$8,0),MATCH('SCC_Sulfide (SSC)'!I7,'Tables - Part 2'!$BX$5:$BZ$5,0)),INDEX('Tables - Part 2'!$BU$6:$BW$8,MATCH('SCC_Sulfide (SSC)'!T7,'Tables - Part 2'!$BT$6:$BT$8,0),MATCH('SCC_Sulfide (SSC)'!I7,'Tables - Part 2'!$BU$5:$BW$5,0))))</f>
        <v>Medium</v>
      </c>
      <c r="V7" s="238">
        <f>IF(AND(D7=$BX$2,E7&lt;&gt;$BX$2),"Fitness-For-Service",INDEX('Tables - Part 2'!$CC$4:$CC$7,MATCH('SCC_Sulfide (SSC)'!U7,'Tables - Part 2'!$CB$4:$CB$7,0),))</f>
        <v>10</v>
      </c>
      <c r="W7" s="238">
        <f>IF(K7=0,(Thinning!G8-Thinning!F8)/365.25,(Thinning!G8-K7)/365.25)</f>
        <v>12.980150581793293</v>
      </c>
      <c r="X7" s="248">
        <f t="shared" si="2"/>
        <v>0</v>
      </c>
      <c r="Y7" s="248">
        <f t="shared" si="3"/>
        <v>2.5</v>
      </c>
      <c r="Z7" s="248">
        <f t="shared" si="4"/>
        <v>3</v>
      </c>
      <c r="AA7" s="247">
        <f t="shared" si="5"/>
        <v>4</v>
      </c>
      <c r="AB7" s="248">
        <f>IF($R7=$AB$3,INDEX('Tables - Part 2'!$AX$6:$BA$13,MATCH('SCC_Sulfide (SSC)'!V7,'Tables - Part 2'!$AV$6:$AV$13,0),MATCH('SCC_Sulfide (SSC)'!S7,'Tables - Part 2'!$AX$5:$BA$5,0)),0)</f>
        <v>0</v>
      </c>
      <c r="AC7" s="248">
        <f>IF($R7=$AC$3,(INDEX('Tables - Part 2'!$AX$6:$BA$13,MATCH('SCC_Sulfide (SSC)'!V7,'Tables - Part 2'!$AV$6:$AV$13,0),MATCH('SCC_Sulfide (SSC)'!S7,'Tables - Part 2'!$AX$5:$BA$5,0))+(INDEX('Tables - Part 2'!$AX$6:$BA$13,MATCH('SCC_Sulfide (SSC)'!V7,'Tables - Part 2'!$AV$6:$AV$13,0),MATCH('SCC_Sulfide (SSC)'!S7,'Tables - Part 2'!$AX$5:$BA$5,0))+((INDEX('Tables - Part 2'!$AX$6:$BA$13,MATCH('SCC_Sulfide (SSC)'!V7,'Tables - Part 2'!$AV$6:$AV$13,0),MATCH('SCC_Sulfide (SSC)'!S7,'Tables - Part 2'!$AX$5:$BA$5,0))+INDEX('Tables - Part 2'!$BB$6:$BE$13,MATCH('SCC_Sulfide (SSC)'!$V7,'Tables - Part 2'!$AV$6:$AV$13,0),MATCH('SCC_Sulfide (SSC)'!$S7,'Tables - Part 2'!$AX$5:$BA$5,0)))/2))/2)/2,0)</f>
        <v>0</v>
      </c>
      <c r="AD7" s="248">
        <f>IF($R7=$AD$3,(INDEX('Tables - Part 2'!$AX$6:$BA$13,MATCH('SCC_Sulfide (SSC)'!V7,'Tables - Part 2'!$AV$6:$AV$13,0),MATCH('SCC_Sulfide (SSC)'!S7,'Tables - Part 2'!$AX$5:$BA$5,0))+((INDEX('Tables - Part 2'!$AX$6:$BA$13,MATCH('SCC_Sulfide (SSC)'!V7,'Tables - Part 2'!$AV$6:$AV$13,0),MATCH('SCC_Sulfide (SSC)'!S7,'Tables - Part 2'!$AX$5:$BA$5,0))+INDEX('Tables - Part 2'!$BB$6:$BE$13,MATCH('SCC_Sulfide (SSC)'!$V7,'Tables - Part 2'!$AV$6:$AV$13,0),MATCH('SCC_Sulfide (SSC)'!$S7,'Tables - Part 2'!$AX$5:$BA$5,0)))/2))/2,0)</f>
        <v>0</v>
      </c>
      <c r="AE7" s="248">
        <f>IF($R7=$AE$3,(((INDEX('Tables - Part 2'!$AX$6:$BA$13,MATCH('SCC_Sulfide (SSC)'!V7,'Tables - Part 2'!$AV$6:$AV$13,0),MATCH('SCC_Sulfide (SSC)'!S7,'Tables - Part 2'!$AX$5:$BA$5,0))+((INDEX('Tables - Part 2'!$AX$6:$BA$13,MATCH('SCC_Sulfide (SSC)'!V7,'Tables - Part 2'!$AV$6:$AV$13,0),MATCH('SCC_Sulfide (SSC)'!S7,'Tables - Part 2'!$AX$5:$BA$5,0))+INDEX('Tables - Part 2'!$BB$6:$BE$13,MATCH('SCC_Sulfide (SSC)'!$V7,'Tables - Part 2'!$AV$6:$AV$13,0),MATCH('SCC_Sulfide (SSC)'!$S7,'Tables - Part 2'!$AX$5:$BA$5,0)))/2))/2)+(INDEX('Tables - Part 2'!$AX$6:$BA$13,MATCH('SCC_Sulfide (SSC)'!V7,'Tables - Part 2'!$AV$6:$AV$13,0),MATCH('SCC_Sulfide (SSC)'!S7,'Tables - Part 2'!$AX$5:$BA$5,0))+INDEX('Tables - Part 2'!$BB$6:$BE$13,MATCH('SCC_Sulfide (SSC)'!$V7,'Tables - Part 2'!$AV$6:$AV$13,0),MATCH('SCC_Sulfide (SSC)'!$S7,'Tables - Part 2'!$AX$5:$BA$5,0)))/2)/2,0)</f>
        <v>0</v>
      </c>
      <c r="AF7" s="248">
        <f>IF($R7=$AF$3,(INDEX('Tables - Part 2'!$AX$6:$BA$13,MATCH('SCC_Sulfide (SSC)'!V7,'Tables - Part 2'!$AV$6:$AV$13,0),MATCH('SCC_Sulfide (SSC)'!S7,'Tables - Part 2'!$AX$5:$BA$5,0))+INDEX('Tables - Part 2'!$BB$6:$BE$13,MATCH('SCC_Sulfide (SSC)'!$V7,'Tables - Part 2'!$AV$6:$AV$13,0),MATCH('SCC_Sulfide (SSC)'!$S7,'Tables - Part 2'!$AX$5:$BA$5,0)))/2,0)</f>
        <v>0</v>
      </c>
      <c r="AG7" s="248">
        <f>IF($R7=$AG$3,(((INDEX('Tables - Part 2'!$AX$6:$BA$13,MATCH('SCC_Sulfide (SSC)'!V7,'Tables - Part 2'!$AV$6:$AV$13,0),MATCH('SCC_Sulfide (SSC)'!S7,'Tables - Part 2'!$AX$5:$BA$5,0))+INDEX('Tables - Part 2'!$BB$6:$BE$13,MATCH('SCC_Sulfide (SSC)'!$V7,'Tables - Part 2'!$AV$6:$AV$13,0),MATCH('SCC_Sulfide (SSC)'!$S7,'Tables - Part 2'!$AX$5:$BA$5,0)))/2)+(((INDEX('Tables - Part 2'!$AX$6:$BA$13,MATCH('SCC_Sulfide (SSC)'!V7,'Tables - Part 2'!$AV$6:$AV$13,0),MATCH('SCC_Sulfide (SSC)'!S7,'Tables - Part 2'!$AX$5:$BA$5,0))+INDEX('Tables - Part 2'!$BB$6:$BE$13,MATCH('SCC_Sulfide (SSC)'!$V7,'Tables - Part 2'!$AV$6:$AV$13,0),MATCH('SCC_Sulfide (SSC)'!$S7,'Tables - Part 2'!$AX$5:$BA$5,0)))/2)+INDEX('Tables - Part 2'!$BB$6:$BE$13,MATCH('SCC_Sulfide (SSC)'!$V7,'Tables - Part 2'!$AV$6:$AV$13,0),MATCH('SCC_Sulfide (SSC)'!$S7,'Tables - Part 2'!$AX$5:$BA$5,0)))/2)/2,0)</f>
        <v>0</v>
      </c>
      <c r="AH7" s="248">
        <f>IF($R7=$AH$3,(((INDEX('Tables - Part 2'!$AX$6:$BA$13,MATCH('SCC_Sulfide (SSC)'!V7,'Tables - Part 2'!$AV$6:$AV$13,0),MATCH('SCC_Sulfide (SSC)'!S7,'Tables - Part 2'!$AX$5:$BA$5,0))+INDEX('Tables - Part 2'!$BB$6:$BE$13,MATCH('SCC_Sulfide (SSC)'!$V7,'Tables - Part 2'!$AV$6:$AV$13,0),MATCH('SCC_Sulfide (SSC)'!$S7,'Tables - Part 2'!$AX$5:$BA$5,0)))/2)+INDEX('Tables - Part 2'!$BB$6:$BE$13,MATCH('SCC_Sulfide (SSC)'!$V7,'Tables - Part 2'!$AV$6:$AV$13,0),MATCH('SCC_Sulfide (SSC)'!$S7,'Tables - Part 2'!$AX$5:$BA$5,0)))/2,0)</f>
        <v>0</v>
      </c>
      <c r="AI7" s="248">
        <f>IF($R7=$AI$3,(((((INDEX('Tables - Part 2'!$AX$6:$BA$13,MATCH('SCC_Sulfide (SSC)'!V7,'Tables - Part 2'!$AV$6:$AV$13,0),MATCH('SCC_Sulfide (SSC)'!S7,'Tables - Part 2'!$AX$5:$BA$5,0))+INDEX('Tables - Part 2'!$BB$6:$BE$13,MATCH('SCC_Sulfide (SSC)'!$V7,'Tables - Part 2'!$AV$6:$AV$13,0),MATCH('SCC_Sulfide (SSC)'!$S7,'Tables - Part 2'!$AX$5:$BA$5,0)))/2)+INDEX('Tables - Part 2'!$BB$6:$BE$13,MATCH('SCC_Sulfide (SSC)'!$V7,'Tables - Part 2'!$AV$6:$AV$13,0),MATCH('SCC_Sulfide (SSC)'!$S7,'Tables - Part 2'!$AX$5:$BA$5,0)))/2)+INDEX('Tables - Part 2'!$BB$6:$BE$13,MATCH('SCC_Sulfide (SSC)'!$V7,'Tables - Part 2'!$AV$6:$AV$13,0),MATCH('SCC_Sulfide (SSC)'!$S7,'Tables - Part 2'!$AX$5:$BA$5,0)))/2,0)</f>
        <v>0</v>
      </c>
      <c r="AJ7" s="248">
        <f>IF($R7=$AJ$3,INDEX('Tables - Part 2'!$BB$6:$BE$13,MATCH('SCC_Sulfide (SSC)'!$V7,'Tables - Part 2'!$AV$6:$AV$13,0),MATCH('SCC_Sulfide (SSC)'!$S7,'Tables - Part 2'!$AX$5:$BA$5,0)),0)</f>
        <v>0</v>
      </c>
      <c r="AK7" s="248">
        <f>IF($R7=$AK$3,((INDEX('Tables - Part 2'!$BB$6:$BE$13,MATCH('SCC_Sulfide (SSC)'!$V7,'Tables - Part 2'!$AV$6:$AV$13,0),MATCH('SCC_Sulfide (SSC)'!$S7,'Tables - Part 2'!$AX$5:$BA$5,0)))+(INDEX('Tables - Part 2'!$BB$6:$BE$13,MATCH('SCC_Sulfide (SSC)'!$V7,'Tables - Part 2'!$AV$6:$AV$13,0),MATCH('SCC_Sulfide (SSC)'!$S7,'Tables - Part 2'!$AX$5:$BA$5,0))+(INDEX('Tables - Part 2'!$BB$6:$BE$13,MATCH('SCC_Sulfide (SSC)'!$V7,'Tables - Part 2'!$AV$6:$AV$13,0),MATCH('SCC_Sulfide (SSC)'!$S7,'Tables - Part 2'!$AX$5:$BA$5,0))+INDEX('Tables - Part 2'!$BF$6:$BI$13,MATCH('SCC_Sulfide (SSC)'!$V7,'Tables - Part 2'!$AV$6:$AV$13,0),MATCH('SCC_Sulfide (SSC)'!$S7,'Tables - Part 2'!$AX$5:$BA$5,0)))/2)/2)/2,0)</f>
        <v>0</v>
      </c>
      <c r="AL7" s="248">
        <f>IF($R7=$AL$3,(INDEX('Tables - Part 2'!$BB$6:$BE$13,MATCH('SCC_Sulfide (SSC)'!$V7,'Tables - Part 2'!$AV$6:$AV$13,0),MATCH('SCC_Sulfide (SSC)'!$S7,'Tables - Part 2'!$AX$5:$BA$5,0))+(INDEX('Tables - Part 2'!$BB$6:$BE$13,MATCH('SCC_Sulfide (SSC)'!$V7,'Tables - Part 2'!$AV$6:$AV$13,0),MATCH('SCC_Sulfide (SSC)'!$S7,'Tables - Part 2'!$AX$5:$BA$5,0))+INDEX('Tables - Part 2'!$BF$6:$BI$13,MATCH('SCC_Sulfide (SSC)'!$V7,'Tables - Part 2'!$AV$6:$AV$13,0),MATCH('SCC_Sulfide (SSC)'!$S7,'Tables - Part 2'!$AX$5:$BA$5,0)))/2)/2,0)</f>
        <v>0</v>
      </c>
      <c r="AM7" s="248">
        <f>IF($R7=$AM$3,(((INDEX('Tables - Part 2'!$BB$6:$BE$13,MATCH('SCC_Sulfide (SSC)'!$V7,'Tables - Part 2'!$AV$6:$AV$13,0),MATCH('SCC_Sulfide (SSC)'!$S7,'Tables - Part 2'!$AX$5:$BA$5,0))+(INDEX('Tables - Part 2'!$BB$6:$BE$13,MATCH('SCC_Sulfide (SSC)'!$V7,'Tables - Part 2'!$AV$6:$AV$13,0),MATCH('SCC_Sulfide (SSC)'!$S7,'Tables - Part 2'!$AX$5:$BA$5,0))+INDEX('Tables - Part 2'!$BF$6:$BI$13,MATCH('SCC_Sulfide (SSC)'!$V7,'Tables - Part 2'!$AV$6:$AV$13,0),MATCH('SCC_Sulfide (SSC)'!$S7,'Tables - Part 2'!$AX$5:$BA$5,0)))/2)/2)+((INDEX('Tables - Part 2'!$BB$6:$BE$13,MATCH('SCC_Sulfide (SSC)'!$V7,'Tables - Part 2'!$AV$6:$AV$13,0),MATCH('SCC_Sulfide (SSC)'!$S7,'Tables - Part 2'!$AX$5:$BA$5,0))+INDEX('Tables - Part 2'!$BF$6:$BI$13,MATCH('SCC_Sulfide (SSC)'!$V7,'Tables - Part 2'!$AV$6:$AV$13,0),MATCH('SCC_Sulfide (SSC)'!$S7,'Tables - Part 2'!$AX$5:$BA$5,0)))/2))/2,0)</f>
        <v>0</v>
      </c>
      <c r="AN7" s="248">
        <f>IF($R7=$AN$3,(INDEX('Tables - Part 2'!$BB$6:$BE$13,MATCH('SCC_Sulfide (SSC)'!$V7,'Tables - Part 2'!$AV$6:$AV$13,0),MATCH('SCC_Sulfide (SSC)'!$S7,'Tables - Part 2'!$AX$5:$BA$5,0))+INDEX('Tables - Part 2'!$BF$6:$BI$13,MATCH('SCC_Sulfide (SSC)'!$V7,'Tables - Part 2'!$AV$6:$AV$13,0),MATCH('SCC_Sulfide (SSC)'!$S7,'Tables - Part 2'!$AX$5:$BA$5,0)))/2,0)</f>
        <v>1</v>
      </c>
      <c r="AO7" s="248">
        <f>IF($R7=$AO$3,(((INDEX('Tables - Part 2'!$BB$6:$BE$13,MATCH('SCC_Sulfide (SSC)'!$V7,'Tables - Part 2'!$AV$6:$AV$13,0),MATCH('SCC_Sulfide (SSC)'!$S7,'Tables - Part 2'!$AX$5:$BA$5,0))+INDEX('Tables - Part 2'!$BF$6:$BI$13,MATCH('SCC_Sulfide (SSC)'!$V7,'Tables - Part 2'!$AV$6:$AV$13,0),MATCH('SCC_Sulfide (SSC)'!$S7,'Tables - Part 2'!$AX$5:$BA$5,0)))/2)+((((INDEX('Tables - Part 2'!$BB$6:$BE$13,MATCH('SCC_Sulfide (SSC)'!$V7,'Tables - Part 2'!$AV$6:$AV$13,0),MATCH('SCC_Sulfide (SSC)'!$S7,'Tables - Part 2'!$AX$5:$BA$5,0))+INDEX('Tables - Part 2'!$BF$6:$BI$13,MATCH('SCC_Sulfide (SSC)'!$V7,'Tables - Part 2'!$AV$6:$AV$13,0),MATCH('SCC_Sulfide (SSC)'!$S7,'Tables - Part 2'!$AX$5:$BA$5,0)))/2)+INDEX('Tables - Part 2'!$BF$6:$BI$13,MATCH('SCC_Sulfide (SSC)'!$V7,'Tables - Part 2'!$AV$6:$AV$13,0),MATCH('SCC_Sulfide (SSC)'!$S7,'Tables - Part 2'!$AX$5:$BA$5,0)))/2))/2,0)</f>
        <v>0</v>
      </c>
      <c r="AP7" s="248">
        <f>IF($R7=$AP$3,(((INDEX('Tables - Part 2'!$BB$6:$BE$13,MATCH('SCC_Sulfide (SSC)'!$V7,'Tables - Part 2'!$AV$6:$AV$13,0),MATCH('SCC_Sulfide (SSC)'!$S7,'Tables - Part 2'!$AX$5:$BA$5,0))+INDEX('Tables - Part 2'!$BF$6:$BI$13,MATCH('SCC_Sulfide (SSC)'!$V7,'Tables - Part 2'!$AV$6:$AV$13,0),MATCH('SCC_Sulfide (SSC)'!$S7,'Tables - Part 2'!$AX$5:$BA$5,0)))/2)+INDEX('Tables - Part 2'!$BF$6:$BI$13,MATCH('SCC_Sulfide (SSC)'!$V7,'Tables - Part 2'!$AV$6:$AV$13,0),MATCH('SCC_Sulfide (SSC)'!$S7,'Tables - Part 2'!$AX$5:$BA$5,0)))/2,0)</f>
        <v>0</v>
      </c>
      <c r="AQ7" s="248">
        <f>IF($R7=$AQ$3,(((((INDEX('Tables - Part 2'!$BB$6:$BE$13,MATCH('SCC_Sulfide (SSC)'!$V7,'Tables - Part 2'!$AV$6:$AV$13,0),MATCH('SCC_Sulfide (SSC)'!$S7,'Tables - Part 2'!$AX$5:$BA$5,0))+INDEX('Tables - Part 2'!$BF$6:$BI$13,MATCH('SCC_Sulfide (SSC)'!$V7,'Tables - Part 2'!$AV$6:$AV$13,0),MATCH('SCC_Sulfide (SSC)'!$S7,'Tables - Part 2'!$AX$5:$BA$5,0)))/2)+INDEX('Tables - Part 2'!$BF$6:$BI$13,MATCH('SCC_Sulfide (SSC)'!$V7,'Tables - Part 2'!$AV$6:$AV$13,0),MATCH('SCC_Sulfide (SSC)'!$S7,'Tables - Part 2'!$AX$5:$BA$5,0)))/2)+INDEX('Tables - Part 2'!$BF$6:$BI$13,MATCH('SCC_Sulfide (SSC)'!$V7,'Tables - Part 2'!$AV$6:$AV$13,0),MATCH('SCC_Sulfide (SSC)'!$S7,'Tables - Part 2'!$AX$5:$BA$5,0)))/2,0)</f>
        <v>0</v>
      </c>
      <c r="AR7" s="248">
        <f>IF($R7=$AR$3,INDEX('Tables - Part 2'!$BF$6:$BI$13,MATCH('SCC_Sulfide (SSC)'!$V7,'Tables - Part 2'!$AV$6:$AV$13,0),MATCH('SCC_Sulfide (SSC)'!$S7,'Tables - Part 2'!$AX$5:$BA$5,0)),0)</f>
        <v>0</v>
      </c>
      <c r="AS7" s="248">
        <f>IF($R7=$AS$3,(INDEX('Tables - Part 2'!$BF$6:$BI$13,MATCH('SCC_Sulfide (SSC)'!$V7,'Tables - Part 2'!$AV$6:$AV$13,0),MATCH('SCC_Sulfide (SSC)'!$S7,'Tables - Part 2'!$AX$5:$BA$5,0))+((INDEX('Tables - Part 2'!$BF$6:$BI$13,MATCH('SCC_Sulfide (SSC)'!$V7,'Tables - Part 2'!$AV$6:$AV$13,0),MATCH('SCC_Sulfide (SSC)'!$S7,'Tables - Part 2'!$AX$5:$BA$5,0))+(INDEX('Tables - Part 2'!$BF$6:$BI$13,MATCH('SCC_Sulfide (SSC)'!$V7,'Tables - Part 2'!$AV$6:$AV$13,0),MATCH('SCC_Sulfide (SSC)'!$S7,'Tables - Part 2'!$AX$5:$BA$5,0))+INDEX('Tables - Part 2'!$AX$17:$BA$24,MATCH('SCC_Sulfide (SSC)'!$V7,'Tables - Part 2'!$AV$6:$AV$13,0),MATCH('SCC_Sulfide (SSC)'!$S7,'Tables - Part 2'!$AX$5:$BA$5,0)))/2)/2))/2,0)</f>
        <v>0</v>
      </c>
      <c r="AT7" s="248">
        <f>IF($R7=$AT$3,(INDEX('Tables - Part 2'!$BF$6:$BI$13,MATCH('SCC_Sulfide (SSC)'!$V7,'Tables - Part 2'!$AV$6:$AV$13,0),MATCH('SCC_Sulfide (SSC)'!$S7,'Tables - Part 2'!$AX$5:$BA$5,0))+(INDEX('Tables - Part 2'!$BF$6:$BI$13,MATCH('SCC_Sulfide (SSC)'!$V7,'Tables - Part 2'!$AV$6:$AV$13,0),MATCH('SCC_Sulfide (SSC)'!$S7,'Tables - Part 2'!$AX$5:$BA$5,0))+INDEX('Tables - Part 2'!$AX$17:$BA$24,MATCH('SCC_Sulfide (SSC)'!$V7,'Tables - Part 2'!$AV$6:$AV$13,0),MATCH('SCC_Sulfide (SSC)'!$S7,'Tables - Part 2'!$AX$5:$BA$5,0)))/2)/2,0)</f>
        <v>0</v>
      </c>
      <c r="AU7" s="248">
        <f>IF($R7=$AU$3,(((INDEX('Tables - Part 2'!$BF$6:$BI$13,MATCH('SCC_Sulfide (SSC)'!$V7,'Tables - Part 2'!$AV$6:$AV$13,0),MATCH('SCC_Sulfide (SSC)'!$S7,'Tables - Part 2'!$AX$5:$BA$5,0))+(INDEX('Tables - Part 2'!$BF$6:$BI$13,MATCH('SCC_Sulfide (SSC)'!$V7,'Tables - Part 2'!$AV$6:$AV$13,0),MATCH('SCC_Sulfide (SSC)'!$S7,'Tables - Part 2'!$AX$5:$BA$5,0))+INDEX('Tables - Part 2'!$AX$17:$BA$24,MATCH('SCC_Sulfide (SSC)'!$V7,'Tables - Part 2'!$AV$6:$AV$13,0),MATCH('SCC_Sulfide (SSC)'!$S7,'Tables - Part 2'!$AX$5:$BA$5,0)))/2)/2)+((INDEX('Tables - Part 2'!$BF$6:$BI$13,MATCH('SCC_Sulfide (SSC)'!$V7,'Tables - Part 2'!$AV$6:$AV$13,0),MATCH('SCC_Sulfide (SSC)'!$S7,'Tables - Part 2'!$AX$5:$BA$5,0))+INDEX('Tables - Part 2'!$AX$17:$BA$24,MATCH('SCC_Sulfide (SSC)'!$V7,'Tables - Part 2'!$AV$6:$AV$13,0),MATCH('SCC_Sulfide (SSC)'!$S7,'Tables - Part 2'!$AX$5:$BA$5,0)))/2))/2,0)</f>
        <v>0</v>
      </c>
      <c r="AV7" s="248">
        <f>IF($R7=$AV$3,(INDEX('Tables - Part 2'!$BF$6:$BI$13,MATCH('SCC_Sulfide (SSC)'!$V7,'Tables - Part 2'!$AV$6:$AV$13,0),MATCH('SCC_Sulfide (SSC)'!$S7,'Tables - Part 2'!$AX$5:$BA$5,0))+INDEX('Tables - Part 2'!$AX$17:$BA$24,MATCH('SCC_Sulfide (SSC)'!$V7,'Tables - Part 2'!$AV$6:$AV$13,0),MATCH('SCC_Sulfide (SSC)'!$S7,'Tables - Part 2'!$AX$5:$BA$5,0)))/2,0)</f>
        <v>0</v>
      </c>
      <c r="AW7" s="248">
        <f>IF($R7=$AW$3,(((INDEX('Tables - Part 2'!$BF$6:$BI$13,MATCH('SCC_Sulfide (SSC)'!$V7,'Tables - Part 2'!$AV$6:$AV$13,0),MATCH('SCC_Sulfide (SSC)'!$S7,'Tables - Part 2'!$AX$5:$BA$5,0))+INDEX('Tables - Part 2'!$AX$17:$BA$24,MATCH('SCC_Sulfide (SSC)'!$V7,'Tables - Part 2'!$AV$6:$AV$13,0),MATCH('SCC_Sulfide (SSC)'!$S7,'Tables - Part 2'!$AX$5:$BA$5,0)))/2)+((((INDEX('Tables - Part 2'!$BF$6:$BI$13,MATCH('SCC_Sulfide (SSC)'!$V7,'Tables - Part 2'!$AV$6:$AV$13,0),MATCH('SCC_Sulfide (SSC)'!$S7,'Tables - Part 2'!$AX$5:$BA$5,0))+INDEX('Tables - Part 2'!$AX$17:$BA$24,MATCH('SCC_Sulfide (SSC)'!$V7,'Tables - Part 2'!$AV$6:$AV$13,0),MATCH('SCC_Sulfide (SSC)'!$S7,'Tables - Part 2'!$AX$5:$BA$5,0)))/2)+INDEX('Tables - Part 2'!$AX$17:$BA$24,MATCH('SCC_Sulfide (SSC)'!$V7,'Tables - Part 2'!$AV$6:$AV$13,0),MATCH('SCC_Sulfide (SSC)'!$S7,'Tables - Part 2'!$AX$5:$BA$5,0)))/2))/2,0)</f>
        <v>0</v>
      </c>
      <c r="AX7" s="248">
        <f>IF($R7=$AX$3,(((INDEX('Tables - Part 2'!$BF$6:$BI$13,MATCH('SCC_Sulfide (SSC)'!$V7,'Tables - Part 2'!$AV$6:$AV$13,0),MATCH('SCC_Sulfide (SSC)'!$S7,'Tables - Part 2'!$AX$5:$BA$5,0))+INDEX('Tables - Part 2'!$AX$17:$BA$24,MATCH('SCC_Sulfide (SSC)'!$V7,'Tables - Part 2'!$AV$6:$AV$13,0),MATCH('SCC_Sulfide (SSC)'!$S7,'Tables - Part 2'!$AX$5:$BA$5,0)))/2)+INDEX('Tables - Part 2'!$AX$17:$BA$24,MATCH('SCC_Sulfide (SSC)'!$V7,'Tables - Part 2'!$AV$6:$AV$13,0),MATCH('SCC_Sulfide (SSC)'!$S7,'Tables - Part 2'!$AX$5:$BA$5,0)))/2,0)</f>
        <v>0</v>
      </c>
      <c r="AY7" s="248">
        <f>IF($R7=$AY$3,(((((INDEX('Tables - Part 2'!$BF$6:$BI$13,MATCH('SCC_Sulfide (SSC)'!$V7,'Tables - Part 2'!$AV$6:$AV$13,0),MATCH('SCC_Sulfide (SSC)'!$S7,'Tables - Part 2'!$AX$5:$BA$5,0))+INDEX('Tables - Part 2'!$AX$17:$BA$24,MATCH('SCC_Sulfide (SSC)'!$V7,'Tables - Part 2'!$AV$6:$AV$13,0),MATCH('SCC_Sulfide (SSC)'!$S7,'Tables - Part 2'!$AX$5:$BA$5,0)))/2)+INDEX('Tables - Part 2'!$AX$17:$BA$24,MATCH('SCC_Sulfide (SSC)'!$V7,'Tables - Part 2'!$AV$6:$AV$13,0),MATCH('SCC_Sulfide (SSC)'!$S7,'Tables - Part 2'!$AX$5:$BA$5,0)))/2)+(INDEX('Tables - Part 2'!$AX$17:$BA$24,MATCH('SCC_Sulfide (SSC)'!$V7,'Tables - Part 2'!$AV$6:$AV$13,0),MATCH('SCC_Sulfide (SSC)'!$S7,'Tables - Part 2'!$AX$5:$BA$5,0))))/2,0)</f>
        <v>0</v>
      </c>
      <c r="AZ7" s="248">
        <f>IF($R7=$AZ$3,INDEX('Tables - Part 2'!$AX$17:$BA$24,MATCH('SCC_Sulfide (SSC)'!$V7,'Tables - Part 2'!$AV$6:$AV$13,0),MATCH('SCC_Sulfide (SSC)'!$S7,'Tables - Part 2'!$AX$5:$BA$5,0)),0)</f>
        <v>0</v>
      </c>
      <c r="BA7" s="248">
        <f>IF($R7=$BA$3,((INDEX('Tables - Part 2'!$AX$17:$BA$24,MATCH('SCC_Sulfide (SSC)'!$V7,'Tables - Part 2'!$AV$6:$AV$13,0),MATCH('SCC_Sulfide (SSC)'!$S7,'Tables - Part 2'!$AX$5:$BA$5,0)))+(((INDEX('Tables - Part 2'!$AX$17:$BA$24,MATCH('SCC_Sulfide (SSC)'!$V7,'Tables - Part 2'!$AV$6:$AV$13,0),MATCH('SCC_Sulfide (SSC)'!$S7,'Tables - Part 2'!$AX$5:$BA$5,0)))+(INDEX('Tables - Part 2'!$AX$17:$BA$24,MATCH('SCC_Sulfide (SSC)'!$V7,'Tables - Part 2'!$AV$6:$AV$13,0),MATCH('SCC_Sulfide (SSC)'!$S7,'Tables - Part 2'!$AX$5:$BA$5,0))+INDEX('Tables - Part 2'!$BB$17:$BE$24,MATCH('SCC_Sulfide (SSC)'!$V7,'Tables - Part 2'!$AV$6:$AV$13,0),MATCH('SCC_Sulfide (SSC)'!$S7,'Tables - Part 2'!$AX$5:$BA$5,0)))/2)/2))/2,0)</f>
        <v>0</v>
      </c>
      <c r="BB7" s="248">
        <f>IF($R7=$BB$3,((INDEX('Tables - Part 2'!$AX$17:$BA$24,MATCH('SCC_Sulfide (SSC)'!$V7,'Tables - Part 2'!$AV$6:$AV$13,0),MATCH('SCC_Sulfide (SSC)'!$S7,'Tables - Part 2'!$AX$5:$BA$5,0)))+(INDEX('Tables - Part 2'!$AX$17:$BA$24,MATCH('SCC_Sulfide (SSC)'!$V7,'Tables - Part 2'!$AV$6:$AV$13,0),MATCH('SCC_Sulfide (SSC)'!$S7,'Tables - Part 2'!$AX$5:$BA$5,0))+INDEX('Tables - Part 2'!$BB$17:$BE$24,MATCH('SCC_Sulfide (SSC)'!$V7,'Tables - Part 2'!$AV$6:$AV$13,0),MATCH('SCC_Sulfide (SSC)'!$S7,'Tables - Part 2'!$AX$5:$BA$5,0)))/2)/2,0)</f>
        <v>0</v>
      </c>
      <c r="BC7" s="248">
        <f>IF($R7=$BC$3,((((INDEX('Tables - Part 2'!$AX$17:$BA$24,MATCH('SCC_Sulfide (SSC)'!$V7,'Tables - Part 2'!$AV$6:$AV$13,0),MATCH('SCC_Sulfide (SSC)'!$S7,'Tables - Part 2'!$AX$5:$BA$5,0)))+(INDEX('Tables - Part 2'!$AX$17:$BA$24,MATCH('SCC_Sulfide (SSC)'!$V7,'Tables - Part 2'!$AV$6:$AV$13,0),MATCH('SCC_Sulfide (SSC)'!$S7,'Tables - Part 2'!$AX$5:$BA$5,0))+INDEX('Tables - Part 2'!$BB$17:$BE$24,MATCH('SCC_Sulfide (SSC)'!$V7,'Tables - Part 2'!$AV$6:$AV$13,0),MATCH('SCC_Sulfide (SSC)'!$S7,'Tables - Part 2'!$AX$5:$BA$5,0)))/2)/2)+((INDEX('Tables - Part 2'!$AX$17:$BA$24,MATCH('SCC_Sulfide (SSC)'!$V7,'Tables - Part 2'!$AV$6:$AV$13,0),MATCH('SCC_Sulfide (SSC)'!$S7,'Tables - Part 2'!$AX$5:$BA$5,0))+INDEX('Tables - Part 2'!$BB$17:$BE$24,MATCH('SCC_Sulfide (SSC)'!$V7,'Tables - Part 2'!$AV$6:$AV$13,0),MATCH('SCC_Sulfide (SSC)'!$S7,'Tables - Part 2'!$AX$5:$BA$5,0)))/2))/2,0)</f>
        <v>0</v>
      </c>
      <c r="BD7" s="248">
        <f>IF($R7=$BD$3,(INDEX('Tables - Part 2'!$AX$17:$BA$24,MATCH('SCC_Sulfide (SSC)'!$V7,'Tables - Part 2'!$AV$6:$AV$13,0),MATCH('SCC_Sulfide (SSC)'!$S7,'Tables - Part 2'!$AX$5:$BA$5,0))+INDEX('Tables - Part 2'!$BB$17:$BE$24,MATCH('SCC_Sulfide (SSC)'!$V7,'Tables - Part 2'!$AV$6:$AV$13,0),MATCH('SCC_Sulfide (SSC)'!$S7,'Tables - Part 2'!$AX$5:$BA$5,0)))/2,0)</f>
        <v>0</v>
      </c>
      <c r="BE7" s="248">
        <f>IF($R7=$BE$3,(((INDEX('Tables - Part 2'!$AX$17:$BA$24,MATCH('SCC_Sulfide (SSC)'!$V7,'Tables - Part 2'!$AV$6:$AV$13,0),MATCH('SCC_Sulfide (SSC)'!$S7,'Tables - Part 2'!$AX$5:$BA$5,0))+INDEX('Tables - Part 2'!$BB$17:$BE$24,MATCH('SCC_Sulfide (SSC)'!$V7,'Tables - Part 2'!$AV$6:$AV$13,0),MATCH('SCC_Sulfide (SSC)'!$S7,'Tables - Part 2'!$AX$5:$BA$5,0)))/2)+((((INDEX('Tables - Part 2'!$AX$17:$BA$24,MATCH('SCC_Sulfide (SSC)'!$V7,'Tables - Part 2'!$AV$6:$AV$13,0),MATCH('SCC_Sulfide (SSC)'!$S7,'Tables - Part 2'!$AX$5:$BA$5,0))+INDEX('Tables - Part 2'!$BB$17:$BE$24,MATCH('SCC_Sulfide (SSC)'!$V7,'Tables - Part 2'!$AV$6:$AV$13,0),MATCH('SCC_Sulfide (SSC)'!$S7,'Tables - Part 2'!$AX$5:$BA$5,0)))/2)+INDEX('Tables - Part 2'!$BB$17:$BE$24,MATCH('SCC_Sulfide (SSC)'!$V7,'Tables - Part 2'!$AV$6:$AV$13,0),MATCH('SCC_Sulfide (SSC)'!$S7,'Tables - Part 2'!$AX$5:$BA$5,0)))/2))/2,0)</f>
        <v>0</v>
      </c>
      <c r="BF7" s="248">
        <f>IF($R7=$BF$3,(((INDEX('Tables - Part 2'!$AX$17:$BA$24,MATCH('SCC_Sulfide (SSC)'!$V7,'Tables - Part 2'!$AV$6:$AV$13,0),MATCH('SCC_Sulfide (SSC)'!$S7,'Tables - Part 2'!$AX$5:$BA$5,0))+INDEX('Tables - Part 2'!$BB$17:$BE$24,MATCH('SCC_Sulfide (SSC)'!$V7,'Tables - Part 2'!$AV$6:$AV$13,0),MATCH('SCC_Sulfide (SSC)'!$S7,'Tables - Part 2'!$AX$5:$BA$5,0)))/2)+INDEX('Tables - Part 2'!$BB$17:$BE$24,MATCH('SCC_Sulfide (SSC)'!$V7,'Tables - Part 2'!$AV$6:$AV$13,0),MATCH('SCC_Sulfide (SSC)'!$S7,'Tables - Part 2'!$AX$5:$BA$5,0)))/2,0)</f>
        <v>0</v>
      </c>
      <c r="BG7" s="248">
        <f>IF($R7=$BG$3,(((((INDEX('Tables - Part 2'!$AX$17:$BA$24,MATCH('SCC_Sulfide (SSC)'!$V7,'Tables - Part 2'!$AV$6:$AV$13,0),MATCH('SCC_Sulfide (SSC)'!$S7,'Tables - Part 2'!$AX$5:$BA$5,0))+INDEX('Tables - Part 2'!$BB$17:$BE$24,MATCH('SCC_Sulfide (SSC)'!$V7,'Tables - Part 2'!$AV$6:$AV$13,0),MATCH('SCC_Sulfide (SSC)'!$S7,'Tables - Part 2'!$AX$5:$BA$5,0)))/2)+INDEX('Tables - Part 2'!$BB$17:$BE$24,MATCH('SCC_Sulfide (SSC)'!$V7,'Tables - Part 2'!$AV$6:$AV$13,0),MATCH('SCC_Sulfide (SSC)'!$S7,'Tables - Part 2'!$AX$5:$BA$5,0)))/2)+(INDEX('Tables - Part 2'!$BB$17:$BE$24,MATCH('SCC_Sulfide (SSC)'!$V7,'Tables - Part 2'!$AV$6:$AV$13,0),MATCH('SCC_Sulfide (SSC)'!$S7,'Tables - Part 2'!$AX$5:$BA$5,0))))/2,0)</f>
        <v>0</v>
      </c>
      <c r="BH7" s="248">
        <f>IF($R7=$BH$3,INDEX('Tables - Part 2'!$BB$17:$BE$24,MATCH('SCC_Sulfide (SSC)'!$V7,'Tables - Part 2'!$AV$6:$AV$13,0),MATCH('SCC_Sulfide (SSC)'!$S7,'Tables - Part 2'!$AX$5:$BA$5,0)),0)</f>
        <v>0</v>
      </c>
      <c r="BI7" s="248">
        <f>IF($R7=$BI$3,((INDEX('Tables - Part 2'!$BB$17:$BE$24,MATCH('SCC_Sulfide (SSC)'!$V7,'Tables - Part 2'!$AV$6:$AV$13,0),MATCH('SCC_Sulfide (SSC)'!$S7,'Tables - Part 2'!$AX$5:$BA$5,0)))+(((INDEX('Tables - Part 2'!$BB$17:$BE$24,MATCH('SCC_Sulfide (SSC)'!$V7,'Tables - Part 2'!$AV$6:$AV$13,0),MATCH('SCC_Sulfide (SSC)'!$S7,'Tables - Part 2'!$AX$5:$BA$5,0)))+(INDEX('Tables - Part 2'!$BB$17:$BE$24,MATCH('SCC_Sulfide (SSC)'!$V7,'Tables - Part 2'!$AV$6:$AV$13,0),MATCH('SCC_Sulfide (SSC)'!$S7,'Tables - Part 2'!$AX$5:$BA$5,0))+INDEX('Tables - Part 2'!$BF$17:$BI$24,MATCH('SCC_Sulfide (SSC)'!$V7,'Tables - Part 2'!$AV$6:$AV$13,0),MATCH('SCC_Sulfide (SSC)'!$S7,'Tables - Part 2'!$AX$5:$BA$5,0)))/2)/2))/2,0)</f>
        <v>0</v>
      </c>
      <c r="BJ7" s="248">
        <f>IF($R7=$BJ$3,((INDEX('Tables - Part 2'!$BB$17:$BE$24,MATCH('SCC_Sulfide (SSC)'!$V7,'Tables - Part 2'!$AV$6:$AV$13,0),MATCH('SCC_Sulfide (SSC)'!$S7,'Tables - Part 2'!$AX$5:$BA$5,0)))+(INDEX('Tables - Part 2'!$BB$17:$BE$24,MATCH('SCC_Sulfide (SSC)'!$V7,'Tables - Part 2'!$AV$6:$AV$13,0),MATCH('SCC_Sulfide (SSC)'!$S7,'Tables - Part 2'!$AX$5:$BA$5,0))+INDEX('Tables - Part 2'!$BF$17:$BI$24,MATCH('SCC_Sulfide (SSC)'!$V7,'Tables - Part 2'!$AV$6:$AV$13,0),MATCH('SCC_Sulfide (SSC)'!$S7,'Tables - Part 2'!$AX$5:$BA$5,0)))/2)/2,0)</f>
        <v>0</v>
      </c>
      <c r="BK7" s="248">
        <f>IF($R7=$BK$3,((((INDEX('Tables - Part 2'!$BB$17:$BE$24,MATCH('SCC_Sulfide (SSC)'!$V7,'Tables - Part 2'!$AV$6:$AV$13,0),MATCH('SCC_Sulfide (SSC)'!$S7,'Tables - Part 2'!$AX$5:$BA$5,0)))+(INDEX('Tables - Part 2'!$BB$17:$BE$24,MATCH('SCC_Sulfide (SSC)'!$V7,'Tables - Part 2'!$AV$6:$AV$13,0),MATCH('SCC_Sulfide (SSC)'!$S7,'Tables - Part 2'!$AX$5:$BA$5,0))+INDEX('Tables - Part 2'!$BF$17:$BI$24,MATCH('SCC_Sulfide (SSC)'!$V7,'Tables - Part 2'!$AV$6:$AV$13,0),MATCH('SCC_Sulfide (SSC)'!$S7,'Tables - Part 2'!$AX$5:$BA$5,0)))/2)/2)+((INDEX('Tables - Part 2'!$BB$17:$BE$24,MATCH('SCC_Sulfide (SSC)'!$V7,'Tables - Part 2'!$AV$6:$AV$13,0),MATCH('SCC_Sulfide (SSC)'!$S7,'Tables - Part 2'!$AX$5:$BA$5,0))+INDEX('Tables - Part 2'!$BF$17:$BI$24,MATCH('SCC_Sulfide (SSC)'!$V7,'Tables - Part 2'!$AV$6:$AV$13,0),MATCH('SCC_Sulfide (SSC)'!$S7,'Tables - Part 2'!$AX$5:$BA$5,0)))/2))/2,0)</f>
        <v>0</v>
      </c>
      <c r="BL7" s="248">
        <f>IF($R7=$BL$3,(INDEX('Tables - Part 2'!$BB$17:$BE$24,MATCH('SCC_Sulfide (SSC)'!$V7,'Tables - Part 2'!$AV$6:$AV$13,0),MATCH('SCC_Sulfide (SSC)'!$S7,'Tables - Part 2'!$AX$5:$BA$5,0))+INDEX('Tables - Part 2'!$BF$17:$BI$24,MATCH('SCC_Sulfide (SSC)'!$V7,'Tables - Part 2'!$AV$6:$AV$13,0),MATCH('SCC_Sulfide (SSC)'!$S7,'Tables - Part 2'!$AX$5:$BA$5,0)))/2,0)</f>
        <v>0</v>
      </c>
      <c r="BM7" s="248">
        <f>IF($R7=$BM$3,(((INDEX('Tables - Part 2'!$BB$17:$BE$24,MATCH('SCC_Sulfide (SSC)'!$V7,'Tables - Part 2'!$AV$6:$AV$13,0),MATCH('SCC_Sulfide (SSC)'!$S7,'Tables - Part 2'!$AX$5:$BA$5,0))+INDEX('Tables - Part 2'!$BF$17:$BI$24,MATCH('SCC_Sulfide (SSC)'!$V7,'Tables - Part 2'!$AV$6:$AV$13,0),MATCH('SCC_Sulfide (SSC)'!$S7,'Tables - Part 2'!$AX$5:$BA$5,0)))/2)+((((INDEX('Tables - Part 2'!$BB$17:$BE$24,MATCH('SCC_Sulfide (SSC)'!$V7,'Tables - Part 2'!$AV$6:$AV$13,0),MATCH('SCC_Sulfide (SSC)'!$S7,'Tables - Part 2'!$AX$5:$BA$5,0))+INDEX('Tables - Part 2'!$BF$17:$BI$24,MATCH('SCC_Sulfide (SSC)'!$V7,'Tables - Part 2'!$AV$6:$AV$13,0),MATCH('SCC_Sulfide (SSC)'!$S7,'Tables - Part 2'!$AX$5:$BA$5,0)))/2)+INDEX('Tables - Part 2'!$BF$17:$BI$24,MATCH('SCC_Sulfide (SSC)'!$V7,'Tables - Part 2'!$AV$6:$AV$13,0),MATCH('SCC_Sulfide (SSC)'!$S7,'Tables - Part 2'!$AX$5:$BA$5,0)))/2))/2,0)</f>
        <v>0</v>
      </c>
      <c r="BN7" s="248">
        <f>IF($R7=$BN$3,(((INDEX('Tables - Part 2'!$BB$17:$BE$24,MATCH('SCC_Sulfide (SSC)'!$V7,'Tables - Part 2'!$AV$6:$AV$13,0),MATCH('SCC_Sulfide (SSC)'!$S7,'Tables - Part 2'!$AX$5:$BA$5,0))+INDEX('Tables - Part 2'!$BF$17:$BI$24,MATCH('SCC_Sulfide (SSC)'!$V7,'Tables - Part 2'!$AV$6:$AV$13,0),MATCH('SCC_Sulfide (SSC)'!$S7,'Tables - Part 2'!$AX$5:$BA$5,0)))/2)+INDEX('Tables - Part 2'!$BF$17:$BI$24,MATCH('SCC_Sulfide (SSC)'!$V7,'Tables - Part 2'!$AV$6:$AV$13,0),MATCH('SCC_Sulfide (SSC)'!$S7,'Tables - Part 2'!$AX$5:$BA$5,0)))/2,0)</f>
        <v>0</v>
      </c>
      <c r="BO7" s="248">
        <f>IF($R7=$BO$3,(((((INDEX('Tables - Part 2'!$BB$17:$BE$24,MATCH('SCC_Sulfide (SSC)'!$V7,'Tables - Part 2'!$AV$6:$AV$13,0),MATCH('SCC_Sulfide (SSC)'!$S7,'Tables - Part 2'!$AX$5:$BA$5,0))+INDEX('Tables - Part 2'!$BF$17:$BI$24,MATCH('SCC_Sulfide (SSC)'!$V7,'Tables - Part 2'!$AV$6:$AV$13,0),MATCH('SCC_Sulfide (SSC)'!$S7,'Tables - Part 2'!$AX$5:$BA$5,0)))/2)+INDEX('Tables - Part 2'!$BF$17:$BI$24,MATCH('SCC_Sulfide (SSC)'!$V7,'Tables - Part 2'!$AV$6:$AV$13,0),MATCH('SCC_Sulfide (SSC)'!$S7,'Tables - Part 2'!$AX$5:$BA$5,0)))/2)+(INDEX('Tables - Part 2'!$BF$17:$BI$24,MATCH('SCC_Sulfide (SSC)'!$V7,'Tables - Part 2'!$AV$6:$AV$13,0),MATCH('SCC_Sulfide (SSC)'!$S7,'Tables - Part 2'!$AX$5:$BA$5,0))))/2,0)</f>
        <v>0</v>
      </c>
      <c r="BP7" s="248">
        <f>IF($R7=$BP$3,INDEX('Tables - Part 2'!$BF$17:$BI$24,MATCH('SCC_Sulfide (SSC)'!$V7,'Tables - Part 2'!$AV$6:$AV$13,0),MATCH('SCC_Sulfide (SSC)'!$S7,'Tables - Part 2'!$AX$5:$BA$5,0)),0)</f>
        <v>0</v>
      </c>
      <c r="BQ7" s="248">
        <f t="shared" si="6"/>
        <v>0</v>
      </c>
      <c r="BR7" s="238">
        <f t="shared" si="8"/>
        <v>1</v>
      </c>
      <c r="BS7" s="238">
        <f t="shared" si="7"/>
        <v>16.77288246840839</v>
      </c>
    </row>
    <row r="8" spans="2:84" x14ac:dyDescent="0.35">
      <c r="B8" s="161" t="str">
        <f>'Tratamento de Dados'!B16</f>
        <v>V-13</v>
      </c>
      <c r="C8" s="161" t="str">
        <f>'Tratamento de Dados'!D16</f>
        <v>Casco</v>
      </c>
      <c r="D8" s="209" t="s">
        <v>245</v>
      </c>
      <c r="E8" s="209" t="s">
        <v>61</v>
      </c>
      <c r="F8" s="209" t="s">
        <v>836</v>
      </c>
      <c r="G8" s="209" t="s">
        <v>832</v>
      </c>
      <c r="H8" s="209" t="s">
        <v>245</v>
      </c>
      <c r="I8" s="209" t="s">
        <v>1113</v>
      </c>
      <c r="J8" s="209" t="s">
        <v>245</v>
      </c>
      <c r="K8" s="210">
        <v>39092</v>
      </c>
      <c r="L8" s="209">
        <v>0</v>
      </c>
      <c r="M8" s="209">
        <v>1</v>
      </c>
      <c r="N8" s="209">
        <v>1</v>
      </c>
      <c r="O8" s="209">
        <v>4</v>
      </c>
      <c r="P8" s="253">
        <f>'Tratamento de Dados'!DA16</f>
        <v>0</v>
      </c>
      <c r="Q8" s="253">
        <f>'Tratamento de Dados'!DB16</f>
        <v>0</v>
      </c>
      <c r="R8" s="256">
        <f t="shared" si="0"/>
        <v>2.5</v>
      </c>
      <c r="S8" s="246" t="str">
        <f t="shared" si="1"/>
        <v>B</v>
      </c>
      <c r="T8" s="238" t="str">
        <f>IF(D8=$BX$2,$BV$4,IF(AND(H8=$BX$2,OR(F8='Tables - Part 2'!$BN$8,'Tables - Part 2'!$BN$9),OR('SCC_Sulfide (SSC)'!G8='Tables - Part 2'!$BQ$4,'SCC_Sulfide (SSC)'!G8='Tables - Part 2'!$BR$4)),$BV$4,INDEX('Tables - Part 2'!$BO$5:$BR$9,MATCH('SCC_Sulfide (SSC)'!F8,'Tables - Part 2'!$BN$5:$BN$9,0),MATCH('SCC_Sulfide (SSC)'!G8,'Tables - Part 2'!$BO$4:$BR$4,0))))</f>
        <v>Moderate</v>
      </c>
      <c r="U8" s="238" t="str">
        <f>IF(D8=$BX$2,$BV$4,IF(J8=$BX$2,INDEX('Tables - Part 2'!$BX$6:$BZ$8,MATCH('SCC_Sulfide (SSC)'!T8,'Tables - Part 2'!$BT$6:$BT$8,0),MATCH('SCC_Sulfide (SSC)'!I8,'Tables - Part 2'!$BX$5:$BZ$5,0)),INDEX('Tables - Part 2'!$BU$6:$BW$8,MATCH('SCC_Sulfide (SSC)'!T8,'Tables - Part 2'!$BT$6:$BT$8,0),MATCH('SCC_Sulfide (SSC)'!I8,'Tables - Part 2'!$BU$5:$BW$5,0))))</f>
        <v>Medium</v>
      </c>
      <c r="V8" s="238">
        <f>IF(AND(D8=$BX$2,E8&lt;&gt;$BX$2),"Fitness-For-Service",INDEX('Tables - Part 2'!$CC$4:$CC$7,MATCH('SCC_Sulfide (SSC)'!U8,'Tables - Part 2'!$CB$4:$CB$7,0),))</f>
        <v>10</v>
      </c>
      <c r="W8" s="238">
        <f>IF(K8=0,(Thinning!G9-Thinning!F9)/365.25,(Thinning!G9-K8)/365.25)</f>
        <v>12.980150581793293</v>
      </c>
      <c r="X8" s="248">
        <f t="shared" si="2"/>
        <v>0</v>
      </c>
      <c r="Y8" s="248">
        <f t="shared" si="3"/>
        <v>2.5</v>
      </c>
      <c r="Z8" s="248">
        <f t="shared" si="4"/>
        <v>3</v>
      </c>
      <c r="AA8" s="247">
        <f t="shared" si="5"/>
        <v>4</v>
      </c>
      <c r="AB8" s="248">
        <f>IF($R8=$AB$3,INDEX('Tables - Part 2'!$AX$6:$BA$13,MATCH('SCC_Sulfide (SSC)'!V8,'Tables - Part 2'!$AV$6:$AV$13,0),MATCH('SCC_Sulfide (SSC)'!S8,'Tables - Part 2'!$AX$5:$BA$5,0)),0)</f>
        <v>0</v>
      </c>
      <c r="AC8" s="248">
        <f>IF($R8=$AC$3,(INDEX('Tables - Part 2'!$AX$6:$BA$13,MATCH('SCC_Sulfide (SSC)'!V8,'Tables - Part 2'!$AV$6:$AV$13,0),MATCH('SCC_Sulfide (SSC)'!S8,'Tables - Part 2'!$AX$5:$BA$5,0))+(INDEX('Tables - Part 2'!$AX$6:$BA$13,MATCH('SCC_Sulfide (SSC)'!V8,'Tables - Part 2'!$AV$6:$AV$13,0),MATCH('SCC_Sulfide (SSC)'!S8,'Tables - Part 2'!$AX$5:$BA$5,0))+((INDEX('Tables - Part 2'!$AX$6:$BA$13,MATCH('SCC_Sulfide (SSC)'!V8,'Tables - Part 2'!$AV$6:$AV$13,0),MATCH('SCC_Sulfide (SSC)'!S8,'Tables - Part 2'!$AX$5:$BA$5,0))+INDEX('Tables - Part 2'!$BB$6:$BE$13,MATCH('SCC_Sulfide (SSC)'!$V8,'Tables - Part 2'!$AV$6:$AV$13,0),MATCH('SCC_Sulfide (SSC)'!$S8,'Tables - Part 2'!$AX$5:$BA$5,0)))/2))/2)/2,0)</f>
        <v>0</v>
      </c>
      <c r="AD8" s="248">
        <f>IF($R8=$AD$3,(INDEX('Tables - Part 2'!$AX$6:$BA$13,MATCH('SCC_Sulfide (SSC)'!V8,'Tables - Part 2'!$AV$6:$AV$13,0),MATCH('SCC_Sulfide (SSC)'!S8,'Tables - Part 2'!$AX$5:$BA$5,0))+((INDEX('Tables - Part 2'!$AX$6:$BA$13,MATCH('SCC_Sulfide (SSC)'!V8,'Tables - Part 2'!$AV$6:$AV$13,0),MATCH('SCC_Sulfide (SSC)'!S8,'Tables - Part 2'!$AX$5:$BA$5,0))+INDEX('Tables - Part 2'!$BB$6:$BE$13,MATCH('SCC_Sulfide (SSC)'!$V8,'Tables - Part 2'!$AV$6:$AV$13,0),MATCH('SCC_Sulfide (SSC)'!$S8,'Tables - Part 2'!$AX$5:$BA$5,0)))/2))/2,0)</f>
        <v>0</v>
      </c>
      <c r="AE8" s="248">
        <f>IF($R8=$AE$3,(((INDEX('Tables - Part 2'!$AX$6:$BA$13,MATCH('SCC_Sulfide (SSC)'!V8,'Tables - Part 2'!$AV$6:$AV$13,0),MATCH('SCC_Sulfide (SSC)'!S8,'Tables - Part 2'!$AX$5:$BA$5,0))+((INDEX('Tables - Part 2'!$AX$6:$BA$13,MATCH('SCC_Sulfide (SSC)'!V8,'Tables - Part 2'!$AV$6:$AV$13,0),MATCH('SCC_Sulfide (SSC)'!S8,'Tables - Part 2'!$AX$5:$BA$5,0))+INDEX('Tables - Part 2'!$BB$6:$BE$13,MATCH('SCC_Sulfide (SSC)'!$V8,'Tables - Part 2'!$AV$6:$AV$13,0),MATCH('SCC_Sulfide (SSC)'!$S8,'Tables - Part 2'!$AX$5:$BA$5,0)))/2))/2)+(INDEX('Tables - Part 2'!$AX$6:$BA$13,MATCH('SCC_Sulfide (SSC)'!V8,'Tables - Part 2'!$AV$6:$AV$13,0),MATCH('SCC_Sulfide (SSC)'!S8,'Tables - Part 2'!$AX$5:$BA$5,0))+INDEX('Tables - Part 2'!$BB$6:$BE$13,MATCH('SCC_Sulfide (SSC)'!$V8,'Tables - Part 2'!$AV$6:$AV$13,0),MATCH('SCC_Sulfide (SSC)'!$S8,'Tables - Part 2'!$AX$5:$BA$5,0)))/2)/2,0)</f>
        <v>0</v>
      </c>
      <c r="AF8" s="248">
        <f>IF($R8=$AF$3,(INDEX('Tables - Part 2'!$AX$6:$BA$13,MATCH('SCC_Sulfide (SSC)'!V8,'Tables - Part 2'!$AV$6:$AV$13,0),MATCH('SCC_Sulfide (SSC)'!S8,'Tables - Part 2'!$AX$5:$BA$5,0))+INDEX('Tables - Part 2'!$BB$6:$BE$13,MATCH('SCC_Sulfide (SSC)'!$V8,'Tables - Part 2'!$AV$6:$AV$13,0),MATCH('SCC_Sulfide (SSC)'!$S8,'Tables - Part 2'!$AX$5:$BA$5,0)))/2,0)</f>
        <v>0</v>
      </c>
      <c r="AG8" s="248">
        <f>IF($R8=$AG$3,(((INDEX('Tables - Part 2'!$AX$6:$BA$13,MATCH('SCC_Sulfide (SSC)'!V8,'Tables - Part 2'!$AV$6:$AV$13,0),MATCH('SCC_Sulfide (SSC)'!S8,'Tables - Part 2'!$AX$5:$BA$5,0))+INDEX('Tables - Part 2'!$BB$6:$BE$13,MATCH('SCC_Sulfide (SSC)'!$V8,'Tables - Part 2'!$AV$6:$AV$13,0),MATCH('SCC_Sulfide (SSC)'!$S8,'Tables - Part 2'!$AX$5:$BA$5,0)))/2)+(((INDEX('Tables - Part 2'!$AX$6:$BA$13,MATCH('SCC_Sulfide (SSC)'!V8,'Tables - Part 2'!$AV$6:$AV$13,0),MATCH('SCC_Sulfide (SSC)'!S8,'Tables - Part 2'!$AX$5:$BA$5,0))+INDEX('Tables - Part 2'!$BB$6:$BE$13,MATCH('SCC_Sulfide (SSC)'!$V8,'Tables - Part 2'!$AV$6:$AV$13,0),MATCH('SCC_Sulfide (SSC)'!$S8,'Tables - Part 2'!$AX$5:$BA$5,0)))/2)+INDEX('Tables - Part 2'!$BB$6:$BE$13,MATCH('SCC_Sulfide (SSC)'!$V8,'Tables - Part 2'!$AV$6:$AV$13,0),MATCH('SCC_Sulfide (SSC)'!$S8,'Tables - Part 2'!$AX$5:$BA$5,0)))/2)/2,0)</f>
        <v>0</v>
      </c>
      <c r="AH8" s="248">
        <f>IF($R8=$AH$3,(((INDEX('Tables - Part 2'!$AX$6:$BA$13,MATCH('SCC_Sulfide (SSC)'!V8,'Tables - Part 2'!$AV$6:$AV$13,0),MATCH('SCC_Sulfide (SSC)'!S8,'Tables - Part 2'!$AX$5:$BA$5,0))+INDEX('Tables - Part 2'!$BB$6:$BE$13,MATCH('SCC_Sulfide (SSC)'!$V8,'Tables - Part 2'!$AV$6:$AV$13,0),MATCH('SCC_Sulfide (SSC)'!$S8,'Tables - Part 2'!$AX$5:$BA$5,0)))/2)+INDEX('Tables - Part 2'!$BB$6:$BE$13,MATCH('SCC_Sulfide (SSC)'!$V8,'Tables - Part 2'!$AV$6:$AV$13,0),MATCH('SCC_Sulfide (SSC)'!$S8,'Tables - Part 2'!$AX$5:$BA$5,0)))/2,0)</f>
        <v>0</v>
      </c>
      <c r="AI8" s="248">
        <f>IF($R8=$AI$3,(((((INDEX('Tables - Part 2'!$AX$6:$BA$13,MATCH('SCC_Sulfide (SSC)'!V8,'Tables - Part 2'!$AV$6:$AV$13,0),MATCH('SCC_Sulfide (SSC)'!S8,'Tables - Part 2'!$AX$5:$BA$5,0))+INDEX('Tables - Part 2'!$BB$6:$BE$13,MATCH('SCC_Sulfide (SSC)'!$V8,'Tables - Part 2'!$AV$6:$AV$13,0),MATCH('SCC_Sulfide (SSC)'!$S8,'Tables - Part 2'!$AX$5:$BA$5,0)))/2)+INDEX('Tables - Part 2'!$BB$6:$BE$13,MATCH('SCC_Sulfide (SSC)'!$V8,'Tables - Part 2'!$AV$6:$AV$13,0),MATCH('SCC_Sulfide (SSC)'!$S8,'Tables - Part 2'!$AX$5:$BA$5,0)))/2)+INDEX('Tables - Part 2'!$BB$6:$BE$13,MATCH('SCC_Sulfide (SSC)'!$V8,'Tables - Part 2'!$AV$6:$AV$13,0),MATCH('SCC_Sulfide (SSC)'!$S8,'Tables - Part 2'!$AX$5:$BA$5,0)))/2,0)</f>
        <v>0</v>
      </c>
      <c r="AJ8" s="248">
        <f>IF($R8=$AJ$3,INDEX('Tables - Part 2'!$BB$6:$BE$13,MATCH('SCC_Sulfide (SSC)'!$V8,'Tables - Part 2'!$AV$6:$AV$13,0),MATCH('SCC_Sulfide (SSC)'!$S8,'Tables - Part 2'!$AX$5:$BA$5,0)),0)</f>
        <v>0</v>
      </c>
      <c r="AK8" s="248">
        <f>IF($R8=$AK$3,((INDEX('Tables - Part 2'!$BB$6:$BE$13,MATCH('SCC_Sulfide (SSC)'!$V8,'Tables - Part 2'!$AV$6:$AV$13,0),MATCH('SCC_Sulfide (SSC)'!$S8,'Tables - Part 2'!$AX$5:$BA$5,0)))+(INDEX('Tables - Part 2'!$BB$6:$BE$13,MATCH('SCC_Sulfide (SSC)'!$V8,'Tables - Part 2'!$AV$6:$AV$13,0),MATCH('SCC_Sulfide (SSC)'!$S8,'Tables - Part 2'!$AX$5:$BA$5,0))+(INDEX('Tables - Part 2'!$BB$6:$BE$13,MATCH('SCC_Sulfide (SSC)'!$V8,'Tables - Part 2'!$AV$6:$AV$13,0),MATCH('SCC_Sulfide (SSC)'!$S8,'Tables - Part 2'!$AX$5:$BA$5,0))+INDEX('Tables - Part 2'!$BF$6:$BI$13,MATCH('SCC_Sulfide (SSC)'!$V8,'Tables - Part 2'!$AV$6:$AV$13,0),MATCH('SCC_Sulfide (SSC)'!$S8,'Tables - Part 2'!$AX$5:$BA$5,0)))/2)/2)/2,0)</f>
        <v>0</v>
      </c>
      <c r="AL8" s="248">
        <f>IF($R8=$AL$3,(INDEX('Tables - Part 2'!$BB$6:$BE$13,MATCH('SCC_Sulfide (SSC)'!$V8,'Tables - Part 2'!$AV$6:$AV$13,0),MATCH('SCC_Sulfide (SSC)'!$S8,'Tables - Part 2'!$AX$5:$BA$5,0))+(INDEX('Tables - Part 2'!$BB$6:$BE$13,MATCH('SCC_Sulfide (SSC)'!$V8,'Tables - Part 2'!$AV$6:$AV$13,0),MATCH('SCC_Sulfide (SSC)'!$S8,'Tables - Part 2'!$AX$5:$BA$5,0))+INDEX('Tables - Part 2'!$BF$6:$BI$13,MATCH('SCC_Sulfide (SSC)'!$V8,'Tables - Part 2'!$AV$6:$AV$13,0),MATCH('SCC_Sulfide (SSC)'!$S8,'Tables - Part 2'!$AX$5:$BA$5,0)))/2)/2,0)</f>
        <v>0</v>
      </c>
      <c r="AM8" s="248">
        <f>IF($R8=$AM$3,(((INDEX('Tables - Part 2'!$BB$6:$BE$13,MATCH('SCC_Sulfide (SSC)'!$V8,'Tables - Part 2'!$AV$6:$AV$13,0),MATCH('SCC_Sulfide (SSC)'!$S8,'Tables - Part 2'!$AX$5:$BA$5,0))+(INDEX('Tables - Part 2'!$BB$6:$BE$13,MATCH('SCC_Sulfide (SSC)'!$V8,'Tables - Part 2'!$AV$6:$AV$13,0),MATCH('SCC_Sulfide (SSC)'!$S8,'Tables - Part 2'!$AX$5:$BA$5,0))+INDEX('Tables - Part 2'!$BF$6:$BI$13,MATCH('SCC_Sulfide (SSC)'!$V8,'Tables - Part 2'!$AV$6:$AV$13,0),MATCH('SCC_Sulfide (SSC)'!$S8,'Tables - Part 2'!$AX$5:$BA$5,0)))/2)/2)+((INDEX('Tables - Part 2'!$BB$6:$BE$13,MATCH('SCC_Sulfide (SSC)'!$V8,'Tables - Part 2'!$AV$6:$AV$13,0),MATCH('SCC_Sulfide (SSC)'!$S8,'Tables - Part 2'!$AX$5:$BA$5,0))+INDEX('Tables - Part 2'!$BF$6:$BI$13,MATCH('SCC_Sulfide (SSC)'!$V8,'Tables - Part 2'!$AV$6:$AV$13,0),MATCH('SCC_Sulfide (SSC)'!$S8,'Tables - Part 2'!$AX$5:$BA$5,0)))/2))/2,0)</f>
        <v>0</v>
      </c>
      <c r="AN8" s="248">
        <f>IF($R8=$AN$3,(INDEX('Tables - Part 2'!$BB$6:$BE$13,MATCH('SCC_Sulfide (SSC)'!$V8,'Tables - Part 2'!$AV$6:$AV$13,0),MATCH('SCC_Sulfide (SSC)'!$S8,'Tables - Part 2'!$AX$5:$BA$5,0))+INDEX('Tables - Part 2'!$BF$6:$BI$13,MATCH('SCC_Sulfide (SSC)'!$V8,'Tables - Part 2'!$AV$6:$AV$13,0),MATCH('SCC_Sulfide (SSC)'!$S8,'Tables - Part 2'!$AX$5:$BA$5,0)))/2,0)</f>
        <v>1</v>
      </c>
      <c r="AO8" s="248">
        <f>IF($R8=$AO$3,(((INDEX('Tables - Part 2'!$BB$6:$BE$13,MATCH('SCC_Sulfide (SSC)'!$V8,'Tables - Part 2'!$AV$6:$AV$13,0),MATCH('SCC_Sulfide (SSC)'!$S8,'Tables - Part 2'!$AX$5:$BA$5,0))+INDEX('Tables - Part 2'!$BF$6:$BI$13,MATCH('SCC_Sulfide (SSC)'!$V8,'Tables - Part 2'!$AV$6:$AV$13,0),MATCH('SCC_Sulfide (SSC)'!$S8,'Tables - Part 2'!$AX$5:$BA$5,0)))/2)+((((INDEX('Tables - Part 2'!$BB$6:$BE$13,MATCH('SCC_Sulfide (SSC)'!$V8,'Tables - Part 2'!$AV$6:$AV$13,0),MATCH('SCC_Sulfide (SSC)'!$S8,'Tables - Part 2'!$AX$5:$BA$5,0))+INDEX('Tables - Part 2'!$BF$6:$BI$13,MATCH('SCC_Sulfide (SSC)'!$V8,'Tables - Part 2'!$AV$6:$AV$13,0),MATCH('SCC_Sulfide (SSC)'!$S8,'Tables - Part 2'!$AX$5:$BA$5,0)))/2)+INDEX('Tables - Part 2'!$BF$6:$BI$13,MATCH('SCC_Sulfide (SSC)'!$V8,'Tables - Part 2'!$AV$6:$AV$13,0),MATCH('SCC_Sulfide (SSC)'!$S8,'Tables - Part 2'!$AX$5:$BA$5,0)))/2))/2,0)</f>
        <v>0</v>
      </c>
      <c r="AP8" s="248">
        <f>IF($R8=$AP$3,(((INDEX('Tables - Part 2'!$BB$6:$BE$13,MATCH('SCC_Sulfide (SSC)'!$V8,'Tables - Part 2'!$AV$6:$AV$13,0),MATCH('SCC_Sulfide (SSC)'!$S8,'Tables - Part 2'!$AX$5:$BA$5,0))+INDEX('Tables - Part 2'!$BF$6:$BI$13,MATCH('SCC_Sulfide (SSC)'!$V8,'Tables - Part 2'!$AV$6:$AV$13,0),MATCH('SCC_Sulfide (SSC)'!$S8,'Tables - Part 2'!$AX$5:$BA$5,0)))/2)+INDEX('Tables - Part 2'!$BF$6:$BI$13,MATCH('SCC_Sulfide (SSC)'!$V8,'Tables - Part 2'!$AV$6:$AV$13,0),MATCH('SCC_Sulfide (SSC)'!$S8,'Tables - Part 2'!$AX$5:$BA$5,0)))/2,0)</f>
        <v>0</v>
      </c>
      <c r="AQ8" s="248">
        <f>IF($R8=$AQ$3,(((((INDEX('Tables - Part 2'!$BB$6:$BE$13,MATCH('SCC_Sulfide (SSC)'!$V8,'Tables - Part 2'!$AV$6:$AV$13,0),MATCH('SCC_Sulfide (SSC)'!$S8,'Tables - Part 2'!$AX$5:$BA$5,0))+INDEX('Tables - Part 2'!$BF$6:$BI$13,MATCH('SCC_Sulfide (SSC)'!$V8,'Tables - Part 2'!$AV$6:$AV$13,0),MATCH('SCC_Sulfide (SSC)'!$S8,'Tables - Part 2'!$AX$5:$BA$5,0)))/2)+INDEX('Tables - Part 2'!$BF$6:$BI$13,MATCH('SCC_Sulfide (SSC)'!$V8,'Tables - Part 2'!$AV$6:$AV$13,0),MATCH('SCC_Sulfide (SSC)'!$S8,'Tables - Part 2'!$AX$5:$BA$5,0)))/2)+INDEX('Tables - Part 2'!$BF$6:$BI$13,MATCH('SCC_Sulfide (SSC)'!$V8,'Tables - Part 2'!$AV$6:$AV$13,0),MATCH('SCC_Sulfide (SSC)'!$S8,'Tables - Part 2'!$AX$5:$BA$5,0)))/2,0)</f>
        <v>0</v>
      </c>
      <c r="AR8" s="248">
        <f>IF($R8=$AR$3,INDEX('Tables - Part 2'!$BF$6:$BI$13,MATCH('SCC_Sulfide (SSC)'!$V8,'Tables - Part 2'!$AV$6:$AV$13,0),MATCH('SCC_Sulfide (SSC)'!$S8,'Tables - Part 2'!$AX$5:$BA$5,0)),0)</f>
        <v>0</v>
      </c>
      <c r="AS8" s="248">
        <f>IF($R8=$AS$3,(INDEX('Tables - Part 2'!$BF$6:$BI$13,MATCH('SCC_Sulfide (SSC)'!$V8,'Tables - Part 2'!$AV$6:$AV$13,0),MATCH('SCC_Sulfide (SSC)'!$S8,'Tables - Part 2'!$AX$5:$BA$5,0))+((INDEX('Tables - Part 2'!$BF$6:$BI$13,MATCH('SCC_Sulfide (SSC)'!$V8,'Tables - Part 2'!$AV$6:$AV$13,0),MATCH('SCC_Sulfide (SSC)'!$S8,'Tables - Part 2'!$AX$5:$BA$5,0))+(INDEX('Tables - Part 2'!$BF$6:$BI$13,MATCH('SCC_Sulfide (SSC)'!$V8,'Tables - Part 2'!$AV$6:$AV$13,0),MATCH('SCC_Sulfide (SSC)'!$S8,'Tables - Part 2'!$AX$5:$BA$5,0))+INDEX('Tables - Part 2'!$AX$17:$BA$24,MATCH('SCC_Sulfide (SSC)'!$V8,'Tables - Part 2'!$AV$6:$AV$13,0),MATCH('SCC_Sulfide (SSC)'!$S8,'Tables - Part 2'!$AX$5:$BA$5,0)))/2)/2))/2,0)</f>
        <v>0</v>
      </c>
      <c r="AT8" s="248">
        <f>IF($R8=$AT$3,(INDEX('Tables - Part 2'!$BF$6:$BI$13,MATCH('SCC_Sulfide (SSC)'!$V8,'Tables - Part 2'!$AV$6:$AV$13,0),MATCH('SCC_Sulfide (SSC)'!$S8,'Tables - Part 2'!$AX$5:$BA$5,0))+(INDEX('Tables - Part 2'!$BF$6:$BI$13,MATCH('SCC_Sulfide (SSC)'!$V8,'Tables - Part 2'!$AV$6:$AV$13,0),MATCH('SCC_Sulfide (SSC)'!$S8,'Tables - Part 2'!$AX$5:$BA$5,0))+INDEX('Tables - Part 2'!$AX$17:$BA$24,MATCH('SCC_Sulfide (SSC)'!$V8,'Tables - Part 2'!$AV$6:$AV$13,0),MATCH('SCC_Sulfide (SSC)'!$S8,'Tables - Part 2'!$AX$5:$BA$5,0)))/2)/2,0)</f>
        <v>0</v>
      </c>
      <c r="AU8" s="248">
        <f>IF($R8=$AU$3,(((INDEX('Tables - Part 2'!$BF$6:$BI$13,MATCH('SCC_Sulfide (SSC)'!$V8,'Tables - Part 2'!$AV$6:$AV$13,0),MATCH('SCC_Sulfide (SSC)'!$S8,'Tables - Part 2'!$AX$5:$BA$5,0))+(INDEX('Tables - Part 2'!$BF$6:$BI$13,MATCH('SCC_Sulfide (SSC)'!$V8,'Tables - Part 2'!$AV$6:$AV$13,0),MATCH('SCC_Sulfide (SSC)'!$S8,'Tables - Part 2'!$AX$5:$BA$5,0))+INDEX('Tables - Part 2'!$AX$17:$BA$24,MATCH('SCC_Sulfide (SSC)'!$V8,'Tables - Part 2'!$AV$6:$AV$13,0),MATCH('SCC_Sulfide (SSC)'!$S8,'Tables - Part 2'!$AX$5:$BA$5,0)))/2)/2)+((INDEX('Tables - Part 2'!$BF$6:$BI$13,MATCH('SCC_Sulfide (SSC)'!$V8,'Tables - Part 2'!$AV$6:$AV$13,0),MATCH('SCC_Sulfide (SSC)'!$S8,'Tables - Part 2'!$AX$5:$BA$5,0))+INDEX('Tables - Part 2'!$AX$17:$BA$24,MATCH('SCC_Sulfide (SSC)'!$V8,'Tables - Part 2'!$AV$6:$AV$13,0),MATCH('SCC_Sulfide (SSC)'!$S8,'Tables - Part 2'!$AX$5:$BA$5,0)))/2))/2,0)</f>
        <v>0</v>
      </c>
      <c r="AV8" s="248">
        <f>IF($R8=$AV$3,(INDEX('Tables - Part 2'!$BF$6:$BI$13,MATCH('SCC_Sulfide (SSC)'!$V8,'Tables - Part 2'!$AV$6:$AV$13,0),MATCH('SCC_Sulfide (SSC)'!$S8,'Tables - Part 2'!$AX$5:$BA$5,0))+INDEX('Tables - Part 2'!$AX$17:$BA$24,MATCH('SCC_Sulfide (SSC)'!$V8,'Tables - Part 2'!$AV$6:$AV$13,0),MATCH('SCC_Sulfide (SSC)'!$S8,'Tables - Part 2'!$AX$5:$BA$5,0)))/2,0)</f>
        <v>0</v>
      </c>
      <c r="AW8" s="248">
        <f>IF($R8=$AW$3,(((INDEX('Tables - Part 2'!$BF$6:$BI$13,MATCH('SCC_Sulfide (SSC)'!$V8,'Tables - Part 2'!$AV$6:$AV$13,0),MATCH('SCC_Sulfide (SSC)'!$S8,'Tables - Part 2'!$AX$5:$BA$5,0))+INDEX('Tables - Part 2'!$AX$17:$BA$24,MATCH('SCC_Sulfide (SSC)'!$V8,'Tables - Part 2'!$AV$6:$AV$13,0),MATCH('SCC_Sulfide (SSC)'!$S8,'Tables - Part 2'!$AX$5:$BA$5,0)))/2)+((((INDEX('Tables - Part 2'!$BF$6:$BI$13,MATCH('SCC_Sulfide (SSC)'!$V8,'Tables - Part 2'!$AV$6:$AV$13,0),MATCH('SCC_Sulfide (SSC)'!$S8,'Tables - Part 2'!$AX$5:$BA$5,0))+INDEX('Tables - Part 2'!$AX$17:$BA$24,MATCH('SCC_Sulfide (SSC)'!$V8,'Tables - Part 2'!$AV$6:$AV$13,0),MATCH('SCC_Sulfide (SSC)'!$S8,'Tables - Part 2'!$AX$5:$BA$5,0)))/2)+INDEX('Tables - Part 2'!$AX$17:$BA$24,MATCH('SCC_Sulfide (SSC)'!$V8,'Tables - Part 2'!$AV$6:$AV$13,0),MATCH('SCC_Sulfide (SSC)'!$S8,'Tables - Part 2'!$AX$5:$BA$5,0)))/2))/2,0)</f>
        <v>0</v>
      </c>
      <c r="AX8" s="248">
        <f>IF($R8=$AX$3,(((INDEX('Tables - Part 2'!$BF$6:$BI$13,MATCH('SCC_Sulfide (SSC)'!$V8,'Tables - Part 2'!$AV$6:$AV$13,0),MATCH('SCC_Sulfide (SSC)'!$S8,'Tables - Part 2'!$AX$5:$BA$5,0))+INDEX('Tables - Part 2'!$AX$17:$BA$24,MATCH('SCC_Sulfide (SSC)'!$V8,'Tables - Part 2'!$AV$6:$AV$13,0),MATCH('SCC_Sulfide (SSC)'!$S8,'Tables - Part 2'!$AX$5:$BA$5,0)))/2)+INDEX('Tables - Part 2'!$AX$17:$BA$24,MATCH('SCC_Sulfide (SSC)'!$V8,'Tables - Part 2'!$AV$6:$AV$13,0),MATCH('SCC_Sulfide (SSC)'!$S8,'Tables - Part 2'!$AX$5:$BA$5,0)))/2,0)</f>
        <v>0</v>
      </c>
      <c r="AY8" s="248">
        <f>IF($R8=$AY$3,(((((INDEX('Tables - Part 2'!$BF$6:$BI$13,MATCH('SCC_Sulfide (SSC)'!$V8,'Tables - Part 2'!$AV$6:$AV$13,0),MATCH('SCC_Sulfide (SSC)'!$S8,'Tables - Part 2'!$AX$5:$BA$5,0))+INDEX('Tables - Part 2'!$AX$17:$BA$24,MATCH('SCC_Sulfide (SSC)'!$V8,'Tables - Part 2'!$AV$6:$AV$13,0),MATCH('SCC_Sulfide (SSC)'!$S8,'Tables - Part 2'!$AX$5:$BA$5,0)))/2)+INDEX('Tables - Part 2'!$AX$17:$BA$24,MATCH('SCC_Sulfide (SSC)'!$V8,'Tables - Part 2'!$AV$6:$AV$13,0),MATCH('SCC_Sulfide (SSC)'!$S8,'Tables - Part 2'!$AX$5:$BA$5,0)))/2)+(INDEX('Tables - Part 2'!$AX$17:$BA$24,MATCH('SCC_Sulfide (SSC)'!$V8,'Tables - Part 2'!$AV$6:$AV$13,0),MATCH('SCC_Sulfide (SSC)'!$S8,'Tables - Part 2'!$AX$5:$BA$5,0))))/2,0)</f>
        <v>0</v>
      </c>
      <c r="AZ8" s="248">
        <f>IF($R8=$AZ$3,INDEX('Tables - Part 2'!$AX$17:$BA$24,MATCH('SCC_Sulfide (SSC)'!$V8,'Tables - Part 2'!$AV$6:$AV$13,0),MATCH('SCC_Sulfide (SSC)'!$S8,'Tables - Part 2'!$AX$5:$BA$5,0)),0)</f>
        <v>0</v>
      </c>
      <c r="BA8" s="248">
        <f>IF($R8=$BA$3,((INDEX('Tables - Part 2'!$AX$17:$BA$24,MATCH('SCC_Sulfide (SSC)'!$V8,'Tables - Part 2'!$AV$6:$AV$13,0),MATCH('SCC_Sulfide (SSC)'!$S8,'Tables - Part 2'!$AX$5:$BA$5,0)))+(((INDEX('Tables - Part 2'!$AX$17:$BA$24,MATCH('SCC_Sulfide (SSC)'!$V8,'Tables - Part 2'!$AV$6:$AV$13,0),MATCH('SCC_Sulfide (SSC)'!$S8,'Tables - Part 2'!$AX$5:$BA$5,0)))+(INDEX('Tables - Part 2'!$AX$17:$BA$24,MATCH('SCC_Sulfide (SSC)'!$V8,'Tables - Part 2'!$AV$6:$AV$13,0),MATCH('SCC_Sulfide (SSC)'!$S8,'Tables - Part 2'!$AX$5:$BA$5,0))+INDEX('Tables - Part 2'!$BB$17:$BE$24,MATCH('SCC_Sulfide (SSC)'!$V8,'Tables - Part 2'!$AV$6:$AV$13,0),MATCH('SCC_Sulfide (SSC)'!$S8,'Tables - Part 2'!$AX$5:$BA$5,0)))/2)/2))/2,0)</f>
        <v>0</v>
      </c>
      <c r="BB8" s="248">
        <f>IF($R8=$BB$3,((INDEX('Tables - Part 2'!$AX$17:$BA$24,MATCH('SCC_Sulfide (SSC)'!$V8,'Tables - Part 2'!$AV$6:$AV$13,0),MATCH('SCC_Sulfide (SSC)'!$S8,'Tables - Part 2'!$AX$5:$BA$5,0)))+(INDEX('Tables - Part 2'!$AX$17:$BA$24,MATCH('SCC_Sulfide (SSC)'!$V8,'Tables - Part 2'!$AV$6:$AV$13,0),MATCH('SCC_Sulfide (SSC)'!$S8,'Tables - Part 2'!$AX$5:$BA$5,0))+INDEX('Tables - Part 2'!$BB$17:$BE$24,MATCH('SCC_Sulfide (SSC)'!$V8,'Tables - Part 2'!$AV$6:$AV$13,0),MATCH('SCC_Sulfide (SSC)'!$S8,'Tables - Part 2'!$AX$5:$BA$5,0)))/2)/2,0)</f>
        <v>0</v>
      </c>
      <c r="BC8" s="248">
        <f>IF($R8=$BC$3,((((INDEX('Tables - Part 2'!$AX$17:$BA$24,MATCH('SCC_Sulfide (SSC)'!$V8,'Tables - Part 2'!$AV$6:$AV$13,0),MATCH('SCC_Sulfide (SSC)'!$S8,'Tables - Part 2'!$AX$5:$BA$5,0)))+(INDEX('Tables - Part 2'!$AX$17:$BA$24,MATCH('SCC_Sulfide (SSC)'!$V8,'Tables - Part 2'!$AV$6:$AV$13,0),MATCH('SCC_Sulfide (SSC)'!$S8,'Tables - Part 2'!$AX$5:$BA$5,0))+INDEX('Tables - Part 2'!$BB$17:$BE$24,MATCH('SCC_Sulfide (SSC)'!$V8,'Tables - Part 2'!$AV$6:$AV$13,0),MATCH('SCC_Sulfide (SSC)'!$S8,'Tables - Part 2'!$AX$5:$BA$5,0)))/2)/2)+((INDEX('Tables - Part 2'!$AX$17:$BA$24,MATCH('SCC_Sulfide (SSC)'!$V8,'Tables - Part 2'!$AV$6:$AV$13,0),MATCH('SCC_Sulfide (SSC)'!$S8,'Tables - Part 2'!$AX$5:$BA$5,0))+INDEX('Tables - Part 2'!$BB$17:$BE$24,MATCH('SCC_Sulfide (SSC)'!$V8,'Tables - Part 2'!$AV$6:$AV$13,0),MATCH('SCC_Sulfide (SSC)'!$S8,'Tables - Part 2'!$AX$5:$BA$5,0)))/2))/2,0)</f>
        <v>0</v>
      </c>
      <c r="BD8" s="248">
        <f>IF($R8=$BD$3,(INDEX('Tables - Part 2'!$AX$17:$BA$24,MATCH('SCC_Sulfide (SSC)'!$V8,'Tables - Part 2'!$AV$6:$AV$13,0),MATCH('SCC_Sulfide (SSC)'!$S8,'Tables - Part 2'!$AX$5:$BA$5,0))+INDEX('Tables - Part 2'!$BB$17:$BE$24,MATCH('SCC_Sulfide (SSC)'!$V8,'Tables - Part 2'!$AV$6:$AV$13,0),MATCH('SCC_Sulfide (SSC)'!$S8,'Tables - Part 2'!$AX$5:$BA$5,0)))/2,0)</f>
        <v>0</v>
      </c>
      <c r="BE8" s="248">
        <f>IF($R8=$BE$3,(((INDEX('Tables - Part 2'!$AX$17:$BA$24,MATCH('SCC_Sulfide (SSC)'!$V8,'Tables - Part 2'!$AV$6:$AV$13,0),MATCH('SCC_Sulfide (SSC)'!$S8,'Tables - Part 2'!$AX$5:$BA$5,0))+INDEX('Tables - Part 2'!$BB$17:$BE$24,MATCH('SCC_Sulfide (SSC)'!$V8,'Tables - Part 2'!$AV$6:$AV$13,0),MATCH('SCC_Sulfide (SSC)'!$S8,'Tables - Part 2'!$AX$5:$BA$5,0)))/2)+((((INDEX('Tables - Part 2'!$AX$17:$BA$24,MATCH('SCC_Sulfide (SSC)'!$V8,'Tables - Part 2'!$AV$6:$AV$13,0),MATCH('SCC_Sulfide (SSC)'!$S8,'Tables - Part 2'!$AX$5:$BA$5,0))+INDEX('Tables - Part 2'!$BB$17:$BE$24,MATCH('SCC_Sulfide (SSC)'!$V8,'Tables - Part 2'!$AV$6:$AV$13,0),MATCH('SCC_Sulfide (SSC)'!$S8,'Tables - Part 2'!$AX$5:$BA$5,0)))/2)+INDEX('Tables - Part 2'!$BB$17:$BE$24,MATCH('SCC_Sulfide (SSC)'!$V8,'Tables - Part 2'!$AV$6:$AV$13,0),MATCH('SCC_Sulfide (SSC)'!$S8,'Tables - Part 2'!$AX$5:$BA$5,0)))/2))/2,0)</f>
        <v>0</v>
      </c>
      <c r="BF8" s="248">
        <f>IF($R8=$BF$3,(((INDEX('Tables - Part 2'!$AX$17:$BA$24,MATCH('SCC_Sulfide (SSC)'!$V8,'Tables - Part 2'!$AV$6:$AV$13,0),MATCH('SCC_Sulfide (SSC)'!$S8,'Tables - Part 2'!$AX$5:$BA$5,0))+INDEX('Tables - Part 2'!$BB$17:$BE$24,MATCH('SCC_Sulfide (SSC)'!$V8,'Tables - Part 2'!$AV$6:$AV$13,0),MATCH('SCC_Sulfide (SSC)'!$S8,'Tables - Part 2'!$AX$5:$BA$5,0)))/2)+INDEX('Tables - Part 2'!$BB$17:$BE$24,MATCH('SCC_Sulfide (SSC)'!$V8,'Tables - Part 2'!$AV$6:$AV$13,0),MATCH('SCC_Sulfide (SSC)'!$S8,'Tables - Part 2'!$AX$5:$BA$5,0)))/2,0)</f>
        <v>0</v>
      </c>
      <c r="BG8" s="248">
        <f>IF($R8=$BG$3,(((((INDEX('Tables - Part 2'!$AX$17:$BA$24,MATCH('SCC_Sulfide (SSC)'!$V8,'Tables - Part 2'!$AV$6:$AV$13,0),MATCH('SCC_Sulfide (SSC)'!$S8,'Tables - Part 2'!$AX$5:$BA$5,0))+INDEX('Tables - Part 2'!$BB$17:$BE$24,MATCH('SCC_Sulfide (SSC)'!$V8,'Tables - Part 2'!$AV$6:$AV$13,0),MATCH('SCC_Sulfide (SSC)'!$S8,'Tables - Part 2'!$AX$5:$BA$5,0)))/2)+INDEX('Tables - Part 2'!$BB$17:$BE$24,MATCH('SCC_Sulfide (SSC)'!$V8,'Tables - Part 2'!$AV$6:$AV$13,0),MATCH('SCC_Sulfide (SSC)'!$S8,'Tables - Part 2'!$AX$5:$BA$5,0)))/2)+(INDEX('Tables - Part 2'!$BB$17:$BE$24,MATCH('SCC_Sulfide (SSC)'!$V8,'Tables - Part 2'!$AV$6:$AV$13,0),MATCH('SCC_Sulfide (SSC)'!$S8,'Tables - Part 2'!$AX$5:$BA$5,0))))/2,0)</f>
        <v>0</v>
      </c>
      <c r="BH8" s="248">
        <f>IF($R8=$BH$3,INDEX('Tables - Part 2'!$BB$17:$BE$24,MATCH('SCC_Sulfide (SSC)'!$V8,'Tables - Part 2'!$AV$6:$AV$13,0),MATCH('SCC_Sulfide (SSC)'!$S8,'Tables - Part 2'!$AX$5:$BA$5,0)),0)</f>
        <v>0</v>
      </c>
      <c r="BI8" s="248">
        <f>IF($R8=$BI$3,((INDEX('Tables - Part 2'!$BB$17:$BE$24,MATCH('SCC_Sulfide (SSC)'!$V8,'Tables - Part 2'!$AV$6:$AV$13,0),MATCH('SCC_Sulfide (SSC)'!$S8,'Tables - Part 2'!$AX$5:$BA$5,0)))+(((INDEX('Tables - Part 2'!$BB$17:$BE$24,MATCH('SCC_Sulfide (SSC)'!$V8,'Tables - Part 2'!$AV$6:$AV$13,0),MATCH('SCC_Sulfide (SSC)'!$S8,'Tables - Part 2'!$AX$5:$BA$5,0)))+(INDEX('Tables - Part 2'!$BB$17:$BE$24,MATCH('SCC_Sulfide (SSC)'!$V8,'Tables - Part 2'!$AV$6:$AV$13,0),MATCH('SCC_Sulfide (SSC)'!$S8,'Tables - Part 2'!$AX$5:$BA$5,0))+INDEX('Tables - Part 2'!$BF$17:$BI$24,MATCH('SCC_Sulfide (SSC)'!$V8,'Tables - Part 2'!$AV$6:$AV$13,0),MATCH('SCC_Sulfide (SSC)'!$S8,'Tables - Part 2'!$AX$5:$BA$5,0)))/2)/2))/2,0)</f>
        <v>0</v>
      </c>
      <c r="BJ8" s="248">
        <f>IF($R8=$BJ$3,((INDEX('Tables - Part 2'!$BB$17:$BE$24,MATCH('SCC_Sulfide (SSC)'!$V8,'Tables - Part 2'!$AV$6:$AV$13,0),MATCH('SCC_Sulfide (SSC)'!$S8,'Tables - Part 2'!$AX$5:$BA$5,0)))+(INDEX('Tables - Part 2'!$BB$17:$BE$24,MATCH('SCC_Sulfide (SSC)'!$V8,'Tables - Part 2'!$AV$6:$AV$13,0),MATCH('SCC_Sulfide (SSC)'!$S8,'Tables - Part 2'!$AX$5:$BA$5,0))+INDEX('Tables - Part 2'!$BF$17:$BI$24,MATCH('SCC_Sulfide (SSC)'!$V8,'Tables - Part 2'!$AV$6:$AV$13,0),MATCH('SCC_Sulfide (SSC)'!$S8,'Tables - Part 2'!$AX$5:$BA$5,0)))/2)/2,0)</f>
        <v>0</v>
      </c>
      <c r="BK8" s="248">
        <f>IF($R8=$BK$3,((((INDEX('Tables - Part 2'!$BB$17:$BE$24,MATCH('SCC_Sulfide (SSC)'!$V8,'Tables - Part 2'!$AV$6:$AV$13,0),MATCH('SCC_Sulfide (SSC)'!$S8,'Tables - Part 2'!$AX$5:$BA$5,0)))+(INDEX('Tables - Part 2'!$BB$17:$BE$24,MATCH('SCC_Sulfide (SSC)'!$V8,'Tables - Part 2'!$AV$6:$AV$13,0),MATCH('SCC_Sulfide (SSC)'!$S8,'Tables - Part 2'!$AX$5:$BA$5,0))+INDEX('Tables - Part 2'!$BF$17:$BI$24,MATCH('SCC_Sulfide (SSC)'!$V8,'Tables - Part 2'!$AV$6:$AV$13,0),MATCH('SCC_Sulfide (SSC)'!$S8,'Tables - Part 2'!$AX$5:$BA$5,0)))/2)/2)+((INDEX('Tables - Part 2'!$BB$17:$BE$24,MATCH('SCC_Sulfide (SSC)'!$V8,'Tables - Part 2'!$AV$6:$AV$13,0),MATCH('SCC_Sulfide (SSC)'!$S8,'Tables - Part 2'!$AX$5:$BA$5,0))+INDEX('Tables - Part 2'!$BF$17:$BI$24,MATCH('SCC_Sulfide (SSC)'!$V8,'Tables - Part 2'!$AV$6:$AV$13,0),MATCH('SCC_Sulfide (SSC)'!$S8,'Tables - Part 2'!$AX$5:$BA$5,0)))/2))/2,0)</f>
        <v>0</v>
      </c>
      <c r="BL8" s="248">
        <f>IF($R8=$BL$3,(INDEX('Tables - Part 2'!$BB$17:$BE$24,MATCH('SCC_Sulfide (SSC)'!$V8,'Tables - Part 2'!$AV$6:$AV$13,0),MATCH('SCC_Sulfide (SSC)'!$S8,'Tables - Part 2'!$AX$5:$BA$5,0))+INDEX('Tables - Part 2'!$BF$17:$BI$24,MATCH('SCC_Sulfide (SSC)'!$V8,'Tables - Part 2'!$AV$6:$AV$13,0),MATCH('SCC_Sulfide (SSC)'!$S8,'Tables - Part 2'!$AX$5:$BA$5,0)))/2,0)</f>
        <v>0</v>
      </c>
      <c r="BM8" s="248">
        <f>IF($R8=$BM$3,(((INDEX('Tables - Part 2'!$BB$17:$BE$24,MATCH('SCC_Sulfide (SSC)'!$V8,'Tables - Part 2'!$AV$6:$AV$13,0),MATCH('SCC_Sulfide (SSC)'!$S8,'Tables - Part 2'!$AX$5:$BA$5,0))+INDEX('Tables - Part 2'!$BF$17:$BI$24,MATCH('SCC_Sulfide (SSC)'!$V8,'Tables - Part 2'!$AV$6:$AV$13,0),MATCH('SCC_Sulfide (SSC)'!$S8,'Tables - Part 2'!$AX$5:$BA$5,0)))/2)+((((INDEX('Tables - Part 2'!$BB$17:$BE$24,MATCH('SCC_Sulfide (SSC)'!$V8,'Tables - Part 2'!$AV$6:$AV$13,0),MATCH('SCC_Sulfide (SSC)'!$S8,'Tables - Part 2'!$AX$5:$BA$5,0))+INDEX('Tables - Part 2'!$BF$17:$BI$24,MATCH('SCC_Sulfide (SSC)'!$V8,'Tables - Part 2'!$AV$6:$AV$13,0),MATCH('SCC_Sulfide (SSC)'!$S8,'Tables - Part 2'!$AX$5:$BA$5,0)))/2)+INDEX('Tables - Part 2'!$BF$17:$BI$24,MATCH('SCC_Sulfide (SSC)'!$V8,'Tables - Part 2'!$AV$6:$AV$13,0),MATCH('SCC_Sulfide (SSC)'!$S8,'Tables - Part 2'!$AX$5:$BA$5,0)))/2))/2,0)</f>
        <v>0</v>
      </c>
      <c r="BN8" s="248">
        <f>IF($R8=$BN$3,(((INDEX('Tables - Part 2'!$BB$17:$BE$24,MATCH('SCC_Sulfide (SSC)'!$V8,'Tables - Part 2'!$AV$6:$AV$13,0),MATCH('SCC_Sulfide (SSC)'!$S8,'Tables - Part 2'!$AX$5:$BA$5,0))+INDEX('Tables - Part 2'!$BF$17:$BI$24,MATCH('SCC_Sulfide (SSC)'!$V8,'Tables - Part 2'!$AV$6:$AV$13,0),MATCH('SCC_Sulfide (SSC)'!$S8,'Tables - Part 2'!$AX$5:$BA$5,0)))/2)+INDEX('Tables - Part 2'!$BF$17:$BI$24,MATCH('SCC_Sulfide (SSC)'!$V8,'Tables - Part 2'!$AV$6:$AV$13,0),MATCH('SCC_Sulfide (SSC)'!$S8,'Tables - Part 2'!$AX$5:$BA$5,0)))/2,0)</f>
        <v>0</v>
      </c>
      <c r="BO8" s="248">
        <f>IF($R8=$BO$3,(((((INDEX('Tables - Part 2'!$BB$17:$BE$24,MATCH('SCC_Sulfide (SSC)'!$V8,'Tables - Part 2'!$AV$6:$AV$13,0),MATCH('SCC_Sulfide (SSC)'!$S8,'Tables - Part 2'!$AX$5:$BA$5,0))+INDEX('Tables - Part 2'!$BF$17:$BI$24,MATCH('SCC_Sulfide (SSC)'!$V8,'Tables - Part 2'!$AV$6:$AV$13,0),MATCH('SCC_Sulfide (SSC)'!$S8,'Tables - Part 2'!$AX$5:$BA$5,0)))/2)+INDEX('Tables - Part 2'!$BF$17:$BI$24,MATCH('SCC_Sulfide (SSC)'!$V8,'Tables - Part 2'!$AV$6:$AV$13,0),MATCH('SCC_Sulfide (SSC)'!$S8,'Tables - Part 2'!$AX$5:$BA$5,0)))/2)+(INDEX('Tables - Part 2'!$BF$17:$BI$24,MATCH('SCC_Sulfide (SSC)'!$V8,'Tables - Part 2'!$AV$6:$AV$13,0),MATCH('SCC_Sulfide (SSC)'!$S8,'Tables - Part 2'!$AX$5:$BA$5,0))))/2,0)</f>
        <v>0</v>
      </c>
      <c r="BP8" s="248">
        <f>IF($R8=$BP$3,INDEX('Tables - Part 2'!$BF$17:$BI$24,MATCH('SCC_Sulfide (SSC)'!$V8,'Tables - Part 2'!$AV$6:$AV$13,0),MATCH('SCC_Sulfide (SSC)'!$S8,'Tables - Part 2'!$AX$5:$BA$5,0)),0)</f>
        <v>0</v>
      </c>
      <c r="BQ8" s="248">
        <f t="shared" si="6"/>
        <v>0</v>
      </c>
      <c r="BR8" s="238">
        <f t="shared" si="8"/>
        <v>1</v>
      </c>
      <c r="BS8" s="238">
        <f t="shared" si="7"/>
        <v>16.77288246840839</v>
      </c>
    </row>
    <row r="9" spans="2:84" x14ac:dyDescent="0.35">
      <c r="B9" s="161" t="str">
        <f>'Tratamento de Dados'!B17</f>
        <v>V-14</v>
      </c>
      <c r="C9" s="161" t="str">
        <f>'Tratamento de Dados'!D17</f>
        <v>Casco</v>
      </c>
      <c r="D9" s="209" t="s">
        <v>245</v>
      </c>
      <c r="E9" s="209" t="s">
        <v>61</v>
      </c>
      <c r="F9" s="209" t="s">
        <v>836</v>
      </c>
      <c r="G9" s="209" t="s">
        <v>832</v>
      </c>
      <c r="H9" s="209" t="s">
        <v>245</v>
      </c>
      <c r="I9" s="209" t="s">
        <v>1113</v>
      </c>
      <c r="J9" s="209" t="s">
        <v>245</v>
      </c>
      <c r="K9" s="210">
        <v>39092</v>
      </c>
      <c r="L9" s="209">
        <v>0</v>
      </c>
      <c r="M9" s="209">
        <v>1</v>
      </c>
      <c r="N9" s="209">
        <v>1</v>
      </c>
      <c r="O9" s="209">
        <v>4</v>
      </c>
      <c r="P9" s="253">
        <f>'Tratamento de Dados'!DA17</f>
        <v>0</v>
      </c>
      <c r="Q9" s="253">
        <f>'Tratamento de Dados'!DB17</f>
        <v>0</v>
      </c>
      <c r="R9" s="256">
        <f t="shared" si="0"/>
        <v>2.5</v>
      </c>
      <c r="S9" s="246" t="str">
        <f t="shared" si="1"/>
        <v>B</v>
      </c>
      <c r="T9" s="238" t="str">
        <f>IF(D9=$BX$2,$BV$4,IF(AND(H9=$BX$2,OR(F9='Tables - Part 2'!$BN$8,'Tables - Part 2'!$BN$9),OR('SCC_Sulfide (SSC)'!G9='Tables - Part 2'!$BQ$4,'SCC_Sulfide (SSC)'!G9='Tables - Part 2'!$BR$4)),$BV$4,INDEX('Tables - Part 2'!$BO$5:$BR$9,MATCH('SCC_Sulfide (SSC)'!F9,'Tables - Part 2'!$BN$5:$BN$9,0),MATCH('SCC_Sulfide (SSC)'!G9,'Tables - Part 2'!$BO$4:$BR$4,0))))</f>
        <v>Moderate</v>
      </c>
      <c r="U9" s="238" t="str">
        <f>IF(D9=$BX$2,$BV$4,IF(J9=$BX$2,INDEX('Tables - Part 2'!$BX$6:$BZ$8,MATCH('SCC_Sulfide (SSC)'!T9,'Tables - Part 2'!$BT$6:$BT$8,0),MATCH('SCC_Sulfide (SSC)'!I9,'Tables - Part 2'!$BX$5:$BZ$5,0)),INDEX('Tables - Part 2'!$BU$6:$BW$8,MATCH('SCC_Sulfide (SSC)'!T9,'Tables - Part 2'!$BT$6:$BT$8,0),MATCH('SCC_Sulfide (SSC)'!I9,'Tables - Part 2'!$BU$5:$BW$5,0))))</f>
        <v>Medium</v>
      </c>
      <c r="V9" s="238">
        <f>IF(AND(D9=$BX$2,E9&lt;&gt;$BX$2),"Fitness-For-Service",INDEX('Tables - Part 2'!$CC$4:$CC$7,MATCH('SCC_Sulfide (SSC)'!U9,'Tables - Part 2'!$CB$4:$CB$7,0),))</f>
        <v>10</v>
      </c>
      <c r="W9" s="238">
        <f>IF(K9=0,(Thinning!G10-Thinning!F10)/365.25,(Thinning!G10-K9)/365.25)</f>
        <v>12.980150581793293</v>
      </c>
      <c r="X9" s="248">
        <f t="shared" si="2"/>
        <v>0</v>
      </c>
      <c r="Y9" s="248">
        <f t="shared" si="3"/>
        <v>2.5</v>
      </c>
      <c r="Z9" s="248">
        <f t="shared" si="4"/>
        <v>3</v>
      </c>
      <c r="AA9" s="247">
        <f t="shared" si="5"/>
        <v>4</v>
      </c>
      <c r="AB9" s="248">
        <f>IF($R9=$AB$3,INDEX('Tables - Part 2'!$AX$6:$BA$13,MATCH('SCC_Sulfide (SSC)'!V9,'Tables - Part 2'!$AV$6:$AV$13,0),MATCH('SCC_Sulfide (SSC)'!S9,'Tables - Part 2'!$AX$5:$BA$5,0)),0)</f>
        <v>0</v>
      </c>
      <c r="AC9" s="248">
        <f>IF($R9=$AC$3,(INDEX('Tables - Part 2'!$AX$6:$BA$13,MATCH('SCC_Sulfide (SSC)'!V9,'Tables - Part 2'!$AV$6:$AV$13,0),MATCH('SCC_Sulfide (SSC)'!S9,'Tables - Part 2'!$AX$5:$BA$5,0))+(INDEX('Tables - Part 2'!$AX$6:$BA$13,MATCH('SCC_Sulfide (SSC)'!V9,'Tables - Part 2'!$AV$6:$AV$13,0),MATCH('SCC_Sulfide (SSC)'!S9,'Tables - Part 2'!$AX$5:$BA$5,0))+((INDEX('Tables - Part 2'!$AX$6:$BA$13,MATCH('SCC_Sulfide (SSC)'!V9,'Tables - Part 2'!$AV$6:$AV$13,0),MATCH('SCC_Sulfide (SSC)'!S9,'Tables - Part 2'!$AX$5:$BA$5,0))+INDEX('Tables - Part 2'!$BB$6:$BE$13,MATCH('SCC_Sulfide (SSC)'!$V9,'Tables - Part 2'!$AV$6:$AV$13,0),MATCH('SCC_Sulfide (SSC)'!$S9,'Tables - Part 2'!$AX$5:$BA$5,0)))/2))/2)/2,0)</f>
        <v>0</v>
      </c>
      <c r="AD9" s="248">
        <f>IF($R9=$AD$3,(INDEX('Tables - Part 2'!$AX$6:$BA$13,MATCH('SCC_Sulfide (SSC)'!V9,'Tables - Part 2'!$AV$6:$AV$13,0),MATCH('SCC_Sulfide (SSC)'!S9,'Tables - Part 2'!$AX$5:$BA$5,0))+((INDEX('Tables - Part 2'!$AX$6:$BA$13,MATCH('SCC_Sulfide (SSC)'!V9,'Tables - Part 2'!$AV$6:$AV$13,0),MATCH('SCC_Sulfide (SSC)'!S9,'Tables - Part 2'!$AX$5:$BA$5,0))+INDEX('Tables - Part 2'!$BB$6:$BE$13,MATCH('SCC_Sulfide (SSC)'!$V9,'Tables - Part 2'!$AV$6:$AV$13,0),MATCH('SCC_Sulfide (SSC)'!$S9,'Tables - Part 2'!$AX$5:$BA$5,0)))/2))/2,0)</f>
        <v>0</v>
      </c>
      <c r="AE9" s="248">
        <f>IF($R9=$AE$3,(((INDEX('Tables - Part 2'!$AX$6:$BA$13,MATCH('SCC_Sulfide (SSC)'!V9,'Tables - Part 2'!$AV$6:$AV$13,0),MATCH('SCC_Sulfide (SSC)'!S9,'Tables - Part 2'!$AX$5:$BA$5,0))+((INDEX('Tables - Part 2'!$AX$6:$BA$13,MATCH('SCC_Sulfide (SSC)'!V9,'Tables - Part 2'!$AV$6:$AV$13,0),MATCH('SCC_Sulfide (SSC)'!S9,'Tables - Part 2'!$AX$5:$BA$5,0))+INDEX('Tables - Part 2'!$BB$6:$BE$13,MATCH('SCC_Sulfide (SSC)'!$V9,'Tables - Part 2'!$AV$6:$AV$13,0),MATCH('SCC_Sulfide (SSC)'!$S9,'Tables - Part 2'!$AX$5:$BA$5,0)))/2))/2)+(INDEX('Tables - Part 2'!$AX$6:$BA$13,MATCH('SCC_Sulfide (SSC)'!V9,'Tables - Part 2'!$AV$6:$AV$13,0),MATCH('SCC_Sulfide (SSC)'!S9,'Tables - Part 2'!$AX$5:$BA$5,0))+INDEX('Tables - Part 2'!$BB$6:$BE$13,MATCH('SCC_Sulfide (SSC)'!$V9,'Tables - Part 2'!$AV$6:$AV$13,0),MATCH('SCC_Sulfide (SSC)'!$S9,'Tables - Part 2'!$AX$5:$BA$5,0)))/2)/2,0)</f>
        <v>0</v>
      </c>
      <c r="AF9" s="248">
        <f>IF($R9=$AF$3,(INDEX('Tables - Part 2'!$AX$6:$BA$13,MATCH('SCC_Sulfide (SSC)'!V9,'Tables - Part 2'!$AV$6:$AV$13,0),MATCH('SCC_Sulfide (SSC)'!S9,'Tables - Part 2'!$AX$5:$BA$5,0))+INDEX('Tables - Part 2'!$BB$6:$BE$13,MATCH('SCC_Sulfide (SSC)'!$V9,'Tables - Part 2'!$AV$6:$AV$13,0),MATCH('SCC_Sulfide (SSC)'!$S9,'Tables - Part 2'!$AX$5:$BA$5,0)))/2,0)</f>
        <v>0</v>
      </c>
      <c r="AG9" s="248">
        <f>IF($R9=$AG$3,(((INDEX('Tables - Part 2'!$AX$6:$BA$13,MATCH('SCC_Sulfide (SSC)'!V9,'Tables - Part 2'!$AV$6:$AV$13,0),MATCH('SCC_Sulfide (SSC)'!S9,'Tables - Part 2'!$AX$5:$BA$5,0))+INDEX('Tables - Part 2'!$BB$6:$BE$13,MATCH('SCC_Sulfide (SSC)'!$V9,'Tables - Part 2'!$AV$6:$AV$13,0),MATCH('SCC_Sulfide (SSC)'!$S9,'Tables - Part 2'!$AX$5:$BA$5,0)))/2)+(((INDEX('Tables - Part 2'!$AX$6:$BA$13,MATCH('SCC_Sulfide (SSC)'!V9,'Tables - Part 2'!$AV$6:$AV$13,0),MATCH('SCC_Sulfide (SSC)'!S9,'Tables - Part 2'!$AX$5:$BA$5,0))+INDEX('Tables - Part 2'!$BB$6:$BE$13,MATCH('SCC_Sulfide (SSC)'!$V9,'Tables - Part 2'!$AV$6:$AV$13,0),MATCH('SCC_Sulfide (SSC)'!$S9,'Tables - Part 2'!$AX$5:$BA$5,0)))/2)+INDEX('Tables - Part 2'!$BB$6:$BE$13,MATCH('SCC_Sulfide (SSC)'!$V9,'Tables - Part 2'!$AV$6:$AV$13,0),MATCH('SCC_Sulfide (SSC)'!$S9,'Tables - Part 2'!$AX$5:$BA$5,0)))/2)/2,0)</f>
        <v>0</v>
      </c>
      <c r="AH9" s="248">
        <f>IF($R9=$AH$3,(((INDEX('Tables - Part 2'!$AX$6:$BA$13,MATCH('SCC_Sulfide (SSC)'!V9,'Tables - Part 2'!$AV$6:$AV$13,0),MATCH('SCC_Sulfide (SSC)'!S9,'Tables - Part 2'!$AX$5:$BA$5,0))+INDEX('Tables - Part 2'!$BB$6:$BE$13,MATCH('SCC_Sulfide (SSC)'!$V9,'Tables - Part 2'!$AV$6:$AV$13,0),MATCH('SCC_Sulfide (SSC)'!$S9,'Tables - Part 2'!$AX$5:$BA$5,0)))/2)+INDEX('Tables - Part 2'!$BB$6:$BE$13,MATCH('SCC_Sulfide (SSC)'!$V9,'Tables - Part 2'!$AV$6:$AV$13,0),MATCH('SCC_Sulfide (SSC)'!$S9,'Tables - Part 2'!$AX$5:$BA$5,0)))/2,0)</f>
        <v>0</v>
      </c>
      <c r="AI9" s="248">
        <f>IF($R9=$AI$3,(((((INDEX('Tables - Part 2'!$AX$6:$BA$13,MATCH('SCC_Sulfide (SSC)'!V9,'Tables - Part 2'!$AV$6:$AV$13,0),MATCH('SCC_Sulfide (SSC)'!S9,'Tables - Part 2'!$AX$5:$BA$5,0))+INDEX('Tables - Part 2'!$BB$6:$BE$13,MATCH('SCC_Sulfide (SSC)'!$V9,'Tables - Part 2'!$AV$6:$AV$13,0),MATCH('SCC_Sulfide (SSC)'!$S9,'Tables - Part 2'!$AX$5:$BA$5,0)))/2)+INDEX('Tables - Part 2'!$BB$6:$BE$13,MATCH('SCC_Sulfide (SSC)'!$V9,'Tables - Part 2'!$AV$6:$AV$13,0),MATCH('SCC_Sulfide (SSC)'!$S9,'Tables - Part 2'!$AX$5:$BA$5,0)))/2)+INDEX('Tables - Part 2'!$BB$6:$BE$13,MATCH('SCC_Sulfide (SSC)'!$V9,'Tables - Part 2'!$AV$6:$AV$13,0),MATCH('SCC_Sulfide (SSC)'!$S9,'Tables - Part 2'!$AX$5:$BA$5,0)))/2,0)</f>
        <v>0</v>
      </c>
      <c r="AJ9" s="248">
        <f>IF($R9=$AJ$3,INDEX('Tables - Part 2'!$BB$6:$BE$13,MATCH('SCC_Sulfide (SSC)'!$V9,'Tables - Part 2'!$AV$6:$AV$13,0),MATCH('SCC_Sulfide (SSC)'!$S9,'Tables - Part 2'!$AX$5:$BA$5,0)),0)</f>
        <v>0</v>
      </c>
      <c r="AK9" s="248">
        <f>IF($R9=$AK$3,((INDEX('Tables - Part 2'!$BB$6:$BE$13,MATCH('SCC_Sulfide (SSC)'!$V9,'Tables - Part 2'!$AV$6:$AV$13,0),MATCH('SCC_Sulfide (SSC)'!$S9,'Tables - Part 2'!$AX$5:$BA$5,0)))+(INDEX('Tables - Part 2'!$BB$6:$BE$13,MATCH('SCC_Sulfide (SSC)'!$V9,'Tables - Part 2'!$AV$6:$AV$13,0),MATCH('SCC_Sulfide (SSC)'!$S9,'Tables - Part 2'!$AX$5:$BA$5,0))+(INDEX('Tables - Part 2'!$BB$6:$BE$13,MATCH('SCC_Sulfide (SSC)'!$V9,'Tables - Part 2'!$AV$6:$AV$13,0),MATCH('SCC_Sulfide (SSC)'!$S9,'Tables - Part 2'!$AX$5:$BA$5,0))+INDEX('Tables - Part 2'!$BF$6:$BI$13,MATCH('SCC_Sulfide (SSC)'!$V9,'Tables - Part 2'!$AV$6:$AV$13,0),MATCH('SCC_Sulfide (SSC)'!$S9,'Tables - Part 2'!$AX$5:$BA$5,0)))/2)/2)/2,0)</f>
        <v>0</v>
      </c>
      <c r="AL9" s="248">
        <f>IF($R9=$AL$3,(INDEX('Tables - Part 2'!$BB$6:$BE$13,MATCH('SCC_Sulfide (SSC)'!$V9,'Tables - Part 2'!$AV$6:$AV$13,0),MATCH('SCC_Sulfide (SSC)'!$S9,'Tables - Part 2'!$AX$5:$BA$5,0))+(INDEX('Tables - Part 2'!$BB$6:$BE$13,MATCH('SCC_Sulfide (SSC)'!$V9,'Tables - Part 2'!$AV$6:$AV$13,0),MATCH('SCC_Sulfide (SSC)'!$S9,'Tables - Part 2'!$AX$5:$BA$5,0))+INDEX('Tables - Part 2'!$BF$6:$BI$13,MATCH('SCC_Sulfide (SSC)'!$V9,'Tables - Part 2'!$AV$6:$AV$13,0),MATCH('SCC_Sulfide (SSC)'!$S9,'Tables - Part 2'!$AX$5:$BA$5,0)))/2)/2,0)</f>
        <v>0</v>
      </c>
      <c r="AM9" s="248">
        <f>IF($R9=$AM$3,(((INDEX('Tables - Part 2'!$BB$6:$BE$13,MATCH('SCC_Sulfide (SSC)'!$V9,'Tables - Part 2'!$AV$6:$AV$13,0),MATCH('SCC_Sulfide (SSC)'!$S9,'Tables - Part 2'!$AX$5:$BA$5,0))+(INDEX('Tables - Part 2'!$BB$6:$BE$13,MATCH('SCC_Sulfide (SSC)'!$V9,'Tables - Part 2'!$AV$6:$AV$13,0),MATCH('SCC_Sulfide (SSC)'!$S9,'Tables - Part 2'!$AX$5:$BA$5,0))+INDEX('Tables - Part 2'!$BF$6:$BI$13,MATCH('SCC_Sulfide (SSC)'!$V9,'Tables - Part 2'!$AV$6:$AV$13,0),MATCH('SCC_Sulfide (SSC)'!$S9,'Tables - Part 2'!$AX$5:$BA$5,0)))/2)/2)+((INDEX('Tables - Part 2'!$BB$6:$BE$13,MATCH('SCC_Sulfide (SSC)'!$V9,'Tables - Part 2'!$AV$6:$AV$13,0),MATCH('SCC_Sulfide (SSC)'!$S9,'Tables - Part 2'!$AX$5:$BA$5,0))+INDEX('Tables - Part 2'!$BF$6:$BI$13,MATCH('SCC_Sulfide (SSC)'!$V9,'Tables - Part 2'!$AV$6:$AV$13,0),MATCH('SCC_Sulfide (SSC)'!$S9,'Tables - Part 2'!$AX$5:$BA$5,0)))/2))/2,0)</f>
        <v>0</v>
      </c>
      <c r="AN9" s="248">
        <f>IF($R9=$AN$3,(INDEX('Tables - Part 2'!$BB$6:$BE$13,MATCH('SCC_Sulfide (SSC)'!$V9,'Tables - Part 2'!$AV$6:$AV$13,0),MATCH('SCC_Sulfide (SSC)'!$S9,'Tables - Part 2'!$AX$5:$BA$5,0))+INDEX('Tables - Part 2'!$BF$6:$BI$13,MATCH('SCC_Sulfide (SSC)'!$V9,'Tables - Part 2'!$AV$6:$AV$13,0),MATCH('SCC_Sulfide (SSC)'!$S9,'Tables - Part 2'!$AX$5:$BA$5,0)))/2,0)</f>
        <v>1</v>
      </c>
      <c r="AO9" s="248">
        <f>IF($R9=$AO$3,(((INDEX('Tables - Part 2'!$BB$6:$BE$13,MATCH('SCC_Sulfide (SSC)'!$V9,'Tables - Part 2'!$AV$6:$AV$13,0),MATCH('SCC_Sulfide (SSC)'!$S9,'Tables - Part 2'!$AX$5:$BA$5,0))+INDEX('Tables - Part 2'!$BF$6:$BI$13,MATCH('SCC_Sulfide (SSC)'!$V9,'Tables - Part 2'!$AV$6:$AV$13,0),MATCH('SCC_Sulfide (SSC)'!$S9,'Tables - Part 2'!$AX$5:$BA$5,0)))/2)+((((INDEX('Tables - Part 2'!$BB$6:$BE$13,MATCH('SCC_Sulfide (SSC)'!$V9,'Tables - Part 2'!$AV$6:$AV$13,0),MATCH('SCC_Sulfide (SSC)'!$S9,'Tables - Part 2'!$AX$5:$BA$5,0))+INDEX('Tables - Part 2'!$BF$6:$BI$13,MATCH('SCC_Sulfide (SSC)'!$V9,'Tables - Part 2'!$AV$6:$AV$13,0),MATCH('SCC_Sulfide (SSC)'!$S9,'Tables - Part 2'!$AX$5:$BA$5,0)))/2)+INDEX('Tables - Part 2'!$BF$6:$BI$13,MATCH('SCC_Sulfide (SSC)'!$V9,'Tables - Part 2'!$AV$6:$AV$13,0),MATCH('SCC_Sulfide (SSC)'!$S9,'Tables - Part 2'!$AX$5:$BA$5,0)))/2))/2,0)</f>
        <v>0</v>
      </c>
      <c r="AP9" s="248">
        <f>IF($R9=$AP$3,(((INDEX('Tables - Part 2'!$BB$6:$BE$13,MATCH('SCC_Sulfide (SSC)'!$V9,'Tables - Part 2'!$AV$6:$AV$13,0),MATCH('SCC_Sulfide (SSC)'!$S9,'Tables - Part 2'!$AX$5:$BA$5,0))+INDEX('Tables - Part 2'!$BF$6:$BI$13,MATCH('SCC_Sulfide (SSC)'!$V9,'Tables - Part 2'!$AV$6:$AV$13,0),MATCH('SCC_Sulfide (SSC)'!$S9,'Tables - Part 2'!$AX$5:$BA$5,0)))/2)+INDEX('Tables - Part 2'!$BF$6:$BI$13,MATCH('SCC_Sulfide (SSC)'!$V9,'Tables - Part 2'!$AV$6:$AV$13,0),MATCH('SCC_Sulfide (SSC)'!$S9,'Tables - Part 2'!$AX$5:$BA$5,0)))/2,0)</f>
        <v>0</v>
      </c>
      <c r="AQ9" s="248">
        <f>IF($R9=$AQ$3,(((((INDEX('Tables - Part 2'!$BB$6:$BE$13,MATCH('SCC_Sulfide (SSC)'!$V9,'Tables - Part 2'!$AV$6:$AV$13,0),MATCH('SCC_Sulfide (SSC)'!$S9,'Tables - Part 2'!$AX$5:$BA$5,0))+INDEX('Tables - Part 2'!$BF$6:$BI$13,MATCH('SCC_Sulfide (SSC)'!$V9,'Tables - Part 2'!$AV$6:$AV$13,0),MATCH('SCC_Sulfide (SSC)'!$S9,'Tables - Part 2'!$AX$5:$BA$5,0)))/2)+INDEX('Tables - Part 2'!$BF$6:$BI$13,MATCH('SCC_Sulfide (SSC)'!$V9,'Tables - Part 2'!$AV$6:$AV$13,0),MATCH('SCC_Sulfide (SSC)'!$S9,'Tables - Part 2'!$AX$5:$BA$5,0)))/2)+INDEX('Tables - Part 2'!$BF$6:$BI$13,MATCH('SCC_Sulfide (SSC)'!$V9,'Tables - Part 2'!$AV$6:$AV$13,0),MATCH('SCC_Sulfide (SSC)'!$S9,'Tables - Part 2'!$AX$5:$BA$5,0)))/2,0)</f>
        <v>0</v>
      </c>
      <c r="AR9" s="248">
        <f>IF($R9=$AR$3,INDEX('Tables - Part 2'!$BF$6:$BI$13,MATCH('SCC_Sulfide (SSC)'!$V9,'Tables - Part 2'!$AV$6:$AV$13,0),MATCH('SCC_Sulfide (SSC)'!$S9,'Tables - Part 2'!$AX$5:$BA$5,0)),0)</f>
        <v>0</v>
      </c>
      <c r="AS9" s="248">
        <f>IF($R9=$AS$3,(INDEX('Tables - Part 2'!$BF$6:$BI$13,MATCH('SCC_Sulfide (SSC)'!$V9,'Tables - Part 2'!$AV$6:$AV$13,0),MATCH('SCC_Sulfide (SSC)'!$S9,'Tables - Part 2'!$AX$5:$BA$5,0))+((INDEX('Tables - Part 2'!$BF$6:$BI$13,MATCH('SCC_Sulfide (SSC)'!$V9,'Tables - Part 2'!$AV$6:$AV$13,0),MATCH('SCC_Sulfide (SSC)'!$S9,'Tables - Part 2'!$AX$5:$BA$5,0))+(INDEX('Tables - Part 2'!$BF$6:$BI$13,MATCH('SCC_Sulfide (SSC)'!$V9,'Tables - Part 2'!$AV$6:$AV$13,0),MATCH('SCC_Sulfide (SSC)'!$S9,'Tables - Part 2'!$AX$5:$BA$5,0))+INDEX('Tables - Part 2'!$AX$17:$BA$24,MATCH('SCC_Sulfide (SSC)'!$V9,'Tables - Part 2'!$AV$6:$AV$13,0),MATCH('SCC_Sulfide (SSC)'!$S9,'Tables - Part 2'!$AX$5:$BA$5,0)))/2)/2))/2,0)</f>
        <v>0</v>
      </c>
      <c r="AT9" s="248">
        <f>IF($R9=$AT$3,(INDEX('Tables - Part 2'!$BF$6:$BI$13,MATCH('SCC_Sulfide (SSC)'!$V9,'Tables - Part 2'!$AV$6:$AV$13,0),MATCH('SCC_Sulfide (SSC)'!$S9,'Tables - Part 2'!$AX$5:$BA$5,0))+(INDEX('Tables - Part 2'!$BF$6:$BI$13,MATCH('SCC_Sulfide (SSC)'!$V9,'Tables - Part 2'!$AV$6:$AV$13,0),MATCH('SCC_Sulfide (SSC)'!$S9,'Tables - Part 2'!$AX$5:$BA$5,0))+INDEX('Tables - Part 2'!$AX$17:$BA$24,MATCH('SCC_Sulfide (SSC)'!$V9,'Tables - Part 2'!$AV$6:$AV$13,0),MATCH('SCC_Sulfide (SSC)'!$S9,'Tables - Part 2'!$AX$5:$BA$5,0)))/2)/2,0)</f>
        <v>0</v>
      </c>
      <c r="AU9" s="248">
        <f>IF($R9=$AU$3,(((INDEX('Tables - Part 2'!$BF$6:$BI$13,MATCH('SCC_Sulfide (SSC)'!$V9,'Tables - Part 2'!$AV$6:$AV$13,0),MATCH('SCC_Sulfide (SSC)'!$S9,'Tables - Part 2'!$AX$5:$BA$5,0))+(INDEX('Tables - Part 2'!$BF$6:$BI$13,MATCH('SCC_Sulfide (SSC)'!$V9,'Tables - Part 2'!$AV$6:$AV$13,0),MATCH('SCC_Sulfide (SSC)'!$S9,'Tables - Part 2'!$AX$5:$BA$5,0))+INDEX('Tables - Part 2'!$AX$17:$BA$24,MATCH('SCC_Sulfide (SSC)'!$V9,'Tables - Part 2'!$AV$6:$AV$13,0),MATCH('SCC_Sulfide (SSC)'!$S9,'Tables - Part 2'!$AX$5:$BA$5,0)))/2)/2)+((INDEX('Tables - Part 2'!$BF$6:$BI$13,MATCH('SCC_Sulfide (SSC)'!$V9,'Tables - Part 2'!$AV$6:$AV$13,0),MATCH('SCC_Sulfide (SSC)'!$S9,'Tables - Part 2'!$AX$5:$BA$5,0))+INDEX('Tables - Part 2'!$AX$17:$BA$24,MATCH('SCC_Sulfide (SSC)'!$V9,'Tables - Part 2'!$AV$6:$AV$13,0),MATCH('SCC_Sulfide (SSC)'!$S9,'Tables - Part 2'!$AX$5:$BA$5,0)))/2))/2,0)</f>
        <v>0</v>
      </c>
      <c r="AV9" s="248">
        <f>IF($R9=$AV$3,(INDEX('Tables - Part 2'!$BF$6:$BI$13,MATCH('SCC_Sulfide (SSC)'!$V9,'Tables - Part 2'!$AV$6:$AV$13,0),MATCH('SCC_Sulfide (SSC)'!$S9,'Tables - Part 2'!$AX$5:$BA$5,0))+INDEX('Tables - Part 2'!$AX$17:$BA$24,MATCH('SCC_Sulfide (SSC)'!$V9,'Tables - Part 2'!$AV$6:$AV$13,0),MATCH('SCC_Sulfide (SSC)'!$S9,'Tables - Part 2'!$AX$5:$BA$5,0)))/2,0)</f>
        <v>0</v>
      </c>
      <c r="AW9" s="248">
        <f>IF($R9=$AW$3,(((INDEX('Tables - Part 2'!$BF$6:$BI$13,MATCH('SCC_Sulfide (SSC)'!$V9,'Tables - Part 2'!$AV$6:$AV$13,0),MATCH('SCC_Sulfide (SSC)'!$S9,'Tables - Part 2'!$AX$5:$BA$5,0))+INDEX('Tables - Part 2'!$AX$17:$BA$24,MATCH('SCC_Sulfide (SSC)'!$V9,'Tables - Part 2'!$AV$6:$AV$13,0),MATCH('SCC_Sulfide (SSC)'!$S9,'Tables - Part 2'!$AX$5:$BA$5,0)))/2)+((((INDEX('Tables - Part 2'!$BF$6:$BI$13,MATCH('SCC_Sulfide (SSC)'!$V9,'Tables - Part 2'!$AV$6:$AV$13,0),MATCH('SCC_Sulfide (SSC)'!$S9,'Tables - Part 2'!$AX$5:$BA$5,0))+INDEX('Tables - Part 2'!$AX$17:$BA$24,MATCH('SCC_Sulfide (SSC)'!$V9,'Tables - Part 2'!$AV$6:$AV$13,0),MATCH('SCC_Sulfide (SSC)'!$S9,'Tables - Part 2'!$AX$5:$BA$5,0)))/2)+INDEX('Tables - Part 2'!$AX$17:$BA$24,MATCH('SCC_Sulfide (SSC)'!$V9,'Tables - Part 2'!$AV$6:$AV$13,0),MATCH('SCC_Sulfide (SSC)'!$S9,'Tables - Part 2'!$AX$5:$BA$5,0)))/2))/2,0)</f>
        <v>0</v>
      </c>
      <c r="AX9" s="248">
        <f>IF($R9=$AX$3,(((INDEX('Tables - Part 2'!$BF$6:$BI$13,MATCH('SCC_Sulfide (SSC)'!$V9,'Tables - Part 2'!$AV$6:$AV$13,0),MATCH('SCC_Sulfide (SSC)'!$S9,'Tables - Part 2'!$AX$5:$BA$5,0))+INDEX('Tables - Part 2'!$AX$17:$BA$24,MATCH('SCC_Sulfide (SSC)'!$V9,'Tables - Part 2'!$AV$6:$AV$13,0),MATCH('SCC_Sulfide (SSC)'!$S9,'Tables - Part 2'!$AX$5:$BA$5,0)))/2)+INDEX('Tables - Part 2'!$AX$17:$BA$24,MATCH('SCC_Sulfide (SSC)'!$V9,'Tables - Part 2'!$AV$6:$AV$13,0),MATCH('SCC_Sulfide (SSC)'!$S9,'Tables - Part 2'!$AX$5:$BA$5,0)))/2,0)</f>
        <v>0</v>
      </c>
      <c r="AY9" s="248">
        <f>IF($R9=$AY$3,(((((INDEX('Tables - Part 2'!$BF$6:$BI$13,MATCH('SCC_Sulfide (SSC)'!$V9,'Tables - Part 2'!$AV$6:$AV$13,0),MATCH('SCC_Sulfide (SSC)'!$S9,'Tables - Part 2'!$AX$5:$BA$5,0))+INDEX('Tables - Part 2'!$AX$17:$BA$24,MATCH('SCC_Sulfide (SSC)'!$V9,'Tables - Part 2'!$AV$6:$AV$13,0),MATCH('SCC_Sulfide (SSC)'!$S9,'Tables - Part 2'!$AX$5:$BA$5,0)))/2)+INDEX('Tables - Part 2'!$AX$17:$BA$24,MATCH('SCC_Sulfide (SSC)'!$V9,'Tables - Part 2'!$AV$6:$AV$13,0),MATCH('SCC_Sulfide (SSC)'!$S9,'Tables - Part 2'!$AX$5:$BA$5,0)))/2)+(INDEX('Tables - Part 2'!$AX$17:$BA$24,MATCH('SCC_Sulfide (SSC)'!$V9,'Tables - Part 2'!$AV$6:$AV$13,0),MATCH('SCC_Sulfide (SSC)'!$S9,'Tables - Part 2'!$AX$5:$BA$5,0))))/2,0)</f>
        <v>0</v>
      </c>
      <c r="AZ9" s="248">
        <f>IF($R9=$AZ$3,INDEX('Tables - Part 2'!$AX$17:$BA$24,MATCH('SCC_Sulfide (SSC)'!$V9,'Tables - Part 2'!$AV$6:$AV$13,0),MATCH('SCC_Sulfide (SSC)'!$S9,'Tables - Part 2'!$AX$5:$BA$5,0)),0)</f>
        <v>0</v>
      </c>
      <c r="BA9" s="248">
        <f>IF($R9=$BA$3,((INDEX('Tables - Part 2'!$AX$17:$BA$24,MATCH('SCC_Sulfide (SSC)'!$V9,'Tables - Part 2'!$AV$6:$AV$13,0),MATCH('SCC_Sulfide (SSC)'!$S9,'Tables - Part 2'!$AX$5:$BA$5,0)))+(((INDEX('Tables - Part 2'!$AX$17:$BA$24,MATCH('SCC_Sulfide (SSC)'!$V9,'Tables - Part 2'!$AV$6:$AV$13,0),MATCH('SCC_Sulfide (SSC)'!$S9,'Tables - Part 2'!$AX$5:$BA$5,0)))+(INDEX('Tables - Part 2'!$AX$17:$BA$24,MATCH('SCC_Sulfide (SSC)'!$V9,'Tables - Part 2'!$AV$6:$AV$13,0),MATCH('SCC_Sulfide (SSC)'!$S9,'Tables - Part 2'!$AX$5:$BA$5,0))+INDEX('Tables - Part 2'!$BB$17:$BE$24,MATCH('SCC_Sulfide (SSC)'!$V9,'Tables - Part 2'!$AV$6:$AV$13,0),MATCH('SCC_Sulfide (SSC)'!$S9,'Tables - Part 2'!$AX$5:$BA$5,0)))/2)/2))/2,0)</f>
        <v>0</v>
      </c>
      <c r="BB9" s="248">
        <f>IF($R9=$BB$3,((INDEX('Tables - Part 2'!$AX$17:$BA$24,MATCH('SCC_Sulfide (SSC)'!$V9,'Tables - Part 2'!$AV$6:$AV$13,0),MATCH('SCC_Sulfide (SSC)'!$S9,'Tables - Part 2'!$AX$5:$BA$5,0)))+(INDEX('Tables - Part 2'!$AX$17:$BA$24,MATCH('SCC_Sulfide (SSC)'!$V9,'Tables - Part 2'!$AV$6:$AV$13,0),MATCH('SCC_Sulfide (SSC)'!$S9,'Tables - Part 2'!$AX$5:$BA$5,0))+INDEX('Tables - Part 2'!$BB$17:$BE$24,MATCH('SCC_Sulfide (SSC)'!$V9,'Tables - Part 2'!$AV$6:$AV$13,0),MATCH('SCC_Sulfide (SSC)'!$S9,'Tables - Part 2'!$AX$5:$BA$5,0)))/2)/2,0)</f>
        <v>0</v>
      </c>
      <c r="BC9" s="248">
        <f>IF($R9=$BC$3,((((INDEX('Tables - Part 2'!$AX$17:$BA$24,MATCH('SCC_Sulfide (SSC)'!$V9,'Tables - Part 2'!$AV$6:$AV$13,0),MATCH('SCC_Sulfide (SSC)'!$S9,'Tables - Part 2'!$AX$5:$BA$5,0)))+(INDEX('Tables - Part 2'!$AX$17:$BA$24,MATCH('SCC_Sulfide (SSC)'!$V9,'Tables - Part 2'!$AV$6:$AV$13,0),MATCH('SCC_Sulfide (SSC)'!$S9,'Tables - Part 2'!$AX$5:$BA$5,0))+INDEX('Tables - Part 2'!$BB$17:$BE$24,MATCH('SCC_Sulfide (SSC)'!$V9,'Tables - Part 2'!$AV$6:$AV$13,0),MATCH('SCC_Sulfide (SSC)'!$S9,'Tables - Part 2'!$AX$5:$BA$5,0)))/2)/2)+((INDEX('Tables - Part 2'!$AX$17:$BA$24,MATCH('SCC_Sulfide (SSC)'!$V9,'Tables - Part 2'!$AV$6:$AV$13,0),MATCH('SCC_Sulfide (SSC)'!$S9,'Tables - Part 2'!$AX$5:$BA$5,0))+INDEX('Tables - Part 2'!$BB$17:$BE$24,MATCH('SCC_Sulfide (SSC)'!$V9,'Tables - Part 2'!$AV$6:$AV$13,0),MATCH('SCC_Sulfide (SSC)'!$S9,'Tables - Part 2'!$AX$5:$BA$5,0)))/2))/2,0)</f>
        <v>0</v>
      </c>
      <c r="BD9" s="248">
        <f>IF($R9=$BD$3,(INDEX('Tables - Part 2'!$AX$17:$BA$24,MATCH('SCC_Sulfide (SSC)'!$V9,'Tables - Part 2'!$AV$6:$AV$13,0),MATCH('SCC_Sulfide (SSC)'!$S9,'Tables - Part 2'!$AX$5:$BA$5,0))+INDEX('Tables - Part 2'!$BB$17:$BE$24,MATCH('SCC_Sulfide (SSC)'!$V9,'Tables - Part 2'!$AV$6:$AV$13,0),MATCH('SCC_Sulfide (SSC)'!$S9,'Tables - Part 2'!$AX$5:$BA$5,0)))/2,0)</f>
        <v>0</v>
      </c>
      <c r="BE9" s="248">
        <f>IF($R9=$BE$3,(((INDEX('Tables - Part 2'!$AX$17:$BA$24,MATCH('SCC_Sulfide (SSC)'!$V9,'Tables - Part 2'!$AV$6:$AV$13,0),MATCH('SCC_Sulfide (SSC)'!$S9,'Tables - Part 2'!$AX$5:$BA$5,0))+INDEX('Tables - Part 2'!$BB$17:$BE$24,MATCH('SCC_Sulfide (SSC)'!$V9,'Tables - Part 2'!$AV$6:$AV$13,0),MATCH('SCC_Sulfide (SSC)'!$S9,'Tables - Part 2'!$AX$5:$BA$5,0)))/2)+((((INDEX('Tables - Part 2'!$AX$17:$BA$24,MATCH('SCC_Sulfide (SSC)'!$V9,'Tables - Part 2'!$AV$6:$AV$13,0),MATCH('SCC_Sulfide (SSC)'!$S9,'Tables - Part 2'!$AX$5:$BA$5,0))+INDEX('Tables - Part 2'!$BB$17:$BE$24,MATCH('SCC_Sulfide (SSC)'!$V9,'Tables - Part 2'!$AV$6:$AV$13,0),MATCH('SCC_Sulfide (SSC)'!$S9,'Tables - Part 2'!$AX$5:$BA$5,0)))/2)+INDEX('Tables - Part 2'!$BB$17:$BE$24,MATCH('SCC_Sulfide (SSC)'!$V9,'Tables - Part 2'!$AV$6:$AV$13,0),MATCH('SCC_Sulfide (SSC)'!$S9,'Tables - Part 2'!$AX$5:$BA$5,0)))/2))/2,0)</f>
        <v>0</v>
      </c>
      <c r="BF9" s="248">
        <f>IF($R9=$BF$3,(((INDEX('Tables - Part 2'!$AX$17:$BA$24,MATCH('SCC_Sulfide (SSC)'!$V9,'Tables - Part 2'!$AV$6:$AV$13,0),MATCH('SCC_Sulfide (SSC)'!$S9,'Tables - Part 2'!$AX$5:$BA$5,0))+INDEX('Tables - Part 2'!$BB$17:$BE$24,MATCH('SCC_Sulfide (SSC)'!$V9,'Tables - Part 2'!$AV$6:$AV$13,0),MATCH('SCC_Sulfide (SSC)'!$S9,'Tables - Part 2'!$AX$5:$BA$5,0)))/2)+INDEX('Tables - Part 2'!$BB$17:$BE$24,MATCH('SCC_Sulfide (SSC)'!$V9,'Tables - Part 2'!$AV$6:$AV$13,0),MATCH('SCC_Sulfide (SSC)'!$S9,'Tables - Part 2'!$AX$5:$BA$5,0)))/2,0)</f>
        <v>0</v>
      </c>
      <c r="BG9" s="248">
        <f>IF($R9=$BG$3,(((((INDEX('Tables - Part 2'!$AX$17:$BA$24,MATCH('SCC_Sulfide (SSC)'!$V9,'Tables - Part 2'!$AV$6:$AV$13,0),MATCH('SCC_Sulfide (SSC)'!$S9,'Tables - Part 2'!$AX$5:$BA$5,0))+INDEX('Tables - Part 2'!$BB$17:$BE$24,MATCH('SCC_Sulfide (SSC)'!$V9,'Tables - Part 2'!$AV$6:$AV$13,0),MATCH('SCC_Sulfide (SSC)'!$S9,'Tables - Part 2'!$AX$5:$BA$5,0)))/2)+INDEX('Tables - Part 2'!$BB$17:$BE$24,MATCH('SCC_Sulfide (SSC)'!$V9,'Tables - Part 2'!$AV$6:$AV$13,0),MATCH('SCC_Sulfide (SSC)'!$S9,'Tables - Part 2'!$AX$5:$BA$5,0)))/2)+(INDEX('Tables - Part 2'!$BB$17:$BE$24,MATCH('SCC_Sulfide (SSC)'!$V9,'Tables - Part 2'!$AV$6:$AV$13,0),MATCH('SCC_Sulfide (SSC)'!$S9,'Tables - Part 2'!$AX$5:$BA$5,0))))/2,0)</f>
        <v>0</v>
      </c>
      <c r="BH9" s="248">
        <f>IF($R9=$BH$3,INDEX('Tables - Part 2'!$BB$17:$BE$24,MATCH('SCC_Sulfide (SSC)'!$V9,'Tables - Part 2'!$AV$6:$AV$13,0),MATCH('SCC_Sulfide (SSC)'!$S9,'Tables - Part 2'!$AX$5:$BA$5,0)),0)</f>
        <v>0</v>
      </c>
      <c r="BI9" s="248">
        <f>IF($R9=$BI$3,((INDEX('Tables - Part 2'!$BB$17:$BE$24,MATCH('SCC_Sulfide (SSC)'!$V9,'Tables - Part 2'!$AV$6:$AV$13,0),MATCH('SCC_Sulfide (SSC)'!$S9,'Tables - Part 2'!$AX$5:$BA$5,0)))+(((INDEX('Tables - Part 2'!$BB$17:$BE$24,MATCH('SCC_Sulfide (SSC)'!$V9,'Tables - Part 2'!$AV$6:$AV$13,0),MATCH('SCC_Sulfide (SSC)'!$S9,'Tables - Part 2'!$AX$5:$BA$5,0)))+(INDEX('Tables - Part 2'!$BB$17:$BE$24,MATCH('SCC_Sulfide (SSC)'!$V9,'Tables - Part 2'!$AV$6:$AV$13,0),MATCH('SCC_Sulfide (SSC)'!$S9,'Tables - Part 2'!$AX$5:$BA$5,0))+INDEX('Tables - Part 2'!$BF$17:$BI$24,MATCH('SCC_Sulfide (SSC)'!$V9,'Tables - Part 2'!$AV$6:$AV$13,0),MATCH('SCC_Sulfide (SSC)'!$S9,'Tables - Part 2'!$AX$5:$BA$5,0)))/2)/2))/2,0)</f>
        <v>0</v>
      </c>
      <c r="BJ9" s="248">
        <f>IF($R9=$BJ$3,((INDEX('Tables - Part 2'!$BB$17:$BE$24,MATCH('SCC_Sulfide (SSC)'!$V9,'Tables - Part 2'!$AV$6:$AV$13,0),MATCH('SCC_Sulfide (SSC)'!$S9,'Tables - Part 2'!$AX$5:$BA$5,0)))+(INDEX('Tables - Part 2'!$BB$17:$BE$24,MATCH('SCC_Sulfide (SSC)'!$V9,'Tables - Part 2'!$AV$6:$AV$13,0),MATCH('SCC_Sulfide (SSC)'!$S9,'Tables - Part 2'!$AX$5:$BA$5,0))+INDEX('Tables - Part 2'!$BF$17:$BI$24,MATCH('SCC_Sulfide (SSC)'!$V9,'Tables - Part 2'!$AV$6:$AV$13,0),MATCH('SCC_Sulfide (SSC)'!$S9,'Tables - Part 2'!$AX$5:$BA$5,0)))/2)/2,0)</f>
        <v>0</v>
      </c>
      <c r="BK9" s="248">
        <f>IF($R9=$BK$3,((((INDEX('Tables - Part 2'!$BB$17:$BE$24,MATCH('SCC_Sulfide (SSC)'!$V9,'Tables - Part 2'!$AV$6:$AV$13,0),MATCH('SCC_Sulfide (SSC)'!$S9,'Tables - Part 2'!$AX$5:$BA$5,0)))+(INDEX('Tables - Part 2'!$BB$17:$BE$24,MATCH('SCC_Sulfide (SSC)'!$V9,'Tables - Part 2'!$AV$6:$AV$13,0),MATCH('SCC_Sulfide (SSC)'!$S9,'Tables - Part 2'!$AX$5:$BA$5,0))+INDEX('Tables - Part 2'!$BF$17:$BI$24,MATCH('SCC_Sulfide (SSC)'!$V9,'Tables - Part 2'!$AV$6:$AV$13,0),MATCH('SCC_Sulfide (SSC)'!$S9,'Tables - Part 2'!$AX$5:$BA$5,0)))/2)/2)+((INDEX('Tables - Part 2'!$BB$17:$BE$24,MATCH('SCC_Sulfide (SSC)'!$V9,'Tables - Part 2'!$AV$6:$AV$13,0),MATCH('SCC_Sulfide (SSC)'!$S9,'Tables - Part 2'!$AX$5:$BA$5,0))+INDEX('Tables - Part 2'!$BF$17:$BI$24,MATCH('SCC_Sulfide (SSC)'!$V9,'Tables - Part 2'!$AV$6:$AV$13,0),MATCH('SCC_Sulfide (SSC)'!$S9,'Tables - Part 2'!$AX$5:$BA$5,0)))/2))/2,0)</f>
        <v>0</v>
      </c>
      <c r="BL9" s="248">
        <f>IF($R9=$BL$3,(INDEX('Tables - Part 2'!$BB$17:$BE$24,MATCH('SCC_Sulfide (SSC)'!$V9,'Tables - Part 2'!$AV$6:$AV$13,0),MATCH('SCC_Sulfide (SSC)'!$S9,'Tables - Part 2'!$AX$5:$BA$5,0))+INDEX('Tables - Part 2'!$BF$17:$BI$24,MATCH('SCC_Sulfide (SSC)'!$V9,'Tables - Part 2'!$AV$6:$AV$13,0),MATCH('SCC_Sulfide (SSC)'!$S9,'Tables - Part 2'!$AX$5:$BA$5,0)))/2,0)</f>
        <v>0</v>
      </c>
      <c r="BM9" s="248">
        <f>IF($R9=$BM$3,(((INDEX('Tables - Part 2'!$BB$17:$BE$24,MATCH('SCC_Sulfide (SSC)'!$V9,'Tables - Part 2'!$AV$6:$AV$13,0),MATCH('SCC_Sulfide (SSC)'!$S9,'Tables - Part 2'!$AX$5:$BA$5,0))+INDEX('Tables - Part 2'!$BF$17:$BI$24,MATCH('SCC_Sulfide (SSC)'!$V9,'Tables - Part 2'!$AV$6:$AV$13,0),MATCH('SCC_Sulfide (SSC)'!$S9,'Tables - Part 2'!$AX$5:$BA$5,0)))/2)+((((INDEX('Tables - Part 2'!$BB$17:$BE$24,MATCH('SCC_Sulfide (SSC)'!$V9,'Tables - Part 2'!$AV$6:$AV$13,0),MATCH('SCC_Sulfide (SSC)'!$S9,'Tables - Part 2'!$AX$5:$BA$5,0))+INDEX('Tables - Part 2'!$BF$17:$BI$24,MATCH('SCC_Sulfide (SSC)'!$V9,'Tables - Part 2'!$AV$6:$AV$13,0),MATCH('SCC_Sulfide (SSC)'!$S9,'Tables - Part 2'!$AX$5:$BA$5,0)))/2)+INDEX('Tables - Part 2'!$BF$17:$BI$24,MATCH('SCC_Sulfide (SSC)'!$V9,'Tables - Part 2'!$AV$6:$AV$13,0),MATCH('SCC_Sulfide (SSC)'!$S9,'Tables - Part 2'!$AX$5:$BA$5,0)))/2))/2,0)</f>
        <v>0</v>
      </c>
      <c r="BN9" s="248">
        <f>IF($R9=$BN$3,(((INDEX('Tables - Part 2'!$BB$17:$BE$24,MATCH('SCC_Sulfide (SSC)'!$V9,'Tables - Part 2'!$AV$6:$AV$13,0),MATCH('SCC_Sulfide (SSC)'!$S9,'Tables - Part 2'!$AX$5:$BA$5,0))+INDEX('Tables - Part 2'!$BF$17:$BI$24,MATCH('SCC_Sulfide (SSC)'!$V9,'Tables - Part 2'!$AV$6:$AV$13,0),MATCH('SCC_Sulfide (SSC)'!$S9,'Tables - Part 2'!$AX$5:$BA$5,0)))/2)+INDEX('Tables - Part 2'!$BF$17:$BI$24,MATCH('SCC_Sulfide (SSC)'!$V9,'Tables - Part 2'!$AV$6:$AV$13,0),MATCH('SCC_Sulfide (SSC)'!$S9,'Tables - Part 2'!$AX$5:$BA$5,0)))/2,0)</f>
        <v>0</v>
      </c>
      <c r="BO9" s="248">
        <f>IF($R9=$BO$3,(((((INDEX('Tables - Part 2'!$BB$17:$BE$24,MATCH('SCC_Sulfide (SSC)'!$V9,'Tables - Part 2'!$AV$6:$AV$13,0),MATCH('SCC_Sulfide (SSC)'!$S9,'Tables - Part 2'!$AX$5:$BA$5,0))+INDEX('Tables - Part 2'!$BF$17:$BI$24,MATCH('SCC_Sulfide (SSC)'!$V9,'Tables - Part 2'!$AV$6:$AV$13,0),MATCH('SCC_Sulfide (SSC)'!$S9,'Tables - Part 2'!$AX$5:$BA$5,0)))/2)+INDEX('Tables - Part 2'!$BF$17:$BI$24,MATCH('SCC_Sulfide (SSC)'!$V9,'Tables - Part 2'!$AV$6:$AV$13,0),MATCH('SCC_Sulfide (SSC)'!$S9,'Tables - Part 2'!$AX$5:$BA$5,0)))/2)+(INDEX('Tables - Part 2'!$BF$17:$BI$24,MATCH('SCC_Sulfide (SSC)'!$V9,'Tables - Part 2'!$AV$6:$AV$13,0),MATCH('SCC_Sulfide (SSC)'!$S9,'Tables - Part 2'!$AX$5:$BA$5,0))))/2,0)</f>
        <v>0</v>
      </c>
      <c r="BP9" s="248">
        <f>IF($R9=$BP$3,INDEX('Tables - Part 2'!$BF$17:$BI$24,MATCH('SCC_Sulfide (SSC)'!$V9,'Tables - Part 2'!$AV$6:$AV$13,0),MATCH('SCC_Sulfide (SSC)'!$S9,'Tables - Part 2'!$AX$5:$BA$5,0)),0)</f>
        <v>0</v>
      </c>
      <c r="BQ9" s="248">
        <f t="shared" si="6"/>
        <v>0</v>
      </c>
      <c r="BR9" s="238">
        <f t="shared" si="8"/>
        <v>1</v>
      </c>
      <c r="BS9" s="238">
        <f t="shared" si="7"/>
        <v>16.77288246840839</v>
      </c>
    </row>
    <row r="10" spans="2:84" x14ac:dyDescent="0.35">
      <c r="B10" s="161" t="str">
        <f>'Tratamento de Dados'!B18</f>
        <v>V-1</v>
      </c>
      <c r="C10" s="161" t="str">
        <f>'Tratamento de Dados'!D18</f>
        <v>Casco</v>
      </c>
      <c r="D10" s="209" t="s">
        <v>245</v>
      </c>
      <c r="E10" s="209" t="s">
        <v>61</v>
      </c>
      <c r="F10" s="209" t="s">
        <v>836</v>
      </c>
      <c r="G10" s="209" t="s">
        <v>832</v>
      </c>
      <c r="H10" s="209" t="s">
        <v>245</v>
      </c>
      <c r="I10" s="209" t="s">
        <v>1113</v>
      </c>
      <c r="J10" s="209" t="s">
        <v>245</v>
      </c>
      <c r="K10" s="210">
        <v>39092</v>
      </c>
      <c r="L10" s="209">
        <v>0</v>
      </c>
      <c r="M10" s="209">
        <v>1</v>
      </c>
      <c r="N10" s="209">
        <v>1</v>
      </c>
      <c r="O10" s="209">
        <v>4</v>
      </c>
      <c r="P10" s="253">
        <f>'Tratamento de Dados'!DA18</f>
        <v>0</v>
      </c>
      <c r="Q10" s="253">
        <f>'Tratamento de Dados'!DB18</f>
        <v>0</v>
      </c>
      <c r="R10" s="256">
        <f t="shared" si="0"/>
        <v>2.5</v>
      </c>
      <c r="S10" s="246" t="str">
        <f t="shared" si="1"/>
        <v>B</v>
      </c>
      <c r="T10" s="238" t="str">
        <f>IF(D10=$BX$2,$BV$4,IF(AND(H10=$BX$2,OR(F10='Tables - Part 2'!$BN$8,'Tables - Part 2'!$BN$9),OR('SCC_Sulfide (SSC)'!G10='Tables - Part 2'!$BQ$4,'SCC_Sulfide (SSC)'!G10='Tables - Part 2'!$BR$4)),$BV$4,INDEX('Tables - Part 2'!$BO$5:$BR$9,MATCH('SCC_Sulfide (SSC)'!F10,'Tables - Part 2'!$BN$5:$BN$9,0),MATCH('SCC_Sulfide (SSC)'!G10,'Tables - Part 2'!$BO$4:$BR$4,0))))</f>
        <v>Moderate</v>
      </c>
      <c r="U10" s="238" t="str">
        <f>IF(D10=$BX$2,$BV$4,IF(J10=$BX$2,INDEX('Tables - Part 2'!$BX$6:$BZ$8,MATCH('SCC_Sulfide (SSC)'!T10,'Tables - Part 2'!$BT$6:$BT$8,0),MATCH('SCC_Sulfide (SSC)'!I10,'Tables - Part 2'!$BX$5:$BZ$5,0)),INDEX('Tables - Part 2'!$BU$6:$BW$8,MATCH('SCC_Sulfide (SSC)'!T10,'Tables - Part 2'!$BT$6:$BT$8,0),MATCH('SCC_Sulfide (SSC)'!I10,'Tables - Part 2'!$BU$5:$BW$5,0))))</f>
        <v>Medium</v>
      </c>
      <c r="V10" s="238">
        <f>IF(AND(D10=$BX$2,E10&lt;&gt;$BX$2),"Fitness-For-Service",INDEX('Tables - Part 2'!$CC$4:$CC$7,MATCH('SCC_Sulfide (SSC)'!U10,'Tables - Part 2'!$CB$4:$CB$7,0),))</f>
        <v>10</v>
      </c>
      <c r="W10" s="238">
        <f>IF(K10=0,(Thinning!G11-Thinning!F11)/365.25,(Thinning!G11-K10)/365.25)</f>
        <v>12.980150581793293</v>
      </c>
      <c r="X10" s="248">
        <f t="shared" si="2"/>
        <v>0</v>
      </c>
      <c r="Y10" s="248">
        <f t="shared" si="3"/>
        <v>2.5</v>
      </c>
      <c r="Z10" s="248">
        <f t="shared" si="4"/>
        <v>3</v>
      </c>
      <c r="AA10" s="247">
        <f t="shared" si="5"/>
        <v>4</v>
      </c>
      <c r="AB10" s="248">
        <f>IF($R10=$AB$3,INDEX('Tables - Part 2'!$AX$6:$BA$13,MATCH('SCC_Sulfide (SSC)'!V10,'Tables - Part 2'!$AV$6:$AV$13,0),MATCH('SCC_Sulfide (SSC)'!S10,'Tables - Part 2'!$AX$5:$BA$5,0)),0)</f>
        <v>0</v>
      </c>
      <c r="AC10" s="248">
        <f>IF($R10=$AC$3,(INDEX('Tables - Part 2'!$AX$6:$BA$13,MATCH('SCC_Sulfide (SSC)'!V10,'Tables - Part 2'!$AV$6:$AV$13,0),MATCH('SCC_Sulfide (SSC)'!S10,'Tables - Part 2'!$AX$5:$BA$5,0))+(INDEX('Tables - Part 2'!$AX$6:$BA$13,MATCH('SCC_Sulfide (SSC)'!V10,'Tables - Part 2'!$AV$6:$AV$13,0),MATCH('SCC_Sulfide (SSC)'!S10,'Tables - Part 2'!$AX$5:$BA$5,0))+((INDEX('Tables - Part 2'!$AX$6:$BA$13,MATCH('SCC_Sulfide (SSC)'!V10,'Tables - Part 2'!$AV$6:$AV$13,0),MATCH('SCC_Sulfide (SSC)'!S10,'Tables - Part 2'!$AX$5:$BA$5,0))+INDEX('Tables - Part 2'!$BB$6:$BE$13,MATCH('SCC_Sulfide (SSC)'!$V10,'Tables - Part 2'!$AV$6:$AV$13,0),MATCH('SCC_Sulfide (SSC)'!$S10,'Tables - Part 2'!$AX$5:$BA$5,0)))/2))/2)/2,0)</f>
        <v>0</v>
      </c>
      <c r="AD10" s="248">
        <f>IF($R10=$AD$3,(INDEX('Tables - Part 2'!$AX$6:$BA$13,MATCH('SCC_Sulfide (SSC)'!V10,'Tables - Part 2'!$AV$6:$AV$13,0),MATCH('SCC_Sulfide (SSC)'!S10,'Tables - Part 2'!$AX$5:$BA$5,0))+((INDEX('Tables - Part 2'!$AX$6:$BA$13,MATCH('SCC_Sulfide (SSC)'!V10,'Tables - Part 2'!$AV$6:$AV$13,0),MATCH('SCC_Sulfide (SSC)'!S10,'Tables - Part 2'!$AX$5:$BA$5,0))+INDEX('Tables - Part 2'!$BB$6:$BE$13,MATCH('SCC_Sulfide (SSC)'!$V10,'Tables - Part 2'!$AV$6:$AV$13,0),MATCH('SCC_Sulfide (SSC)'!$S10,'Tables - Part 2'!$AX$5:$BA$5,0)))/2))/2,0)</f>
        <v>0</v>
      </c>
      <c r="AE10" s="248">
        <f>IF($R10=$AE$3,(((INDEX('Tables - Part 2'!$AX$6:$BA$13,MATCH('SCC_Sulfide (SSC)'!V10,'Tables - Part 2'!$AV$6:$AV$13,0),MATCH('SCC_Sulfide (SSC)'!S10,'Tables - Part 2'!$AX$5:$BA$5,0))+((INDEX('Tables - Part 2'!$AX$6:$BA$13,MATCH('SCC_Sulfide (SSC)'!V10,'Tables - Part 2'!$AV$6:$AV$13,0),MATCH('SCC_Sulfide (SSC)'!S10,'Tables - Part 2'!$AX$5:$BA$5,0))+INDEX('Tables - Part 2'!$BB$6:$BE$13,MATCH('SCC_Sulfide (SSC)'!$V10,'Tables - Part 2'!$AV$6:$AV$13,0),MATCH('SCC_Sulfide (SSC)'!$S10,'Tables - Part 2'!$AX$5:$BA$5,0)))/2))/2)+(INDEX('Tables - Part 2'!$AX$6:$BA$13,MATCH('SCC_Sulfide (SSC)'!V10,'Tables - Part 2'!$AV$6:$AV$13,0),MATCH('SCC_Sulfide (SSC)'!S10,'Tables - Part 2'!$AX$5:$BA$5,0))+INDEX('Tables - Part 2'!$BB$6:$BE$13,MATCH('SCC_Sulfide (SSC)'!$V10,'Tables - Part 2'!$AV$6:$AV$13,0),MATCH('SCC_Sulfide (SSC)'!$S10,'Tables - Part 2'!$AX$5:$BA$5,0)))/2)/2,0)</f>
        <v>0</v>
      </c>
      <c r="AF10" s="248">
        <f>IF($R10=$AF$3,(INDEX('Tables - Part 2'!$AX$6:$BA$13,MATCH('SCC_Sulfide (SSC)'!V10,'Tables - Part 2'!$AV$6:$AV$13,0),MATCH('SCC_Sulfide (SSC)'!S10,'Tables - Part 2'!$AX$5:$BA$5,0))+INDEX('Tables - Part 2'!$BB$6:$BE$13,MATCH('SCC_Sulfide (SSC)'!$V10,'Tables - Part 2'!$AV$6:$AV$13,0),MATCH('SCC_Sulfide (SSC)'!$S10,'Tables - Part 2'!$AX$5:$BA$5,0)))/2,0)</f>
        <v>0</v>
      </c>
      <c r="AG10" s="248">
        <f>IF($R10=$AG$3,(((INDEX('Tables - Part 2'!$AX$6:$BA$13,MATCH('SCC_Sulfide (SSC)'!V10,'Tables - Part 2'!$AV$6:$AV$13,0),MATCH('SCC_Sulfide (SSC)'!S10,'Tables - Part 2'!$AX$5:$BA$5,0))+INDEX('Tables - Part 2'!$BB$6:$BE$13,MATCH('SCC_Sulfide (SSC)'!$V10,'Tables - Part 2'!$AV$6:$AV$13,0),MATCH('SCC_Sulfide (SSC)'!$S10,'Tables - Part 2'!$AX$5:$BA$5,0)))/2)+(((INDEX('Tables - Part 2'!$AX$6:$BA$13,MATCH('SCC_Sulfide (SSC)'!V10,'Tables - Part 2'!$AV$6:$AV$13,0),MATCH('SCC_Sulfide (SSC)'!S10,'Tables - Part 2'!$AX$5:$BA$5,0))+INDEX('Tables - Part 2'!$BB$6:$BE$13,MATCH('SCC_Sulfide (SSC)'!$V10,'Tables - Part 2'!$AV$6:$AV$13,0),MATCH('SCC_Sulfide (SSC)'!$S10,'Tables - Part 2'!$AX$5:$BA$5,0)))/2)+INDEX('Tables - Part 2'!$BB$6:$BE$13,MATCH('SCC_Sulfide (SSC)'!$V10,'Tables - Part 2'!$AV$6:$AV$13,0),MATCH('SCC_Sulfide (SSC)'!$S10,'Tables - Part 2'!$AX$5:$BA$5,0)))/2)/2,0)</f>
        <v>0</v>
      </c>
      <c r="AH10" s="248">
        <f>IF($R10=$AH$3,(((INDEX('Tables - Part 2'!$AX$6:$BA$13,MATCH('SCC_Sulfide (SSC)'!V10,'Tables - Part 2'!$AV$6:$AV$13,0),MATCH('SCC_Sulfide (SSC)'!S10,'Tables - Part 2'!$AX$5:$BA$5,0))+INDEX('Tables - Part 2'!$BB$6:$BE$13,MATCH('SCC_Sulfide (SSC)'!$V10,'Tables - Part 2'!$AV$6:$AV$13,0),MATCH('SCC_Sulfide (SSC)'!$S10,'Tables - Part 2'!$AX$5:$BA$5,0)))/2)+INDEX('Tables - Part 2'!$BB$6:$BE$13,MATCH('SCC_Sulfide (SSC)'!$V10,'Tables - Part 2'!$AV$6:$AV$13,0),MATCH('SCC_Sulfide (SSC)'!$S10,'Tables - Part 2'!$AX$5:$BA$5,0)))/2,0)</f>
        <v>0</v>
      </c>
      <c r="AI10" s="248">
        <f>IF($R10=$AI$3,(((((INDEX('Tables - Part 2'!$AX$6:$BA$13,MATCH('SCC_Sulfide (SSC)'!V10,'Tables - Part 2'!$AV$6:$AV$13,0),MATCH('SCC_Sulfide (SSC)'!S10,'Tables - Part 2'!$AX$5:$BA$5,0))+INDEX('Tables - Part 2'!$BB$6:$BE$13,MATCH('SCC_Sulfide (SSC)'!$V10,'Tables - Part 2'!$AV$6:$AV$13,0),MATCH('SCC_Sulfide (SSC)'!$S10,'Tables - Part 2'!$AX$5:$BA$5,0)))/2)+INDEX('Tables - Part 2'!$BB$6:$BE$13,MATCH('SCC_Sulfide (SSC)'!$V10,'Tables - Part 2'!$AV$6:$AV$13,0),MATCH('SCC_Sulfide (SSC)'!$S10,'Tables - Part 2'!$AX$5:$BA$5,0)))/2)+INDEX('Tables - Part 2'!$BB$6:$BE$13,MATCH('SCC_Sulfide (SSC)'!$V10,'Tables - Part 2'!$AV$6:$AV$13,0),MATCH('SCC_Sulfide (SSC)'!$S10,'Tables - Part 2'!$AX$5:$BA$5,0)))/2,0)</f>
        <v>0</v>
      </c>
      <c r="AJ10" s="248">
        <f>IF($R10=$AJ$3,INDEX('Tables - Part 2'!$BB$6:$BE$13,MATCH('SCC_Sulfide (SSC)'!$V10,'Tables - Part 2'!$AV$6:$AV$13,0),MATCH('SCC_Sulfide (SSC)'!$S10,'Tables - Part 2'!$AX$5:$BA$5,0)),0)</f>
        <v>0</v>
      </c>
      <c r="AK10" s="248">
        <f>IF($R10=$AK$3,((INDEX('Tables - Part 2'!$BB$6:$BE$13,MATCH('SCC_Sulfide (SSC)'!$V10,'Tables - Part 2'!$AV$6:$AV$13,0),MATCH('SCC_Sulfide (SSC)'!$S10,'Tables - Part 2'!$AX$5:$BA$5,0)))+(INDEX('Tables - Part 2'!$BB$6:$BE$13,MATCH('SCC_Sulfide (SSC)'!$V10,'Tables - Part 2'!$AV$6:$AV$13,0),MATCH('SCC_Sulfide (SSC)'!$S10,'Tables - Part 2'!$AX$5:$BA$5,0))+(INDEX('Tables - Part 2'!$BB$6:$BE$13,MATCH('SCC_Sulfide (SSC)'!$V10,'Tables - Part 2'!$AV$6:$AV$13,0),MATCH('SCC_Sulfide (SSC)'!$S10,'Tables - Part 2'!$AX$5:$BA$5,0))+INDEX('Tables - Part 2'!$BF$6:$BI$13,MATCH('SCC_Sulfide (SSC)'!$V10,'Tables - Part 2'!$AV$6:$AV$13,0),MATCH('SCC_Sulfide (SSC)'!$S10,'Tables - Part 2'!$AX$5:$BA$5,0)))/2)/2)/2,0)</f>
        <v>0</v>
      </c>
      <c r="AL10" s="248">
        <f>IF($R10=$AL$3,(INDEX('Tables - Part 2'!$BB$6:$BE$13,MATCH('SCC_Sulfide (SSC)'!$V10,'Tables - Part 2'!$AV$6:$AV$13,0),MATCH('SCC_Sulfide (SSC)'!$S10,'Tables - Part 2'!$AX$5:$BA$5,0))+(INDEX('Tables - Part 2'!$BB$6:$BE$13,MATCH('SCC_Sulfide (SSC)'!$V10,'Tables - Part 2'!$AV$6:$AV$13,0),MATCH('SCC_Sulfide (SSC)'!$S10,'Tables - Part 2'!$AX$5:$BA$5,0))+INDEX('Tables - Part 2'!$BF$6:$BI$13,MATCH('SCC_Sulfide (SSC)'!$V10,'Tables - Part 2'!$AV$6:$AV$13,0),MATCH('SCC_Sulfide (SSC)'!$S10,'Tables - Part 2'!$AX$5:$BA$5,0)))/2)/2,0)</f>
        <v>0</v>
      </c>
      <c r="AM10" s="248">
        <f>IF($R10=$AM$3,(((INDEX('Tables - Part 2'!$BB$6:$BE$13,MATCH('SCC_Sulfide (SSC)'!$V10,'Tables - Part 2'!$AV$6:$AV$13,0),MATCH('SCC_Sulfide (SSC)'!$S10,'Tables - Part 2'!$AX$5:$BA$5,0))+(INDEX('Tables - Part 2'!$BB$6:$BE$13,MATCH('SCC_Sulfide (SSC)'!$V10,'Tables - Part 2'!$AV$6:$AV$13,0),MATCH('SCC_Sulfide (SSC)'!$S10,'Tables - Part 2'!$AX$5:$BA$5,0))+INDEX('Tables - Part 2'!$BF$6:$BI$13,MATCH('SCC_Sulfide (SSC)'!$V10,'Tables - Part 2'!$AV$6:$AV$13,0),MATCH('SCC_Sulfide (SSC)'!$S10,'Tables - Part 2'!$AX$5:$BA$5,0)))/2)/2)+((INDEX('Tables - Part 2'!$BB$6:$BE$13,MATCH('SCC_Sulfide (SSC)'!$V10,'Tables - Part 2'!$AV$6:$AV$13,0),MATCH('SCC_Sulfide (SSC)'!$S10,'Tables - Part 2'!$AX$5:$BA$5,0))+INDEX('Tables - Part 2'!$BF$6:$BI$13,MATCH('SCC_Sulfide (SSC)'!$V10,'Tables - Part 2'!$AV$6:$AV$13,0),MATCH('SCC_Sulfide (SSC)'!$S10,'Tables - Part 2'!$AX$5:$BA$5,0)))/2))/2,0)</f>
        <v>0</v>
      </c>
      <c r="AN10" s="248">
        <f>IF($R10=$AN$3,(INDEX('Tables - Part 2'!$BB$6:$BE$13,MATCH('SCC_Sulfide (SSC)'!$V10,'Tables - Part 2'!$AV$6:$AV$13,0),MATCH('SCC_Sulfide (SSC)'!$S10,'Tables - Part 2'!$AX$5:$BA$5,0))+INDEX('Tables - Part 2'!$BF$6:$BI$13,MATCH('SCC_Sulfide (SSC)'!$V10,'Tables - Part 2'!$AV$6:$AV$13,0),MATCH('SCC_Sulfide (SSC)'!$S10,'Tables - Part 2'!$AX$5:$BA$5,0)))/2,0)</f>
        <v>1</v>
      </c>
      <c r="AO10" s="248">
        <f>IF($R10=$AO$3,(((INDEX('Tables - Part 2'!$BB$6:$BE$13,MATCH('SCC_Sulfide (SSC)'!$V10,'Tables - Part 2'!$AV$6:$AV$13,0),MATCH('SCC_Sulfide (SSC)'!$S10,'Tables - Part 2'!$AX$5:$BA$5,0))+INDEX('Tables - Part 2'!$BF$6:$BI$13,MATCH('SCC_Sulfide (SSC)'!$V10,'Tables - Part 2'!$AV$6:$AV$13,0),MATCH('SCC_Sulfide (SSC)'!$S10,'Tables - Part 2'!$AX$5:$BA$5,0)))/2)+((((INDEX('Tables - Part 2'!$BB$6:$BE$13,MATCH('SCC_Sulfide (SSC)'!$V10,'Tables - Part 2'!$AV$6:$AV$13,0),MATCH('SCC_Sulfide (SSC)'!$S10,'Tables - Part 2'!$AX$5:$BA$5,0))+INDEX('Tables - Part 2'!$BF$6:$BI$13,MATCH('SCC_Sulfide (SSC)'!$V10,'Tables - Part 2'!$AV$6:$AV$13,0),MATCH('SCC_Sulfide (SSC)'!$S10,'Tables - Part 2'!$AX$5:$BA$5,0)))/2)+INDEX('Tables - Part 2'!$BF$6:$BI$13,MATCH('SCC_Sulfide (SSC)'!$V10,'Tables - Part 2'!$AV$6:$AV$13,0),MATCH('SCC_Sulfide (SSC)'!$S10,'Tables - Part 2'!$AX$5:$BA$5,0)))/2))/2,0)</f>
        <v>0</v>
      </c>
      <c r="AP10" s="248">
        <f>IF($R10=$AP$3,(((INDEX('Tables - Part 2'!$BB$6:$BE$13,MATCH('SCC_Sulfide (SSC)'!$V10,'Tables - Part 2'!$AV$6:$AV$13,0),MATCH('SCC_Sulfide (SSC)'!$S10,'Tables - Part 2'!$AX$5:$BA$5,0))+INDEX('Tables - Part 2'!$BF$6:$BI$13,MATCH('SCC_Sulfide (SSC)'!$V10,'Tables - Part 2'!$AV$6:$AV$13,0),MATCH('SCC_Sulfide (SSC)'!$S10,'Tables - Part 2'!$AX$5:$BA$5,0)))/2)+INDEX('Tables - Part 2'!$BF$6:$BI$13,MATCH('SCC_Sulfide (SSC)'!$V10,'Tables - Part 2'!$AV$6:$AV$13,0),MATCH('SCC_Sulfide (SSC)'!$S10,'Tables - Part 2'!$AX$5:$BA$5,0)))/2,0)</f>
        <v>0</v>
      </c>
      <c r="AQ10" s="248">
        <f>IF($R10=$AQ$3,(((((INDEX('Tables - Part 2'!$BB$6:$BE$13,MATCH('SCC_Sulfide (SSC)'!$V10,'Tables - Part 2'!$AV$6:$AV$13,0),MATCH('SCC_Sulfide (SSC)'!$S10,'Tables - Part 2'!$AX$5:$BA$5,0))+INDEX('Tables - Part 2'!$BF$6:$BI$13,MATCH('SCC_Sulfide (SSC)'!$V10,'Tables - Part 2'!$AV$6:$AV$13,0),MATCH('SCC_Sulfide (SSC)'!$S10,'Tables - Part 2'!$AX$5:$BA$5,0)))/2)+INDEX('Tables - Part 2'!$BF$6:$BI$13,MATCH('SCC_Sulfide (SSC)'!$V10,'Tables - Part 2'!$AV$6:$AV$13,0),MATCH('SCC_Sulfide (SSC)'!$S10,'Tables - Part 2'!$AX$5:$BA$5,0)))/2)+INDEX('Tables - Part 2'!$BF$6:$BI$13,MATCH('SCC_Sulfide (SSC)'!$V10,'Tables - Part 2'!$AV$6:$AV$13,0),MATCH('SCC_Sulfide (SSC)'!$S10,'Tables - Part 2'!$AX$5:$BA$5,0)))/2,0)</f>
        <v>0</v>
      </c>
      <c r="AR10" s="248">
        <f>IF($R10=$AR$3,INDEX('Tables - Part 2'!$BF$6:$BI$13,MATCH('SCC_Sulfide (SSC)'!$V10,'Tables - Part 2'!$AV$6:$AV$13,0),MATCH('SCC_Sulfide (SSC)'!$S10,'Tables - Part 2'!$AX$5:$BA$5,0)),0)</f>
        <v>0</v>
      </c>
      <c r="AS10" s="248">
        <f>IF($R10=$AS$3,(INDEX('Tables - Part 2'!$BF$6:$BI$13,MATCH('SCC_Sulfide (SSC)'!$V10,'Tables - Part 2'!$AV$6:$AV$13,0),MATCH('SCC_Sulfide (SSC)'!$S10,'Tables - Part 2'!$AX$5:$BA$5,0))+((INDEX('Tables - Part 2'!$BF$6:$BI$13,MATCH('SCC_Sulfide (SSC)'!$V10,'Tables - Part 2'!$AV$6:$AV$13,0),MATCH('SCC_Sulfide (SSC)'!$S10,'Tables - Part 2'!$AX$5:$BA$5,0))+(INDEX('Tables - Part 2'!$BF$6:$BI$13,MATCH('SCC_Sulfide (SSC)'!$V10,'Tables - Part 2'!$AV$6:$AV$13,0),MATCH('SCC_Sulfide (SSC)'!$S10,'Tables - Part 2'!$AX$5:$BA$5,0))+INDEX('Tables - Part 2'!$AX$17:$BA$24,MATCH('SCC_Sulfide (SSC)'!$V10,'Tables - Part 2'!$AV$6:$AV$13,0),MATCH('SCC_Sulfide (SSC)'!$S10,'Tables - Part 2'!$AX$5:$BA$5,0)))/2)/2))/2,0)</f>
        <v>0</v>
      </c>
      <c r="AT10" s="248">
        <f>IF($R10=$AT$3,(INDEX('Tables - Part 2'!$BF$6:$BI$13,MATCH('SCC_Sulfide (SSC)'!$V10,'Tables - Part 2'!$AV$6:$AV$13,0),MATCH('SCC_Sulfide (SSC)'!$S10,'Tables - Part 2'!$AX$5:$BA$5,0))+(INDEX('Tables - Part 2'!$BF$6:$BI$13,MATCH('SCC_Sulfide (SSC)'!$V10,'Tables - Part 2'!$AV$6:$AV$13,0),MATCH('SCC_Sulfide (SSC)'!$S10,'Tables - Part 2'!$AX$5:$BA$5,0))+INDEX('Tables - Part 2'!$AX$17:$BA$24,MATCH('SCC_Sulfide (SSC)'!$V10,'Tables - Part 2'!$AV$6:$AV$13,0),MATCH('SCC_Sulfide (SSC)'!$S10,'Tables - Part 2'!$AX$5:$BA$5,0)))/2)/2,0)</f>
        <v>0</v>
      </c>
      <c r="AU10" s="248">
        <f>IF($R10=$AU$3,(((INDEX('Tables - Part 2'!$BF$6:$BI$13,MATCH('SCC_Sulfide (SSC)'!$V10,'Tables - Part 2'!$AV$6:$AV$13,0),MATCH('SCC_Sulfide (SSC)'!$S10,'Tables - Part 2'!$AX$5:$BA$5,0))+(INDEX('Tables - Part 2'!$BF$6:$BI$13,MATCH('SCC_Sulfide (SSC)'!$V10,'Tables - Part 2'!$AV$6:$AV$13,0),MATCH('SCC_Sulfide (SSC)'!$S10,'Tables - Part 2'!$AX$5:$BA$5,0))+INDEX('Tables - Part 2'!$AX$17:$BA$24,MATCH('SCC_Sulfide (SSC)'!$V10,'Tables - Part 2'!$AV$6:$AV$13,0),MATCH('SCC_Sulfide (SSC)'!$S10,'Tables - Part 2'!$AX$5:$BA$5,0)))/2)/2)+((INDEX('Tables - Part 2'!$BF$6:$BI$13,MATCH('SCC_Sulfide (SSC)'!$V10,'Tables - Part 2'!$AV$6:$AV$13,0),MATCH('SCC_Sulfide (SSC)'!$S10,'Tables - Part 2'!$AX$5:$BA$5,0))+INDEX('Tables - Part 2'!$AX$17:$BA$24,MATCH('SCC_Sulfide (SSC)'!$V10,'Tables - Part 2'!$AV$6:$AV$13,0),MATCH('SCC_Sulfide (SSC)'!$S10,'Tables - Part 2'!$AX$5:$BA$5,0)))/2))/2,0)</f>
        <v>0</v>
      </c>
      <c r="AV10" s="248">
        <f>IF($R10=$AV$3,(INDEX('Tables - Part 2'!$BF$6:$BI$13,MATCH('SCC_Sulfide (SSC)'!$V10,'Tables - Part 2'!$AV$6:$AV$13,0),MATCH('SCC_Sulfide (SSC)'!$S10,'Tables - Part 2'!$AX$5:$BA$5,0))+INDEX('Tables - Part 2'!$AX$17:$BA$24,MATCH('SCC_Sulfide (SSC)'!$V10,'Tables - Part 2'!$AV$6:$AV$13,0),MATCH('SCC_Sulfide (SSC)'!$S10,'Tables - Part 2'!$AX$5:$BA$5,0)))/2,0)</f>
        <v>0</v>
      </c>
      <c r="AW10" s="248">
        <f>IF($R10=$AW$3,(((INDEX('Tables - Part 2'!$BF$6:$BI$13,MATCH('SCC_Sulfide (SSC)'!$V10,'Tables - Part 2'!$AV$6:$AV$13,0),MATCH('SCC_Sulfide (SSC)'!$S10,'Tables - Part 2'!$AX$5:$BA$5,0))+INDEX('Tables - Part 2'!$AX$17:$BA$24,MATCH('SCC_Sulfide (SSC)'!$V10,'Tables - Part 2'!$AV$6:$AV$13,0),MATCH('SCC_Sulfide (SSC)'!$S10,'Tables - Part 2'!$AX$5:$BA$5,0)))/2)+((((INDEX('Tables - Part 2'!$BF$6:$BI$13,MATCH('SCC_Sulfide (SSC)'!$V10,'Tables - Part 2'!$AV$6:$AV$13,0),MATCH('SCC_Sulfide (SSC)'!$S10,'Tables - Part 2'!$AX$5:$BA$5,0))+INDEX('Tables - Part 2'!$AX$17:$BA$24,MATCH('SCC_Sulfide (SSC)'!$V10,'Tables - Part 2'!$AV$6:$AV$13,0),MATCH('SCC_Sulfide (SSC)'!$S10,'Tables - Part 2'!$AX$5:$BA$5,0)))/2)+INDEX('Tables - Part 2'!$AX$17:$BA$24,MATCH('SCC_Sulfide (SSC)'!$V10,'Tables - Part 2'!$AV$6:$AV$13,0),MATCH('SCC_Sulfide (SSC)'!$S10,'Tables - Part 2'!$AX$5:$BA$5,0)))/2))/2,0)</f>
        <v>0</v>
      </c>
      <c r="AX10" s="248">
        <f>IF($R10=$AX$3,(((INDEX('Tables - Part 2'!$BF$6:$BI$13,MATCH('SCC_Sulfide (SSC)'!$V10,'Tables - Part 2'!$AV$6:$AV$13,0),MATCH('SCC_Sulfide (SSC)'!$S10,'Tables - Part 2'!$AX$5:$BA$5,0))+INDEX('Tables - Part 2'!$AX$17:$BA$24,MATCH('SCC_Sulfide (SSC)'!$V10,'Tables - Part 2'!$AV$6:$AV$13,0),MATCH('SCC_Sulfide (SSC)'!$S10,'Tables - Part 2'!$AX$5:$BA$5,0)))/2)+INDEX('Tables - Part 2'!$AX$17:$BA$24,MATCH('SCC_Sulfide (SSC)'!$V10,'Tables - Part 2'!$AV$6:$AV$13,0),MATCH('SCC_Sulfide (SSC)'!$S10,'Tables - Part 2'!$AX$5:$BA$5,0)))/2,0)</f>
        <v>0</v>
      </c>
      <c r="AY10" s="248">
        <f>IF($R10=$AY$3,(((((INDEX('Tables - Part 2'!$BF$6:$BI$13,MATCH('SCC_Sulfide (SSC)'!$V10,'Tables - Part 2'!$AV$6:$AV$13,0),MATCH('SCC_Sulfide (SSC)'!$S10,'Tables - Part 2'!$AX$5:$BA$5,0))+INDEX('Tables - Part 2'!$AX$17:$BA$24,MATCH('SCC_Sulfide (SSC)'!$V10,'Tables - Part 2'!$AV$6:$AV$13,0),MATCH('SCC_Sulfide (SSC)'!$S10,'Tables - Part 2'!$AX$5:$BA$5,0)))/2)+INDEX('Tables - Part 2'!$AX$17:$BA$24,MATCH('SCC_Sulfide (SSC)'!$V10,'Tables - Part 2'!$AV$6:$AV$13,0),MATCH('SCC_Sulfide (SSC)'!$S10,'Tables - Part 2'!$AX$5:$BA$5,0)))/2)+(INDEX('Tables - Part 2'!$AX$17:$BA$24,MATCH('SCC_Sulfide (SSC)'!$V10,'Tables - Part 2'!$AV$6:$AV$13,0),MATCH('SCC_Sulfide (SSC)'!$S10,'Tables - Part 2'!$AX$5:$BA$5,0))))/2,0)</f>
        <v>0</v>
      </c>
      <c r="AZ10" s="248">
        <f>IF($R10=$AZ$3,INDEX('Tables - Part 2'!$AX$17:$BA$24,MATCH('SCC_Sulfide (SSC)'!$V10,'Tables - Part 2'!$AV$6:$AV$13,0),MATCH('SCC_Sulfide (SSC)'!$S10,'Tables - Part 2'!$AX$5:$BA$5,0)),0)</f>
        <v>0</v>
      </c>
      <c r="BA10" s="248">
        <f>IF($R10=$BA$3,((INDEX('Tables - Part 2'!$AX$17:$BA$24,MATCH('SCC_Sulfide (SSC)'!$V10,'Tables - Part 2'!$AV$6:$AV$13,0),MATCH('SCC_Sulfide (SSC)'!$S10,'Tables - Part 2'!$AX$5:$BA$5,0)))+(((INDEX('Tables - Part 2'!$AX$17:$BA$24,MATCH('SCC_Sulfide (SSC)'!$V10,'Tables - Part 2'!$AV$6:$AV$13,0),MATCH('SCC_Sulfide (SSC)'!$S10,'Tables - Part 2'!$AX$5:$BA$5,0)))+(INDEX('Tables - Part 2'!$AX$17:$BA$24,MATCH('SCC_Sulfide (SSC)'!$V10,'Tables - Part 2'!$AV$6:$AV$13,0),MATCH('SCC_Sulfide (SSC)'!$S10,'Tables - Part 2'!$AX$5:$BA$5,0))+INDEX('Tables - Part 2'!$BB$17:$BE$24,MATCH('SCC_Sulfide (SSC)'!$V10,'Tables - Part 2'!$AV$6:$AV$13,0),MATCH('SCC_Sulfide (SSC)'!$S10,'Tables - Part 2'!$AX$5:$BA$5,0)))/2)/2))/2,0)</f>
        <v>0</v>
      </c>
      <c r="BB10" s="248">
        <f>IF($R10=$BB$3,((INDEX('Tables - Part 2'!$AX$17:$BA$24,MATCH('SCC_Sulfide (SSC)'!$V10,'Tables - Part 2'!$AV$6:$AV$13,0),MATCH('SCC_Sulfide (SSC)'!$S10,'Tables - Part 2'!$AX$5:$BA$5,0)))+(INDEX('Tables - Part 2'!$AX$17:$BA$24,MATCH('SCC_Sulfide (SSC)'!$V10,'Tables - Part 2'!$AV$6:$AV$13,0),MATCH('SCC_Sulfide (SSC)'!$S10,'Tables - Part 2'!$AX$5:$BA$5,0))+INDEX('Tables - Part 2'!$BB$17:$BE$24,MATCH('SCC_Sulfide (SSC)'!$V10,'Tables - Part 2'!$AV$6:$AV$13,0),MATCH('SCC_Sulfide (SSC)'!$S10,'Tables - Part 2'!$AX$5:$BA$5,0)))/2)/2,0)</f>
        <v>0</v>
      </c>
      <c r="BC10" s="248">
        <f>IF($R10=$BC$3,((((INDEX('Tables - Part 2'!$AX$17:$BA$24,MATCH('SCC_Sulfide (SSC)'!$V10,'Tables - Part 2'!$AV$6:$AV$13,0),MATCH('SCC_Sulfide (SSC)'!$S10,'Tables - Part 2'!$AX$5:$BA$5,0)))+(INDEX('Tables - Part 2'!$AX$17:$BA$24,MATCH('SCC_Sulfide (SSC)'!$V10,'Tables - Part 2'!$AV$6:$AV$13,0),MATCH('SCC_Sulfide (SSC)'!$S10,'Tables - Part 2'!$AX$5:$BA$5,0))+INDEX('Tables - Part 2'!$BB$17:$BE$24,MATCH('SCC_Sulfide (SSC)'!$V10,'Tables - Part 2'!$AV$6:$AV$13,0),MATCH('SCC_Sulfide (SSC)'!$S10,'Tables - Part 2'!$AX$5:$BA$5,0)))/2)/2)+((INDEX('Tables - Part 2'!$AX$17:$BA$24,MATCH('SCC_Sulfide (SSC)'!$V10,'Tables - Part 2'!$AV$6:$AV$13,0),MATCH('SCC_Sulfide (SSC)'!$S10,'Tables - Part 2'!$AX$5:$BA$5,0))+INDEX('Tables - Part 2'!$BB$17:$BE$24,MATCH('SCC_Sulfide (SSC)'!$V10,'Tables - Part 2'!$AV$6:$AV$13,0),MATCH('SCC_Sulfide (SSC)'!$S10,'Tables - Part 2'!$AX$5:$BA$5,0)))/2))/2,0)</f>
        <v>0</v>
      </c>
      <c r="BD10" s="248">
        <f>IF($R10=$BD$3,(INDEX('Tables - Part 2'!$AX$17:$BA$24,MATCH('SCC_Sulfide (SSC)'!$V10,'Tables - Part 2'!$AV$6:$AV$13,0),MATCH('SCC_Sulfide (SSC)'!$S10,'Tables - Part 2'!$AX$5:$BA$5,0))+INDEX('Tables - Part 2'!$BB$17:$BE$24,MATCH('SCC_Sulfide (SSC)'!$V10,'Tables - Part 2'!$AV$6:$AV$13,0),MATCH('SCC_Sulfide (SSC)'!$S10,'Tables - Part 2'!$AX$5:$BA$5,0)))/2,0)</f>
        <v>0</v>
      </c>
      <c r="BE10" s="248">
        <f>IF($R10=$BE$3,(((INDEX('Tables - Part 2'!$AX$17:$BA$24,MATCH('SCC_Sulfide (SSC)'!$V10,'Tables - Part 2'!$AV$6:$AV$13,0),MATCH('SCC_Sulfide (SSC)'!$S10,'Tables - Part 2'!$AX$5:$BA$5,0))+INDEX('Tables - Part 2'!$BB$17:$BE$24,MATCH('SCC_Sulfide (SSC)'!$V10,'Tables - Part 2'!$AV$6:$AV$13,0),MATCH('SCC_Sulfide (SSC)'!$S10,'Tables - Part 2'!$AX$5:$BA$5,0)))/2)+((((INDEX('Tables - Part 2'!$AX$17:$BA$24,MATCH('SCC_Sulfide (SSC)'!$V10,'Tables - Part 2'!$AV$6:$AV$13,0),MATCH('SCC_Sulfide (SSC)'!$S10,'Tables - Part 2'!$AX$5:$BA$5,0))+INDEX('Tables - Part 2'!$BB$17:$BE$24,MATCH('SCC_Sulfide (SSC)'!$V10,'Tables - Part 2'!$AV$6:$AV$13,0),MATCH('SCC_Sulfide (SSC)'!$S10,'Tables - Part 2'!$AX$5:$BA$5,0)))/2)+INDEX('Tables - Part 2'!$BB$17:$BE$24,MATCH('SCC_Sulfide (SSC)'!$V10,'Tables - Part 2'!$AV$6:$AV$13,0),MATCH('SCC_Sulfide (SSC)'!$S10,'Tables - Part 2'!$AX$5:$BA$5,0)))/2))/2,0)</f>
        <v>0</v>
      </c>
      <c r="BF10" s="248">
        <f>IF($R10=$BF$3,(((INDEX('Tables - Part 2'!$AX$17:$BA$24,MATCH('SCC_Sulfide (SSC)'!$V10,'Tables - Part 2'!$AV$6:$AV$13,0),MATCH('SCC_Sulfide (SSC)'!$S10,'Tables - Part 2'!$AX$5:$BA$5,0))+INDEX('Tables - Part 2'!$BB$17:$BE$24,MATCH('SCC_Sulfide (SSC)'!$V10,'Tables - Part 2'!$AV$6:$AV$13,0),MATCH('SCC_Sulfide (SSC)'!$S10,'Tables - Part 2'!$AX$5:$BA$5,0)))/2)+INDEX('Tables - Part 2'!$BB$17:$BE$24,MATCH('SCC_Sulfide (SSC)'!$V10,'Tables - Part 2'!$AV$6:$AV$13,0),MATCH('SCC_Sulfide (SSC)'!$S10,'Tables - Part 2'!$AX$5:$BA$5,0)))/2,0)</f>
        <v>0</v>
      </c>
      <c r="BG10" s="248">
        <f>IF($R10=$BG$3,(((((INDEX('Tables - Part 2'!$AX$17:$BA$24,MATCH('SCC_Sulfide (SSC)'!$V10,'Tables - Part 2'!$AV$6:$AV$13,0),MATCH('SCC_Sulfide (SSC)'!$S10,'Tables - Part 2'!$AX$5:$BA$5,0))+INDEX('Tables - Part 2'!$BB$17:$BE$24,MATCH('SCC_Sulfide (SSC)'!$V10,'Tables - Part 2'!$AV$6:$AV$13,0),MATCH('SCC_Sulfide (SSC)'!$S10,'Tables - Part 2'!$AX$5:$BA$5,0)))/2)+INDEX('Tables - Part 2'!$BB$17:$BE$24,MATCH('SCC_Sulfide (SSC)'!$V10,'Tables - Part 2'!$AV$6:$AV$13,0),MATCH('SCC_Sulfide (SSC)'!$S10,'Tables - Part 2'!$AX$5:$BA$5,0)))/2)+(INDEX('Tables - Part 2'!$BB$17:$BE$24,MATCH('SCC_Sulfide (SSC)'!$V10,'Tables - Part 2'!$AV$6:$AV$13,0),MATCH('SCC_Sulfide (SSC)'!$S10,'Tables - Part 2'!$AX$5:$BA$5,0))))/2,0)</f>
        <v>0</v>
      </c>
      <c r="BH10" s="248">
        <f>IF($R10=$BH$3,INDEX('Tables - Part 2'!$BB$17:$BE$24,MATCH('SCC_Sulfide (SSC)'!$V10,'Tables - Part 2'!$AV$6:$AV$13,0),MATCH('SCC_Sulfide (SSC)'!$S10,'Tables - Part 2'!$AX$5:$BA$5,0)),0)</f>
        <v>0</v>
      </c>
      <c r="BI10" s="248">
        <f>IF($R10=$BI$3,((INDEX('Tables - Part 2'!$BB$17:$BE$24,MATCH('SCC_Sulfide (SSC)'!$V10,'Tables - Part 2'!$AV$6:$AV$13,0),MATCH('SCC_Sulfide (SSC)'!$S10,'Tables - Part 2'!$AX$5:$BA$5,0)))+(((INDEX('Tables - Part 2'!$BB$17:$BE$24,MATCH('SCC_Sulfide (SSC)'!$V10,'Tables - Part 2'!$AV$6:$AV$13,0),MATCH('SCC_Sulfide (SSC)'!$S10,'Tables - Part 2'!$AX$5:$BA$5,0)))+(INDEX('Tables - Part 2'!$BB$17:$BE$24,MATCH('SCC_Sulfide (SSC)'!$V10,'Tables - Part 2'!$AV$6:$AV$13,0),MATCH('SCC_Sulfide (SSC)'!$S10,'Tables - Part 2'!$AX$5:$BA$5,0))+INDEX('Tables - Part 2'!$BF$17:$BI$24,MATCH('SCC_Sulfide (SSC)'!$V10,'Tables - Part 2'!$AV$6:$AV$13,0),MATCH('SCC_Sulfide (SSC)'!$S10,'Tables - Part 2'!$AX$5:$BA$5,0)))/2)/2))/2,0)</f>
        <v>0</v>
      </c>
      <c r="BJ10" s="248">
        <f>IF($R10=$BJ$3,((INDEX('Tables - Part 2'!$BB$17:$BE$24,MATCH('SCC_Sulfide (SSC)'!$V10,'Tables - Part 2'!$AV$6:$AV$13,0),MATCH('SCC_Sulfide (SSC)'!$S10,'Tables - Part 2'!$AX$5:$BA$5,0)))+(INDEX('Tables - Part 2'!$BB$17:$BE$24,MATCH('SCC_Sulfide (SSC)'!$V10,'Tables - Part 2'!$AV$6:$AV$13,0),MATCH('SCC_Sulfide (SSC)'!$S10,'Tables - Part 2'!$AX$5:$BA$5,0))+INDEX('Tables - Part 2'!$BF$17:$BI$24,MATCH('SCC_Sulfide (SSC)'!$V10,'Tables - Part 2'!$AV$6:$AV$13,0),MATCH('SCC_Sulfide (SSC)'!$S10,'Tables - Part 2'!$AX$5:$BA$5,0)))/2)/2,0)</f>
        <v>0</v>
      </c>
      <c r="BK10" s="248">
        <f>IF($R10=$BK$3,((((INDEX('Tables - Part 2'!$BB$17:$BE$24,MATCH('SCC_Sulfide (SSC)'!$V10,'Tables - Part 2'!$AV$6:$AV$13,0),MATCH('SCC_Sulfide (SSC)'!$S10,'Tables - Part 2'!$AX$5:$BA$5,0)))+(INDEX('Tables - Part 2'!$BB$17:$BE$24,MATCH('SCC_Sulfide (SSC)'!$V10,'Tables - Part 2'!$AV$6:$AV$13,0),MATCH('SCC_Sulfide (SSC)'!$S10,'Tables - Part 2'!$AX$5:$BA$5,0))+INDEX('Tables - Part 2'!$BF$17:$BI$24,MATCH('SCC_Sulfide (SSC)'!$V10,'Tables - Part 2'!$AV$6:$AV$13,0),MATCH('SCC_Sulfide (SSC)'!$S10,'Tables - Part 2'!$AX$5:$BA$5,0)))/2)/2)+((INDEX('Tables - Part 2'!$BB$17:$BE$24,MATCH('SCC_Sulfide (SSC)'!$V10,'Tables - Part 2'!$AV$6:$AV$13,0),MATCH('SCC_Sulfide (SSC)'!$S10,'Tables - Part 2'!$AX$5:$BA$5,0))+INDEX('Tables - Part 2'!$BF$17:$BI$24,MATCH('SCC_Sulfide (SSC)'!$V10,'Tables - Part 2'!$AV$6:$AV$13,0),MATCH('SCC_Sulfide (SSC)'!$S10,'Tables - Part 2'!$AX$5:$BA$5,0)))/2))/2,0)</f>
        <v>0</v>
      </c>
      <c r="BL10" s="248">
        <f>IF($R10=$BL$3,(INDEX('Tables - Part 2'!$BB$17:$BE$24,MATCH('SCC_Sulfide (SSC)'!$V10,'Tables - Part 2'!$AV$6:$AV$13,0),MATCH('SCC_Sulfide (SSC)'!$S10,'Tables - Part 2'!$AX$5:$BA$5,0))+INDEX('Tables - Part 2'!$BF$17:$BI$24,MATCH('SCC_Sulfide (SSC)'!$V10,'Tables - Part 2'!$AV$6:$AV$13,0),MATCH('SCC_Sulfide (SSC)'!$S10,'Tables - Part 2'!$AX$5:$BA$5,0)))/2,0)</f>
        <v>0</v>
      </c>
      <c r="BM10" s="248">
        <f>IF($R10=$BM$3,(((INDEX('Tables - Part 2'!$BB$17:$BE$24,MATCH('SCC_Sulfide (SSC)'!$V10,'Tables - Part 2'!$AV$6:$AV$13,0),MATCH('SCC_Sulfide (SSC)'!$S10,'Tables - Part 2'!$AX$5:$BA$5,0))+INDEX('Tables - Part 2'!$BF$17:$BI$24,MATCH('SCC_Sulfide (SSC)'!$V10,'Tables - Part 2'!$AV$6:$AV$13,0),MATCH('SCC_Sulfide (SSC)'!$S10,'Tables - Part 2'!$AX$5:$BA$5,0)))/2)+((((INDEX('Tables - Part 2'!$BB$17:$BE$24,MATCH('SCC_Sulfide (SSC)'!$V10,'Tables - Part 2'!$AV$6:$AV$13,0),MATCH('SCC_Sulfide (SSC)'!$S10,'Tables - Part 2'!$AX$5:$BA$5,0))+INDEX('Tables - Part 2'!$BF$17:$BI$24,MATCH('SCC_Sulfide (SSC)'!$V10,'Tables - Part 2'!$AV$6:$AV$13,0),MATCH('SCC_Sulfide (SSC)'!$S10,'Tables - Part 2'!$AX$5:$BA$5,0)))/2)+INDEX('Tables - Part 2'!$BF$17:$BI$24,MATCH('SCC_Sulfide (SSC)'!$V10,'Tables - Part 2'!$AV$6:$AV$13,0),MATCH('SCC_Sulfide (SSC)'!$S10,'Tables - Part 2'!$AX$5:$BA$5,0)))/2))/2,0)</f>
        <v>0</v>
      </c>
      <c r="BN10" s="248">
        <f>IF($R10=$BN$3,(((INDEX('Tables - Part 2'!$BB$17:$BE$24,MATCH('SCC_Sulfide (SSC)'!$V10,'Tables - Part 2'!$AV$6:$AV$13,0),MATCH('SCC_Sulfide (SSC)'!$S10,'Tables - Part 2'!$AX$5:$BA$5,0))+INDEX('Tables - Part 2'!$BF$17:$BI$24,MATCH('SCC_Sulfide (SSC)'!$V10,'Tables - Part 2'!$AV$6:$AV$13,0),MATCH('SCC_Sulfide (SSC)'!$S10,'Tables - Part 2'!$AX$5:$BA$5,0)))/2)+INDEX('Tables - Part 2'!$BF$17:$BI$24,MATCH('SCC_Sulfide (SSC)'!$V10,'Tables - Part 2'!$AV$6:$AV$13,0),MATCH('SCC_Sulfide (SSC)'!$S10,'Tables - Part 2'!$AX$5:$BA$5,0)))/2,0)</f>
        <v>0</v>
      </c>
      <c r="BO10" s="248">
        <f>IF($R10=$BO$3,(((((INDEX('Tables - Part 2'!$BB$17:$BE$24,MATCH('SCC_Sulfide (SSC)'!$V10,'Tables - Part 2'!$AV$6:$AV$13,0),MATCH('SCC_Sulfide (SSC)'!$S10,'Tables - Part 2'!$AX$5:$BA$5,0))+INDEX('Tables - Part 2'!$BF$17:$BI$24,MATCH('SCC_Sulfide (SSC)'!$V10,'Tables - Part 2'!$AV$6:$AV$13,0),MATCH('SCC_Sulfide (SSC)'!$S10,'Tables - Part 2'!$AX$5:$BA$5,0)))/2)+INDEX('Tables - Part 2'!$BF$17:$BI$24,MATCH('SCC_Sulfide (SSC)'!$V10,'Tables - Part 2'!$AV$6:$AV$13,0),MATCH('SCC_Sulfide (SSC)'!$S10,'Tables - Part 2'!$AX$5:$BA$5,0)))/2)+(INDEX('Tables - Part 2'!$BF$17:$BI$24,MATCH('SCC_Sulfide (SSC)'!$V10,'Tables - Part 2'!$AV$6:$AV$13,0),MATCH('SCC_Sulfide (SSC)'!$S10,'Tables - Part 2'!$AX$5:$BA$5,0))))/2,0)</f>
        <v>0</v>
      </c>
      <c r="BP10" s="248">
        <f>IF($R10=$BP$3,INDEX('Tables - Part 2'!$BF$17:$BI$24,MATCH('SCC_Sulfide (SSC)'!$V10,'Tables - Part 2'!$AV$6:$AV$13,0),MATCH('SCC_Sulfide (SSC)'!$S10,'Tables - Part 2'!$AX$5:$BA$5,0)),0)</f>
        <v>0</v>
      </c>
      <c r="BQ10" s="248">
        <f t="shared" si="6"/>
        <v>0</v>
      </c>
      <c r="BR10" s="238">
        <f t="shared" si="8"/>
        <v>1</v>
      </c>
      <c r="BS10" s="238">
        <f t="shared" si="7"/>
        <v>16.77288246840839</v>
      </c>
    </row>
    <row r="11" spans="2:84" x14ac:dyDescent="0.35">
      <c r="B11" s="161" t="str">
        <f>'Tratamento de Dados'!B19</f>
        <v>V-2</v>
      </c>
      <c r="C11" s="161" t="str">
        <f>'Tratamento de Dados'!D19</f>
        <v>Casco</v>
      </c>
      <c r="D11" s="209" t="s">
        <v>245</v>
      </c>
      <c r="E11" s="209" t="s">
        <v>61</v>
      </c>
      <c r="F11" s="209" t="s">
        <v>836</v>
      </c>
      <c r="G11" s="209" t="s">
        <v>832</v>
      </c>
      <c r="H11" s="209" t="s">
        <v>245</v>
      </c>
      <c r="I11" s="209" t="s">
        <v>1113</v>
      </c>
      <c r="J11" s="209" t="s">
        <v>245</v>
      </c>
      <c r="K11" s="210">
        <v>39092</v>
      </c>
      <c r="L11" s="209">
        <v>0</v>
      </c>
      <c r="M11" s="209">
        <v>1</v>
      </c>
      <c r="N11" s="209">
        <v>1</v>
      </c>
      <c r="O11" s="209">
        <v>4</v>
      </c>
      <c r="P11" s="253">
        <f>'Tratamento de Dados'!DA19</f>
        <v>0</v>
      </c>
      <c r="Q11" s="253">
        <f>'Tratamento de Dados'!DB19</f>
        <v>0</v>
      </c>
      <c r="R11" s="256">
        <f t="shared" si="0"/>
        <v>2.5</v>
      </c>
      <c r="S11" s="246" t="str">
        <f t="shared" si="1"/>
        <v>B</v>
      </c>
      <c r="T11" s="238" t="str">
        <f>IF(D11=$BX$2,$BV$4,IF(AND(H11=$BX$2,OR(F11='Tables - Part 2'!$BN$8,'Tables - Part 2'!$BN$9),OR('SCC_Sulfide (SSC)'!G11='Tables - Part 2'!$BQ$4,'SCC_Sulfide (SSC)'!G11='Tables - Part 2'!$BR$4)),$BV$4,INDEX('Tables - Part 2'!$BO$5:$BR$9,MATCH('SCC_Sulfide (SSC)'!F11,'Tables - Part 2'!$BN$5:$BN$9,0),MATCH('SCC_Sulfide (SSC)'!G11,'Tables - Part 2'!$BO$4:$BR$4,0))))</f>
        <v>Moderate</v>
      </c>
      <c r="U11" s="238" t="str">
        <f>IF(D11=$BX$2,$BV$4,IF(J11=$BX$2,INDEX('Tables - Part 2'!$BX$6:$BZ$8,MATCH('SCC_Sulfide (SSC)'!T11,'Tables - Part 2'!$BT$6:$BT$8,0),MATCH('SCC_Sulfide (SSC)'!I11,'Tables - Part 2'!$BX$5:$BZ$5,0)),INDEX('Tables - Part 2'!$BU$6:$BW$8,MATCH('SCC_Sulfide (SSC)'!T11,'Tables - Part 2'!$BT$6:$BT$8,0),MATCH('SCC_Sulfide (SSC)'!I11,'Tables - Part 2'!$BU$5:$BW$5,0))))</f>
        <v>Medium</v>
      </c>
      <c r="V11" s="238">
        <f>IF(AND(D11=$BX$2,E11&lt;&gt;$BX$2),"Fitness-For-Service",INDEX('Tables - Part 2'!$CC$4:$CC$7,MATCH('SCC_Sulfide (SSC)'!U11,'Tables - Part 2'!$CB$4:$CB$7,0),))</f>
        <v>10</v>
      </c>
      <c r="W11" s="238">
        <f>IF(K11=0,(Thinning!G12-Thinning!F12)/365.25,(Thinning!G12-K11)/365.25)</f>
        <v>12.980150581793293</v>
      </c>
      <c r="X11" s="248">
        <f t="shared" si="2"/>
        <v>0</v>
      </c>
      <c r="Y11" s="248">
        <f t="shared" si="3"/>
        <v>2.5</v>
      </c>
      <c r="Z11" s="248">
        <f t="shared" si="4"/>
        <v>3</v>
      </c>
      <c r="AA11" s="247">
        <f t="shared" si="5"/>
        <v>4</v>
      </c>
      <c r="AB11" s="248">
        <f>IF($R11=$AB$3,INDEX('Tables - Part 2'!$AX$6:$BA$13,MATCH('SCC_Sulfide (SSC)'!V11,'Tables - Part 2'!$AV$6:$AV$13,0),MATCH('SCC_Sulfide (SSC)'!S11,'Tables - Part 2'!$AX$5:$BA$5,0)),0)</f>
        <v>0</v>
      </c>
      <c r="AC11" s="248">
        <f>IF($R11=$AC$3,(INDEX('Tables - Part 2'!$AX$6:$BA$13,MATCH('SCC_Sulfide (SSC)'!V11,'Tables - Part 2'!$AV$6:$AV$13,0),MATCH('SCC_Sulfide (SSC)'!S11,'Tables - Part 2'!$AX$5:$BA$5,0))+(INDEX('Tables - Part 2'!$AX$6:$BA$13,MATCH('SCC_Sulfide (SSC)'!V11,'Tables - Part 2'!$AV$6:$AV$13,0),MATCH('SCC_Sulfide (SSC)'!S11,'Tables - Part 2'!$AX$5:$BA$5,0))+((INDEX('Tables - Part 2'!$AX$6:$BA$13,MATCH('SCC_Sulfide (SSC)'!V11,'Tables - Part 2'!$AV$6:$AV$13,0),MATCH('SCC_Sulfide (SSC)'!S11,'Tables - Part 2'!$AX$5:$BA$5,0))+INDEX('Tables - Part 2'!$BB$6:$BE$13,MATCH('SCC_Sulfide (SSC)'!$V11,'Tables - Part 2'!$AV$6:$AV$13,0),MATCH('SCC_Sulfide (SSC)'!$S11,'Tables - Part 2'!$AX$5:$BA$5,0)))/2))/2)/2,0)</f>
        <v>0</v>
      </c>
      <c r="AD11" s="248">
        <f>IF($R11=$AD$3,(INDEX('Tables - Part 2'!$AX$6:$BA$13,MATCH('SCC_Sulfide (SSC)'!V11,'Tables - Part 2'!$AV$6:$AV$13,0),MATCH('SCC_Sulfide (SSC)'!S11,'Tables - Part 2'!$AX$5:$BA$5,0))+((INDEX('Tables - Part 2'!$AX$6:$BA$13,MATCH('SCC_Sulfide (SSC)'!V11,'Tables - Part 2'!$AV$6:$AV$13,0),MATCH('SCC_Sulfide (SSC)'!S11,'Tables - Part 2'!$AX$5:$BA$5,0))+INDEX('Tables - Part 2'!$BB$6:$BE$13,MATCH('SCC_Sulfide (SSC)'!$V11,'Tables - Part 2'!$AV$6:$AV$13,0),MATCH('SCC_Sulfide (SSC)'!$S11,'Tables - Part 2'!$AX$5:$BA$5,0)))/2))/2,0)</f>
        <v>0</v>
      </c>
      <c r="AE11" s="248">
        <f>IF($R11=$AE$3,(((INDEX('Tables - Part 2'!$AX$6:$BA$13,MATCH('SCC_Sulfide (SSC)'!V11,'Tables - Part 2'!$AV$6:$AV$13,0),MATCH('SCC_Sulfide (SSC)'!S11,'Tables - Part 2'!$AX$5:$BA$5,0))+((INDEX('Tables - Part 2'!$AX$6:$BA$13,MATCH('SCC_Sulfide (SSC)'!V11,'Tables - Part 2'!$AV$6:$AV$13,0),MATCH('SCC_Sulfide (SSC)'!S11,'Tables - Part 2'!$AX$5:$BA$5,0))+INDEX('Tables - Part 2'!$BB$6:$BE$13,MATCH('SCC_Sulfide (SSC)'!$V11,'Tables - Part 2'!$AV$6:$AV$13,0),MATCH('SCC_Sulfide (SSC)'!$S11,'Tables - Part 2'!$AX$5:$BA$5,0)))/2))/2)+(INDEX('Tables - Part 2'!$AX$6:$BA$13,MATCH('SCC_Sulfide (SSC)'!V11,'Tables - Part 2'!$AV$6:$AV$13,0),MATCH('SCC_Sulfide (SSC)'!S11,'Tables - Part 2'!$AX$5:$BA$5,0))+INDEX('Tables - Part 2'!$BB$6:$BE$13,MATCH('SCC_Sulfide (SSC)'!$V11,'Tables - Part 2'!$AV$6:$AV$13,0),MATCH('SCC_Sulfide (SSC)'!$S11,'Tables - Part 2'!$AX$5:$BA$5,0)))/2)/2,0)</f>
        <v>0</v>
      </c>
      <c r="AF11" s="248">
        <f>IF($R11=$AF$3,(INDEX('Tables - Part 2'!$AX$6:$BA$13,MATCH('SCC_Sulfide (SSC)'!V11,'Tables - Part 2'!$AV$6:$AV$13,0),MATCH('SCC_Sulfide (SSC)'!S11,'Tables - Part 2'!$AX$5:$BA$5,0))+INDEX('Tables - Part 2'!$BB$6:$BE$13,MATCH('SCC_Sulfide (SSC)'!$V11,'Tables - Part 2'!$AV$6:$AV$13,0),MATCH('SCC_Sulfide (SSC)'!$S11,'Tables - Part 2'!$AX$5:$BA$5,0)))/2,0)</f>
        <v>0</v>
      </c>
      <c r="AG11" s="248">
        <f>IF($R11=$AG$3,(((INDEX('Tables - Part 2'!$AX$6:$BA$13,MATCH('SCC_Sulfide (SSC)'!V11,'Tables - Part 2'!$AV$6:$AV$13,0),MATCH('SCC_Sulfide (SSC)'!S11,'Tables - Part 2'!$AX$5:$BA$5,0))+INDEX('Tables - Part 2'!$BB$6:$BE$13,MATCH('SCC_Sulfide (SSC)'!$V11,'Tables - Part 2'!$AV$6:$AV$13,0),MATCH('SCC_Sulfide (SSC)'!$S11,'Tables - Part 2'!$AX$5:$BA$5,0)))/2)+(((INDEX('Tables - Part 2'!$AX$6:$BA$13,MATCH('SCC_Sulfide (SSC)'!V11,'Tables - Part 2'!$AV$6:$AV$13,0),MATCH('SCC_Sulfide (SSC)'!S11,'Tables - Part 2'!$AX$5:$BA$5,0))+INDEX('Tables - Part 2'!$BB$6:$BE$13,MATCH('SCC_Sulfide (SSC)'!$V11,'Tables - Part 2'!$AV$6:$AV$13,0),MATCH('SCC_Sulfide (SSC)'!$S11,'Tables - Part 2'!$AX$5:$BA$5,0)))/2)+INDEX('Tables - Part 2'!$BB$6:$BE$13,MATCH('SCC_Sulfide (SSC)'!$V11,'Tables - Part 2'!$AV$6:$AV$13,0),MATCH('SCC_Sulfide (SSC)'!$S11,'Tables - Part 2'!$AX$5:$BA$5,0)))/2)/2,0)</f>
        <v>0</v>
      </c>
      <c r="AH11" s="248">
        <f>IF($R11=$AH$3,(((INDEX('Tables - Part 2'!$AX$6:$BA$13,MATCH('SCC_Sulfide (SSC)'!V11,'Tables - Part 2'!$AV$6:$AV$13,0),MATCH('SCC_Sulfide (SSC)'!S11,'Tables - Part 2'!$AX$5:$BA$5,0))+INDEX('Tables - Part 2'!$BB$6:$BE$13,MATCH('SCC_Sulfide (SSC)'!$V11,'Tables - Part 2'!$AV$6:$AV$13,0),MATCH('SCC_Sulfide (SSC)'!$S11,'Tables - Part 2'!$AX$5:$BA$5,0)))/2)+INDEX('Tables - Part 2'!$BB$6:$BE$13,MATCH('SCC_Sulfide (SSC)'!$V11,'Tables - Part 2'!$AV$6:$AV$13,0),MATCH('SCC_Sulfide (SSC)'!$S11,'Tables - Part 2'!$AX$5:$BA$5,0)))/2,0)</f>
        <v>0</v>
      </c>
      <c r="AI11" s="248">
        <f>IF($R11=$AI$3,(((((INDEX('Tables - Part 2'!$AX$6:$BA$13,MATCH('SCC_Sulfide (SSC)'!V11,'Tables - Part 2'!$AV$6:$AV$13,0),MATCH('SCC_Sulfide (SSC)'!S11,'Tables - Part 2'!$AX$5:$BA$5,0))+INDEX('Tables - Part 2'!$BB$6:$BE$13,MATCH('SCC_Sulfide (SSC)'!$V11,'Tables - Part 2'!$AV$6:$AV$13,0),MATCH('SCC_Sulfide (SSC)'!$S11,'Tables - Part 2'!$AX$5:$BA$5,0)))/2)+INDEX('Tables - Part 2'!$BB$6:$BE$13,MATCH('SCC_Sulfide (SSC)'!$V11,'Tables - Part 2'!$AV$6:$AV$13,0),MATCH('SCC_Sulfide (SSC)'!$S11,'Tables - Part 2'!$AX$5:$BA$5,0)))/2)+INDEX('Tables - Part 2'!$BB$6:$BE$13,MATCH('SCC_Sulfide (SSC)'!$V11,'Tables - Part 2'!$AV$6:$AV$13,0),MATCH('SCC_Sulfide (SSC)'!$S11,'Tables - Part 2'!$AX$5:$BA$5,0)))/2,0)</f>
        <v>0</v>
      </c>
      <c r="AJ11" s="248">
        <f>IF($R11=$AJ$3,INDEX('Tables - Part 2'!$BB$6:$BE$13,MATCH('SCC_Sulfide (SSC)'!$V11,'Tables - Part 2'!$AV$6:$AV$13,0),MATCH('SCC_Sulfide (SSC)'!$S11,'Tables - Part 2'!$AX$5:$BA$5,0)),0)</f>
        <v>0</v>
      </c>
      <c r="AK11" s="248">
        <f>IF($R11=$AK$3,((INDEX('Tables - Part 2'!$BB$6:$BE$13,MATCH('SCC_Sulfide (SSC)'!$V11,'Tables - Part 2'!$AV$6:$AV$13,0),MATCH('SCC_Sulfide (SSC)'!$S11,'Tables - Part 2'!$AX$5:$BA$5,0)))+(INDEX('Tables - Part 2'!$BB$6:$BE$13,MATCH('SCC_Sulfide (SSC)'!$V11,'Tables - Part 2'!$AV$6:$AV$13,0),MATCH('SCC_Sulfide (SSC)'!$S11,'Tables - Part 2'!$AX$5:$BA$5,0))+(INDEX('Tables - Part 2'!$BB$6:$BE$13,MATCH('SCC_Sulfide (SSC)'!$V11,'Tables - Part 2'!$AV$6:$AV$13,0),MATCH('SCC_Sulfide (SSC)'!$S11,'Tables - Part 2'!$AX$5:$BA$5,0))+INDEX('Tables - Part 2'!$BF$6:$BI$13,MATCH('SCC_Sulfide (SSC)'!$V11,'Tables - Part 2'!$AV$6:$AV$13,0),MATCH('SCC_Sulfide (SSC)'!$S11,'Tables - Part 2'!$AX$5:$BA$5,0)))/2)/2)/2,0)</f>
        <v>0</v>
      </c>
      <c r="AL11" s="248">
        <f>IF($R11=$AL$3,(INDEX('Tables - Part 2'!$BB$6:$BE$13,MATCH('SCC_Sulfide (SSC)'!$V11,'Tables - Part 2'!$AV$6:$AV$13,0),MATCH('SCC_Sulfide (SSC)'!$S11,'Tables - Part 2'!$AX$5:$BA$5,0))+(INDEX('Tables - Part 2'!$BB$6:$BE$13,MATCH('SCC_Sulfide (SSC)'!$V11,'Tables - Part 2'!$AV$6:$AV$13,0),MATCH('SCC_Sulfide (SSC)'!$S11,'Tables - Part 2'!$AX$5:$BA$5,0))+INDEX('Tables - Part 2'!$BF$6:$BI$13,MATCH('SCC_Sulfide (SSC)'!$V11,'Tables - Part 2'!$AV$6:$AV$13,0),MATCH('SCC_Sulfide (SSC)'!$S11,'Tables - Part 2'!$AX$5:$BA$5,0)))/2)/2,0)</f>
        <v>0</v>
      </c>
      <c r="AM11" s="248">
        <f>IF($R11=$AM$3,(((INDEX('Tables - Part 2'!$BB$6:$BE$13,MATCH('SCC_Sulfide (SSC)'!$V11,'Tables - Part 2'!$AV$6:$AV$13,0),MATCH('SCC_Sulfide (SSC)'!$S11,'Tables - Part 2'!$AX$5:$BA$5,0))+(INDEX('Tables - Part 2'!$BB$6:$BE$13,MATCH('SCC_Sulfide (SSC)'!$V11,'Tables - Part 2'!$AV$6:$AV$13,0),MATCH('SCC_Sulfide (SSC)'!$S11,'Tables - Part 2'!$AX$5:$BA$5,0))+INDEX('Tables - Part 2'!$BF$6:$BI$13,MATCH('SCC_Sulfide (SSC)'!$V11,'Tables - Part 2'!$AV$6:$AV$13,0),MATCH('SCC_Sulfide (SSC)'!$S11,'Tables - Part 2'!$AX$5:$BA$5,0)))/2)/2)+((INDEX('Tables - Part 2'!$BB$6:$BE$13,MATCH('SCC_Sulfide (SSC)'!$V11,'Tables - Part 2'!$AV$6:$AV$13,0),MATCH('SCC_Sulfide (SSC)'!$S11,'Tables - Part 2'!$AX$5:$BA$5,0))+INDEX('Tables - Part 2'!$BF$6:$BI$13,MATCH('SCC_Sulfide (SSC)'!$V11,'Tables - Part 2'!$AV$6:$AV$13,0),MATCH('SCC_Sulfide (SSC)'!$S11,'Tables - Part 2'!$AX$5:$BA$5,0)))/2))/2,0)</f>
        <v>0</v>
      </c>
      <c r="AN11" s="248">
        <f>IF($R11=$AN$3,(INDEX('Tables - Part 2'!$BB$6:$BE$13,MATCH('SCC_Sulfide (SSC)'!$V11,'Tables - Part 2'!$AV$6:$AV$13,0),MATCH('SCC_Sulfide (SSC)'!$S11,'Tables - Part 2'!$AX$5:$BA$5,0))+INDEX('Tables - Part 2'!$BF$6:$BI$13,MATCH('SCC_Sulfide (SSC)'!$V11,'Tables - Part 2'!$AV$6:$AV$13,0),MATCH('SCC_Sulfide (SSC)'!$S11,'Tables - Part 2'!$AX$5:$BA$5,0)))/2,0)</f>
        <v>1</v>
      </c>
      <c r="AO11" s="248">
        <f>IF($R11=$AO$3,(((INDEX('Tables - Part 2'!$BB$6:$BE$13,MATCH('SCC_Sulfide (SSC)'!$V11,'Tables - Part 2'!$AV$6:$AV$13,0),MATCH('SCC_Sulfide (SSC)'!$S11,'Tables - Part 2'!$AX$5:$BA$5,0))+INDEX('Tables - Part 2'!$BF$6:$BI$13,MATCH('SCC_Sulfide (SSC)'!$V11,'Tables - Part 2'!$AV$6:$AV$13,0),MATCH('SCC_Sulfide (SSC)'!$S11,'Tables - Part 2'!$AX$5:$BA$5,0)))/2)+((((INDEX('Tables - Part 2'!$BB$6:$BE$13,MATCH('SCC_Sulfide (SSC)'!$V11,'Tables - Part 2'!$AV$6:$AV$13,0),MATCH('SCC_Sulfide (SSC)'!$S11,'Tables - Part 2'!$AX$5:$BA$5,0))+INDEX('Tables - Part 2'!$BF$6:$BI$13,MATCH('SCC_Sulfide (SSC)'!$V11,'Tables - Part 2'!$AV$6:$AV$13,0),MATCH('SCC_Sulfide (SSC)'!$S11,'Tables - Part 2'!$AX$5:$BA$5,0)))/2)+INDEX('Tables - Part 2'!$BF$6:$BI$13,MATCH('SCC_Sulfide (SSC)'!$V11,'Tables - Part 2'!$AV$6:$AV$13,0),MATCH('SCC_Sulfide (SSC)'!$S11,'Tables - Part 2'!$AX$5:$BA$5,0)))/2))/2,0)</f>
        <v>0</v>
      </c>
      <c r="AP11" s="248">
        <f>IF($R11=$AP$3,(((INDEX('Tables - Part 2'!$BB$6:$BE$13,MATCH('SCC_Sulfide (SSC)'!$V11,'Tables - Part 2'!$AV$6:$AV$13,0),MATCH('SCC_Sulfide (SSC)'!$S11,'Tables - Part 2'!$AX$5:$BA$5,0))+INDEX('Tables - Part 2'!$BF$6:$BI$13,MATCH('SCC_Sulfide (SSC)'!$V11,'Tables - Part 2'!$AV$6:$AV$13,0),MATCH('SCC_Sulfide (SSC)'!$S11,'Tables - Part 2'!$AX$5:$BA$5,0)))/2)+INDEX('Tables - Part 2'!$BF$6:$BI$13,MATCH('SCC_Sulfide (SSC)'!$V11,'Tables - Part 2'!$AV$6:$AV$13,0),MATCH('SCC_Sulfide (SSC)'!$S11,'Tables - Part 2'!$AX$5:$BA$5,0)))/2,0)</f>
        <v>0</v>
      </c>
      <c r="AQ11" s="248">
        <f>IF($R11=$AQ$3,(((((INDEX('Tables - Part 2'!$BB$6:$BE$13,MATCH('SCC_Sulfide (SSC)'!$V11,'Tables - Part 2'!$AV$6:$AV$13,0),MATCH('SCC_Sulfide (SSC)'!$S11,'Tables - Part 2'!$AX$5:$BA$5,0))+INDEX('Tables - Part 2'!$BF$6:$BI$13,MATCH('SCC_Sulfide (SSC)'!$V11,'Tables - Part 2'!$AV$6:$AV$13,0),MATCH('SCC_Sulfide (SSC)'!$S11,'Tables - Part 2'!$AX$5:$BA$5,0)))/2)+INDEX('Tables - Part 2'!$BF$6:$BI$13,MATCH('SCC_Sulfide (SSC)'!$V11,'Tables - Part 2'!$AV$6:$AV$13,0),MATCH('SCC_Sulfide (SSC)'!$S11,'Tables - Part 2'!$AX$5:$BA$5,0)))/2)+INDEX('Tables - Part 2'!$BF$6:$BI$13,MATCH('SCC_Sulfide (SSC)'!$V11,'Tables - Part 2'!$AV$6:$AV$13,0),MATCH('SCC_Sulfide (SSC)'!$S11,'Tables - Part 2'!$AX$5:$BA$5,0)))/2,0)</f>
        <v>0</v>
      </c>
      <c r="AR11" s="248">
        <f>IF($R11=$AR$3,INDEX('Tables - Part 2'!$BF$6:$BI$13,MATCH('SCC_Sulfide (SSC)'!$V11,'Tables - Part 2'!$AV$6:$AV$13,0),MATCH('SCC_Sulfide (SSC)'!$S11,'Tables - Part 2'!$AX$5:$BA$5,0)),0)</f>
        <v>0</v>
      </c>
      <c r="AS11" s="248">
        <f>IF($R11=$AS$3,(INDEX('Tables - Part 2'!$BF$6:$BI$13,MATCH('SCC_Sulfide (SSC)'!$V11,'Tables - Part 2'!$AV$6:$AV$13,0),MATCH('SCC_Sulfide (SSC)'!$S11,'Tables - Part 2'!$AX$5:$BA$5,0))+((INDEX('Tables - Part 2'!$BF$6:$BI$13,MATCH('SCC_Sulfide (SSC)'!$V11,'Tables - Part 2'!$AV$6:$AV$13,0),MATCH('SCC_Sulfide (SSC)'!$S11,'Tables - Part 2'!$AX$5:$BA$5,0))+(INDEX('Tables - Part 2'!$BF$6:$BI$13,MATCH('SCC_Sulfide (SSC)'!$V11,'Tables - Part 2'!$AV$6:$AV$13,0),MATCH('SCC_Sulfide (SSC)'!$S11,'Tables - Part 2'!$AX$5:$BA$5,0))+INDEX('Tables - Part 2'!$AX$17:$BA$24,MATCH('SCC_Sulfide (SSC)'!$V11,'Tables - Part 2'!$AV$6:$AV$13,0),MATCH('SCC_Sulfide (SSC)'!$S11,'Tables - Part 2'!$AX$5:$BA$5,0)))/2)/2))/2,0)</f>
        <v>0</v>
      </c>
      <c r="AT11" s="248">
        <f>IF($R11=$AT$3,(INDEX('Tables - Part 2'!$BF$6:$BI$13,MATCH('SCC_Sulfide (SSC)'!$V11,'Tables - Part 2'!$AV$6:$AV$13,0),MATCH('SCC_Sulfide (SSC)'!$S11,'Tables - Part 2'!$AX$5:$BA$5,0))+(INDEX('Tables - Part 2'!$BF$6:$BI$13,MATCH('SCC_Sulfide (SSC)'!$V11,'Tables - Part 2'!$AV$6:$AV$13,0),MATCH('SCC_Sulfide (SSC)'!$S11,'Tables - Part 2'!$AX$5:$BA$5,0))+INDEX('Tables - Part 2'!$AX$17:$BA$24,MATCH('SCC_Sulfide (SSC)'!$V11,'Tables - Part 2'!$AV$6:$AV$13,0),MATCH('SCC_Sulfide (SSC)'!$S11,'Tables - Part 2'!$AX$5:$BA$5,0)))/2)/2,0)</f>
        <v>0</v>
      </c>
      <c r="AU11" s="248">
        <f>IF($R11=$AU$3,(((INDEX('Tables - Part 2'!$BF$6:$BI$13,MATCH('SCC_Sulfide (SSC)'!$V11,'Tables - Part 2'!$AV$6:$AV$13,0),MATCH('SCC_Sulfide (SSC)'!$S11,'Tables - Part 2'!$AX$5:$BA$5,0))+(INDEX('Tables - Part 2'!$BF$6:$BI$13,MATCH('SCC_Sulfide (SSC)'!$V11,'Tables - Part 2'!$AV$6:$AV$13,0),MATCH('SCC_Sulfide (SSC)'!$S11,'Tables - Part 2'!$AX$5:$BA$5,0))+INDEX('Tables - Part 2'!$AX$17:$BA$24,MATCH('SCC_Sulfide (SSC)'!$V11,'Tables - Part 2'!$AV$6:$AV$13,0),MATCH('SCC_Sulfide (SSC)'!$S11,'Tables - Part 2'!$AX$5:$BA$5,0)))/2)/2)+((INDEX('Tables - Part 2'!$BF$6:$BI$13,MATCH('SCC_Sulfide (SSC)'!$V11,'Tables - Part 2'!$AV$6:$AV$13,0),MATCH('SCC_Sulfide (SSC)'!$S11,'Tables - Part 2'!$AX$5:$BA$5,0))+INDEX('Tables - Part 2'!$AX$17:$BA$24,MATCH('SCC_Sulfide (SSC)'!$V11,'Tables - Part 2'!$AV$6:$AV$13,0),MATCH('SCC_Sulfide (SSC)'!$S11,'Tables - Part 2'!$AX$5:$BA$5,0)))/2))/2,0)</f>
        <v>0</v>
      </c>
      <c r="AV11" s="248">
        <f>IF($R11=$AV$3,(INDEX('Tables - Part 2'!$BF$6:$BI$13,MATCH('SCC_Sulfide (SSC)'!$V11,'Tables - Part 2'!$AV$6:$AV$13,0),MATCH('SCC_Sulfide (SSC)'!$S11,'Tables - Part 2'!$AX$5:$BA$5,0))+INDEX('Tables - Part 2'!$AX$17:$BA$24,MATCH('SCC_Sulfide (SSC)'!$V11,'Tables - Part 2'!$AV$6:$AV$13,0),MATCH('SCC_Sulfide (SSC)'!$S11,'Tables - Part 2'!$AX$5:$BA$5,0)))/2,0)</f>
        <v>0</v>
      </c>
      <c r="AW11" s="248">
        <f>IF($R11=$AW$3,(((INDEX('Tables - Part 2'!$BF$6:$BI$13,MATCH('SCC_Sulfide (SSC)'!$V11,'Tables - Part 2'!$AV$6:$AV$13,0),MATCH('SCC_Sulfide (SSC)'!$S11,'Tables - Part 2'!$AX$5:$BA$5,0))+INDEX('Tables - Part 2'!$AX$17:$BA$24,MATCH('SCC_Sulfide (SSC)'!$V11,'Tables - Part 2'!$AV$6:$AV$13,0),MATCH('SCC_Sulfide (SSC)'!$S11,'Tables - Part 2'!$AX$5:$BA$5,0)))/2)+((((INDEX('Tables - Part 2'!$BF$6:$BI$13,MATCH('SCC_Sulfide (SSC)'!$V11,'Tables - Part 2'!$AV$6:$AV$13,0),MATCH('SCC_Sulfide (SSC)'!$S11,'Tables - Part 2'!$AX$5:$BA$5,0))+INDEX('Tables - Part 2'!$AX$17:$BA$24,MATCH('SCC_Sulfide (SSC)'!$V11,'Tables - Part 2'!$AV$6:$AV$13,0),MATCH('SCC_Sulfide (SSC)'!$S11,'Tables - Part 2'!$AX$5:$BA$5,0)))/2)+INDEX('Tables - Part 2'!$AX$17:$BA$24,MATCH('SCC_Sulfide (SSC)'!$V11,'Tables - Part 2'!$AV$6:$AV$13,0),MATCH('SCC_Sulfide (SSC)'!$S11,'Tables - Part 2'!$AX$5:$BA$5,0)))/2))/2,0)</f>
        <v>0</v>
      </c>
      <c r="AX11" s="248">
        <f>IF($R11=$AX$3,(((INDEX('Tables - Part 2'!$BF$6:$BI$13,MATCH('SCC_Sulfide (SSC)'!$V11,'Tables - Part 2'!$AV$6:$AV$13,0),MATCH('SCC_Sulfide (SSC)'!$S11,'Tables - Part 2'!$AX$5:$BA$5,0))+INDEX('Tables - Part 2'!$AX$17:$BA$24,MATCH('SCC_Sulfide (SSC)'!$V11,'Tables - Part 2'!$AV$6:$AV$13,0),MATCH('SCC_Sulfide (SSC)'!$S11,'Tables - Part 2'!$AX$5:$BA$5,0)))/2)+INDEX('Tables - Part 2'!$AX$17:$BA$24,MATCH('SCC_Sulfide (SSC)'!$V11,'Tables - Part 2'!$AV$6:$AV$13,0),MATCH('SCC_Sulfide (SSC)'!$S11,'Tables - Part 2'!$AX$5:$BA$5,0)))/2,0)</f>
        <v>0</v>
      </c>
      <c r="AY11" s="248">
        <f>IF($R11=$AY$3,(((((INDEX('Tables - Part 2'!$BF$6:$BI$13,MATCH('SCC_Sulfide (SSC)'!$V11,'Tables - Part 2'!$AV$6:$AV$13,0),MATCH('SCC_Sulfide (SSC)'!$S11,'Tables - Part 2'!$AX$5:$BA$5,0))+INDEX('Tables - Part 2'!$AX$17:$BA$24,MATCH('SCC_Sulfide (SSC)'!$V11,'Tables - Part 2'!$AV$6:$AV$13,0),MATCH('SCC_Sulfide (SSC)'!$S11,'Tables - Part 2'!$AX$5:$BA$5,0)))/2)+INDEX('Tables - Part 2'!$AX$17:$BA$24,MATCH('SCC_Sulfide (SSC)'!$V11,'Tables - Part 2'!$AV$6:$AV$13,0),MATCH('SCC_Sulfide (SSC)'!$S11,'Tables - Part 2'!$AX$5:$BA$5,0)))/2)+(INDEX('Tables - Part 2'!$AX$17:$BA$24,MATCH('SCC_Sulfide (SSC)'!$V11,'Tables - Part 2'!$AV$6:$AV$13,0),MATCH('SCC_Sulfide (SSC)'!$S11,'Tables - Part 2'!$AX$5:$BA$5,0))))/2,0)</f>
        <v>0</v>
      </c>
      <c r="AZ11" s="248">
        <f>IF($R11=$AZ$3,INDEX('Tables - Part 2'!$AX$17:$BA$24,MATCH('SCC_Sulfide (SSC)'!$V11,'Tables - Part 2'!$AV$6:$AV$13,0),MATCH('SCC_Sulfide (SSC)'!$S11,'Tables - Part 2'!$AX$5:$BA$5,0)),0)</f>
        <v>0</v>
      </c>
      <c r="BA11" s="248">
        <f>IF($R11=$BA$3,((INDEX('Tables - Part 2'!$AX$17:$BA$24,MATCH('SCC_Sulfide (SSC)'!$V11,'Tables - Part 2'!$AV$6:$AV$13,0),MATCH('SCC_Sulfide (SSC)'!$S11,'Tables - Part 2'!$AX$5:$BA$5,0)))+(((INDEX('Tables - Part 2'!$AX$17:$BA$24,MATCH('SCC_Sulfide (SSC)'!$V11,'Tables - Part 2'!$AV$6:$AV$13,0),MATCH('SCC_Sulfide (SSC)'!$S11,'Tables - Part 2'!$AX$5:$BA$5,0)))+(INDEX('Tables - Part 2'!$AX$17:$BA$24,MATCH('SCC_Sulfide (SSC)'!$V11,'Tables - Part 2'!$AV$6:$AV$13,0),MATCH('SCC_Sulfide (SSC)'!$S11,'Tables - Part 2'!$AX$5:$BA$5,0))+INDEX('Tables - Part 2'!$BB$17:$BE$24,MATCH('SCC_Sulfide (SSC)'!$V11,'Tables - Part 2'!$AV$6:$AV$13,0),MATCH('SCC_Sulfide (SSC)'!$S11,'Tables - Part 2'!$AX$5:$BA$5,0)))/2)/2))/2,0)</f>
        <v>0</v>
      </c>
      <c r="BB11" s="248">
        <f>IF($R11=$BB$3,((INDEX('Tables - Part 2'!$AX$17:$BA$24,MATCH('SCC_Sulfide (SSC)'!$V11,'Tables - Part 2'!$AV$6:$AV$13,0),MATCH('SCC_Sulfide (SSC)'!$S11,'Tables - Part 2'!$AX$5:$BA$5,0)))+(INDEX('Tables - Part 2'!$AX$17:$BA$24,MATCH('SCC_Sulfide (SSC)'!$V11,'Tables - Part 2'!$AV$6:$AV$13,0),MATCH('SCC_Sulfide (SSC)'!$S11,'Tables - Part 2'!$AX$5:$BA$5,0))+INDEX('Tables - Part 2'!$BB$17:$BE$24,MATCH('SCC_Sulfide (SSC)'!$V11,'Tables - Part 2'!$AV$6:$AV$13,0),MATCH('SCC_Sulfide (SSC)'!$S11,'Tables - Part 2'!$AX$5:$BA$5,0)))/2)/2,0)</f>
        <v>0</v>
      </c>
      <c r="BC11" s="248">
        <f>IF($R11=$BC$3,((((INDEX('Tables - Part 2'!$AX$17:$BA$24,MATCH('SCC_Sulfide (SSC)'!$V11,'Tables - Part 2'!$AV$6:$AV$13,0),MATCH('SCC_Sulfide (SSC)'!$S11,'Tables - Part 2'!$AX$5:$BA$5,0)))+(INDEX('Tables - Part 2'!$AX$17:$BA$24,MATCH('SCC_Sulfide (SSC)'!$V11,'Tables - Part 2'!$AV$6:$AV$13,0),MATCH('SCC_Sulfide (SSC)'!$S11,'Tables - Part 2'!$AX$5:$BA$5,0))+INDEX('Tables - Part 2'!$BB$17:$BE$24,MATCH('SCC_Sulfide (SSC)'!$V11,'Tables - Part 2'!$AV$6:$AV$13,0),MATCH('SCC_Sulfide (SSC)'!$S11,'Tables - Part 2'!$AX$5:$BA$5,0)))/2)/2)+((INDEX('Tables - Part 2'!$AX$17:$BA$24,MATCH('SCC_Sulfide (SSC)'!$V11,'Tables - Part 2'!$AV$6:$AV$13,0),MATCH('SCC_Sulfide (SSC)'!$S11,'Tables - Part 2'!$AX$5:$BA$5,0))+INDEX('Tables - Part 2'!$BB$17:$BE$24,MATCH('SCC_Sulfide (SSC)'!$V11,'Tables - Part 2'!$AV$6:$AV$13,0),MATCH('SCC_Sulfide (SSC)'!$S11,'Tables - Part 2'!$AX$5:$BA$5,0)))/2))/2,0)</f>
        <v>0</v>
      </c>
      <c r="BD11" s="248">
        <f>IF($R11=$BD$3,(INDEX('Tables - Part 2'!$AX$17:$BA$24,MATCH('SCC_Sulfide (SSC)'!$V11,'Tables - Part 2'!$AV$6:$AV$13,0),MATCH('SCC_Sulfide (SSC)'!$S11,'Tables - Part 2'!$AX$5:$BA$5,0))+INDEX('Tables - Part 2'!$BB$17:$BE$24,MATCH('SCC_Sulfide (SSC)'!$V11,'Tables - Part 2'!$AV$6:$AV$13,0),MATCH('SCC_Sulfide (SSC)'!$S11,'Tables - Part 2'!$AX$5:$BA$5,0)))/2,0)</f>
        <v>0</v>
      </c>
      <c r="BE11" s="248">
        <f>IF($R11=$BE$3,(((INDEX('Tables - Part 2'!$AX$17:$BA$24,MATCH('SCC_Sulfide (SSC)'!$V11,'Tables - Part 2'!$AV$6:$AV$13,0),MATCH('SCC_Sulfide (SSC)'!$S11,'Tables - Part 2'!$AX$5:$BA$5,0))+INDEX('Tables - Part 2'!$BB$17:$BE$24,MATCH('SCC_Sulfide (SSC)'!$V11,'Tables - Part 2'!$AV$6:$AV$13,0),MATCH('SCC_Sulfide (SSC)'!$S11,'Tables - Part 2'!$AX$5:$BA$5,0)))/2)+((((INDEX('Tables - Part 2'!$AX$17:$BA$24,MATCH('SCC_Sulfide (SSC)'!$V11,'Tables - Part 2'!$AV$6:$AV$13,0),MATCH('SCC_Sulfide (SSC)'!$S11,'Tables - Part 2'!$AX$5:$BA$5,0))+INDEX('Tables - Part 2'!$BB$17:$BE$24,MATCH('SCC_Sulfide (SSC)'!$V11,'Tables - Part 2'!$AV$6:$AV$13,0),MATCH('SCC_Sulfide (SSC)'!$S11,'Tables - Part 2'!$AX$5:$BA$5,0)))/2)+INDEX('Tables - Part 2'!$BB$17:$BE$24,MATCH('SCC_Sulfide (SSC)'!$V11,'Tables - Part 2'!$AV$6:$AV$13,0),MATCH('SCC_Sulfide (SSC)'!$S11,'Tables - Part 2'!$AX$5:$BA$5,0)))/2))/2,0)</f>
        <v>0</v>
      </c>
      <c r="BF11" s="248">
        <f>IF($R11=$BF$3,(((INDEX('Tables - Part 2'!$AX$17:$BA$24,MATCH('SCC_Sulfide (SSC)'!$V11,'Tables - Part 2'!$AV$6:$AV$13,0),MATCH('SCC_Sulfide (SSC)'!$S11,'Tables - Part 2'!$AX$5:$BA$5,0))+INDEX('Tables - Part 2'!$BB$17:$BE$24,MATCH('SCC_Sulfide (SSC)'!$V11,'Tables - Part 2'!$AV$6:$AV$13,0),MATCH('SCC_Sulfide (SSC)'!$S11,'Tables - Part 2'!$AX$5:$BA$5,0)))/2)+INDEX('Tables - Part 2'!$BB$17:$BE$24,MATCH('SCC_Sulfide (SSC)'!$V11,'Tables - Part 2'!$AV$6:$AV$13,0),MATCH('SCC_Sulfide (SSC)'!$S11,'Tables - Part 2'!$AX$5:$BA$5,0)))/2,0)</f>
        <v>0</v>
      </c>
      <c r="BG11" s="248">
        <f>IF($R11=$BG$3,(((((INDEX('Tables - Part 2'!$AX$17:$BA$24,MATCH('SCC_Sulfide (SSC)'!$V11,'Tables - Part 2'!$AV$6:$AV$13,0),MATCH('SCC_Sulfide (SSC)'!$S11,'Tables - Part 2'!$AX$5:$BA$5,0))+INDEX('Tables - Part 2'!$BB$17:$BE$24,MATCH('SCC_Sulfide (SSC)'!$V11,'Tables - Part 2'!$AV$6:$AV$13,0),MATCH('SCC_Sulfide (SSC)'!$S11,'Tables - Part 2'!$AX$5:$BA$5,0)))/2)+INDEX('Tables - Part 2'!$BB$17:$BE$24,MATCH('SCC_Sulfide (SSC)'!$V11,'Tables - Part 2'!$AV$6:$AV$13,0),MATCH('SCC_Sulfide (SSC)'!$S11,'Tables - Part 2'!$AX$5:$BA$5,0)))/2)+(INDEX('Tables - Part 2'!$BB$17:$BE$24,MATCH('SCC_Sulfide (SSC)'!$V11,'Tables - Part 2'!$AV$6:$AV$13,0),MATCH('SCC_Sulfide (SSC)'!$S11,'Tables - Part 2'!$AX$5:$BA$5,0))))/2,0)</f>
        <v>0</v>
      </c>
      <c r="BH11" s="248">
        <f>IF($R11=$BH$3,INDEX('Tables - Part 2'!$BB$17:$BE$24,MATCH('SCC_Sulfide (SSC)'!$V11,'Tables - Part 2'!$AV$6:$AV$13,0),MATCH('SCC_Sulfide (SSC)'!$S11,'Tables - Part 2'!$AX$5:$BA$5,0)),0)</f>
        <v>0</v>
      </c>
      <c r="BI11" s="248">
        <f>IF($R11=$BI$3,((INDEX('Tables - Part 2'!$BB$17:$BE$24,MATCH('SCC_Sulfide (SSC)'!$V11,'Tables - Part 2'!$AV$6:$AV$13,0),MATCH('SCC_Sulfide (SSC)'!$S11,'Tables - Part 2'!$AX$5:$BA$5,0)))+(((INDEX('Tables - Part 2'!$BB$17:$BE$24,MATCH('SCC_Sulfide (SSC)'!$V11,'Tables - Part 2'!$AV$6:$AV$13,0),MATCH('SCC_Sulfide (SSC)'!$S11,'Tables - Part 2'!$AX$5:$BA$5,0)))+(INDEX('Tables - Part 2'!$BB$17:$BE$24,MATCH('SCC_Sulfide (SSC)'!$V11,'Tables - Part 2'!$AV$6:$AV$13,0),MATCH('SCC_Sulfide (SSC)'!$S11,'Tables - Part 2'!$AX$5:$BA$5,0))+INDEX('Tables - Part 2'!$BF$17:$BI$24,MATCH('SCC_Sulfide (SSC)'!$V11,'Tables - Part 2'!$AV$6:$AV$13,0),MATCH('SCC_Sulfide (SSC)'!$S11,'Tables - Part 2'!$AX$5:$BA$5,0)))/2)/2))/2,0)</f>
        <v>0</v>
      </c>
      <c r="BJ11" s="248">
        <f>IF($R11=$BJ$3,((INDEX('Tables - Part 2'!$BB$17:$BE$24,MATCH('SCC_Sulfide (SSC)'!$V11,'Tables - Part 2'!$AV$6:$AV$13,0),MATCH('SCC_Sulfide (SSC)'!$S11,'Tables - Part 2'!$AX$5:$BA$5,0)))+(INDEX('Tables - Part 2'!$BB$17:$BE$24,MATCH('SCC_Sulfide (SSC)'!$V11,'Tables - Part 2'!$AV$6:$AV$13,0),MATCH('SCC_Sulfide (SSC)'!$S11,'Tables - Part 2'!$AX$5:$BA$5,0))+INDEX('Tables - Part 2'!$BF$17:$BI$24,MATCH('SCC_Sulfide (SSC)'!$V11,'Tables - Part 2'!$AV$6:$AV$13,0),MATCH('SCC_Sulfide (SSC)'!$S11,'Tables - Part 2'!$AX$5:$BA$5,0)))/2)/2,0)</f>
        <v>0</v>
      </c>
      <c r="BK11" s="248">
        <f>IF($R11=$BK$3,((((INDEX('Tables - Part 2'!$BB$17:$BE$24,MATCH('SCC_Sulfide (SSC)'!$V11,'Tables - Part 2'!$AV$6:$AV$13,0),MATCH('SCC_Sulfide (SSC)'!$S11,'Tables - Part 2'!$AX$5:$BA$5,0)))+(INDEX('Tables - Part 2'!$BB$17:$BE$24,MATCH('SCC_Sulfide (SSC)'!$V11,'Tables - Part 2'!$AV$6:$AV$13,0),MATCH('SCC_Sulfide (SSC)'!$S11,'Tables - Part 2'!$AX$5:$BA$5,0))+INDEX('Tables - Part 2'!$BF$17:$BI$24,MATCH('SCC_Sulfide (SSC)'!$V11,'Tables - Part 2'!$AV$6:$AV$13,0),MATCH('SCC_Sulfide (SSC)'!$S11,'Tables - Part 2'!$AX$5:$BA$5,0)))/2)/2)+((INDEX('Tables - Part 2'!$BB$17:$BE$24,MATCH('SCC_Sulfide (SSC)'!$V11,'Tables - Part 2'!$AV$6:$AV$13,0),MATCH('SCC_Sulfide (SSC)'!$S11,'Tables - Part 2'!$AX$5:$BA$5,0))+INDEX('Tables - Part 2'!$BF$17:$BI$24,MATCH('SCC_Sulfide (SSC)'!$V11,'Tables - Part 2'!$AV$6:$AV$13,0),MATCH('SCC_Sulfide (SSC)'!$S11,'Tables - Part 2'!$AX$5:$BA$5,0)))/2))/2,0)</f>
        <v>0</v>
      </c>
      <c r="BL11" s="248">
        <f>IF($R11=$BL$3,(INDEX('Tables - Part 2'!$BB$17:$BE$24,MATCH('SCC_Sulfide (SSC)'!$V11,'Tables - Part 2'!$AV$6:$AV$13,0),MATCH('SCC_Sulfide (SSC)'!$S11,'Tables - Part 2'!$AX$5:$BA$5,0))+INDEX('Tables - Part 2'!$BF$17:$BI$24,MATCH('SCC_Sulfide (SSC)'!$V11,'Tables - Part 2'!$AV$6:$AV$13,0),MATCH('SCC_Sulfide (SSC)'!$S11,'Tables - Part 2'!$AX$5:$BA$5,0)))/2,0)</f>
        <v>0</v>
      </c>
      <c r="BM11" s="248">
        <f>IF($R11=$BM$3,(((INDEX('Tables - Part 2'!$BB$17:$BE$24,MATCH('SCC_Sulfide (SSC)'!$V11,'Tables - Part 2'!$AV$6:$AV$13,0),MATCH('SCC_Sulfide (SSC)'!$S11,'Tables - Part 2'!$AX$5:$BA$5,0))+INDEX('Tables - Part 2'!$BF$17:$BI$24,MATCH('SCC_Sulfide (SSC)'!$V11,'Tables - Part 2'!$AV$6:$AV$13,0),MATCH('SCC_Sulfide (SSC)'!$S11,'Tables - Part 2'!$AX$5:$BA$5,0)))/2)+((((INDEX('Tables - Part 2'!$BB$17:$BE$24,MATCH('SCC_Sulfide (SSC)'!$V11,'Tables - Part 2'!$AV$6:$AV$13,0),MATCH('SCC_Sulfide (SSC)'!$S11,'Tables - Part 2'!$AX$5:$BA$5,0))+INDEX('Tables - Part 2'!$BF$17:$BI$24,MATCH('SCC_Sulfide (SSC)'!$V11,'Tables - Part 2'!$AV$6:$AV$13,0),MATCH('SCC_Sulfide (SSC)'!$S11,'Tables - Part 2'!$AX$5:$BA$5,0)))/2)+INDEX('Tables - Part 2'!$BF$17:$BI$24,MATCH('SCC_Sulfide (SSC)'!$V11,'Tables - Part 2'!$AV$6:$AV$13,0),MATCH('SCC_Sulfide (SSC)'!$S11,'Tables - Part 2'!$AX$5:$BA$5,0)))/2))/2,0)</f>
        <v>0</v>
      </c>
      <c r="BN11" s="248">
        <f>IF($R11=$BN$3,(((INDEX('Tables - Part 2'!$BB$17:$BE$24,MATCH('SCC_Sulfide (SSC)'!$V11,'Tables - Part 2'!$AV$6:$AV$13,0),MATCH('SCC_Sulfide (SSC)'!$S11,'Tables - Part 2'!$AX$5:$BA$5,0))+INDEX('Tables - Part 2'!$BF$17:$BI$24,MATCH('SCC_Sulfide (SSC)'!$V11,'Tables - Part 2'!$AV$6:$AV$13,0),MATCH('SCC_Sulfide (SSC)'!$S11,'Tables - Part 2'!$AX$5:$BA$5,0)))/2)+INDEX('Tables - Part 2'!$BF$17:$BI$24,MATCH('SCC_Sulfide (SSC)'!$V11,'Tables - Part 2'!$AV$6:$AV$13,0),MATCH('SCC_Sulfide (SSC)'!$S11,'Tables - Part 2'!$AX$5:$BA$5,0)))/2,0)</f>
        <v>0</v>
      </c>
      <c r="BO11" s="248">
        <f>IF($R11=$BO$3,(((((INDEX('Tables - Part 2'!$BB$17:$BE$24,MATCH('SCC_Sulfide (SSC)'!$V11,'Tables - Part 2'!$AV$6:$AV$13,0),MATCH('SCC_Sulfide (SSC)'!$S11,'Tables - Part 2'!$AX$5:$BA$5,0))+INDEX('Tables - Part 2'!$BF$17:$BI$24,MATCH('SCC_Sulfide (SSC)'!$V11,'Tables - Part 2'!$AV$6:$AV$13,0),MATCH('SCC_Sulfide (SSC)'!$S11,'Tables - Part 2'!$AX$5:$BA$5,0)))/2)+INDEX('Tables - Part 2'!$BF$17:$BI$24,MATCH('SCC_Sulfide (SSC)'!$V11,'Tables - Part 2'!$AV$6:$AV$13,0),MATCH('SCC_Sulfide (SSC)'!$S11,'Tables - Part 2'!$AX$5:$BA$5,0)))/2)+(INDEX('Tables - Part 2'!$BF$17:$BI$24,MATCH('SCC_Sulfide (SSC)'!$V11,'Tables - Part 2'!$AV$6:$AV$13,0),MATCH('SCC_Sulfide (SSC)'!$S11,'Tables - Part 2'!$AX$5:$BA$5,0))))/2,0)</f>
        <v>0</v>
      </c>
      <c r="BP11" s="248">
        <f>IF($R11=$BP$3,INDEX('Tables - Part 2'!$BF$17:$BI$24,MATCH('SCC_Sulfide (SSC)'!$V11,'Tables - Part 2'!$AV$6:$AV$13,0),MATCH('SCC_Sulfide (SSC)'!$S11,'Tables - Part 2'!$AX$5:$BA$5,0)),0)</f>
        <v>0</v>
      </c>
      <c r="BQ11" s="248">
        <f t="shared" si="6"/>
        <v>0</v>
      </c>
      <c r="BR11" s="238">
        <f t="shared" si="8"/>
        <v>1</v>
      </c>
      <c r="BS11" s="238">
        <f t="shared" si="7"/>
        <v>16.77288246840839</v>
      </c>
    </row>
    <row r="12" spans="2:84" x14ac:dyDescent="0.35">
      <c r="B12" s="161" t="str">
        <f>'Tratamento de Dados'!B20</f>
        <v>V-3</v>
      </c>
      <c r="C12" s="161" t="str">
        <f>'Tratamento de Dados'!D20</f>
        <v>Casco</v>
      </c>
      <c r="D12" s="209" t="s">
        <v>245</v>
      </c>
      <c r="E12" s="209" t="s">
        <v>61</v>
      </c>
      <c r="F12" s="209" t="s">
        <v>836</v>
      </c>
      <c r="G12" s="209" t="s">
        <v>832</v>
      </c>
      <c r="H12" s="209" t="s">
        <v>245</v>
      </c>
      <c r="I12" s="209" t="s">
        <v>1113</v>
      </c>
      <c r="J12" s="209" t="s">
        <v>245</v>
      </c>
      <c r="K12" s="210">
        <v>39092</v>
      </c>
      <c r="L12" s="209">
        <v>0</v>
      </c>
      <c r="M12" s="209">
        <v>1</v>
      </c>
      <c r="N12" s="209">
        <v>1</v>
      </c>
      <c r="O12" s="209">
        <v>4</v>
      </c>
      <c r="P12" s="253">
        <f>'Tratamento de Dados'!DA20</f>
        <v>0</v>
      </c>
      <c r="Q12" s="253">
        <f>'Tratamento de Dados'!DB20</f>
        <v>0</v>
      </c>
      <c r="R12" s="256">
        <f t="shared" si="0"/>
        <v>2.5</v>
      </c>
      <c r="S12" s="246" t="str">
        <f t="shared" si="1"/>
        <v>B</v>
      </c>
      <c r="T12" s="238" t="str">
        <f>IF(D12=$BX$2,$BV$4,IF(AND(H12=$BX$2,OR(F12='Tables - Part 2'!$BN$8,'Tables - Part 2'!$BN$9),OR('SCC_Sulfide (SSC)'!G12='Tables - Part 2'!$BQ$4,'SCC_Sulfide (SSC)'!G12='Tables - Part 2'!$BR$4)),$BV$4,INDEX('Tables - Part 2'!$BO$5:$BR$9,MATCH('SCC_Sulfide (SSC)'!F12,'Tables - Part 2'!$BN$5:$BN$9,0),MATCH('SCC_Sulfide (SSC)'!G12,'Tables - Part 2'!$BO$4:$BR$4,0))))</f>
        <v>Moderate</v>
      </c>
      <c r="U12" s="238" t="str">
        <f>IF(D12=$BX$2,$BV$4,IF(J12=$BX$2,INDEX('Tables - Part 2'!$BX$6:$BZ$8,MATCH('SCC_Sulfide (SSC)'!T12,'Tables - Part 2'!$BT$6:$BT$8,0),MATCH('SCC_Sulfide (SSC)'!I12,'Tables - Part 2'!$BX$5:$BZ$5,0)),INDEX('Tables - Part 2'!$BU$6:$BW$8,MATCH('SCC_Sulfide (SSC)'!T12,'Tables - Part 2'!$BT$6:$BT$8,0),MATCH('SCC_Sulfide (SSC)'!I12,'Tables - Part 2'!$BU$5:$BW$5,0))))</f>
        <v>Medium</v>
      </c>
      <c r="V12" s="238">
        <f>IF(AND(D12=$BX$2,E12&lt;&gt;$BX$2),"Fitness-For-Service",INDEX('Tables - Part 2'!$CC$4:$CC$7,MATCH('SCC_Sulfide (SSC)'!U12,'Tables - Part 2'!$CB$4:$CB$7,0),))</f>
        <v>10</v>
      </c>
      <c r="W12" s="238">
        <f>IF(K12=0,(Thinning!G13-Thinning!F13)/365.25,(Thinning!G13-K12)/365.25)</f>
        <v>12.980150581793293</v>
      </c>
      <c r="X12" s="248">
        <f t="shared" si="2"/>
        <v>0</v>
      </c>
      <c r="Y12" s="248">
        <f t="shared" si="3"/>
        <v>2.5</v>
      </c>
      <c r="Z12" s="248">
        <f t="shared" si="4"/>
        <v>3</v>
      </c>
      <c r="AA12" s="247">
        <f t="shared" si="5"/>
        <v>4</v>
      </c>
      <c r="AB12" s="248">
        <f>IF($R12=$AB$3,INDEX('Tables - Part 2'!$AX$6:$BA$13,MATCH('SCC_Sulfide (SSC)'!V12,'Tables - Part 2'!$AV$6:$AV$13,0),MATCH('SCC_Sulfide (SSC)'!S12,'Tables - Part 2'!$AX$5:$BA$5,0)),0)</f>
        <v>0</v>
      </c>
      <c r="AC12" s="248">
        <f>IF($R12=$AC$3,(INDEX('Tables - Part 2'!$AX$6:$BA$13,MATCH('SCC_Sulfide (SSC)'!V12,'Tables - Part 2'!$AV$6:$AV$13,0),MATCH('SCC_Sulfide (SSC)'!S12,'Tables - Part 2'!$AX$5:$BA$5,0))+(INDEX('Tables - Part 2'!$AX$6:$BA$13,MATCH('SCC_Sulfide (SSC)'!V12,'Tables - Part 2'!$AV$6:$AV$13,0),MATCH('SCC_Sulfide (SSC)'!S12,'Tables - Part 2'!$AX$5:$BA$5,0))+((INDEX('Tables - Part 2'!$AX$6:$BA$13,MATCH('SCC_Sulfide (SSC)'!V12,'Tables - Part 2'!$AV$6:$AV$13,0),MATCH('SCC_Sulfide (SSC)'!S12,'Tables - Part 2'!$AX$5:$BA$5,0))+INDEX('Tables - Part 2'!$BB$6:$BE$13,MATCH('SCC_Sulfide (SSC)'!$V12,'Tables - Part 2'!$AV$6:$AV$13,0),MATCH('SCC_Sulfide (SSC)'!$S12,'Tables - Part 2'!$AX$5:$BA$5,0)))/2))/2)/2,0)</f>
        <v>0</v>
      </c>
      <c r="AD12" s="248">
        <f>IF($R12=$AD$3,(INDEX('Tables - Part 2'!$AX$6:$BA$13,MATCH('SCC_Sulfide (SSC)'!V12,'Tables - Part 2'!$AV$6:$AV$13,0),MATCH('SCC_Sulfide (SSC)'!S12,'Tables - Part 2'!$AX$5:$BA$5,0))+((INDEX('Tables - Part 2'!$AX$6:$BA$13,MATCH('SCC_Sulfide (SSC)'!V12,'Tables - Part 2'!$AV$6:$AV$13,0),MATCH('SCC_Sulfide (SSC)'!S12,'Tables - Part 2'!$AX$5:$BA$5,0))+INDEX('Tables - Part 2'!$BB$6:$BE$13,MATCH('SCC_Sulfide (SSC)'!$V12,'Tables - Part 2'!$AV$6:$AV$13,0),MATCH('SCC_Sulfide (SSC)'!$S12,'Tables - Part 2'!$AX$5:$BA$5,0)))/2))/2,0)</f>
        <v>0</v>
      </c>
      <c r="AE12" s="248">
        <f>IF($R12=$AE$3,(((INDEX('Tables - Part 2'!$AX$6:$BA$13,MATCH('SCC_Sulfide (SSC)'!V12,'Tables - Part 2'!$AV$6:$AV$13,0),MATCH('SCC_Sulfide (SSC)'!S12,'Tables - Part 2'!$AX$5:$BA$5,0))+((INDEX('Tables - Part 2'!$AX$6:$BA$13,MATCH('SCC_Sulfide (SSC)'!V12,'Tables - Part 2'!$AV$6:$AV$13,0),MATCH('SCC_Sulfide (SSC)'!S12,'Tables - Part 2'!$AX$5:$BA$5,0))+INDEX('Tables - Part 2'!$BB$6:$BE$13,MATCH('SCC_Sulfide (SSC)'!$V12,'Tables - Part 2'!$AV$6:$AV$13,0),MATCH('SCC_Sulfide (SSC)'!$S12,'Tables - Part 2'!$AX$5:$BA$5,0)))/2))/2)+(INDEX('Tables - Part 2'!$AX$6:$BA$13,MATCH('SCC_Sulfide (SSC)'!V12,'Tables - Part 2'!$AV$6:$AV$13,0),MATCH('SCC_Sulfide (SSC)'!S12,'Tables - Part 2'!$AX$5:$BA$5,0))+INDEX('Tables - Part 2'!$BB$6:$BE$13,MATCH('SCC_Sulfide (SSC)'!$V12,'Tables - Part 2'!$AV$6:$AV$13,0),MATCH('SCC_Sulfide (SSC)'!$S12,'Tables - Part 2'!$AX$5:$BA$5,0)))/2)/2,0)</f>
        <v>0</v>
      </c>
      <c r="AF12" s="248">
        <f>IF($R12=$AF$3,(INDEX('Tables - Part 2'!$AX$6:$BA$13,MATCH('SCC_Sulfide (SSC)'!V12,'Tables - Part 2'!$AV$6:$AV$13,0),MATCH('SCC_Sulfide (SSC)'!S12,'Tables - Part 2'!$AX$5:$BA$5,0))+INDEX('Tables - Part 2'!$BB$6:$BE$13,MATCH('SCC_Sulfide (SSC)'!$V12,'Tables - Part 2'!$AV$6:$AV$13,0),MATCH('SCC_Sulfide (SSC)'!$S12,'Tables - Part 2'!$AX$5:$BA$5,0)))/2,0)</f>
        <v>0</v>
      </c>
      <c r="AG12" s="248">
        <f>IF($R12=$AG$3,(((INDEX('Tables - Part 2'!$AX$6:$BA$13,MATCH('SCC_Sulfide (SSC)'!V12,'Tables - Part 2'!$AV$6:$AV$13,0),MATCH('SCC_Sulfide (SSC)'!S12,'Tables - Part 2'!$AX$5:$BA$5,0))+INDEX('Tables - Part 2'!$BB$6:$BE$13,MATCH('SCC_Sulfide (SSC)'!$V12,'Tables - Part 2'!$AV$6:$AV$13,0),MATCH('SCC_Sulfide (SSC)'!$S12,'Tables - Part 2'!$AX$5:$BA$5,0)))/2)+(((INDEX('Tables - Part 2'!$AX$6:$BA$13,MATCH('SCC_Sulfide (SSC)'!V12,'Tables - Part 2'!$AV$6:$AV$13,0),MATCH('SCC_Sulfide (SSC)'!S12,'Tables - Part 2'!$AX$5:$BA$5,0))+INDEX('Tables - Part 2'!$BB$6:$BE$13,MATCH('SCC_Sulfide (SSC)'!$V12,'Tables - Part 2'!$AV$6:$AV$13,0),MATCH('SCC_Sulfide (SSC)'!$S12,'Tables - Part 2'!$AX$5:$BA$5,0)))/2)+INDEX('Tables - Part 2'!$BB$6:$BE$13,MATCH('SCC_Sulfide (SSC)'!$V12,'Tables - Part 2'!$AV$6:$AV$13,0),MATCH('SCC_Sulfide (SSC)'!$S12,'Tables - Part 2'!$AX$5:$BA$5,0)))/2)/2,0)</f>
        <v>0</v>
      </c>
      <c r="AH12" s="248">
        <f>IF($R12=$AH$3,(((INDEX('Tables - Part 2'!$AX$6:$BA$13,MATCH('SCC_Sulfide (SSC)'!V12,'Tables - Part 2'!$AV$6:$AV$13,0),MATCH('SCC_Sulfide (SSC)'!S12,'Tables - Part 2'!$AX$5:$BA$5,0))+INDEX('Tables - Part 2'!$BB$6:$BE$13,MATCH('SCC_Sulfide (SSC)'!$V12,'Tables - Part 2'!$AV$6:$AV$13,0),MATCH('SCC_Sulfide (SSC)'!$S12,'Tables - Part 2'!$AX$5:$BA$5,0)))/2)+INDEX('Tables - Part 2'!$BB$6:$BE$13,MATCH('SCC_Sulfide (SSC)'!$V12,'Tables - Part 2'!$AV$6:$AV$13,0),MATCH('SCC_Sulfide (SSC)'!$S12,'Tables - Part 2'!$AX$5:$BA$5,0)))/2,0)</f>
        <v>0</v>
      </c>
      <c r="AI12" s="248">
        <f>IF($R12=$AI$3,(((((INDEX('Tables - Part 2'!$AX$6:$BA$13,MATCH('SCC_Sulfide (SSC)'!V12,'Tables - Part 2'!$AV$6:$AV$13,0),MATCH('SCC_Sulfide (SSC)'!S12,'Tables - Part 2'!$AX$5:$BA$5,0))+INDEX('Tables - Part 2'!$BB$6:$BE$13,MATCH('SCC_Sulfide (SSC)'!$V12,'Tables - Part 2'!$AV$6:$AV$13,0),MATCH('SCC_Sulfide (SSC)'!$S12,'Tables - Part 2'!$AX$5:$BA$5,0)))/2)+INDEX('Tables - Part 2'!$BB$6:$BE$13,MATCH('SCC_Sulfide (SSC)'!$V12,'Tables - Part 2'!$AV$6:$AV$13,0),MATCH('SCC_Sulfide (SSC)'!$S12,'Tables - Part 2'!$AX$5:$BA$5,0)))/2)+INDEX('Tables - Part 2'!$BB$6:$BE$13,MATCH('SCC_Sulfide (SSC)'!$V12,'Tables - Part 2'!$AV$6:$AV$13,0),MATCH('SCC_Sulfide (SSC)'!$S12,'Tables - Part 2'!$AX$5:$BA$5,0)))/2,0)</f>
        <v>0</v>
      </c>
      <c r="AJ12" s="248">
        <f>IF($R12=$AJ$3,INDEX('Tables - Part 2'!$BB$6:$BE$13,MATCH('SCC_Sulfide (SSC)'!$V12,'Tables - Part 2'!$AV$6:$AV$13,0),MATCH('SCC_Sulfide (SSC)'!$S12,'Tables - Part 2'!$AX$5:$BA$5,0)),0)</f>
        <v>0</v>
      </c>
      <c r="AK12" s="248">
        <f>IF($R12=$AK$3,((INDEX('Tables - Part 2'!$BB$6:$BE$13,MATCH('SCC_Sulfide (SSC)'!$V12,'Tables - Part 2'!$AV$6:$AV$13,0),MATCH('SCC_Sulfide (SSC)'!$S12,'Tables - Part 2'!$AX$5:$BA$5,0)))+(INDEX('Tables - Part 2'!$BB$6:$BE$13,MATCH('SCC_Sulfide (SSC)'!$V12,'Tables - Part 2'!$AV$6:$AV$13,0),MATCH('SCC_Sulfide (SSC)'!$S12,'Tables - Part 2'!$AX$5:$BA$5,0))+(INDEX('Tables - Part 2'!$BB$6:$BE$13,MATCH('SCC_Sulfide (SSC)'!$V12,'Tables - Part 2'!$AV$6:$AV$13,0),MATCH('SCC_Sulfide (SSC)'!$S12,'Tables - Part 2'!$AX$5:$BA$5,0))+INDEX('Tables - Part 2'!$BF$6:$BI$13,MATCH('SCC_Sulfide (SSC)'!$V12,'Tables - Part 2'!$AV$6:$AV$13,0),MATCH('SCC_Sulfide (SSC)'!$S12,'Tables - Part 2'!$AX$5:$BA$5,0)))/2)/2)/2,0)</f>
        <v>0</v>
      </c>
      <c r="AL12" s="248">
        <f>IF($R12=$AL$3,(INDEX('Tables - Part 2'!$BB$6:$BE$13,MATCH('SCC_Sulfide (SSC)'!$V12,'Tables - Part 2'!$AV$6:$AV$13,0),MATCH('SCC_Sulfide (SSC)'!$S12,'Tables - Part 2'!$AX$5:$BA$5,0))+(INDEX('Tables - Part 2'!$BB$6:$BE$13,MATCH('SCC_Sulfide (SSC)'!$V12,'Tables - Part 2'!$AV$6:$AV$13,0),MATCH('SCC_Sulfide (SSC)'!$S12,'Tables - Part 2'!$AX$5:$BA$5,0))+INDEX('Tables - Part 2'!$BF$6:$BI$13,MATCH('SCC_Sulfide (SSC)'!$V12,'Tables - Part 2'!$AV$6:$AV$13,0),MATCH('SCC_Sulfide (SSC)'!$S12,'Tables - Part 2'!$AX$5:$BA$5,0)))/2)/2,0)</f>
        <v>0</v>
      </c>
      <c r="AM12" s="248">
        <f>IF($R12=$AM$3,(((INDEX('Tables - Part 2'!$BB$6:$BE$13,MATCH('SCC_Sulfide (SSC)'!$V12,'Tables - Part 2'!$AV$6:$AV$13,0),MATCH('SCC_Sulfide (SSC)'!$S12,'Tables - Part 2'!$AX$5:$BA$5,0))+(INDEX('Tables - Part 2'!$BB$6:$BE$13,MATCH('SCC_Sulfide (SSC)'!$V12,'Tables - Part 2'!$AV$6:$AV$13,0),MATCH('SCC_Sulfide (SSC)'!$S12,'Tables - Part 2'!$AX$5:$BA$5,0))+INDEX('Tables - Part 2'!$BF$6:$BI$13,MATCH('SCC_Sulfide (SSC)'!$V12,'Tables - Part 2'!$AV$6:$AV$13,0),MATCH('SCC_Sulfide (SSC)'!$S12,'Tables - Part 2'!$AX$5:$BA$5,0)))/2)/2)+((INDEX('Tables - Part 2'!$BB$6:$BE$13,MATCH('SCC_Sulfide (SSC)'!$V12,'Tables - Part 2'!$AV$6:$AV$13,0),MATCH('SCC_Sulfide (SSC)'!$S12,'Tables - Part 2'!$AX$5:$BA$5,0))+INDEX('Tables - Part 2'!$BF$6:$BI$13,MATCH('SCC_Sulfide (SSC)'!$V12,'Tables - Part 2'!$AV$6:$AV$13,0),MATCH('SCC_Sulfide (SSC)'!$S12,'Tables - Part 2'!$AX$5:$BA$5,0)))/2))/2,0)</f>
        <v>0</v>
      </c>
      <c r="AN12" s="248">
        <f>IF($R12=$AN$3,(INDEX('Tables - Part 2'!$BB$6:$BE$13,MATCH('SCC_Sulfide (SSC)'!$V12,'Tables - Part 2'!$AV$6:$AV$13,0),MATCH('SCC_Sulfide (SSC)'!$S12,'Tables - Part 2'!$AX$5:$BA$5,0))+INDEX('Tables - Part 2'!$BF$6:$BI$13,MATCH('SCC_Sulfide (SSC)'!$V12,'Tables - Part 2'!$AV$6:$AV$13,0),MATCH('SCC_Sulfide (SSC)'!$S12,'Tables - Part 2'!$AX$5:$BA$5,0)))/2,0)</f>
        <v>1</v>
      </c>
      <c r="AO12" s="248">
        <f>IF($R12=$AO$3,(((INDEX('Tables - Part 2'!$BB$6:$BE$13,MATCH('SCC_Sulfide (SSC)'!$V12,'Tables - Part 2'!$AV$6:$AV$13,0),MATCH('SCC_Sulfide (SSC)'!$S12,'Tables - Part 2'!$AX$5:$BA$5,0))+INDEX('Tables - Part 2'!$BF$6:$BI$13,MATCH('SCC_Sulfide (SSC)'!$V12,'Tables - Part 2'!$AV$6:$AV$13,0),MATCH('SCC_Sulfide (SSC)'!$S12,'Tables - Part 2'!$AX$5:$BA$5,0)))/2)+((((INDEX('Tables - Part 2'!$BB$6:$BE$13,MATCH('SCC_Sulfide (SSC)'!$V12,'Tables - Part 2'!$AV$6:$AV$13,0),MATCH('SCC_Sulfide (SSC)'!$S12,'Tables - Part 2'!$AX$5:$BA$5,0))+INDEX('Tables - Part 2'!$BF$6:$BI$13,MATCH('SCC_Sulfide (SSC)'!$V12,'Tables - Part 2'!$AV$6:$AV$13,0),MATCH('SCC_Sulfide (SSC)'!$S12,'Tables - Part 2'!$AX$5:$BA$5,0)))/2)+INDEX('Tables - Part 2'!$BF$6:$BI$13,MATCH('SCC_Sulfide (SSC)'!$V12,'Tables - Part 2'!$AV$6:$AV$13,0),MATCH('SCC_Sulfide (SSC)'!$S12,'Tables - Part 2'!$AX$5:$BA$5,0)))/2))/2,0)</f>
        <v>0</v>
      </c>
      <c r="AP12" s="248">
        <f>IF($R12=$AP$3,(((INDEX('Tables - Part 2'!$BB$6:$BE$13,MATCH('SCC_Sulfide (SSC)'!$V12,'Tables - Part 2'!$AV$6:$AV$13,0),MATCH('SCC_Sulfide (SSC)'!$S12,'Tables - Part 2'!$AX$5:$BA$5,0))+INDEX('Tables - Part 2'!$BF$6:$BI$13,MATCH('SCC_Sulfide (SSC)'!$V12,'Tables - Part 2'!$AV$6:$AV$13,0),MATCH('SCC_Sulfide (SSC)'!$S12,'Tables - Part 2'!$AX$5:$BA$5,0)))/2)+INDEX('Tables - Part 2'!$BF$6:$BI$13,MATCH('SCC_Sulfide (SSC)'!$V12,'Tables - Part 2'!$AV$6:$AV$13,0),MATCH('SCC_Sulfide (SSC)'!$S12,'Tables - Part 2'!$AX$5:$BA$5,0)))/2,0)</f>
        <v>0</v>
      </c>
      <c r="AQ12" s="248">
        <f>IF($R12=$AQ$3,(((((INDEX('Tables - Part 2'!$BB$6:$BE$13,MATCH('SCC_Sulfide (SSC)'!$V12,'Tables - Part 2'!$AV$6:$AV$13,0),MATCH('SCC_Sulfide (SSC)'!$S12,'Tables - Part 2'!$AX$5:$BA$5,0))+INDEX('Tables - Part 2'!$BF$6:$BI$13,MATCH('SCC_Sulfide (SSC)'!$V12,'Tables - Part 2'!$AV$6:$AV$13,0),MATCH('SCC_Sulfide (SSC)'!$S12,'Tables - Part 2'!$AX$5:$BA$5,0)))/2)+INDEX('Tables - Part 2'!$BF$6:$BI$13,MATCH('SCC_Sulfide (SSC)'!$V12,'Tables - Part 2'!$AV$6:$AV$13,0),MATCH('SCC_Sulfide (SSC)'!$S12,'Tables - Part 2'!$AX$5:$BA$5,0)))/2)+INDEX('Tables - Part 2'!$BF$6:$BI$13,MATCH('SCC_Sulfide (SSC)'!$V12,'Tables - Part 2'!$AV$6:$AV$13,0),MATCH('SCC_Sulfide (SSC)'!$S12,'Tables - Part 2'!$AX$5:$BA$5,0)))/2,0)</f>
        <v>0</v>
      </c>
      <c r="AR12" s="248">
        <f>IF($R12=$AR$3,INDEX('Tables - Part 2'!$BF$6:$BI$13,MATCH('SCC_Sulfide (SSC)'!$V12,'Tables - Part 2'!$AV$6:$AV$13,0),MATCH('SCC_Sulfide (SSC)'!$S12,'Tables - Part 2'!$AX$5:$BA$5,0)),0)</f>
        <v>0</v>
      </c>
      <c r="AS12" s="248">
        <f>IF($R12=$AS$3,(INDEX('Tables - Part 2'!$BF$6:$BI$13,MATCH('SCC_Sulfide (SSC)'!$V12,'Tables - Part 2'!$AV$6:$AV$13,0),MATCH('SCC_Sulfide (SSC)'!$S12,'Tables - Part 2'!$AX$5:$BA$5,0))+((INDEX('Tables - Part 2'!$BF$6:$BI$13,MATCH('SCC_Sulfide (SSC)'!$V12,'Tables - Part 2'!$AV$6:$AV$13,0),MATCH('SCC_Sulfide (SSC)'!$S12,'Tables - Part 2'!$AX$5:$BA$5,0))+(INDEX('Tables - Part 2'!$BF$6:$BI$13,MATCH('SCC_Sulfide (SSC)'!$V12,'Tables - Part 2'!$AV$6:$AV$13,0),MATCH('SCC_Sulfide (SSC)'!$S12,'Tables - Part 2'!$AX$5:$BA$5,0))+INDEX('Tables - Part 2'!$AX$17:$BA$24,MATCH('SCC_Sulfide (SSC)'!$V12,'Tables - Part 2'!$AV$6:$AV$13,0),MATCH('SCC_Sulfide (SSC)'!$S12,'Tables - Part 2'!$AX$5:$BA$5,0)))/2)/2))/2,0)</f>
        <v>0</v>
      </c>
      <c r="AT12" s="248">
        <f>IF($R12=$AT$3,(INDEX('Tables - Part 2'!$BF$6:$BI$13,MATCH('SCC_Sulfide (SSC)'!$V12,'Tables - Part 2'!$AV$6:$AV$13,0),MATCH('SCC_Sulfide (SSC)'!$S12,'Tables - Part 2'!$AX$5:$BA$5,0))+(INDEX('Tables - Part 2'!$BF$6:$BI$13,MATCH('SCC_Sulfide (SSC)'!$V12,'Tables - Part 2'!$AV$6:$AV$13,0),MATCH('SCC_Sulfide (SSC)'!$S12,'Tables - Part 2'!$AX$5:$BA$5,0))+INDEX('Tables - Part 2'!$AX$17:$BA$24,MATCH('SCC_Sulfide (SSC)'!$V12,'Tables - Part 2'!$AV$6:$AV$13,0),MATCH('SCC_Sulfide (SSC)'!$S12,'Tables - Part 2'!$AX$5:$BA$5,0)))/2)/2,0)</f>
        <v>0</v>
      </c>
      <c r="AU12" s="248">
        <f>IF($R12=$AU$3,(((INDEX('Tables - Part 2'!$BF$6:$BI$13,MATCH('SCC_Sulfide (SSC)'!$V12,'Tables - Part 2'!$AV$6:$AV$13,0),MATCH('SCC_Sulfide (SSC)'!$S12,'Tables - Part 2'!$AX$5:$BA$5,0))+(INDEX('Tables - Part 2'!$BF$6:$BI$13,MATCH('SCC_Sulfide (SSC)'!$V12,'Tables - Part 2'!$AV$6:$AV$13,0),MATCH('SCC_Sulfide (SSC)'!$S12,'Tables - Part 2'!$AX$5:$BA$5,0))+INDEX('Tables - Part 2'!$AX$17:$BA$24,MATCH('SCC_Sulfide (SSC)'!$V12,'Tables - Part 2'!$AV$6:$AV$13,0),MATCH('SCC_Sulfide (SSC)'!$S12,'Tables - Part 2'!$AX$5:$BA$5,0)))/2)/2)+((INDEX('Tables - Part 2'!$BF$6:$BI$13,MATCH('SCC_Sulfide (SSC)'!$V12,'Tables - Part 2'!$AV$6:$AV$13,0),MATCH('SCC_Sulfide (SSC)'!$S12,'Tables - Part 2'!$AX$5:$BA$5,0))+INDEX('Tables - Part 2'!$AX$17:$BA$24,MATCH('SCC_Sulfide (SSC)'!$V12,'Tables - Part 2'!$AV$6:$AV$13,0),MATCH('SCC_Sulfide (SSC)'!$S12,'Tables - Part 2'!$AX$5:$BA$5,0)))/2))/2,0)</f>
        <v>0</v>
      </c>
      <c r="AV12" s="248">
        <f>IF($R12=$AV$3,(INDEX('Tables - Part 2'!$BF$6:$BI$13,MATCH('SCC_Sulfide (SSC)'!$V12,'Tables - Part 2'!$AV$6:$AV$13,0),MATCH('SCC_Sulfide (SSC)'!$S12,'Tables - Part 2'!$AX$5:$BA$5,0))+INDEX('Tables - Part 2'!$AX$17:$BA$24,MATCH('SCC_Sulfide (SSC)'!$V12,'Tables - Part 2'!$AV$6:$AV$13,0),MATCH('SCC_Sulfide (SSC)'!$S12,'Tables - Part 2'!$AX$5:$BA$5,0)))/2,0)</f>
        <v>0</v>
      </c>
      <c r="AW12" s="248">
        <f>IF($R12=$AW$3,(((INDEX('Tables - Part 2'!$BF$6:$BI$13,MATCH('SCC_Sulfide (SSC)'!$V12,'Tables - Part 2'!$AV$6:$AV$13,0),MATCH('SCC_Sulfide (SSC)'!$S12,'Tables - Part 2'!$AX$5:$BA$5,0))+INDEX('Tables - Part 2'!$AX$17:$BA$24,MATCH('SCC_Sulfide (SSC)'!$V12,'Tables - Part 2'!$AV$6:$AV$13,0),MATCH('SCC_Sulfide (SSC)'!$S12,'Tables - Part 2'!$AX$5:$BA$5,0)))/2)+((((INDEX('Tables - Part 2'!$BF$6:$BI$13,MATCH('SCC_Sulfide (SSC)'!$V12,'Tables - Part 2'!$AV$6:$AV$13,0),MATCH('SCC_Sulfide (SSC)'!$S12,'Tables - Part 2'!$AX$5:$BA$5,0))+INDEX('Tables - Part 2'!$AX$17:$BA$24,MATCH('SCC_Sulfide (SSC)'!$V12,'Tables - Part 2'!$AV$6:$AV$13,0),MATCH('SCC_Sulfide (SSC)'!$S12,'Tables - Part 2'!$AX$5:$BA$5,0)))/2)+INDEX('Tables - Part 2'!$AX$17:$BA$24,MATCH('SCC_Sulfide (SSC)'!$V12,'Tables - Part 2'!$AV$6:$AV$13,0),MATCH('SCC_Sulfide (SSC)'!$S12,'Tables - Part 2'!$AX$5:$BA$5,0)))/2))/2,0)</f>
        <v>0</v>
      </c>
      <c r="AX12" s="248">
        <f>IF($R12=$AX$3,(((INDEX('Tables - Part 2'!$BF$6:$BI$13,MATCH('SCC_Sulfide (SSC)'!$V12,'Tables - Part 2'!$AV$6:$AV$13,0),MATCH('SCC_Sulfide (SSC)'!$S12,'Tables - Part 2'!$AX$5:$BA$5,0))+INDEX('Tables - Part 2'!$AX$17:$BA$24,MATCH('SCC_Sulfide (SSC)'!$V12,'Tables - Part 2'!$AV$6:$AV$13,0),MATCH('SCC_Sulfide (SSC)'!$S12,'Tables - Part 2'!$AX$5:$BA$5,0)))/2)+INDEX('Tables - Part 2'!$AX$17:$BA$24,MATCH('SCC_Sulfide (SSC)'!$V12,'Tables - Part 2'!$AV$6:$AV$13,0),MATCH('SCC_Sulfide (SSC)'!$S12,'Tables - Part 2'!$AX$5:$BA$5,0)))/2,0)</f>
        <v>0</v>
      </c>
      <c r="AY12" s="248">
        <f>IF($R12=$AY$3,(((((INDEX('Tables - Part 2'!$BF$6:$BI$13,MATCH('SCC_Sulfide (SSC)'!$V12,'Tables - Part 2'!$AV$6:$AV$13,0),MATCH('SCC_Sulfide (SSC)'!$S12,'Tables - Part 2'!$AX$5:$BA$5,0))+INDEX('Tables - Part 2'!$AX$17:$BA$24,MATCH('SCC_Sulfide (SSC)'!$V12,'Tables - Part 2'!$AV$6:$AV$13,0),MATCH('SCC_Sulfide (SSC)'!$S12,'Tables - Part 2'!$AX$5:$BA$5,0)))/2)+INDEX('Tables - Part 2'!$AX$17:$BA$24,MATCH('SCC_Sulfide (SSC)'!$V12,'Tables - Part 2'!$AV$6:$AV$13,0),MATCH('SCC_Sulfide (SSC)'!$S12,'Tables - Part 2'!$AX$5:$BA$5,0)))/2)+(INDEX('Tables - Part 2'!$AX$17:$BA$24,MATCH('SCC_Sulfide (SSC)'!$V12,'Tables - Part 2'!$AV$6:$AV$13,0),MATCH('SCC_Sulfide (SSC)'!$S12,'Tables - Part 2'!$AX$5:$BA$5,0))))/2,0)</f>
        <v>0</v>
      </c>
      <c r="AZ12" s="248">
        <f>IF($R12=$AZ$3,INDEX('Tables - Part 2'!$AX$17:$BA$24,MATCH('SCC_Sulfide (SSC)'!$V12,'Tables - Part 2'!$AV$6:$AV$13,0),MATCH('SCC_Sulfide (SSC)'!$S12,'Tables - Part 2'!$AX$5:$BA$5,0)),0)</f>
        <v>0</v>
      </c>
      <c r="BA12" s="248">
        <f>IF($R12=$BA$3,((INDEX('Tables - Part 2'!$AX$17:$BA$24,MATCH('SCC_Sulfide (SSC)'!$V12,'Tables - Part 2'!$AV$6:$AV$13,0),MATCH('SCC_Sulfide (SSC)'!$S12,'Tables - Part 2'!$AX$5:$BA$5,0)))+(((INDEX('Tables - Part 2'!$AX$17:$BA$24,MATCH('SCC_Sulfide (SSC)'!$V12,'Tables - Part 2'!$AV$6:$AV$13,0),MATCH('SCC_Sulfide (SSC)'!$S12,'Tables - Part 2'!$AX$5:$BA$5,0)))+(INDEX('Tables - Part 2'!$AX$17:$BA$24,MATCH('SCC_Sulfide (SSC)'!$V12,'Tables - Part 2'!$AV$6:$AV$13,0),MATCH('SCC_Sulfide (SSC)'!$S12,'Tables - Part 2'!$AX$5:$BA$5,0))+INDEX('Tables - Part 2'!$BB$17:$BE$24,MATCH('SCC_Sulfide (SSC)'!$V12,'Tables - Part 2'!$AV$6:$AV$13,0),MATCH('SCC_Sulfide (SSC)'!$S12,'Tables - Part 2'!$AX$5:$BA$5,0)))/2)/2))/2,0)</f>
        <v>0</v>
      </c>
      <c r="BB12" s="248">
        <f>IF($R12=$BB$3,((INDEX('Tables - Part 2'!$AX$17:$BA$24,MATCH('SCC_Sulfide (SSC)'!$V12,'Tables - Part 2'!$AV$6:$AV$13,0),MATCH('SCC_Sulfide (SSC)'!$S12,'Tables - Part 2'!$AX$5:$BA$5,0)))+(INDEX('Tables - Part 2'!$AX$17:$BA$24,MATCH('SCC_Sulfide (SSC)'!$V12,'Tables - Part 2'!$AV$6:$AV$13,0),MATCH('SCC_Sulfide (SSC)'!$S12,'Tables - Part 2'!$AX$5:$BA$5,0))+INDEX('Tables - Part 2'!$BB$17:$BE$24,MATCH('SCC_Sulfide (SSC)'!$V12,'Tables - Part 2'!$AV$6:$AV$13,0),MATCH('SCC_Sulfide (SSC)'!$S12,'Tables - Part 2'!$AX$5:$BA$5,0)))/2)/2,0)</f>
        <v>0</v>
      </c>
      <c r="BC12" s="248">
        <f>IF($R12=$BC$3,((((INDEX('Tables - Part 2'!$AX$17:$BA$24,MATCH('SCC_Sulfide (SSC)'!$V12,'Tables - Part 2'!$AV$6:$AV$13,0),MATCH('SCC_Sulfide (SSC)'!$S12,'Tables - Part 2'!$AX$5:$BA$5,0)))+(INDEX('Tables - Part 2'!$AX$17:$BA$24,MATCH('SCC_Sulfide (SSC)'!$V12,'Tables - Part 2'!$AV$6:$AV$13,0),MATCH('SCC_Sulfide (SSC)'!$S12,'Tables - Part 2'!$AX$5:$BA$5,0))+INDEX('Tables - Part 2'!$BB$17:$BE$24,MATCH('SCC_Sulfide (SSC)'!$V12,'Tables - Part 2'!$AV$6:$AV$13,0),MATCH('SCC_Sulfide (SSC)'!$S12,'Tables - Part 2'!$AX$5:$BA$5,0)))/2)/2)+((INDEX('Tables - Part 2'!$AX$17:$BA$24,MATCH('SCC_Sulfide (SSC)'!$V12,'Tables - Part 2'!$AV$6:$AV$13,0),MATCH('SCC_Sulfide (SSC)'!$S12,'Tables - Part 2'!$AX$5:$BA$5,0))+INDEX('Tables - Part 2'!$BB$17:$BE$24,MATCH('SCC_Sulfide (SSC)'!$V12,'Tables - Part 2'!$AV$6:$AV$13,0),MATCH('SCC_Sulfide (SSC)'!$S12,'Tables - Part 2'!$AX$5:$BA$5,0)))/2))/2,0)</f>
        <v>0</v>
      </c>
      <c r="BD12" s="248">
        <f>IF($R12=$BD$3,(INDEX('Tables - Part 2'!$AX$17:$BA$24,MATCH('SCC_Sulfide (SSC)'!$V12,'Tables - Part 2'!$AV$6:$AV$13,0),MATCH('SCC_Sulfide (SSC)'!$S12,'Tables - Part 2'!$AX$5:$BA$5,0))+INDEX('Tables - Part 2'!$BB$17:$BE$24,MATCH('SCC_Sulfide (SSC)'!$V12,'Tables - Part 2'!$AV$6:$AV$13,0),MATCH('SCC_Sulfide (SSC)'!$S12,'Tables - Part 2'!$AX$5:$BA$5,0)))/2,0)</f>
        <v>0</v>
      </c>
      <c r="BE12" s="248">
        <f>IF($R12=$BE$3,(((INDEX('Tables - Part 2'!$AX$17:$BA$24,MATCH('SCC_Sulfide (SSC)'!$V12,'Tables - Part 2'!$AV$6:$AV$13,0),MATCH('SCC_Sulfide (SSC)'!$S12,'Tables - Part 2'!$AX$5:$BA$5,0))+INDEX('Tables - Part 2'!$BB$17:$BE$24,MATCH('SCC_Sulfide (SSC)'!$V12,'Tables - Part 2'!$AV$6:$AV$13,0),MATCH('SCC_Sulfide (SSC)'!$S12,'Tables - Part 2'!$AX$5:$BA$5,0)))/2)+((((INDEX('Tables - Part 2'!$AX$17:$BA$24,MATCH('SCC_Sulfide (SSC)'!$V12,'Tables - Part 2'!$AV$6:$AV$13,0),MATCH('SCC_Sulfide (SSC)'!$S12,'Tables - Part 2'!$AX$5:$BA$5,0))+INDEX('Tables - Part 2'!$BB$17:$BE$24,MATCH('SCC_Sulfide (SSC)'!$V12,'Tables - Part 2'!$AV$6:$AV$13,0),MATCH('SCC_Sulfide (SSC)'!$S12,'Tables - Part 2'!$AX$5:$BA$5,0)))/2)+INDEX('Tables - Part 2'!$BB$17:$BE$24,MATCH('SCC_Sulfide (SSC)'!$V12,'Tables - Part 2'!$AV$6:$AV$13,0),MATCH('SCC_Sulfide (SSC)'!$S12,'Tables - Part 2'!$AX$5:$BA$5,0)))/2))/2,0)</f>
        <v>0</v>
      </c>
      <c r="BF12" s="248">
        <f>IF($R12=$BF$3,(((INDEX('Tables - Part 2'!$AX$17:$BA$24,MATCH('SCC_Sulfide (SSC)'!$V12,'Tables - Part 2'!$AV$6:$AV$13,0),MATCH('SCC_Sulfide (SSC)'!$S12,'Tables - Part 2'!$AX$5:$BA$5,0))+INDEX('Tables - Part 2'!$BB$17:$BE$24,MATCH('SCC_Sulfide (SSC)'!$V12,'Tables - Part 2'!$AV$6:$AV$13,0),MATCH('SCC_Sulfide (SSC)'!$S12,'Tables - Part 2'!$AX$5:$BA$5,0)))/2)+INDEX('Tables - Part 2'!$BB$17:$BE$24,MATCH('SCC_Sulfide (SSC)'!$V12,'Tables - Part 2'!$AV$6:$AV$13,0),MATCH('SCC_Sulfide (SSC)'!$S12,'Tables - Part 2'!$AX$5:$BA$5,0)))/2,0)</f>
        <v>0</v>
      </c>
      <c r="BG12" s="248">
        <f>IF($R12=$BG$3,(((((INDEX('Tables - Part 2'!$AX$17:$BA$24,MATCH('SCC_Sulfide (SSC)'!$V12,'Tables - Part 2'!$AV$6:$AV$13,0),MATCH('SCC_Sulfide (SSC)'!$S12,'Tables - Part 2'!$AX$5:$BA$5,0))+INDEX('Tables - Part 2'!$BB$17:$BE$24,MATCH('SCC_Sulfide (SSC)'!$V12,'Tables - Part 2'!$AV$6:$AV$13,0),MATCH('SCC_Sulfide (SSC)'!$S12,'Tables - Part 2'!$AX$5:$BA$5,0)))/2)+INDEX('Tables - Part 2'!$BB$17:$BE$24,MATCH('SCC_Sulfide (SSC)'!$V12,'Tables - Part 2'!$AV$6:$AV$13,0),MATCH('SCC_Sulfide (SSC)'!$S12,'Tables - Part 2'!$AX$5:$BA$5,0)))/2)+(INDEX('Tables - Part 2'!$BB$17:$BE$24,MATCH('SCC_Sulfide (SSC)'!$V12,'Tables - Part 2'!$AV$6:$AV$13,0),MATCH('SCC_Sulfide (SSC)'!$S12,'Tables - Part 2'!$AX$5:$BA$5,0))))/2,0)</f>
        <v>0</v>
      </c>
      <c r="BH12" s="248">
        <f>IF($R12=$BH$3,INDEX('Tables - Part 2'!$BB$17:$BE$24,MATCH('SCC_Sulfide (SSC)'!$V12,'Tables - Part 2'!$AV$6:$AV$13,0),MATCH('SCC_Sulfide (SSC)'!$S12,'Tables - Part 2'!$AX$5:$BA$5,0)),0)</f>
        <v>0</v>
      </c>
      <c r="BI12" s="248">
        <f>IF($R12=$BI$3,((INDEX('Tables - Part 2'!$BB$17:$BE$24,MATCH('SCC_Sulfide (SSC)'!$V12,'Tables - Part 2'!$AV$6:$AV$13,0),MATCH('SCC_Sulfide (SSC)'!$S12,'Tables - Part 2'!$AX$5:$BA$5,0)))+(((INDEX('Tables - Part 2'!$BB$17:$BE$24,MATCH('SCC_Sulfide (SSC)'!$V12,'Tables - Part 2'!$AV$6:$AV$13,0),MATCH('SCC_Sulfide (SSC)'!$S12,'Tables - Part 2'!$AX$5:$BA$5,0)))+(INDEX('Tables - Part 2'!$BB$17:$BE$24,MATCH('SCC_Sulfide (SSC)'!$V12,'Tables - Part 2'!$AV$6:$AV$13,0),MATCH('SCC_Sulfide (SSC)'!$S12,'Tables - Part 2'!$AX$5:$BA$5,0))+INDEX('Tables - Part 2'!$BF$17:$BI$24,MATCH('SCC_Sulfide (SSC)'!$V12,'Tables - Part 2'!$AV$6:$AV$13,0),MATCH('SCC_Sulfide (SSC)'!$S12,'Tables - Part 2'!$AX$5:$BA$5,0)))/2)/2))/2,0)</f>
        <v>0</v>
      </c>
      <c r="BJ12" s="248">
        <f>IF($R12=$BJ$3,((INDEX('Tables - Part 2'!$BB$17:$BE$24,MATCH('SCC_Sulfide (SSC)'!$V12,'Tables - Part 2'!$AV$6:$AV$13,0),MATCH('SCC_Sulfide (SSC)'!$S12,'Tables - Part 2'!$AX$5:$BA$5,0)))+(INDEX('Tables - Part 2'!$BB$17:$BE$24,MATCH('SCC_Sulfide (SSC)'!$V12,'Tables - Part 2'!$AV$6:$AV$13,0),MATCH('SCC_Sulfide (SSC)'!$S12,'Tables - Part 2'!$AX$5:$BA$5,0))+INDEX('Tables - Part 2'!$BF$17:$BI$24,MATCH('SCC_Sulfide (SSC)'!$V12,'Tables - Part 2'!$AV$6:$AV$13,0),MATCH('SCC_Sulfide (SSC)'!$S12,'Tables - Part 2'!$AX$5:$BA$5,0)))/2)/2,0)</f>
        <v>0</v>
      </c>
      <c r="BK12" s="248">
        <f>IF($R12=$BK$3,((((INDEX('Tables - Part 2'!$BB$17:$BE$24,MATCH('SCC_Sulfide (SSC)'!$V12,'Tables - Part 2'!$AV$6:$AV$13,0),MATCH('SCC_Sulfide (SSC)'!$S12,'Tables - Part 2'!$AX$5:$BA$5,0)))+(INDEX('Tables - Part 2'!$BB$17:$BE$24,MATCH('SCC_Sulfide (SSC)'!$V12,'Tables - Part 2'!$AV$6:$AV$13,0),MATCH('SCC_Sulfide (SSC)'!$S12,'Tables - Part 2'!$AX$5:$BA$5,0))+INDEX('Tables - Part 2'!$BF$17:$BI$24,MATCH('SCC_Sulfide (SSC)'!$V12,'Tables - Part 2'!$AV$6:$AV$13,0),MATCH('SCC_Sulfide (SSC)'!$S12,'Tables - Part 2'!$AX$5:$BA$5,0)))/2)/2)+((INDEX('Tables - Part 2'!$BB$17:$BE$24,MATCH('SCC_Sulfide (SSC)'!$V12,'Tables - Part 2'!$AV$6:$AV$13,0),MATCH('SCC_Sulfide (SSC)'!$S12,'Tables - Part 2'!$AX$5:$BA$5,0))+INDEX('Tables - Part 2'!$BF$17:$BI$24,MATCH('SCC_Sulfide (SSC)'!$V12,'Tables - Part 2'!$AV$6:$AV$13,0),MATCH('SCC_Sulfide (SSC)'!$S12,'Tables - Part 2'!$AX$5:$BA$5,0)))/2))/2,0)</f>
        <v>0</v>
      </c>
      <c r="BL12" s="248">
        <f>IF($R12=$BL$3,(INDEX('Tables - Part 2'!$BB$17:$BE$24,MATCH('SCC_Sulfide (SSC)'!$V12,'Tables - Part 2'!$AV$6:$AV$13,0),MATCH('SCC_Sulfide (SSC)'!$S12,'Tables - Part 2'!$AX$5:$BA$5,0))+INDEX('Tables - Part 2'!$BF$17:$BI$24,MATCH('SCC_Sulfide (SSC)'!$V12,'Tables - Part 2'!$AV$6:$AV$13,0),MATCH('SCC_Sulfide (SSC)'!$S12,'Tables - Part 2'!$AX$5:$BA$5,0)))/2,0)</f>
        <v>0</v>
      </c>
      <c r="BM12" s="248">
        <f>IF($R12=$BM$3,(((INDEX('Tables - Part 2'!$BB$17:$BE$24,MATCH('SCC_Sulfide (SSC)'!$V12,'Tables - Part 2'!$AV$6:$AV$13,0),MATCH('SCC_Sulfide (SSC)'!$S12,'Tables - Part 2'!$AX$5:$BA$5,0))+INDEX('Tables - Part 2'!$BF$17:$BI$24,MATCH('SCC_Sulfide (SSC)'!$V12,'Tables - Part 2'!$AV$6:$AV$13,0),MATCH('SCC_Sulfide (SSC)'!$S12,'Tables - Part 2'!$AX$5:$BA$5,0)))/2)+((((INDEX('Tables - Part 2'!$BB$17:$BE$24,MATCH('SCC_Sulfide (SSC)'!$V12,'Tables - Part 2'!$AV$6:$AV$13,0),MATCH('SCC_Sulfide (SSC)'!$S12,'Tables - Part 2'!$AX$5:$BA$5,0))+INDEX('Tables - Part 2'!$BF$17:$BI$24,MATCH('SCC_Sulfide (SSC)'!$V12,'Tables - Part 2'!$AV$6:$AV$13,0),MATCH('SCC_Sulfide (SSC)'!$S12,'Tables - Part 2'!$AX$5:$BA$5,0)))/2)+INDEX('Tables - Part 2'!$BF$17:$BI$24,MATCH('SCC_Sulfide (SSC)'!$V12,'Tables - Part 2'!$AV$6:$AV$13,0),MATCH('SCC_Sulfide (SSC)'!$S12,'Tables - Part 2'!$AX$5:$BA$5,0)))/2))/2,0)</f>
        <v>0</v>
      </c>
      <c r="BN12" s="248">
        <f>IF($R12=$BN$3,(((INDEX('Tables - Part 2'!$BB$17:$BE$24,MATCH('SCC_Sulfide (SSC)'!$V12,'Tables - Part 2'!$AV$6:$AV$13,0),MATCH('SCC_Sulfide (SSC)'!$S12,'Tables - Part 2'!$AX$5:$BA$5,0))+INDEX('Tables - Part 2'!$BF$17:$BI$24,MATCH('SCC_Sulfide (SSC)'!$V12,'Tables - Part 2'!$AV$6:$AV$13,0),MATCH('SCC_Sulfide (SSC)'!$S12,'Tables - Part 2'!$AX$5:$BA$5,0)))/2)+INDEX('Tables - Part 2'!$BF$17:$BI$24,MATCH('SCC_Sulfide (SSC)'!$V12,'Tables - Part 2'!$AV$6:$AV$13,0),MATCH('SCC_Sulfide (SSC)'!$S12,'Tables - Part 2'!$AX$5:$BA$5,0)))/2,0)</f>
        <v>0</v>
      </c>
      <c r="BO12" s="248">
        <f>IF($R12=$BO$3,(((((INDEX('Tables - Part 2'!$BB$17:$BE$24,MATCH('SCC_Sulfide (SSC)'!$V12,'Tables - Part 2'!$AV$6:$AV$13,0),MATCH('SCC_Sulfide (SSC)'!$S12,'Tables - Part 2'!$AX$5:$BA$5,0))+INDEX('Tables - Part 2'!$BF$17:$BI$24,MATCH('SCC_Sulfide (SSC)'!$V12,'Tables - Part 2'!$AV$6:$AV$13,0),MATCH('SCC_Sulfide (SSC)'!$S12,'Tables - Part 2'!$AX$5:$BA$5,0)))/2)+INDEX('Tables - Part 2'!$BF$17:$BI$24,MATCH('SCC_Sulfide (SSC)'!$V12,'Tables - Part 2'!$AV$6:$AV$13,0),MATCH('SCC_Sulfide (SSC)'!$S12,'Tables - Part 2'!$AX$5:$BA$5,0)))/2)+(INDEX('Tables - Part 2'!$BF$17:$BI$24,MATCH('SCC_Sulfide (SSC)'!$V12,'Tables - Part 2'!$AV$6:$AV$13,0),MATCH('SCC_Sulfide (SSC)'!$S12,'Tables - Part 2'!$AX$5:$BA$5,0))))/2,0)</f>
        <v>0</v>
      </c>
      <c r="BP12" s="248">
        <f>IF($R12=$BP$3,INDEX('Tables - Part 2'!$BF$17:$BI$24,MATCH('SCC_Sulfide (SSC)'!$V12,'Tables - Part 2'!$AV$6:$AV$13,0),MATCH('SCC_Sulfide (SSC)'!$S12,'Tables - Part 2'!$AX$5:$BA$5,0)),0)</f>
        <v>0</v>
      </c>
      <c r="BQ12" s="248">
        <f t="shared" si="6"/>
        <v>0</v>
      </c>
      <c r="BR12" s="238">
        <f t="shared" si="8"/>
        <v>1</v>
      </c>
      <c r="BS12" s="238">
        <f t="shared" si="7"/>
        <v>16.77288246840839</v>
      </c>
    </row>
    <row r="13" spans="2:84" x14ac:dyDescent="0.35">
      <c r="B13" s="161" t="str">
        <f>'Tratamento de Dados'!B21</f>
        <v>V-4</v>
      </c>
      <c r="C13" s="161" t="str">
        <f>'Tratamento de Dados'!D21</f>
        <v>Casco</v>
      </c>
      <c r="D13" s="209" t="s">
        <v>245</v>
      </c>
      <c r="E13" s="209" t="s">
        <v>61</v>
      </c>
      <c r="F13" s="209" t="s">
        <v>836</v>
      </c>
      <c r="G13" s="209" t="s">
        <v>832</v>
      </c>
      <c r="H13" s="209" t="s">
        <v>245</v>
      </c>
      <c r="I13" s="209" t="s">
        <v>1113</v>
      </c>
      <c r="J13" s="209" t="s">
        <v>245</v>
      </c>
      <c r="K13" s="210">
        <v>39092</v>
      </c>
      <c r="L13" s="209">
        <v>0</v>
      </c>
      <c r="M13" s="209">
        <v>1</v>
      </c>
      <c r="N13" s="209">
        <v>1</v>
      </c>
      <c r="O13" s="209">
        <v>4</v>
      </c>
      <c r="P13" s="253">
        <f>'Tratamento de Dados'!DA21</f>
        <v>0</v>
      </c>
      <c r="Q13" s="253">
        <f>'Tratamento de Dados'!DB21</f>
        <v>0</v>
      </c>
      <c r="R13" s="256">
        <f t="shared" si="0"/>
        <v>2.5</v>
      </c>
      <c r="S13" s="246" t="str">
        <f t="shared" si="1"/>
        <v>B</v>
      </c>
      <c r="T13" s="238" t="str">
        <f>IF(D13=$BX$2,$BV$4,IF(AND(H13=$BX$2,OR(F13='Tables - Part 2'!$BN$8,'Tables - Part 2'!$BN$9),OR('SCC_Sulfide (SSC)'!G13='Tables - Part 2'!$BQ$4,'SCC_Sulfide (SSC)'!G13='Tables - Part 2'!$BR$4)),$BV$4,INDEX('Tables - Part 2'!$BO$5:$BR$9,MATCH('SCC_Sulfide (SSC)'!F13,'Tables - Part 2'!$BN$5:$BN$9,0),MATCH('SCC_Sulfide (SSC)'!G13,'Tables - Part 2'!$BO$4:$BR$4,0))))</f>
        <v>Moderate</v>
      </c>
      <c r="U13" s="238" t="str">
        <f>IF(D13=$BX$2,$BV$4,IF(J13=$BX$2,INDEX('Tables - Part 2'!$BX$6:$BZ$8,MATCH('SCC_Sulfide (SSC)'!T13,'Tables - Part 2'!$BT$6:$BT$8,0),MATCH('SCC_Sulfide (SSC)'!I13,'Tables - Part 2'!$BX$5:$BZ$5,0)),INDEX('Tables - Part 2'!$BU$6:$BW$8,MATCH('SCC_Sulfide (SSC)'!T13,'Tables - Part 2'!$BT$6:$BT$8,0),MATCH('SCC_Sulfide (SSC)'!I13,'Tables - Part 2'!$BU$5:$BW$5,0))))</f>
        <v>Medium</v>
      </c>
      <c r="V13" s="238">
        <f>IF(AND(D13=$BX$2,E13&lt;&gt;$BX$2),"Fitness-For-Service",INDEX('Tables - Part 2'!$CC$4:$CC$7,MATCH('SCC_Sulfide (SSC)'!U13,'Tables - Part 2'!$CB$4:$CB$7,0),))</f>
        <v>10</v>
      </c>
      <c r="W13" s="238">
        <f>IF(K13=0,(Thinning!G14-Thinning!F14)/365.25,(Thinning!G14-K13)/365.25)</f>
        <v>12.980150581793293</v>
      </c>
      <c r="X13" s="248">
        <f t="shared" si="2"/>
        <v>0</v>
      </c>
      <c r="Y13" s="248">
        <f t="shared" si="3"/>
        <v>2.5</v>
      </c>
      <c r="Z13" s="248">
        <f t="shared" si="4"/>
        <v>3</v>
      </c>
      <c r="AA13" s="247">
        <f t="shared" si="5"/>
        <v>4</v>
      </c>
      <c r="AB13" s="248">
        <f>IF($R13=$AB$3,INDEX('Tables - Part 2'!$AX$6:$BA$13,MATCH('SCC_Sulfide (SSC)'!V13,'Tables - Part 2'!$AV$6:$AV$13,0),MATCH('SCC_Sulfide (SSC)'!S13,'Tables - Part 2'!$AX$5:$BA$5,0)),0)</f>
        <v>0</v>
      </c>
      <c r="AC13" s="248">
        <f>IF($R13=$AC$3,(INDEX('Tables - Part 2'!$AX$6:$BA$13,MATCH('SCC_Sulfide (SSC)'!V13,'Tables - Part 2'!$AV$6:$AV$13,0),MATCH('SCC_Sulfide (SSC)'!S13,'Tables - Part 2'!$AX$5:$BA$5,0))+(INDEX('Tables - Part 2'!$AX$6:$BA$13,MATCH('SCC_Sulfide (SSC)'!V13,'Tables - Part 2'!$AV$6:$AV$13,0),MATCH('SCC_Sulfide (SSC)'!S13,'Tables - Part 2'!$AX$5:$BA$5,0))+((INDEX('Tables - Part 2'!$AX$6:$BA$13,MATCH('SCC_Sulfide (SSC)'!V13,'Tables - Part 2'!$AV$6:$AV$13,0),MATCH('SCC_Sulfide (SSC)'!S13,'Tables - Part 2'!$AX$5:$BA$5,0))+INDEX('Tables - Part 2'!$BB$6:$BE$13,MATCH('SCC_Sulfide (SSC)'!$V13,'Tables - Part 2'!$AV$6:$AV$13,0),MATCH('SCC_Sulfide (SSC)'!$S13,'Tables - Part 2'!$AX$5:$BA$5,0)))/2))/2)/2,0)</f>
        <v>0</v>
      </c>
      <c r="AD13" s="248">
        <f>IF($R13=$AD$3,(INDEX('Tables - Part 2'!$AX$6:$BA$13,MATCH('SCC_Sulfide (SSC)'!V13,'Tables - Part 2'!$AV$6:$AV$13,0),MATCH('SCC_Sulfide (SSC)'!S13,'Tables - Part 2'!$AX$5:$BA$5,0))+((INDEX('Tables - Part 2'!$AX$6:$BA$13,MATCH('SCC_Sulfide (SSC)'!V13,'Tables - Part 2'!$AV$6:$AV$13,0),MATCH('SCC_Sulfide (SSC)'!S13,'Tables - Part 2'!$AX$5:$BA$5,0))+INDEX('Tables - Part 2'!$BB$6:$BE$13,MATCH('SCC_Sulfide (SSC)'!$V13,'Tables - Part 2'!$AV$6:$AV$13,0),MATCH('SCC_Sulfide (SSC)'!$S13,'Tables - Part 2'!$AX$5:$BA$5,0)))/2))/2,0)</f>
        <v>0</v>
      </c>
      <c r="AE13" s="248">
        <f>IF($R13=$AE$3,(((INDEX('Tables - Part 2'!$AX$6:$BA$13,MATCH('SCC_Sulfide (SSC)'!V13,'Tables - Part 2'!$AV$6:$AV$13,0),MATCH('SCC_Sulfide (SSC)'!S13,'Tables - Part 2'!$AX$5:$BA$5,0))+((INDEX('Tables - Part 2'!$AX$6:$BA$13,MATCH('SCC_Sulfide (SSC)'!V13,'Tables - Part 2'!$AV$6:$AV$13,0),MATCH('SCC_Sulfide (SSC)'!S13,'Tables - Part 2'!$AX$5:$BA$5,0))+INDEX('Tables - Part 2'!$BB$6:$BE$13,MATCH('SCC_Sulfide (SSC)'!$V13,'Tables - Part 2'!$AV$6:$AV$13,0),MATCH('SCC_Sulfide (SSC)'!$S13,'Tables - Part 2'!$AX$5:$BA$5,0)))/2))/2)+(INDEX('Tables - Part 2'!$AX$6:$BA$13,MATCH('SCC_Sulfide (SSC)'!V13,'Tables - Part 2'!$AV$6:$AV$13,0),MATCH('SCC_Sulfide (SSC)'!S13,'Tables - Part 2'!$AX$5:$BA$5,0))+INDEX('Tables - Part 2'!$BB$6:$BE$13,MATCH('SCC_Sulfide (SSC)'!$V13,'Tables - Part 2'!$AV$6:$AV$13,0),MATCH('SCC_Sulfide (SSC)'!$S13,'Tables - Part 2'!$AX$5:$BA$5,0)))/2)/2,0)</f>
        <v>0</v>
      </c>
      <c r="AF13" s="248">
        <f>IF($R13=$AF$3,(INDEX('Tables - Part 2'!$AX$6:$BA$13,MATCH('SCC_Sulfide (SSC)'!V13,'Tables - Part 2'!$AV$6:$AV$13,0),MATCH('SCC_Sulfide (SSC)'!S13,'Tables - Part 2'!$AX$5:$BA$5,0))+INDEX('Tables - Part 2'!$BB$6:$BE$13,MATCH('SCC_Sulfide (SSC)'!$V13,'Tables - Part 2'!$AV$6:$AV$13,0),MATCH('SCC_Sulfide (SSC)'!$S13,'Tables - Part 2'!$AX$5:$BA$5,0)))/2,0)</f>
        <v>0</v>
      </c>
      <c r="AG13" s="248">
        <f>IF($R13=$AG$3,(((INDEX('Tables - Part 2'!$AX$6:$BA$13,MATCH('SCC_Sulfide (SSC)'!V13,'Tables - Part 2'!$AV$6:$AV$13,0),MATCH('SCC_Sulfide (SSC)'!S13,'Tables - Part 2'!$AX$5:$BA$5,0))+INDEX('Tables - Part 2'!$BB$6:$BE$13,MATCH('SCC_Sulfide (SSC)'!$V13,'Tables - Part 2'!$AV$6:$AV$13,0),MATCH('SCC_Sulfide (SSC)'!$S13,'Tables - Part 2'!$AX$5:$BA$5,0)))/2)+(((INDEX('Tables - Part 2'!$AX$6:$BA$13,MATCH('SCC_Sulfide (SSC)'!V13,'Tables - Part 2'!$AV$6:$AV$13,0),MATCH('SCC_Sulfide (SSC)'!S13,'Tables - Part 2'!$AX$5:$BA$5,0))+INDEX('Tables - Part 2'!$BB$6:$BE$13,MATCH('SCC_Sulfide (SSC)'!$V13,'Tables - Part 2'!$AV$6:$AV$13,0),MATCH('SCC_Sulfide (SSC)'!$S13,'Tables - Part 2'!$AX$5:$BA$5,0)))/2)+INDEX('Tables - Part 2'!$BB$6:$BE$13,MATCH('SCC_Sulfide (SSC)'!$V13,'Tables - Part 2'!$AV$6:$AV$13,0),MATCH('SCC_Sulfide (SSC)'!$S13,'Tables - Part 2'!$AX$5:$BA$5,0)))/2)/2,0)</f>
        <v>0</v>
      </c>
      <c r="AH13" s="248">
        <f>IF($R13=$AH$3,(((INDEX('Tables - Part 2'!$AX$6:$BA$13,MATCH('SCC_Sulfide (SSC)'!V13,'Tables - Part 2'!$AV$6:$AV$13,0),MATCH('SCC_Sulfide (SSC)'!S13,'Tables - Part 2'!$AX$5:$BA$5,0))+INDEX('Tables - Part 2'!$BB$6:$BE$13,MATCH('SCC_Sulfide (SSC)'!$V13,'Tables - Part 2'!$AV$6:$AV$13,0),MATCH('SCC_Sulfide (SSC)'!$S13,'Tables - Part 2'!$AX$5:$BA$5,0)))/2)+INDEX('Tables - Part 2'!$BB$6:$BE$13,MATCH('SCC_Sulfide (SSC)'!$V13,'Tables - Part 2'!$AV$6:$AV$13,0),MATCH('SCC_Sulfide (SSC)'!$S13,'Tables - Part 2'!$AX$5:$BA$5,0)))/2,0)</f>
        <v>0</v>
      </c>
      <c r="AI13" s="248">
        <f>IF($R13=$AI$3,(((((INDEX('Tables - Part 2'!$AX$6:$BA$13,MATCH('SCC_Sulfide (SSC)'!V13,'Tables - Part 2'!$AV$6:$AV$13,0),MATCH('SCC_Sulfide (SSC)'!S13,'Tables - Part 2'!$AX$5:$BA$5,0))+INDEX('Tables - Part 2'!$BB$6:$BE$13,MATCH('SCC_Sulfide (SSC)'!$V13,'Tables - Part 2'!$AV$6:$AV$13,0),MATCH('SCC_Sulfide (SSC)'!$S13,'Tables - Part 2'!$AX$5:$BA$5,0)))/2)+INDEX('Tables - Part 2'!$BB$6:$BE$13,MATCH('SCC_Sulfide (SSC)'!$V13,'Tables - Part 2'!$AV$6:$AV$13,0),MATCH('SCC_Sulfide (SSC)'!$S13,'Tables - Part 2'!$AX$5:$BA$5,0)))/2)+INDEX('Tables - Part 2'!$BB$6:$BE$13,MATCH('SCC_Sulfide (SSC)'!$V13,'Tables - Part 2'!$AV$6:$AV$13,0),MATCH('SCC_Sulfide (SSC)'!$S13,'Tables - Part 2'!$AX$5:$BA$5,0)))/2,0)</f>
        <v>0</v>
      </c>
      <c r="AJ13" s="248">
        <f>IF($R13=$AJ$3,INDEX('Tables - Part 2'!$BB$6:$BE$13,MATCH('SCC_Sulfide (SSC)'!$V13,'Tables - Part 2'!$AV$6:$AV$13,0),MATCH('SCC_Sulfide (SSC)'!$S13,'Tables - Part 2'!$AX$5:$BA$5,0)),0)</f>
        <v>0</v>
      </c>
      <c r="AK13" s="248">
        <f>IF($R13=$AK$3,((INDEX('Tables - Part 2'!$BB$6:$BE$13,MATCH('SCC_Sulfide (SSC)'!$V13,'Tables - Part 2'!$AV$6:$AV$13,0),MATCH('SCC_Sulfide (SSC)'!$S13,'Tables - Part 2'!$AX$5:$BA$5,0)))+(INDEX('Tables - Part 2'!$BB$6:$BE$13,MATCH('SCC_Sulfide (SSC)'!$V13,'Tables - Part 2'!$AV$6:$AV$13,0),MATCH('SCC_Sulfide (SSC)'!$S13,'Tables - Part 2'!$AX$5:$BA$5,0))+(INDEX('Tables - Part 2'!$BB$6:$BE$13,MATCH('SCC_Sulfide (SSC)'!$V13,'Tables - Part 2'!$AV$6:$AV$13,0),MATCH('SCC_Sulfide (SSC)'!$S13,'Tables - Part 2'!$AX$5:$BA$5,0))+INDEX('Tables - Part 2'!$BF$6:$BI$13,MATCH('SCC_Sulfide (SSC)'!$V13,'Tables - Part 2'!$AV$6:$AV$13,0),MATCH('SCC_Sulfide (SSC)'!$S13,'Tables - Part 2'!$AX$5:$BA$5,0)))/2)/2)/2,0)</f>
        <v>0</v>
      </c>
      <c r="AL13" s="248">
        <f>IF($R13=$AL$3,(INDEX('Tables - Part 2'!$BB$6:$BE$13,MATCH('SCC_Sulfide (SSC)'!$V13,'Tables - Part 2'!$AV$6:$AV$13,0),MATCH('SCC_Sulfide (SSC)'!$S13,'Tables - Part 2'!$AX$5:$BA$5,0))+(INDEX('Tables - Part 2'!$BB$6:$BE$13,MATCH('SCC_Sulfide (SSC)'!$V13,'Tables - Part 2'!$AV$6:$AV$13,0),MATCH('SCC_Sulfide (SSC)'!$S13,'Tables - Part 2'!$AX$5:$BA$5,0))+INDEX('Tables - Part 2'!$BF$6:$BI$13,MATCH('SCC_Sulfide (SSC)'!$V13,'Tables - Part 2'!$AV$6:$AV$13,0),MATCH('SCC_Sulfide (SSC)'!$S13,'Tables - Part 2'!$AX$5:$BA$5,0)))/2)/2,0)</f>
        <v>0</v>
      </c>
      <c r="AM13" s="248">
        <f>IF($R13=$AM$3,(((INDEX('Tables - Part 2'!$BB$6:$BE$13,MATCH('SCC_Sulfide (SSC)'!$V13,'Tables - Part 2'!$AV$6:$AV$13,0),MATCH('SCC_Sulfide (SSC)'!$S13,'Tables - Part 2'!$AX$5:$BA$5,0))+(INDEX('Tables - Part 2'!$BB$6:$BE$13,MATCH('SCC_Sulfide (SSC)'!$V13,'Tables - Part 2'!$AV$6:$AV$13,0),MATCH('SCC_Sulfide (SSC)'!$S13,'Tables - Part 2'!$AX$5:$BA$5,0))+INDEX('Tables - Part 2'!$BF$6:$BI$13,MATCH('SCC_Sulfide (SSC)'!$V13,'Tables - Part 2'!$AV$6:$AV$13,0),MATCH('SCC_Sulfide (SSC)'!$S13,'Tables - Part 2'!$AX$5:$BA$5,0)))/2)/2)+((INDEX('Tables - Part 2'!$BB$6:$BE$13,MATCH('SCC_Sulfide (SSC)'!$V13,'Tables - Part 2'!$AV$6:$AV$13,0),MATCH('SCC_Sulfide (SSC)'!$S13,'Tables - Part 2'!$AX$5:$BA$5,0))+INDEX('Tables - Part 2'!$BF$6:$BI$13,MATCH('SCC_Sulfide (SSC)'!$V13,'Tables - Part 2'!$AV$6:$AV$13,0),MATCH('SCC_Sulfide (SSC)'!$S13,'Tables - Part 2'!$AX$5:$BA$5,0)))/2))/2,0)</f>
        <v>0</v>
      </c>
      <c r="AN13" s="248">
        <f>IF($R13=$AN$3,(INDEX('Tables - Part 2'!$BB$6:$BE$13,MATCH('SCC_Sulfide (SSC)'!$V13,'Tables - Part 2'!$AV$6:$AV$13,0),MATCH('SCC_Sulfide (SSC)'!$S13,'Tables - Part 2'!$AX$5:$BA$5,0))+INDEX('Tables - Part 2'!$BF$6:$BI$13,MATCH('SCC_Sulfide (SSC)'!$V13,'Tables - Part 2'!$AV$6:$AV$13,0),MATCH('SCC_Sulfide (SSC)'!$S13,'Tables - Part 2'!$AX$5:$BA$5,0)))/2,0)</f>
        <v>1</v>
      </c>
      <c r="AO13" s="248">
        <f>IF($R13=$AO$3,(((INDEX('Tables - Part 2'!$BB$6:$BE$13,MATCH('SCC_Sulfide (SSC)'!$V13,'Tables - Part 2'!$AV$6:$AV$13,0),MATCH('SCC_Sulfide (SSC)'!$S13,'Tables - Part 2'!$AX$5:$BA$5,0))+INDEX('Tables - Part 2'!$BF$6:$BI$13,MATCH('SCC_Sulfide (SSC)'!$V13,'Tables - Part 2'!$AV$6:$AV$13,0),MATCH('SCC_Sulfide (SSC)'!$S13,'Tables - Part 2'!$AX$5:$BA$5,0)))/2)+((((INDEX('Tables - Part 2'!$BB$6:$BE$13,MATCH('SCC_Sulfide (SSC)'!$V13,'Tables - Part 2'!$AV$6:$AV$13,0),MATCH('SCC_Sulfide (SSC)'!$S13,'Tables - Part 2'!$AX$5:$BA$5,0))+INDEX('Tables - Part 2'!$BF$6:$BI$13,MATCH('SCC_Sulfide (SSC)'!$V13,'Tables - Part 2'!$AV$6:$AV$13,0),MATCH('SCC_Sulfide (SSC)'!$S13,'Tables - Part 2'!$AX$5:$BA$5,0)))/2)+INDEX('Tables - Part 2'!$BF$6:$BI$13,MATCH('SCC_Sulfide (SSC)'!$V13,'Tables - Part 2'!$AV$6:$AV$13,0),MATCH('SCC_Sulfide (SSC)'!$S13,'Tables - Part 2'!$AX$5:$BA$5,0)))/2))/2,0)</f>
        <v>0</v>
      </c>
      <c r="AP13" s="248">
        <f>IF($R13=$AP$3,(((INDEX('Tables - Part 2'!$BB$6:$BE$13,MATCH('SCC_Sulfide (SSC)'!$V13,'Tables - Part 2'!$AV$6:$AV$13,0),MATCH('SCC_Sulfide (SSC)'!$S13,'Tables - Part 2'!$AX$5:$BA$5,0))+INDEX('Tables - Part 2'!$BF$6:$BI$13,MATCH('SCC_Sulfide (SSC)'!$V13,'Tables - Part 2'!$AV$6:$AV$13,0),MATCH('SCC_Sulfide (SSC)'!$S13,'Tables - Part 2'!$AX$5:$BA$5,0)))/2)+INDEX('Tables - Part 2'!$BF$6:$BI$13,MATCH('SCC_Sulfide (SSC)'!$V13,'Tables - Part 2'!$AV$6:$AV$13,0),MATCH('SCC_Sulfide (SSC)'!$S13,'Tables - Part 2'!$AX$5:$BA$5,0)))/2,0)</f>
        <v>0</v>
      </c>
      <c r="AQ13" s="248">
        <f>IF($R13=$AQ$3,(((((INDEX('Tables - Part 2'!$BB$6:$BE$13,MATCH('SCC_Sulfide (SSC)'!$V13,'Tables - Part 2'!$AV$6:$AV$13,0),MATCH('SCC_Sulfide (SSC)'!$S13,'Tables - Part 2'!$AX$5:$BA$5,0))+INDEX('Tables - Part 2'!$BF$6:$BI$13,MATCH('SCC_Sulfide (SSC)'!$V13,'Tables - Part 2'!$AV$6:$AV$13,0),MATCH('SCC_Sulfide (SSC)'!$S13,'Tables - Part 2'!$AX$5:$BA$5,0)))/2)+INDEX('Tables - Part 2'!$BF$6:$BI$13,MATCH('SCC_Sulfide (SSC)'!$V13,'Tables - Part 2'!$AV$6:$AV$13,0),MATCH('SCC_Sulfide (SSC)'!$S13,'Tables - Part 2'!$AX$5:$BA$5,0)))/2)+INDEX('Tables - Part 2'!$BF$6:$BI$13,MATCH('SCC_Sulfide (SSC)'!$V13,'Tables - Part 2'!$AV$6:$AV$13,0),MATCH('SCC_Sulfide (SSC)'!$S13,'Tables - Part 2'!$AX$5:$BA$5,0)))/2,0)</f>
        <v>0</v>
      </c>
      <c r="AR13" s="248">
        <f>IF($R13=$AR$3,INDEX('Tables - Part 2'!$BF$6:$BI$13,MATCH('SCC_Sulfide (SSC)'!$V13,'Tables - Part 2'!$AV$6:$AV$13,0),MATCH('SCC_Sulfide (SSC)'!$S13,'Tables - Part 2'!$AX$5:$BA$5,0)),0)</f>
        <v>0</v>
      </c>
      <c r="AS13" s="248">
        <f>IF($R13=$AS$3,(INDEX('Tables - Part 2'!$BF$6:$BI$13,MATCH('SCC_Sulfide (SSC)'!$V13,'Tables - Part 2'!$AV$6:$AV$13,0),MATCH('SCC_Sulfide (SSC)'!$S13,'Tables - Part 2'!$AX$5:$BA$5,0))+((INDEX('Tables - Part 2'!$BF$6:$BI$13,MATCH('SCC_Sulfide (SSC)'!$V13,'Tables - Part 2'!$AV$6:$AV$13,0),MATCH('SCC_Sulfide (SSC)'!$S13,'Tables - Part 2'!$AX$5:$BA$5,0))+(INDEX('Tables - Part 2'!$BF$6:$BI$13,MATCH('SCC_Sulfide (SSC)'!$V13,'Tables - Part 2'!$AV$6:$AV$13,0),MATCH('SCC_Sulfide (SSC)'!$S13,'Tables - Part 2'!$AX$5:$BA$5,0))+INDEX('Tables - Part 2'!$AX$17:$BA$24,MATCH('SCC_Sulfide (SSC)'!$V13,'Tables - Part 2'!$AV$6:$AV$13,0),MATCH('SCC_Sulfide (SSC)'!$S13,'Tables - Part 2'!$AX$5:$BA$5,0)))/2)/2))/2,0)</f>
        <v>0</v>
      </c>
      <c r="AT13" s="248">
        <f>IF($R13=$AT$3,(INDEX('Tables - Part 2'!$BF$6:$BI$13,MATCH('SCC_Sulfide (SSC)'!$V13,'Tables - Part 2'!$AV$6:$AV$13,0),MATCH('SCC_Sulfide (SSC)'!$S13,'Tables - Part 2'!$AX$5:$BA$5,0))+(INDEX('Tables - Part 2'!$BF$6:$BI$13,MATCH('SCC_Sulfide (SSC)'!$V13,'Tables - Part 2'!$AV$6:$AV$13,0),MATCH('SCC_Sulfide (SSC)'!$S13,'Tables - Part 2'!$AX$5:$BA$5,0))+INDEX('Tables - Part 2'!$AX$17:$BA$24,MATCH('SCC_Sulfide (SSC)'!$V13,'Tables - Part 2'!$AV$6:$AV$13,0),MATCH('SCC_Sulfide (SSC)'!$S13,'Tables - Part 2'!$AX$5:$BA$5,0)))/2)/2,0)</f>
        <v>0</v>
      </c>
      <c r="AU13" s="248">
        <f>IF($R13=$AU$3,(((INDEX('Tables - Part 2'!$BF$6:$BI$13,MATCH('SCC_Sulfide (SSC)'!$V13,'Tables - Part 2'!$AV$6:$AV$13,0),MATCH('SCC_Sulfide (SSC)'!$S13,'Tables - Part 2'!$AX$5:$BA$5,0))+(INDEX('Tables - Part 2'!$BF$6:$BI$13,MATCH('SCC_Sulfide (SSC)'!$V13,'Tables - Part 2'!$AV$6:$AV$13,0),MATCH('SCC_Sulfide (SSC)'!$S13,'Tables - Part 2'!$AX$5:$BA$5,0))+INDEX('Tables - Part 2'!$AX$17:$BA$24,MATCH('SCC_Sulfide (SSC)'!$V13,'Tables - Part 2'!$AV$6:$AV$13,0),MATCH('SCC_Sulfide (SSC)'!$S13,'Tables - Part 2'!$AX$5:$BA$5,0)))/2)/2)+((INDEX('Tables - Part 2'!$BF$6:$BI$13,MATCH('SCC_Sulfide (SSC)'!$V13,'Tables - Part 2'!$AV$6:$AV$13,0),MATCH('SCC_Sulfide (SSC)'!$S13,'Tables - Part 2'!$AX$5:$BA$5,0))+INDEX('Tables - Part 2'!$AX$17:$BA$24,MATCH('SCC_Sulfide (SSC)'!$V13,'Tables - Part 2'!$AV$6:$AV$13,0),MATCH('SCC_Sulfide (SSC)'!$S13,'Tables - Part 2'!$AX$5:$BA$5,0)))/2))/2,0)</f>
        <v>0</v>
      </c>
      <c r="AV13" s="248">
        <f>IF($R13=$AV$3,(INDEX('Tables - Part 2'!$BF$6:$BI$13,MATCH('SCC_Sulfide (SSC)'!$V13,'Tables - Part 2'!$AV$6:$AV$13,0),MATCH('SCC_Sulfide (SSC)'!$S13,'Tables - Part 2'!$AX$5:$BA$5,0))+INDEX('Tables - Part 2'!$AX$17:$BA$24,MATCH('SCC_Sulfide (SSC)'!$V13,'Tables - Part 2'!$AV$6:$AV$13,0),MATCH('SCC_Sulfide (SSC)'!$S13,'Tables - Part 2'!$AX$5:$BA$5,0)))/2,0)</f>
        <v>0</v>
      </c>
      <c r="AW13" s="248">
        <f>IF($R13=$AW$3,(((INDEX('Tables - Part 2'!$BF$6:$BI$13,MATCH('SCC_Sulfide (SSC)'!$V13,'Tables - Part 2'!$AV$6:$AV$13,0),MATCH('SCC_Sulfide (SSC)'!$S13,'Tables - Part 2'!$AX$5:$BA$5,0))+INDEX('Tables - Part 2'!$AX$17:$BA$24,MATCH('SCC_Sulfide (SSC)'!$V13,'Tables - Part 2'!$AV$6:$AV$13,0),MATCH('SCC_Sulfide (SSC)'!$S13,'Tables - Part 2'!$AX$5:$BA$5,0)))/2)+((((INDEX('Tables - Part 2'!$BF$6:$BI$13,MATCH('SCC_Sulfide (SSC)'!$V13,'Tables - Part 2'!$AV$6:$AV$13,0),MATCH('SCC_Sulfide (SSC)'!$S13,'Tables - Part 2'!$AX$5:$BA$5,0))+INDEX('Tables - Part 2'!$AX$17:$BA$24,MATCH('SCC_Sulfide (SSC)'!$V13,'Tables - Part 2'!$AV$6:$AV$13,0),MATCH('SCC_Sulfide (SSC)'!$S13,'Tables - Part 2'!$AX$5:$BA$5,0)))/2)+INDEX('Tables - Part 2'!$AX$17:$BA$24,MATCH('SCC_Sulfide (SSC)'!$V13,'Tables - Part 2'!$AV$6:$AV$13,0),MATCH('SCC_Sulfide (SSC)'!$S13,'Tables - Part 2'!$AX$5:$BA$5,0)))/2))/2,0)</f>
        <v>0</v>
      </c>
      <c r="AX13" s="248">
        <f>IF($R13=$AX$3,(((INDEX('Tables - Part 2'!$BF$6:$BI$13,MATCH('SCC_Sulfide (SSC)'!$V13,'Tables - Part 2'!$AV$6:$AV$13,0),MATCH('SCC_Sulfide (SSC)'!$S13,'Tables - Part 2'!$AX$5:$BA$5,0))+INDEX('Tables - Part 2'!$AX$17:$BA$24,MATCH('SCC_Sulfide (SSC)'!$V13,'Tables - Part 2'!$AV$6:$AV$13,0),MATCH('SCC_Sulfide (SSC)'!$S13,'Tables - Part 2'!$AX$5:$BA$5,0)))/2)+INDEX('Tables - Part 2'!$AX$17:$BA$24,MATCH('SCC_Sulfide (SSC)'!$V13,'Tables - Part 2'!$AV$6:$AV$13,0),MATCH('SCC_Sulfide (SSC)'!$S13,'Tables - Part 2'!$AX$5:$BA$5,0)))/2,0)</f>
        <v>0</v>
      </c>
      <c r="AY13" s="248">
        <f>IF($R13=$AY$3,(((((INDEX('Tables - Part 2'!$BF$6:$BI$13,MATCH('SCC_Sulfide (SSC)'!$V13,'Tables - Part 2'!$AV$6:$AV$13,0),MATCH('SCC_Sulfide (SSC)'!$S13,'Tables - Part 2'!$AX$5:$BA$5,0))+INDEX('Tables - Part 2'!$AX$17:$BA$24,MATCH('SCC_Sulfide (SSC)'!$V13,'Tables - Part 2'!$AV$6:$AV$13,0),MATCH('SCC_Sulfide (SSC)'!$S13,'Tables - Part 2'!$AX$5:$BA$5,0)))/2)+INDEX('Tables - Part 2'!$AX$17:$BA$24,MATCH('SCC_Sulfide (SSC)'!$V13,'Tables - Part 2'!$AV$6:$AV$13,0),MATCH('SCC_Sulfide (SSC)'!$S13,'Tables - Part 2'!$AX$5:$BA$5,0)))/2)+(INDEX('Tables - Part 2'!$AX$17:$BA$24,MATCH('SCC_Sulfide (SSC)'!$V13,'Tables - Part 2'!$AV$6:$AV$13,0),MATCH('SCC_Sulfide (SSC)'!$S13,'Tables - Part 2'!$AX$5:$BA$5,0))))/2,0)</f>
        <v>0</v>
      </c>
      <c r="AZ13" s="248">
        <f>IF($R13=$AZ$3,INDEX('Tables - Part 2'!$AX$17:$BA$24,MATCH('SCC_Sulfide (SSC)'!$V13,'Tables - Part 2'!$AV$6:$AV$13,0),MATCH('SCC_Sulfide (SSC)'!$S13,'Tables - Part 2'!$AX$5:$BA$5,0)),0)</f>
        <v>0</v>
      </c>
      <c r="BA13" s="248">
        <f>IF($R13=$BA$3,((INDEX('Tables - Part 2'!$AX$17:$BA$24,MATCH('SCC_Sulfide (SSC)'!$V13,'Tables - Part 2'!$AV$6:$AV$13,0),MATCH('SCC_Sulfide (SSC)'!$S13,'Tables - Part 2'!$AX$5:$BA$5,0)))+(((INDEX('Tables - Part 2'!$AX$17:$BA$24,MATCH('SCC_Sulfide (SSC)'!$V13,'Tables - Part 2'!$AV$6:$AV$13,0),MATCH('SCC_Sulfide (SSC)'!$S13,'Tables - Part 2'!$AX$5:$BA$5,0)))+(INDEX('Tables - Part 2'!$AX$17:$BA$24,MATCH('SCC_Sulfide (SSC)'!$V13,'Tables - Part 2'!$AV$6:$AV$13,0),MATCH('SCC_Sulfide (SSC)'!$S13,'Tables - Part 2'!$AX$5:$BA$5,0))+INDEX('Tables - Part 2'!$BB$17:$BE$24,MATCH('SCC_Sulfide (SSC)'!$V13,'Tables - Part 2'!$AV$6:$AV$13,0),MATCH('SCC_Sulfide (SSC)'!$S13,'Tables - Part 2'!$AX$5:$BA$5,0)))/2)/2))/2,0)</f>
        <v>0</v>
      </c>
      <c r="BB13" s="248">
        <f>IF($R13=$BB$3,((INDEX('Tables - Part 2'!$AX$17:$BA$24,MATCH('SCC_Sulfide (SSC)'!$V13,'Tables - Part 2'!$AV$6:$AV$13,0),MATCH('SCC_Sulfide (SSC)'!$S13,'Tables - Part 2'!$AX$5:$BA$5,0)))+(INDEX('Tables - Part 2'!$AX$17:$BA$24,MATCH('SCC_Sulfide (SSC)'!$V13,'Tables - Part 2'!$AV$6:$AV$13,0),MATCH('SCC_Sulfide (SSC)'!$S13,'Tables - Part 2'!$AX$5:$BA$5,0))+INDEX('Tables - Part 2'!$BB$17:$BE$24,MATCH('SCC_Sulfide (SSC)'!$V13,'Tables - Part 2'!$AV$6:$AV$13,0),MATCH('SCC_Sulfide (SSC)'!$S13,'Tables - Part 2'!$AX$5:$BA$5,0)))/2)/2,0)</f>
        <v>0</v>
      </c>
      <c r="BC13" s="248">
        <f>IF($R13=$BC$3,((((INDEX('Tables - Part 2'!$AX$17:$BA$24,MATCH('SCC_Sulfide (SSC)'!$V13,'Tables - Part 2'!$AV$6:$AV$13,0),MATCH('SCC_Sulfide (SSC)'!$S13,'Tables - Part 2'!$AX$5:$BA$5,0)))+(INDEX('Tables - Part 2'!$AX$17:$BA$24,MATCH('SCC_Sulfide (SSC)'!$V13,'Tables - Part 2'!$AV$6:$AV$13,0),MATCH('SCC_Sulfide (SSC)'!$S13,'Tables - Part 2'!$AX$5:$BA$5,0))+INDEX('Tables - Part 2'!$BB$17:$BE$24,MATCH('SCC_Sulfide (SSC)'!$V13,'Tables - Part 2'!$AV$6:$AV$13,0),MATCH('SCC_Sulfide (SSC)'!$S13,'Tables - Part 2'!$AX$5:$BA$5,0)))/2)/2)+((INDEX('Tables - Part 2'!$AX$17:$BA$24,MATCH('SCC_Sulfide (SSC)'!$V13,'Tables - Part 2'!$AV$6:$AV$13,0),MATCH('SCC_Sulfide (SSC)'!$S13,'Tables - Part 2'!$AX$5:$BA$5,0))+INDEX('Tables - Part 2'!$BB$17:$BE$24,MATCH('SCC_Sulfide (SSC)'!$V13,'Tables - Part 2'!$AV$6:$AV$13,0),MATCH('SCC_Sulfide (SSC)'!$S13,'Tables - Part 2'!$AX$5:$BA$5,0)))/2))/2,0)</f>
        <v>0</v>
      </c>
      <c r="BD13" s="248">
        <f>IF($R13=$BD$3,(INDEX('Tables - Part 2'!$AX$17:$BA$24,MATCH('SCC_Sulfide (SSC)'!$V13,'Tables - Part 2'!$AV$6:$AV$13,0),MATCH('SCC_Sulfide (SSC)'!$S13,'Tables - Part 2'!$AX$5:$BA$5,0))+INDEX('Tables - Part 2'!$BB$17:$BE$24,MATCH('SCC_Sulfide (SSC)'!$V13,'Tables - Part 2'!$AV$6:$AV$13,0),MATCH('SCC_Sulfide (SSC)'!$S13,'Tables - Part 2'!$AX$5:$BA$5,0)))/2,0)</f>
        <v>0</v>
      </c>
      <c r="BE13" s="248">
        <f>IF($R13=$BE$3,(((INDEX('Tables - Part 2'!$AX$17:$BA$24,MATCH('SCC_Sulfide (SSC)'!$V13,'Tables - Part 2'!$AV$6:$AV$13,0),MATCH('SCC_Sulfide (SSC)'!$S13,'Tables - Part 2'!$AX$5:$BA$5,0))+INDEX('Tables - Part 2'!$BB$17:$BE$24,MATCH('SCC_Sulfide (SSC)'!$V13,'Tables - Part 2'!$AV$6:$AV$13,0),MATCH('SCC_Sulfide (SSC)'!$S13,'Tables - Part 2'!$AX$5:$BA$5,0)))/2)+((((INDEX('Tables - Part 2'!$AX$17:$BA$24,MATCH('SCC_Sulfide (SSC)'!$V13,'Tables - Part 2'!$AV$6:$AV$13,0),MATCH('SCC_Sulfide (SSC)'!$S13,'Tables - Part 2'!$AX$5:$BA$5,0))+INDEX('Tables - Part 2'!$BB$17:$BE$24,MATCH('SCC_Sulfide (SSC)'!$V13,'Tables - Part 2'!$AV$6:$AV$13,0),MATCH('SCC_Sulfide (SSC)'!$S13,'Tables - Part 2'!$AX$5:$BA$5,0)))/2)+INDEX('Tables - Part 2'!$BB$17:$BE$24,MATCH('SCC_Sulfide (SSC)'!$V13,'Tables - Part 2'!$AV$6:$AV$13,0),MATCH('SCC_Sulfide (SSC)'!$S13,'Tables - Part 2'!$AX$5:$BA$5,0)))/2))/2,0)</f>
        <v>0</v>
      </c>
      <c r="BF13" s="248">
        <f>IF($R13=$BF$3,(((INDEX('Tables - Part 2'!$AX$17:$BA$24,MATCH('SCC_Sulfide (SSC)'!$V13,'Tables - Part 2'!$AV$6:$AV$13,0),MATCH('SCC_Sulfide (SSC)'!$S13,'Tables - Part 2'!$AX$5:$BA$5,0))+INDEX('Tables - Part 2'!$BB$17:$BE$24,MATCH('SCC_Sulfide (SSC)'!$V13,'Tables - Part 2'!$AV$6:$AV$13,0),MATCH('SCC_Sulfide (SSC)'!$S13,'Tables - Part 2'!$AX$5:$BA$5,0)))/2)+INDEX('Tables - Part 2'!$BB$17:$BE$24,MATCH('SCC_Sulfide (SSC)'!$V13,'Tables - Part 2'!$AV$6:$AV$13,0),MATCH('SCC_Sulfide (SSC)'!$S13,'Tables - Part 2'!$AX$5:$BA$5,0)))/2,0)</f>
        <v>0</v>
      </c>
      <c r="BG13" s="248">
        <f>IF($R13=$BG$3,(((((INDEX('Tables - Part 2'!$AX$17:$BA$24,MATCH('SCC_Sulfide (SSC)'!$V13,'Tables - Part 2'!$AV$6:$AV$13,0),MATCH('SCC_Sulfide (SSC)'!$S13,'Tables - Part 2'!$AX$5:$BA$5,0))+INDEX('Tables - Part 2'!$BB$17:$BE$24,MATCH('SCC_Sulfide (SSC)'!$V13,'Tables - Part 2'!$AV$6:$AV$13,0),MATCH('SCC_Sulfide (SSC)'!$S13,'Tables - Part 2'!$AX$5:$BA$5,0)))/2)+INDEX('Tables - Part 2'!$BB$17:$BE$24,MATCH('SCC_Sulfide (SSC)'!$V13,'Tables - Part 2'!$AV$6:$AV$13,0),MATCH('SCC_Sulfide (SSC)'!$S13,'Tables - Part 2'!$AX$5:$BA$5,0)))/2)+(INDEX('Tables - Part 2'!$BB$17:$BE$24,MATCH('SCC_Sulfide (SSC)'!$V13,'Tables - Part 2'!$AV$6:$AV$13,0),MATCH('SCC_Sulfide (SSC)'!$S13,'Tables - Part 2'!$AX$5:$BA$5,0))))/2,0)</f>
        <v>0</v>
      </c>
      <c r="BH13" s="248">
        <f>IF($R13=$BH$3,INDEX('Tables - Part 2'!$BB$17:$BE$24,MATCH('SCC_Sulfide (SSC)'!$V13,'Tables - Part 2'!$AV$6:$AV$13,0),MATCH('SCC_Sulfide (SSC)'!$S13,'Tables - Part 2'!$AX$5:$BA$5,0)),0)</f>
        <v>0</v>
      </c>
      <c r="BI13" s="248">
        <f>IF($R13=$BI$3,((INDEX('Tables - Part 2'!$BB$17:$BE$24,MATCH('SCC_Sulfide (SSC)'!$V13,'Tables - Part 2'!$AV$6:$AV$13,0),MATCH('SCC_Sulfide (SSC)'!$S13,'Tables - Part 2'!$AX$5:$BA$5,0)))+(((INDEX('Tables - Part 2'!$BB$17:$BE$24,MATCH('SCC_Sulfide (SSC)'!$V13,'Tables - Part 2'!$AV$6:$AV$13,0),MATCH('SCC_Sulfide (SSC)'!$S13,'Tables - Part 2'!$AX$5:$BA$5,0)))+(INDEX('Tables - Part 2'!$BB$17:$BE$24,MATCH('SCC_Sulfide (SSC)'!$V13,'Tables - Part 2'!$AV$6:$AV$13,0),MATCH('SCC_Sulfide (SSC)'!$S13,'Tables - Part 2'!$AX$5:$BA$5,0))+INDEX('Tables - Part 2'!$BF$17:$BI$24,MATCH('SCC_Sulfide (SSC)'!$V13,'Tables - Part 2'!$AV$6:$AV$13,0),MATCH('SCC_Sulfide (SSC)'!$S13,'Tables - Part 2'!$AX$5:$BA$5,0)))/2)/2))/2,0)</f>
        <v>0</v>
      </c>
      <c r="BJ13" s="248">
        <f>IF($R13=$BJ$3,((INDEX('Tables - Part 2'!$BB$17:$BE$24,MATCH('SCC_Sulfide (SSC)'!$V13,'Tables - Part 2'!$AV$6:$AV$13,0),MATCH('SCC_Sulfide (SSC)'!$S13,'Tables - Part 2'!$AX$5:$BA$5,0)))+(INDEX('Tables - Part 2'!$BB$17:$BE$24,MATCH('SCC_Sulfide (SSC)'!$V13,'Tables - Part 2'!$AV$6:$AV$13,0),MATCH('SCC_Sulfide (SSC)'!$S13,'Tables - Part 2'!$AX$5:$BA$5,0))+INDEX('Tables - Part 2'!$BF$17:$BI$24,MATCH('SCC_Sulfide (SSC)'!$V13,'Tables - Part 2'!$AV$6:$AV$13,0),MATCH('SCC_Sulfide (SSC)'!$S13,'Tables - Part 2'!$AX$5:$BA$5,0)))/2)/2,0)</f>
        <v>0</v>
      </c>
      <c r="BK13" s="248">
        <f>IF($R13=$BK$3,((((INDEX('Tables - Part 2'!$BB$17:$BE$24,MATCH('SCC_Sulfide (SSC)'!$V13,'Tables - Part 2'!$AV$6:$AV$13,0),MATCH('SCC_Sulfide (SSC)'!$S13,'Tables - Part 2'!$AX$5:$BA$5,0)))+(INDEX('Tables - Part 2'!$BB$17:$BE$24,MATCH('SCC_Sulfide (SSC)'!$V13,'Tables - Part 2'!$AV$6:$AV$13,0),MATCH('SCC_Sulfide (SSC)'!$S13,'Tables - Part 2'!$AX$5:$BA$5,0))+INDEX('Tables - Part 2'!$BF$17:$BI$24,MATCH('SCC_Sulfide (SSC)'!$V13,'Tables - Part 2'!$AV$6:$AV$13,0),MATCH('SCC_Sulfide (SSC)'!$S13,'Tables - Part 2'!$AX$5:$BA$5,0)))/2)/2)+((INDEX('Tables - Part 2'!$BB$17:$BE$24,MATCH('SCC_Sulfide (SSC)'!$V13,'Tables - Part 2'!$AV$6:$AV$13,0),MATCH('SCC_Sulfide (SSC)'!$S13,'Tables - Part 2'!$AX$5:$BA$5,0))+INDEX('Tables - Part 2'!$BF$17:$BI$24,MATCH('SCC_Sulfide (SSC)'!$V13,'Tables - Part 2'!$AV$6:$AV$13,0),MATCH('SCC_Sulfide (SSC)'!$S13,'Tables - Part 2'!$AX$5:$BA$5,0)))/2))/2,0)</f>
        <v>0</v>
      </c>
      <c r="BL13" s="248">
        <f>IF($R13=$BL$3,(INDEX('Tables - Part 2'!$BB$17:$BE$24,MATCH('SCC_Sulfide (SSC)'!$V13,'Tables - Part 2'!$AV$6:$AV$13,0),MATCH('SCC_Sulfide (SSC)'!$S13,'Tables - Part 2'!$AX$5:$BA$5,0))+INDEX('Tables - Part 2'!$BF$17:$BI$24,MATCH('SCC_Sulfide (SSC)'!$V13,'Tables - Part 2'!$AV$6:$AV$13,0),MATCH('SCC_Sulfide (SSC)'!$S13,'Tables - Part 2'!$AX$5:$BA$5,0)))/2,0)</f>
        <v>0</v>
      </c>
      <c r="BM13" s="248">
        <f>IF($R13=$BM$3,(((INDEX('Tables - Part 2'!$BB$17:$BE$24,MATCH('SCC_Sulfide (SSC)'!$V13,'Tables - Part 2'!$AV$6:$AV$13,0),MATCH('SCC_Sulfide (SSC)'!$S13,'Tables - Part 2'!$AX$5:$BA$5,0))+INDEX('Tables - Part 2'!$BF$17:$BI$24,MATCH('SCC_Sulfide (SSC)'!$V13,'Tables - Part 2'!$AV$6:$AV$13,0),MATCH('SCC_Sulfide (SSC)'!$S13,'Tables - Part 2'!$AX$5:$BA$5,0)))/2)+((((INDEX('Tables - Part 2'!$BB$17:$BE$24,MATCH('SCC_Sulfide (SSC)'!$V13,'Tables - Part 2'!$AV$6:$AV$13,0),MATCH('SCC_Sulfide (SSC)'!$S13,'Tables - Part 2'!$AX$5:$BA$5,0))+INDEX('Tables - Part 2'!$BF$17:$BI$24,MATCH('SCC_Sulfide (SSC)'!$V13,'Tables - Part 2'!$AV$6:$AV$13,0),MATCH('SCC_Sulfide (SSC)'!$S13,'Tables - Part 2'!$AX$5:$BA$5,0)))/2)+INDEX('Tables - Part 2'!$BF$17:$BI$24,MATCH('SCC_Sulfide (SSC)'!$V13,'Tables - Part 2'!$AV$6:$AV$13,0),MATCH('SCC_Sulfide (SSC)'!$S13,'Tables - Part 2'!$AX$5:$BA$5,0)))/2))/2,0)</f>
        <v>0</v>
      </c>
      <c r="BN13" s="248">
        <f>IF($R13=$BN$3,(((INDEX('Tables - Part 2'!$BB$17:$BE$24,MATCH('SCC_Sulfide (SSC)'!$V13,'Tables - Part 2'!$AV$6:$AV$13,0),MATCH('SCC_Sulfide (SSC)'!$S13,'Tables - Part 2'!$AX$5:$BA$5,0))+INDEX('Tables - Part 2'!$BF$17:$BI$24,MATCH('SCC_Sulfide (SSC)'!$V13,'Tables - Part 2'!$AV$6:$AV$13,0),MATCH('SCC_Sulfide (SSC)'!$S13,'Tables - Part 2'!$AX$5:$BA$5,0)))/2)+INDEX('Tables - Part 2'!$BF$17:$BI$24,MATCH('SCC_Sulfide (SSC)'!$V13,'Tables - Part 2'!$AV$6:$AV$13,0),MATCH('SCC_Sulfide (SSC)'!$S13,'Tables - Part 2'!$AX$5:$BA$5,0)))/2,0)</f>
        <v>0</v>
      </c>
      <c r="BO13" s="248">
        <f>IF($R13=$BO$3,(((((INDEX('Tables - Part 2'!$BB$17:$BE$24,MATCH('SCC_Sulfide (SSC)'!$V13,'Tables - Part 2'!$AV$6:$AV$13,0),MATCH('SCC_Sulfide (SSC)'!$S13,'Tables - Part 2'!$AX$5:$BA$5,0))+INDEX('Tables - Part 2'!$BF$17:$BI$24,MATCH('SCC_Sulfide (SSC)'!$V13,'Tables - Part 2'!$AV$6:$AV$13,0),MATCH('SCC_Sulfide (SSC)'!$S13,'Tables - Part 2'!$AX$5:$BA$5,0)))/2)+INDEX('Tables - Part 2'!$BF$17:$BI$24,MATCH('SCC_Sulfide (SSC)'!$V13,'Tables - Part 2'!$AV$6:$AV$13,0),MATCH('SCC_Sulfide (SSC)'!$S13,'Tables - Part 2'!$AX$5:$BA$5,0)))/2)+(INDEX('Tables - Part 2'!$BF$17:$BI$24,MATCH('SCC_Sulfide (SSC)'!$V13,'Tables - Part 2'!$AV$6:$AV$13,0),MATCH('SCC_Sulfide (SSC)'!$S13,'Tables - Part 2'!$AX$5:$BA$5,0))))/2,0)</f>
        <v>0</v>
      </c>
      <c r="BP13" s="248">
        <f>IF($R13=$BP$3,INDEX('Tables - Part 2'!$BF$17:$BI$24,MATCH('SCC_Sulfide (SSC)'!$V13,'Tables - Part 2'!$AV$6:$AV$13,0),MATCH('SCC_Sulfide (SSC)'!$S13,'Tables - Part 2'!$AX$5:$BA$5,0)),0)</f>
        <v>0</v>
      </c>
      <c r="BQ13" s="248">
        <f t="shared" si="6"/>
        <v>0</v>
      </c>
      <c r="BR13" s="238">
        <f t="shared" si="8"/>
        <v>1</v>
      </c>
      <c r="BS13" s="238">
        <f t="shared" si="7"/>
        <v>16.77288246840839</v>
      </c>
    </row>
    <row r="14" spans="2:84" x14ac:dyDescent="0.35">
      <c r="B14" s="161" t="str">
        <f>'Tratamento de Dados'!B22</f>
        <v>V-50</v>
      </c>
      <c r="C14" s="161" t="str">
        <f>'Tratamento de Dados'!D22</f>
        <v>Casco</v>
      </c>
      <c r="D14" s="209" t="s">
        <v>245</v>
      </c>
      <c r="E14" s="209" t="s">
        <v>61</v>
      </c>
      <c r="F14" s="209" t="s">
        <v>836</v>
      </c>
      <c r="G14" s="209" t="s">
        <v>832</v>
      </c>
      <c r="H14" s="209" t="s">
        <v>245</v>
      </c>
      <c r="I14" s="209" t="s">
        <v>1113</v>
      </c>
      <c r="J14" s="209" t="s">
        <v>245</v>
      </c>
      <c r="K14" s="210">
        <v>39092</v>
      </c>
      <c r="L14" s="209">
        <v>0</v>
      </c>
      <c r="M14" s="209">
        <v>1</v>
      </c>
      <c r="N14" s="209">
        <v>1</v>
      </c>
      <c r="O14" s="209">
        <v>4</v>
      </c>
      <c r="P14" s="253">
        <f>'Tratamento de Dados'!DA22</f>
        <v>0</v>
      </c>
      <c r="Q14" s="253">
        <f>'Tratamento de Dados'!DB22</f>
        <v>0</v>
      </c>
      <c r="R14" s="256">
        <f t="shared" si="0"/>
        <v>2.5</v>
      </c>
      <c r="S14" s="246" t="str">
        <f t="shared" si="1"/>
        <v>B</v>
      </c>
      <c r="T14" s="238" t="str">
        <f>IF(D14=$BX$2,$BV$4,IF(AND(H14=$BX$2,OR(F14='Tables - Part 2'!$BN$8,'Tables - Part 2'!$BN$9),OR('SCC_Sulfide (SSC)'!G14='Tables - Part 2'!$BQ$4,'SCC_Sulfide (SSC)'!G14='Tables - Part 2'!$BR$4)),$BV$4,INDEX('Tables - Part 2'!$BO$5:$BR$9,MATCH('SCC_Sulfide (SSC)'!F14,'Tables - Part 2'!$BN$5:$BN$9,0),MATCH('SCC_Sulfide (SSC)'!G14,'Tables - Part 2'!$BO$4:$BR$4,0))))</f>
        <v>Moderate</v>
      </c>
      <c r="U14" s="238" t="str">
        <f>IF(D14=$BX$2,$BV$4,IF(J14=$BX$2,INDEX('Tables - Part 2'!$BX$6:$BZ$8,MATCH('SCC_Sulfide (SSC)'!T14,'Tables - Part 2'!$BT$6:$BT$8,0),MATCH('SCC_Sulfide (SSC)'!I14,'Tables - Part 2'!$BX$5:$BZ$5,0)),INDEX('Tables - Part 2'!$BU$6:$BW$8,MATCH('SCC_Sulfide (SSC)'!T14,'Tables - Part 2'!$BT$6:$BT$8,0),MATCH('SCC_Sulfide (SSC)'!I14,'Tables - Part 2'!$BU$5:$BW$5,0))))</f>
        <v>Medium</v>
      </c>
      <c r="V14" s="238">
        <f>IF(AND(D14=$BX$2,E14&lt;&gt;$BX$2),"Fitness-For-Service",INDEX('Tables - Part 2'!$CC$4:$CC$7,MATCH('SCC_Sulfide (SSC)'!U14,'Tables - Part 2'!$CB$4:$CB$7,0),))</f>
        <v>10</v>
      </c>
      <c r="W14" s="238">
        <f>IF(K14=0,(Thinning!G15-Thinning!F15)/365.25,(Thinning!G15-K14)/365.25)</f>
        <v>12.980150581793293</v>
      </c>
      <c r="X14" s="248">
        <f t="shared" si="2"/>
        <v>0</v>
      </c>
      <c r="Y14" s="248">
        <f t="shared" si="3"/>
        <v>2.5</v>
      </c>
      <c r="Z14" s="248">
        <f t="shared" si="4"/>
        <v>3</v>
      </c>
      <c r="AA14" s="247">
        <f t="shared" si="5"/>
        <v>4</v>
      </c>
      <c r="AB14" s="248">
        <f>IF($R14=$AB$3,INDEX('Tables - Part 2'!$AX$6:$BA$13,MATCH('SCC_Sulfide (SSC)'!V14,'Tables - Part 2'!$AV$6:$AV$13,0),MATCH('SCC_Sulfide (SSC)'!S14,'Tables - Part 2'!$AX$5:$BA$5,0)),0)</f>
        <v>0</v>
      </c>
      <c r="AC14" s="248">
        <f>IF($R14=$AC$3,(INDEX('Tables - Part 2'!$AX$6:$BA$13,MATCH('SCC_Sulfide (SSC)'!V14,'Tables - Part 2'!$AV$6:$AV$13,0),MATCH('SCC_Sulfide (SSC)'!S14,'Tables - Part 2'!$AX$5:$BA$5,0))+(INDEX('Tables - Part 2'!$AX$6:$BA$13,MATCH('SCC_Sulfide (SSC)'!V14,'Tables - Part 2'!$AV$6:$AV$13,0),MATCH('SCC_Sulfide (SSC)'!S14,'Tables - Part 2'!$AX$5:$BA$5,0))+((INDEX('Tables - Part 2'!$AX$6:$BA$13,MATCH('SCC_Sulfide (SSC)'!V14,'Tables - Part 2'!$AV$6:$AV$13,0),MATCH('SCC_Sulfide (SSC)'!S14,'Tables - Part 2'!$AX$5:$BA$5,0))+INDEX('Tables - Part 2'!$BB$6:$BE$13,MATCH('SCC_Sulfide (SSC)'!$V14,'Tables - Part 2'!$AV$6:$AV$13,0),MATCH('SCC_Sulfide (SSC)'!$S14,'Tables - Part 2'!$AX$5:$BA$5,0)))/2))/2)/2,0)</f>
        <v>0</v>
      </c>
      <c r="AD14" s="248">
        <f>IF($R14=$AD$3,(INDEX('Tables - Part 2'!$AX$6:$BA$13,MATCH('SCC_Sulfide (SSC)'!V14,'Tables - Part 2'!$AV$6:$AV$13,0),MATCH('SCC_Sulfide (SSC)'!S14,'Tables - Part 2'!$AX$5:$BA$5,0))+((INDEX('Tables - Part 2'!$AX$6:$BA$13,MATCH('SCC_Sulfide (SSC)'!V14,'Tables - Part 2'!$AV$6:$AV$13,0),MATCH('SCC_Sulfide (SSC)'!S14,'Tables - Part 2'!$AX$5:$BA$5,0))+INDEX('Tables - Part 2'!$BB$6:$BE$13,MATCH('SCC_Sulfide (SSC)'!$V14,'Tables - Part 2'!$AV$6:$AV$13,0),MATCH('SCC_Sulfide (SSC)'!$S14,'Tables - Part 2'!$AX$5:$BA$5,0)))/2))/2,0)</f>
        <v>0</v>
      </c>
      <c r="AE14" s="248">
        <f>IF($R14=$AE$3,(((INDEX('Tables - Part 2'!$AX$6:$BA$13,MATCH('SCC_Sulfide (SSC)'!V14,'Tables - Part 2'!$AV$6:$AV$13,0),MATCH('SCC_Sulfide (SSC)'!S14,'Tables - Part 2'!$AX$5:$BA$5,0))+((INDEX('Tables - Part 2'!$AX$6:$BA$13,MATCH('SCC_Sulfide (SSC)'!V14,'Tables - Part 2'!$AV$6:$AV$13,0),MATCH('SCC_Sulfide (SSC)'!S14,'Tables - Part 2'!$AX$5:$BA$5,0))+INDEX('Tables - Part 2'!$BB$6:$BE$13,MATCH('SCC_Sulfide (SSC)'!$V14,'Tables - Part 2'!$AV$6:$AV$13,0),MATCH('SCC_Sulfide (SSC)'!$S14,'Tables - Part 2'!$AX$5:$BA$5,0)))/2))/2)+(INDEX('Tables - Part 2'!$AX$6:$BA$13,MATCH('SCC_Sulfide (SSC)'!V14,'Tables - Part 2'!$AV$6:$AV$13,0),MATCH('SCC_Sulfide (SSC)'!S14,'Tables - Part 2'!$AX$5:$BA$5,0))+INDEX('Tables - Part 2'!$BB$6:$BE$13,MATCH('SCC_Sulfide (SSC)'!$V14,'Tables - Part 2'!$AV$6:$AV$13,0),MATCH('SCC_Sulfide (SSC)'!$S14,'Tables - Part 2'!$AX$5:$BA$5,0)))/2)/2,0)</f>
        <v>0</v>
      </c>
      <c r="AF14" s="248">
        <f>IF($R14=$AF$3,(INDEX('Tables - Part 2'!$AX$6:$BA$13,MATCH('SCC_Sulfide (SSC)'!V14,'Tables - Part 2'!$AV$6:$AV$13,0),MATCH('SCC_Sulfide (SSC)'!S14,'Tables - Part 2'!$AX$5:$BA$5,0))+INDEX('Tables - Part 2'!$BB$6:$BE$13,MATCH('SCC_Sulfide (SSC)'!$V14,'Tables - Part 2'!$AV$6:$AV$13,0),MATCH('SCC_Sulfide (SSC)'!$S14,'Tables - Part 2'!$AX$5:$BA$5,0)))/2,0)</f>
        <v>0</v>
      </c>
      <c r="AG14" s="248">
        <f>IF($R14=$AG$3,(((INDEX('Tables - Part 2'!$AX$6:$BA$13,MATCH('SCC_Sulfide (SSC)'!V14,'Tables - Part 2'!$AV$6:$AV$13,0),MATCH('SCC_Sulfide (SSC)'!S14,'Tables - Part 2'!$AX$5:$BA$5,0))+INDEX('Tables - Part 2'!$BB$6:$BE$13,MATCH('SCC_Sulfide (SSC)'!$V14,'Tables - Part 2'!$AV$6:$AV$13,0),MATCH('SCC_Sulfide (SSC)'!$S14,'Tables - Part 2'!$AX$5:$BA$5,0)))/2)+(((INDEX('Tables - Part 2'!$AX$6:$BA$13,MATCH('SCC_Sulfide (SSC)'!V14,'Tables - Part 2'!$AV$6:$AV$13,0),MATCH('SCC_Sulfide (SSC)'!S14,'Tables - Part 2'!$AX$5:$BA$5,0))+INDEX('Tables - Part 2'!$BB$6:$BE$13,MATCH('SCC_Sulfide (SSC)'!$V14,'Tables - Part 2'!$AV$6:$AV$13,0),MATCH('SCC_Sulfide (SSC)'!$S14,'Tables - Part 2'!$AX$5:$BA$5,0)))/2)+INDEX('Tables - Part 2'!$BB$6:$BE$13,MATCH('SCC_Sulfide (SSC)'!$V14,'Tables - Part 2'!$AV$6:$AV$13,0),MATCH('SCC_Sulfide (SSC)'!$S14,'Tables - Part 2'!$AX$5:$BA$5,0)))/2)/2,0)</f>
        <v>0</v>
      </c>
      <c r="AH14" s="248">
        <f>IF($R14=$AH$3,(((INDEX('Tables - Part 2'!$AX$6:$BA$13,MATCH('SCC_Sulfide (SSC)'!V14,'Tables - Part 2'!$AV$6:$AV$13,0),MATCH('SCC_Sulfide (SSC)'!S14,'Tables - Part 2'!$AX$5:$BA$5,0))+INDEX('Tables - Part 2'!$BB$6:$BE$13,MATCH('SCC_Sulfide (SSC)'!$V14,'Tables - Part 2'!$AV$6:$AV$13,0),MATCH('SCC_Sulfide (SSC)'!$S14,'Tables - Part 2'!$AX$5:$BA$5,0)))/2)+INDEX('Tables - Part 2'!$BB$6:$BE$13,MATCH('SCC_Sulfide (SSC)'!$V14,'Tables - Part 2'!$AV$6:$AV$13,0),MATCH('SCC_Sulfide (SSC)'!$S14,'Tables - Part 2'!$AX$5:$BA$5,0)))/2,0)</f>
        <v>0</v>
      </c>
      <c r="AI14" s="248">
        <f>IF($R14=$AI$3,(((((INDEX('Tables - Part 2'!$AX$6:$BA$13,MATCH('SCC_Sulfide (SSC)'!V14,'Tables - Part 2'!$AV$6:$AV$13,0),MATCH('SCC_Sulfide (SSC)'!S14,'Tables - Part 2'!$AX$5:$BA$5,0))+INDEX('Tables - Part 2'!$BB$6:$BE$13,MATCH('SCC_Sulfide (SSC)'!$V14,'Tables - Part 2'!$AV$6:$AV$13,0),MATCH('SCC_Sulfide (SSC)'!$S14,'Tables - Part 2'!$AX$5:$BA$5,0)))/2)+INDEX('Tables - Part 2'!$BB$6:$BE$13,MATCH('SCC_Sulfide (SSC)'!$V14,'Tables - Part 2'!$AV$6:$AV$13,0),MATCH('SCC_Sulfide (SSC)'!$S14,'Tables - Part 2'!$AX$5:$BA$5,0)))/2)+INDEX('Tables - Part 2'!$BB$6:$BE$13,MATCH('SCC_Sulfide (SSC)'!$V14,'Tables - Part 2'!$AV$6:$AV$13,0),MATCH('SCC_Sulfide (SSC)'!$S14,'Tables - Part 2'!$AX$5:$BA$5,0)))/2,0)</f>
        <v>0</v>
      </c>
      <c r="AJ14" s="248">
        <f>IF($R14=$AJ$3,INDEX('Tables - Part 2'!$BB$6:$BE$13,MATCH('SCC_Sulfide (SSC)'!$V14,'Tables - Part 2'!$AV$6:$AV$13,0),MATCH('SCC_Sulfide (SSC)'!$S14,'Tables - Part 2'!$AX$5:$BA$5,0)),0)</f>
        <v>0</v>
      </c>
      <c r="AK14" s="248">
        <f>IF($R14=$AK$3,((INDEX('Tables - Part 2'!$BB$6:$BE$13,MATCH('SCC_Sulfide (SSC)'!$V14,'Tables - Part 2'!$AV$6:$AV$13,0),MATCH('SCC_Sulfide (SSC)'!$S14,'Tables - Part 2'!$AX$5:$BA$5,0)))+(INDEX('Tables - Part 2'!$BB$6:$BE$13,MATCH('SCC_Sulfide (SSC)'!$V14,'Tables - Part 2'!$AV$6:$AV$13,0),MATCH('SCC_Sulfide (SSC)'!$S14,'Tables - Part 2'!$AX$5:$BA$5,0))+(INDEX('Tables - Part 2'!$BB$6:$BE$13,MATCH('SCC_Sulfide (SSC)'!$V14,'Tables - Part 2'!$AV$6:$AV$13,0),MATCH('SCC_Sulfide (SSC)'!$S14,'Tables - Part 2'!$AX$5:$BA$5,0))+INDEX('Tables - Part 2'!$BF$6:$BI$13,MATCH('SCC_Sulfide (SSC)'!$V14,'Tables - Part 2'!$AV$6:$AV$13,0),MATCH('SCC_Sulfide (SSC)'!$S14,'Tables - Part 2'!$AX$5:$BA$5,0)))/2)/2)/2,0)</f>
        <v>0</v>
      </c>
      <c r="AL14" s="248">
        <f>IF($R14=$AL$3,(INDEX('Tables - Part 2'!$BB$6:$BE$13,MATCH('SCC_Sulfide (SSC)'!$V14,'Tables - Part 2'!$AV$6:$AV$13,0),MATCH('SCC_Sulfide (SSC)'!$S14,'Tables - Part 2'!$AX$5:$BA$5,0))+(INDEX('Tables - Part 2'!$BB$6:$BE$13,MATCH('SCC_Sulfide (SSC)'!$V14,'Tables - Part 2'!$AV$6:$AV$13,0),MATCH('SCC_Sulfide (SSC)'!$S14,'Tables - Part 2'!$AX$5:$BA$5,0))+INDEX('Tables - Part 2'!$BF$6:$BI$13,MATCH('SCC_Sulfide (SSC)'!$V14,'Tables - Part 2'!$AV$6:$AV$13,0),MATCH('SCC_Sulfide (SSC)'!$S14,'Tables - Part 2'!$AX$5:$BA$5,0)))/2)/2,0)</f>
        <v>0</v>
      </c>
      <c r="AM14" s="248">
        <f>IF($R14=$AM$3,(((INDEX('Tables - Part 2'!$BB$6:$BE$13,MATCH('SCC_Sulfide (SSC)'!$V14,'Tables - Part 2'!$AV$6:$AV$13,0),MATCH('SCC_Sulfide (SSC)'!$S14,'Tables - Part 2'!$AX$5:$BA$5,0))+(INDEX('Tables - Part 2'!$BB$6:$BE$13,MATCH('SCC_Sulfide (SSC)'!$V14,'Tables - Part 2'!$AV$6:$AV$13,0),MATCH('SCC_Sulfide (SSC)'!$S14,'Tables - Part 2'!$AX$5:$BA$5,0))+INDEX('Tables - Part 2'!$BF$6:$BI$13,MATCH('SCC_Sulfide (SSC)'!$V14,'Tables - Part 2'!$AV$6:$AV$13,0),MATCH('SCC_Sulfide (SSC)'!$S14,'Tables - Part 2'!$AX$5:$BA$5,0)))/2)/2)+((INDEX('Tables - Part 2'!$BB$6:$BE$13,MATCH('SCC_Sulfide (SSC)'!$V14,'Tables - Part 2'!$AV$6:$AV$13,0),MATCH('SCC_Sulfide (SSC)'!$S14,'Tables - Part 2'!$AX$5:$BA$5,0))+INDEX('Tables - Part 2'!$BF$6:$BI$13,MATCH('SCC_Sulfide (SSC)'!$V14,'Tables - Part 2'!$AV$6:$AV$13,0),MATCH('SCC_Sulfide (SSC)'!$S14,'Tables - Part 2'!$AX$5:$BA$5,0)))/2))/2,0)</f>
        <v>0</v>
      </c>
      <c r="AN14" s="248">
        <f>IF($R14=$AN$3,(INDEX('Tables - Part 2'!$BB$6:$BE$13,MATCH('SCC_Sulfide (SSC)'!$V14,'Tables - Part 2'!$AV$6:$AV$13,0),MATCH('SCC_Sulfide (SSC)'!$S14,'Tables - Part 2'!$AX$5:$BA$5,0))+INDEX('Tables - Part 2'!$BF$6:$BI$13,MATCH('SCC_Sulfide (SSC)'!$V14,'Tables - Part 2'!$AV$6:$AV$13,0),MATCH('SCC_Sulfide (SSC)'!$S14,'Tables - Part 2'!$AX$5:$BA$5,0)))/2,0)</f>
        <v>1</v>
      </c>
      <c r="AO14" s="248">
        <f>IF($R14=$AO$3,(((INDEX('Tables - Part 2'!$BB$6:$BE$13,MATCH('SCC_Sulfide (SSC)'!$V14,'Tables - Part 2'!$AV$6:$AV$13,0),MATCH('SCC_Sulfide (SSC)'!$S14,'Tables - Part 2'!$AX$5:$BA$5,0))+INDEX('Tables - Part 2'!$BF$6:$BI$13,MATCH('SCC_Sulfide (SSC)'!$V14,'Tables - Part 2'!$AV$6:$AV$13,0),MATCH('SCC_Sulfide (SSC)'!$S14,'Tables - Part 2'!$AX$5:$BA$5,0)))/2)+((((INDEX('Tables - Part 2'!$BB$6:$BE$13,MATCH('SCC_Sulfide (SSC)'!$V14,'Tables - Part 2'!$AV$6:$AV$13,0),MATCH('SCC_Sulfide (SSC)'!$S14,'Tables - Part 2'!$AX$5:$BA$5,0))+INDEX('Tables - Part 2'!$BF$6:$BI$13,MATCH('SCC_Sulfide (SSC)'!$V14,'Tables - Part 2'!$AV$6:$AV$13,0),MATCH('SCC_Sulfide (SSC)'!$S14,'Tables - Part 2'!$AX$5:$BA$5,0)))/2)+INDEX('Tables - Part 2'!$BF$6:$BI$13,MATCH('SCC_Sulfide (SSC)'!$V14,'Tables - Part 2'!$AV$6:$AV$13,0),MATCH('SCC_Sulfide (SSC)'!$S14,'Tables - Part 2'!$AX$5:$BA$5,0)))/2))/2,0)</f>
        <v>0</v>
      </c>
      <c r="AP14" s="248">
        <f>IF($R14=$AP$3,(((INDEX('Tables - Part 2'!$BB$6:$BE$13,MATCH('SCC_Sulfide (SSC)'!$V14,'Tables - Part 2'!$AV$6:$AV$13,0),MATCH('SCC_Sulfide (SSC)'!$S14,'Tables - Part 2'!$AX$5:$BA$5,0))+INDEX('Tables - Part 2'!$BF$6:$BI$13,MATCH('SCC_Sulfide (SSC)'!$V14,'Tables - Part 2'!$AV$6:$AV$13,0),MATCH('SCC_Sulfide (SSC)'!$S14,'Tables - Part 2'!$AX$5:$BA$5,0)))/2)+INDEX('Tables - Part 2'!$BF$6:$BI$13,MATCH('SCC_Sulfide (SSC)'!$V14,'Tables - Part 2'!$AV$6:$AV$13,0),MATCH('SCC_Sulfide (SSC)'!$S14,'Tables - Part 2'!$AX$5:$BA$5,0)))/2,0)</f>
        <v>0</v>
      </c>
      <c r="AQ14" s="248">
        <f>IF($R14=$AQ$3,(((((INDEX('Tables - Part 2'!$BB$6:$BE$13,MATCH('SCC_Sulfide (SSC)'!$V14,'Tables - Part 2'!$AV$6:$AV$13,0),MATCH('SCC_Sulfide (SSC)'!$S14,'Tables - Part 2'!$AX$5:$BA$5,0))+INDEX('Tables - Part 2'!$BF$6:$BI$13,MATCH('SCC_Sulfide (SSC)'!$V14,'Tables - Part 2'!$AV$6:$AV$13,0),MATCH('SCC_Sulfide (SSC)'!$S14,'Tables - Part 2'!$AX$5:$BA$5,0)))/2)+INDEX('Tables - Part 2'!$BF$6:$BI$13,MATCH('SCC_Sulfide (SSC)'!$V14,'Tables - Part 2'!$AV$6:$AV$13,0),MATCH('SCC_Sulfide (SSC)'!$S14,'Tables - Part 2'!$AX$5:$BA$5,0)))/2)+INDEX('Tables - Part 2'!$BF$6:$BI$13,MATCH('SCC_Sulfide (SSC)'!$V14,'Tables - Part 2'!$AV$6:$AV$13,0),MATCH('SCC_Sulfide (SSC)'!$S14,'Tables - Part 2'!$AX$5:$BA$5,0)))/2,0)</f>
        <v>0</v>
      </c>
      <c r="AR14" s="248">
        <f>IF($R14=$AR$3,INDEX('Tables - Part 2'!$BF$6:$BI$13,MATCH('SCC_Sulfide (SSC)'!$V14,'Tables - Part 2'!$AV$6:$AV$13,0),MATCH('SCC_Sulfide (SSC)'!$S14,'Tables - Part 2'!$AX$5:$BA$5,0)),0)</f>
        <v>0</v>
      </c>
      <c r="AS14" s="248">
        <f>IF($R14=$AS$3,(INDEX('Tables - Part 2'!$BF$6:$BI$13,MATCH('SCC_Sulfide (SSC)'!$V14,'Tables - Part 2'!$AV$6:$AV$13,0),MATCH('SCC_Sulfide (SSC)'!$S14,'Tables - Part 2'!$AX$5:$BA$5,0))+((INDEX('Tables - Part 2'!$BF$6:$BI$13,MATCH('SCC_Sulfide (SSC)'!$V14,'Tables - Part 2'!$AV$6:$AV$13,0),MATCH('SCC_Sulfide (SSC)'!$S14,'Tables - Part 2'!$AX$5:$BA$5,0))+(INDEX('Tables - Part 2'!$BF$6:$BI$13,MATCH('SCC_Sulfide (SSC)'!$V14,'Tables - Part 2'!$AV$6:$AV$13,0),MATCH('SCC_Sulfide (SSC)'!$S14,'Tables - Part 2'!$AX$5:$BA$5,0))+INDEX('Tables - Part 2'!$AX$17:$BA$24,MATCH('SCC_Sulfide (SSC)'!$V14,'Tables - Part 2'!$AV$6:$AV$13,0),MATCH('SCC_Sulfide (SSC)'!$S14,'Tables - Part 2'!$AX$5:$BA$5,0)))/2)/2))/2,0)</f>
        <v>0</v>
      </c>
      <c r="AT14" s="248">
        <f>IF($R14=$AT$3,(INDEX('Tables - Part 2'!$BF$6:$BI$13,MATCH('SCC_Sulfide (SSC)'!$V14,'Tables - Part 2'!$AV$6:$AV$13,0),MATCH('SCC_Sulfide (SSC)'!$S14,'Tables - Part 2'!$AX$5:$BA$5,0))+(INDEX('Tables - Part 2'!$BF$6:$BI$13,MATCH('SCC_Sulfide (SSC)'!$V14,'Tables - Part 2'!$AV$6:$AV$13,0),MATCH('SCC_Sulfide (SSC)'!$S14,'Tables - Part 2'!$AX$5:$BA$5,0))+INDEX('Tables - Part 2'!$AX$17:$BA$24,MATCH('SCC_Sulfide (SSC)'!$V14,'Tables - Part 2'!$AV$6:$AV$13,0),MATCH('SCC_Sulfide (SSC)'!$S14,'Tables - Part 2'!$AX$5:$BA$5,0)))/2)/2,0)</f>
        <v>0</v>
      </c>
      <c r="AU14" s="248">
        <f>IF($R14=$AU$3,(((INDEX('Tables - Part 2'!$BF$6:$BI$13,MATCH('SCC_Sulfide (SSC)'!$V14,'Tables - Part 2'!$AV$6:$AV$13,0),MATCH('SCC_Sulfide (SSC)'!$S14,'Tables - Part 2'!$AX$5:$BA$5,0))+(INDEX('Tables - Part 2'!$BF$6:$BI$13,MATCH('SCC_Sulfide (SSC)'!$V14,'Tables - Part 2'!$AV$6:$AV$13,0),MATCH('SCC_Sulfide (SSC)'!$S14,'Tables - Part 2'!$AX$5:$BA$5,0))+INDEX('Tables - Part 2'!$AX$17:$BA$24,MATCH('SCC_Sulfide (SSC)'!$V14,'Tables - Part 2'!$AV$6:$AV$13,0),MATCH('SCC_Sulfide (SSC)'!$S14,'Tables - Part 2'!$AX$5:$BA$5,0)))/2)/2)+((INDEX('Tables - Part 2'!$BF$6:$BI$13,MATCH('SCC_Sulfide (SSC)'!$V14,'Tables - Part 2'!$AV$6:$AV$13,0),MATCH('SCC_Sulfide (SSC)'!$S14,'Tables - Part 2'!$AX$5:$BA$5,0))+INDEX('Tables - Part 2'!$AX$17:$BA$24,MATCH('SCC_Sulfide (SSC)'!$V14,'Tables - Part 2'!$AV$6:$AV$13,0),MATCH('SCC_Sulfide (SSC)'!$S14,'Tables - Part 2'!$AX$5:$BA$5,0)))/2))/2,0)</f>
        <v>0</v>
      </c>
      <c r="AV14" s="248">
        <f>IF($R14=$AV$3,(INDEX('Tables - Part 2'!$BF$6:$BI$13,MATCH('SCC_Sulfide (SSC)'!$V14,'Tables - Part 2'!$AV$6:$AV$13,0),MATCH('SCC_Sulfide (SSC)'!$S14,'Tables - Part 2'!$AX$5:$BA$5,0))+INDEX('Tables - Part 2'!$AX$17:$BA$24,MATCH('SCC_Sulfide (SSC)'!$V14,'Tables - Part 2'!$AV$6:$AV$13,0),MATCH('SCC_Sulfide (SSC)'!$S14,'Tables - Part 2'!$AX$5:$BA$5,0)))/2,0)</f>
        <v>0</v>
      </c>
      <c r="AW14" s="248">
        <f>IF($R14=$AW$3,(((INDEX('Tables - Part 2'!$BF$6:$BI$13,MATCH('SCC_Sulfide (SSC)'!$V14,'Tables - Part 2'!$AV$6:$AV$13,0),MATCH('SCC_Sulfide (SSC)'!$S14,'Tables - Part 2'!$AX$5:$BA$5,0))+INDEX('Tables - Part 2'!$AX$17:$BA$24,MATCH('SCC_Sulfide (SSC)'!$V14,'Tables - Part 2'!$AV$6:$AV$13,0),MATCH('SCC_Sulfide (SSC)'!$S14,'Tables - Part 2'!$AX$5:$BA$5,0)))/2)+((((INDEX('Tables - Part 2'!$BF$6:$BI$13,MATCH('SCC_Sulfide (SSC)'!$V14,'Tables - Part 2'!$AV$6:$AV$13,0),MATCH('SCC_Sulfide (SSC)'!$S14,'Tables - Part 2'!$AX$5:$BA$5,0))+INDEX('Tables - Part 2'!$AX$17:$BA$24,MATCH('SCC_Sulfide (SSC)'!$V14,'Tables - Part 2'!$AV$6:$AV$13,0),MATCH('SCC_Sulfide (SSC)'!$S14,'Tables - Part 2'!$AX$5:$BA$5,0)))/2)+INDEX('Tables - Part 2'!$AX$17:$BA$24,MATCH('SCC_Sulfide (SSC)'!$V14,'Tables - Part 2'!$AV$6:$AV$13,0),MATCH('SCC_Sulfide (SSC)'!$S14,'Tables - Part 2'!$AX$5:$BA$5,0)))/2))/2,0)</f>
        <v>0</v>
      </c>
      <c r="AX14" s="248">
        <f>IF($R14=$AX$3,(((INDEX('Tables - Part 2'!$BF$6:$BI$13,MATCH('SCC_Sulfide (SSC)'!$V14,'Tables - Part 2'!$AV$6:$AV$13,0),MATCH('SCC_Sulfide (SSC)'!$S14,'Tables - Part 2'!$AX$5:$BA$5,0))+INDEX('Tables - Part 2'!$AX$17:$BA$24,MATCH('SCC_Sulfide (SSC)'!$V14,'Tables - Part 2'!$AV$6:$AV$13,0),MATCH('SCC_Sulfide (SSC)'!$S14,'Tables - Part 2'!$AX$5:$BA$5,0)))/2)+INDEX('Tables - Part 2'!$AX$17:$BA$24,MATCH('SCC_Sulfide (SSC)'!$V14,'Tables - Part 2'!$AV$6:$AV$13,0),MATCH('SCC_Sulfide (SSC)'!$S14,'Tables - Part 2'!$AX$5:$BA$5,0)))/2,0)</f>
        <v>0</v>
      </c>
      <c r="AY14" s="248">
        <f>IF($R14=$AY$3,(((((INDEX('Tables - Part 2'!$BF$6:$BI$13,MATCH('SCC_Sulfide (SSC)'!$V14,'Tables - Part 2'!$AV$6:$AV$13,0),MATCH('SCC_Sulfide (SSC)'!$S14,'Tables - Part 2'!$AX$5:$BA$5,0))+INDEX('Tables - Part 2'!$AX$17:$BA$24,MATCH('SCC_Sulfide (SSC)'!$V14,'Tables - Part 2'!$AV$6:$AV$13,0),MATCH('SCC_Sulfide (SSC)'!$S14,'Tables - Part 2'!$AX$5:$BA$5,0)))/2)+INDEX('Tables - Part 2'!$AX$17:$BA$24,MATCH('SCC_Sulfide (SSC)'!$V14,'Tables - Part 2'!$AV$6:$AV$13,0),MATCH('SCC_Sulfide (SSC)'!$S14,'Tables - Part 2'!$AX$5:$BA$5,0)))/2)+(INDEX('Tables - Part 2'!$AX$17:$BA$24,MATCH('SCC_Sulfide (SSC)'!$V14,'Tables - Part 2'!$AV$6:$AV$13,0),MATCH('SCC_Sulfide (SSC)'!$S14,'Tables - Part 2'!$AX$5:$BA$5,0))))/2,0)</f>
        <v>0</v>
      </c>
      <c r="AZ14" s="248">
        <f>IF($R14=$AZ$3,INDEX('Tables - Part 2'!$AX$17:$BA$24,MATCH('SCC_Sulfide (SSC)'!$V14,'Tables - Part 2'!$AV$6:$AV$13,0),MATCH('SCC_Sulfide (SSC)'!$S14,'Tables - Part 2'!$AX$5:$BA$5,0)),0)</f>
        <v>0</v>
      </c>
      <c r="BA14" s="248">
        <f>IF($R14=$BA$3,((INDEX('Tables - Part 2'!$AX$17:$BA$24,MATCH('SCC_Sulfide (SSC)'!$V14,'Tables - Part 2'!$AV$6:$AV$13,0),MATCH('SCC_Sulfide (SSC)'!$S14,'Tables - Part 2'!$AX$5:$BA$5,0)))+(((INDEX('Tables - Part 2'!$AX$17:$BA$24,MATCH('SCC_Sulfide (SSC)'!$V14,'Tables - Part 2'!$AV$6:$AV$13,0),MATCH('SCC_Sulfide (SSC)'!$S14,'Tables - Part 2'!$AX$5:$BA$5,0)))+(INDEX('Tables - Part 2'!$AX$17:$BA$24,MATCH('SCC_Sulfide (SSC)'!$V14,'Tables - Part 2'!$AV$6:$AV$13,0),MATCH('SCC_Sulfide (SSC)'!$S14,'Tables - Part 2'!$AX$5:$BA$5,0))+INDEX('Tables - Part 2'!$BB$17:$BE$24,MATCH('SCC_Sulfide (SSC)'!$V14,'Tables - Part 2'!$AV$6:$AV$13,0),MATCH('SCC_Sulfide (SSC)'!$S14,'Tables - Part 2'!$AX$5:$BA$5,0)))/2)/2))/2,0)</f>
        <v>0</v>
      </c>
      <c r="BB14" s="248">
        <f>IF($R14=$BB$3,((INDEX('Tables - Part 2'!$AX$17:$BA$24,MATCH('SCC_Sulfide (SSC)'!$V14,'Tables - Part 2'!$AV$6:$AV$13,0),MATCH('SCC_Sulfide (SSC)'!$S14,'Tables - Part 2'!$AX$5:$BA$5,0)))+(INDEX('Tables - Part 2'!$AX$17:$BA$24,MATCH('SCC_Sulfide (SSC)'!$V14,'Tables - Part 2'!$AV$6:$AV$13,0),MATCH('SCC_Sulfide (SSC)'!$S14,'Tables - Part 2'!$AX$5:$BA$5,0))+INDEX('Tables - Part 2'!$BB$17:$BE$24,MATCH('SCC_Sulfide (SSC)'!$V14,'Tables - Part 2'!$AV$6:$AV$13,0),MATCH('SCC_Sulfide (SSC)'!$S14,'Tables - Part 2'!$AX$5:$BA$5,0)))/2)/2,0)</f>
        <v>0</v>
      </c>
      <c r="BC14" s="248">
        <f>IF($R14=$BC$3,((((INDEX('Tables - Part 2'!$AX$17:$BA$24,MATCH('SCC_Sulfide (SSC)'!$V14,'Tables - Part 2'!$AV$6:$AV$13,0),MATCH('SCC_Sulfide (SSC)'!$S14,'Tables - Part 2'!$AX$5:$BA$5,0)))+(INDEX('Tables - Part 2'!$AX$17:$BA$24,MATCH('SCC_Sulfide (SSC)'!$V14,'Tables - Part 2'!$AV$6:$AV$13,0),MATCH('SCC_Sulfide (SSC)'!$S14,'Tables - Part 2'!$AX$5:$BA$5,0))+INDEX('Tables - Part 2'!$BB$17:$BE$24,MATCH('SCC_Sulfide (SSC)'!$V14,'Tables - Part 2'!$AV$6:$AV$13,0),MATCH('SCC_Sulfide (SSC)'!$S14,'Tables - Part 2'!$AX$5:$BA$5,0)))/2)/2)+((INDEX('Tables - Part 2'!$AX$17:$BA$24,MATCH('SCC_Sulfide (SSC)'!$V14,'Tables - Part 2'!$AV$6:$AV$13,0),MATCH('SCC_Sulfide (SSC)'!$S14,'Tables - Part 2'!$AX$5:$BA$5,0))+INDEX('Tables - Part 2'!$BB$17:$BE$24,MATCH('SCC_Sulfide (SSC)'!$V14,'Tables - Part 2'!$AV$6:$AV$13,0),MATCH('SCC_Sulfide (SSC)'!$S14,'Tables - Part 2'!$AX$5:$BA$5,0)))/2))/2,0)</f>
        <v>0</v>
      </c>
      <c r="BD14" s="248">
        <f>IF($R14=$BD$3,(INDEX('Tables - Part 2'!$AX$17:$BA$24,MATCH('SCC_Sulfide (SSC)'!$V14,'Tables - Part 2'!$AV$6:$AV$13,0),MATCH('SCC_Sulfide (SSC)'!$S14,'Tables - Part 2'!$AX$5:$BA$5,0))+INDEX('Tables - Part 2'!$BB$17:$BE$24,MATCH('SCC_Sulfide (SSC)'!$V14,'Tables - Part 2'!$AV$6:$AV$13,0),MATCH('SCC_Sulfide (SSC)'!$S14,'Tables - Part 2'!$AX$5:$BA$5,0)))/2,0)</f>
        <v>0</v>
      </c>
      <c r="BE14" s="248">
        <f>IF($R14=$BE$3,(((INDEX('Tables - Part 2'!$AX$17:$BA$24,MATCH('SCC_Sulfide (SSC)'!$V14,'Tables - Part 2'!$AV$6:$AV$13,0),MATCH('SCC_Sulfide (SSC)'!$S14,'Tables - Part 2'!$AX$5:$BA$5,0))+INDEX('Tables - Part 2'!$BB$17:$BE$24,MATCH('SCC_Sulfide (SSC)'!$V14,'Tables - Part 2'!$AV$6:$AV$13,0),MATCH('SCC_Sulfide (SSC)'!$S14,'Tables - Part 2'!$AX$5:$BA$5,0)))/2)+((((INDEX('Tables - Part 2'!$AX$17:$BA$24,MATCH('SCC_Sulfide (SSC)'!$V14,'Tables - Part 2'!$AV$6:$AV$13,0),MATCH('SCC_Sulfide (SSC)'!$S14,'Tables - Part 2'!$AX$5:$BA$5,0))+INDEX('Tables - Part 2'!$BB$17:$BE$24,MATCH('SCC_Sulfide (SSC)'!$V14,'Tables - Part 2'!$AV$6:$AV$13,0),MATCH('SCC_Sulfide (SSC)'!$S14,'Tables - Part 2'!$AX$5:$BA$5,0)))/2)+INDEX('Tables - Part 2'!$BB$17:$BE$24,MATCH('SCC_Sulfide (SSC)'!$V14,'Tables - Part 2'!$AV$6:$AV$13,0),MATCH('SCC_Sulfide (SSC)'!$S14,'Tables - Part 2'!$AX$5:$BA$5,0)))/2))/2,0)</f>
        <v>0</v>
      </c>
      <c r="BF14" s="248">
        <f>IF($R14=$BF$3,(((INDEX('Tables - Part 2'!$AX$17:$BA$24,MATCH('SCC_Sulfide (SSC)'!$V14,'Tables - Part 2'!$AV$6:$AV$13,0),MATCH('SCC_Sulfide (SSC)'!$S14,'Tables - Part 2'!$AX$5:$BA$5,0))+INDEX('Tables - Part 2'!$BB$17:$BE$24,MATCH('SCC_Sulfide (SSC)'!$V14,'Tables - Part 2'!$AV$6:$AV$13,0),MATCH('SCC_Sulfide (SSC)'!$S14,'Tables - Part 2'!$AX$5:$BA$5,0)))/2)+INDEX('Tables - Part 2'!$BB$17:$BE$24,MATCH('SCC_Sulfide (SSC)'!$V14,'Tables - Part 2'!$AV$6:$AV$13,0),MATCH('SCC_Sulfide (SSC)'!$S14,'Tables - Part 2'!$AX$5:$BA$5,0)))/2,0)</f>
        <v>0</v>
      </c>
      <c r="BG14" s="248">
        <f>IF($R14=$BG$3,(((((INDEX('Tables - Part 2'!$AX$17:$BA$24,MATCH('SCC_Sulfide (SSC)'!$V14,'Tables - Part 2'!$AV$6:$AV$13,0),MATCH('SCC_Sulfide (SSC)'!$S14,'Tables - Part 2'!$AX$5:$BA$5,0))+INDEX('Tables - Part 2'!$BB$17:$BE$24,MATCH('SCC_Sulfide (SSC)'!$V14,'Tables - Part 2'!$AV$6:$AV$13,0),MATCH('SCC_Sulfide (SSC)'!$S14,'Tables - Part 2'!$AX$5:$BA$5,0)))/2)+INDEX('Tables - Part 2'!$BB$17:$BE$24,MATCH('SCC_Sulfide (SSC)'!$V14,'Tables - Part 2'!$AV$6:$AV$13,0),MATCH('SCC_Sulfide (SSC)'!$S14,'Tables - Part 2'!$AX$5:$BA$5,0)))/2)+(INDEX('Tables - Part 2'!$BB$17:$BE$24,MATCH('SCC_Sulfide (SSC)'!$V14,'Tables - Part 2'!$AV$6:$AV$13,0),MATCH('SCC_Sulfide (SSC)'!$S14,'Tables - Part 2'!$AX$5:$BA$5,0))))/2,0)</f>
        <v>0</v>
      </c>
      <c r="BH14" s="248">
        <f>IF($R14=$BH$3,INDEX('Tables - Part 2'!$BB$17:$BE$24,MATCH('SCC_Sulfide (SSC)'!$V14,'Tables - Part 2'!$AV$6:$AV$13,0),MATCH('SCC_Sulfide (SSC)'!$S14,'Tables - Part 2'!$AX$5:$BA$5,0)),0)</f>
        <v>0</v>
      </c>
      <c r="BI14" s="248">
        <f>IF($R14=$BI$3,((INDEX('Tables - Part 2'!$BB$17:$BE$24,MATCH('SCC_Sulfide (SSC)'!$V14,'Tables - Part 2'!$AV$6:$AV$13,0),MATCH('SCC_Sulfide (SSC)'!$S14,'Tables - Part 2'!$AX$5:$BA$5,0)))+(((INDEX('Tables - Part 2'!$BB$17:$BE$24,MATCH('SCC_Sulfide (SSC)'!$V14,'Tables - Part 2'!$AV$6:$AV$13,0),MATCH('SCC_Sulfide (SSC)'!$S14,'Tables - Part 2'!$AX$5:$BA$5,0)))+(INDEX('Tables - Part 2'!$BB$17:$BE$24,MATCH('SCC_Sulfide (SSC)'!$V14,'Tables - Part 2'!$AV$6:$AV$13,0),MATCH('SCC_Sulfide (SSC)'!$S14,'Tables - Part 2'!$AX$5:$BA$5,0))+INDEX('Tables - Part 2'!$BF$17:$BI$24,MATCH('SCC_Sulfide (SSC)'!$V14,'Tables - Part 2'!$AV$6:$AV$13,0),MATCH('SCC_Sulfide (SSC)'!$S14,'Tables - Part 2'!$AX$5:$BA$5,0)))/2)/2))/2,0)</f>
        <v>0</v>
      </c>
      <c r="BJ14" s="248">
        <f>IF($R14=$BJ$3,((INDEX('Tables - Part 2'!$BB$17:$BE$24,MATCH('SCC_Sulfide (SSC)'!$V14,'Tables - Part 2'!$AV$6:$AV$13,0),MATCH('SCC_Sulfide (SSC)'!$S14,'Tables - Part 2'!$AX$5:$BA$5,0)))+(INDEX('Tables - Part 2'!$BB$17:$BE$24,MATCH('SCC_Sulfide (SSC)'!$V14,'Tables - Part 2'!$AV$6:$AV$13,0),MATCH('SCC_Sulfide (SSC)'!$S14,'Tables - Part 2'!$AX$5:$BA$5,0))+INDEX('Tables - Part 2'!$BF$17:$BI$24,MATCH('SCC_Sulfide (SSC)'!$V14,'Tables - Part 2'!$AV$6:$AV$13,0),MATCH('SCC_Sulfide (SSC)'!$S14,'Tables - Part 2'!$AX$5:$BA$5,0)))/2)/2,0)</f>
        <v>0</v>
      </c>
      <c r="BK14" s="248">
        <f>IF($R14=$BK$3,((((INDEX('Tables - Part 2'!$BB$17:$BE$24,MATCH('SCC_Sulfide (SSC)'!$V14,'Tables - Part 2'!$AV$6:$AV$13,0),MATCH('SCC_Sulfide (SSC)'!$S14,'Tables - Part 2'!$AX$5:$BA$5,0)))+(INDEX('Tables - Part 2'!$BB$17:$BE$24,MATCH('SCC_Sulfide (SSC)'!$V14,'Tables - Part 2'!$AV$6:$AV$13,0),MATCH('SCC_Sulfide (SSC)'!$S14,'Tables - Part 2'!$AX$5:$BA$5,0))+INDEX('Tables - Part 2'!$BF$17:$BI$24,MATCH('SCC_Sulfide (SSC)'!$V14,'Tables - Part 2'!$AV$6:$AV$13,0),MATCH('SCC_Sulfide (SSC)'!$S14,'Tables - Part 2'!$AX$5:$BA$5,0)))/2)/2)+((INDEX('Tables - Part 2'!$BB$17:$BE$24,MATCH('SCC_Sulfide (SSC)'!$V14,'Tables - Part 2'!$AV$6:$AV$13,0),MATCH('SCC_Sulfide (SSC)'!$S14,'Tables - Part 2'!$AX$5:$BA$5,0))+INDEX('Tables - Part 2'!$BF$17:$BI$24,MATCH('SCC_Sulfide (SSC)'!$V14,'Tables - Part 2'!$AV$6:$AV$13,0),MATCH('SCC_Sulfide (SSC)'!$S14,'Tables - Part 2'!$AX$5:$BA$5,0)))/2))/2,0)</f>
        <v>0</v>
      </c>
      <c r="BL14" s="248">
        <f>IF($R14=$BL$3,(INDEX('Tables - Part 2'!$BB$17:$BE$24,MATCH('SCC_Sulfide (SSC)'!$V14,'Tables - Part 2'!$AV$6:$AV$13,0),MATCH('SCC_Sulfide (SSC)'!$S14,'Tables - Part 2'!$AX$5:$BA$5,0))+INDEX('Tables - Part 2'!$BF$17:$BI$24,MATCH('SCC_Sulfide (SSC)'!$V14,'Tables - Part 2'!$AV$6:$AV$13,0),MATCH('SCC_Sulfide (SSC)'!$S14,'Tables - Part 2'!$AX$5:$BA$5,0)))/2,0)</f>
        <v>0</v>
      </c>
      <c r="BM14" s="248">
        <f>IF($R14=$BM$3,(((INDEX('Tables - Part 2'!$BB$17:$BE$24,MATCH('SCC_Sulfide (SSC)'!$V14,'Tables - Part 2'!$AV$6:$AV$13,0),MATCH('SCC_Sulfide (SSC)'!$S14,'Tables - Part 2'!$AX$5:$BA$5,0))+INDEX('Tables - Part 2'!$BF$17:$BI$24,MATCH('SCC_Sulfide (SSC)'!$V14,'Tables - Part 2'!$AV$6:$AV$13,0),MATCH('SCC_Sulfide (SSC)'!$S14,'Tables - Part 2'!$AX$5:$BA$5,0)))/2)+((((INDEX('Tables - Part 2'!$BB$17:$BE$24,MATCH('SCC_Sulfide (SSC)'!$V14,'Tables - Part 2'!$AV$6:$AV$13,0),MATCH('SCC_Sulfide (SSC)'!$S14,'Tables - Part 2'!$AX$5:$BA$5,0))+INDEX('Tables - Part 2'!$BF$17:$BI$24,MATCH('SCC_Sulfide (SSC)'!$V14,'Tables - Part 2'!$AV$6:$AV$13,0),MATCH('SCC_Sulfide (SSC)'!$S14,'Tables - Part 2'!$AX$5:$BA$5,0)))/2)+INDEX('Tables - Part 2'!$BF$17:$BI$24,MATCH('SCC_Sulfide (SSC)'!$V14,'Tables - Part 2'!$AV$6:$AV$13,0),MATCH('SCC_Sulfide (SSC)'!$S14,'Tables - Part 2'!$AX$5:$BA$5,0)))/2))/2,0)</f>
        <v>0</v>
      </c>
      <c r="BN14" s="248">
        <f>IF($R14=$BN$3,(((INDEX('Tables - Part 2'!$BB$17:$BE$24,MATCH('SCC_Sulfide (SSC)'!$V14,'Tables - Part 2'!$AV$6:$AV$13,0),MATCH('SCC_Sulfide (SSC)'!$S14,'Tables - Part 2'!$AX$5:$BA$5,0))+INDEX('Tables - Part 2'!$BF$17:$BI$24,MATCH('SCC_Sulfide (SSC)'!$V14,'Tables - Part 2'!$AV$6:$AV$13,0),MATCH('SCC_Sulfide (SSC)'!$S14,'Tables - Part 2'!$AX$5:$BA$5,0)))/2)+INDEX('Tables - Part 2'!$BF$17:$BI$24,MATCH('SCC_Sulfide (SSC)'!$V14,'Tables - Part 2'!$AV$6:$AV$13,0),MATCH('SCC_Sulfide (SSC)'!$S14,'Tables - Part 2'!$AX$5:$BA$5,0)))/2,0)</f>
        <v>0</v>
      </c>
      <c r="BO14" s="248">
        <f>IF($R14=$BO$3,(((((INDEX('Tables - Part 2'!$BB$17:$BE$24,MATCH('SCC_Sulfide (SSC)'!$V14,'Tables - Part 2'!$AV$6:$AV$13,0),MATCH('SCC_Sulfide (SSC)'!$S14,'Tables - Part 2'!$AX$5:$BA$5,0))+INDEX('Tables - Part 2'!$BF$17:$BI$24,MATCH('SCC_Sulfide (SSC)'!$V14,'Tables - Part 2'!$AV$6:$AV$13,0),MATCH('SCC_Sulfide (SSC)'!$S14,'Tables - Part 2'!$AX$5:$BA$5,0)))/2)+INDEX('Tables - Part 2'!$BF$17:$BI$24,MATCH('SCC_Sulfide (SSC)'!$V14,'Tables - Part 2'!$AV$6:$AV$13,0),MATCH('SCC_Sulfide (SSC)'!$S14,'Tables - Part 2'!$AX$5:$BA$5,0)))/2)+(INDEX('Tables - Part 2'!$BF$17:$BI$24,MATCH('SCC_Sulfide (SSC)'!$V14,'Tables - Part 2'!$AV$6:$AV$13,0),MATCH('SCC_Sulfide (SSC)'!$S14,'Tables - Part 2'!$AX$5:$BA$5,0))))/2,0)</f>
        <v>0</v>
      </c>
      <c r="BP14" s="248">
        <f>IF($R14=$BP$3,INDEX('Tables - Part 2'!$BF$17:$BI$24,MATCH('SCC_Sulfide (SSC)'!$V14,'Tables - Part 2'!$AV$6:$AV$13,0),MATCH('SCC_Sulfide (SSC)'!$S14,'Tables - Part 2'!$AX$5:$BA$5,0)),0)</f>
        <v>0</v>
      </c>
      <c r="BQ14" s="248">
        <f t="shared" si="6"/>
        <v>0</v>
      </c>
      <c r="BR14" s="238">
        <f t="shared" si="8"/>
        <v>1</v>
      </c>
      <c r="BS14" s="238">
        <f t="shared" si="7"/>
        <v>16.77288246840839</v>
      </c>
    </row>
    <row r="15" spans="2:84" x14ac:dyDescent="0.35">
      <c r="B15" s="161" t="str">
        <f>'Tratamento de Dados'!B23</f>
        <v>V-5</v>
      </c>
      <c r="C15" s="161" t="str">
        <f>'Tratamento de Dados'!D23</f>
        <v>Casco</v>
      </c>
      <c r="D15" s="209" t="s">
        <v>245</v>
      </c>
      <c r="E15" s="209" t="s">
        <v>61</v>
      </c>
      <c r="F15" s="209" t="s">
        <v>836</v>
      </c>
      <c r="G15" s="209" t="s">
        <v>832</v>
      </c>
      <c r="H15" s="209" t="s">
        <v>245</v>
      </c>
      <c r="I15" s="209" t="s">
        <v>1113</v>
      </c>
      <c r="J15" s="209" t="s">
        <v>245</v>
      </c>
      <c r="K15" s="210">
        <v>39092</v>
      </c>
      <c r="L15" s="209">
        <v>0</v>
      </c>
      <c r="M15" s="209">
        <v>1</v>
      </c>
      <c r="N15" s="209">
        <v>1</v>
      </c>
      <c r="O15" s="209">
        <v>4</v>
      </c>
      <c r="P15" s="253">
        <f>'Tratamento de Dados'!DA23</f>
        <v>0</v>
      </c>
      <c r="Q15" s="253">
        <f>'Tratamento de Dados'!DB23</f>
        <v>0</v>
      </c>
      <c r="R15" s="256">
        <f t="shared" si="0"/>
        <v>2.5</v>
      </c>
      <c r="S15" s="246" t="str">
        <f t="shared" si="1"/>
        <v>B</v>
      </c>
      <c r="T15" s="238" t="str">
        <f>IF(D15=$BX$2,$BV$4,IF(AND(H15=$BX$2,OR(F15='Tables - Part 2'!$BN$8,'Tables - Part 2'!$BN$9),OR('SCC_Sulfide (SSC)'!G15='Tables - Part 2'!$BQ$4,'SCC_Sulfide (SSC)'!G15='Tables - Part 2'!$BR$4)),$BV$4,INDEX('Tables - Part 2'!$BO$5:$BR$9,MATCH('SCC_Sulfide (SSC)'!F15,'Tables - Part 2'!$BN$5:$BN$9,0),MATCH('SCC_Sulfide (SSC)'!G15,'Tables - Part 2'!$BO$4:$BR$4,0))))</f>
        <v>Moderate</v>
      </c>
      <c r="U15" s="238" t="str">
        <f>IF(D15=$BX$2,$BV$4,IF(J15=$BX$2,INDEX('Tables - Part 2'!$BX$6:$BZ$8,MATCH('SCC_Sulfide (SSC)'!T15,'Tables - Part 2'!$BT$6:$BT$8,0),MATCH('SCC_Sulfide (SSC)'!I15,'Tables - Part 2'!$BX$5:$BZ$5,0)),INDEX('Tables - Part 2'!$BU$6:$BW$8,MATCH('SCC_Sulfide (SSC)'!T15,'Tables - Part 2'!$BT$6:$BT$8,0),MATCH('SCC_Sulfide (SSC)'!I15,'Tables - Part 2'!$BU$5:$BW$5,0))))</f>
        <v>Medium</v>
      </c>
      <c r="V15" s="238">
        <f>IF(AND(D15=$BX$2,E15&lt;&gt;$BX$2),"Fitness-For-Service",INDEX('Tables - Part 2'!$CC$4:$CC$7,MATCH('SCC_Sulfide (SSC)'!U15,'Tables - Part 2'!$CB$4:$CB$7,0),))</f>
        <v>10</v>
      </c>
      <c r="W15" s="238">
        <f>IF(K15=0,(Thinning!G16-Thinning!F16)/365.25,(Thinning!G16-K15)/365.25)</f>
        <v>12.980150581793293</v>
      </c>
      <c r="X15" s="248">
        <f t="shared" si="2"/>
        <v>0</v>
      </c>
      <c r="Y15" s="248">
        <f t="shared" si="3"/>
        <v>2.5</v>
      </c>
      <c r="Z15" s="248">
        <f t="shared" si="4"/>
        <v>3</v>
      </c>
      <c r="AA15" s="247">
        <f t="shared" si="5"/>
        <v>4</v>
      </c>
      <c r="AB15" s="248">
        <f>IF($R15=$AB$3,INDEX('Tables - Part 2'!$AX$6:$BA$13,MATCH('SCC_Sulfide (SSC)'!V15,'Tables - Part 2'!$AV$6:$AV$13,0),MATCH('SCC_Sulfide (SSC)'!S15,'Tables - Part 2'!$AX$5:$BA$5,0)),0)</f>
        <v>0</v>
      </c>
      <c r="AC15" s="248">
        <f>IF($R15=$AC$3,(INDEX('Tables - Part 2'!$AX$6:$BA$13,MATCH('SCC_Sulfide (SSC)'!V15,'Tables - Part 2'!$AV$6:$AV$13,0),MATCH('SCC_Sulfide (SSC)'!S15,'Tables - Part 2'!$AX$5:$BA$5,0))+(INDEX('Tables - Part 2'!$AX$6:$BA$13,MATCH('SCC_Sulfide (SSC)'!V15,'Tables - Part 2'!$AV$6:$AV$13,0),MATCH('SCC_Sulfide (SSC)'!S15,'Tables - Part 2'!$AX$5:$BA$5,0))+((INDEX('Tables - Part 2'!$AX$6:$BA$13,MATCH('SCC_Sulfide (SSC)'!V15,'Tables - Part 2'!$AV$6:$AV$13,0),MATCH('SCC_Sulfide (SSC)'!S15,'Tables - Part 2'!$AX$5:$BA$5,0))+INDEX('Tables - Part 2'!$BB$6:$BE$13,MATCH('SCC_Sulfide (SSC)'!$V15,'Tables - Part 2'!$AV$6:$AV$13,0),MATCH('SCC_Sulfide (SSC)'!$S15,'Tables - Part 2'!$AX$5:$BA$5,0)))/2))/2)/2,0)</f>
        <v>0</v>
      </c>
      <c r="AD15" s="248">
        <f>IF($R15=$AD$3,(INDEX('Tables - Part 2'!$AX$6:$BA$13,MATCH('SCC_Sulfide (SSC)'!V15,'Tables - Part 2'!$AV$6:$AV$13,0),MATCH('SCC_Sulfide (SSC)'!S15,'Tables - Part 2'!$AX$5:$BA$5,0))+((INDEX('Tables - Part 2'!$AX$6:$BA$13,MATCH('SCC_Sulfide (SSC)'!V15,'Tables - Part 2'!$AV$6:$AV$13,0),MATCH('SCC_Sulfide (SSC)'!S15,'Tables - Part 2'!$AX$5:$BA$5,0))+INDEX('Tables - Part 2'!$BB$6:$BE$13,MATCH('SCC_Sulfide (SSC)'!$V15,'Tables - Part 2'!$AV$6:$AV$13,0),MATCH('SCC_Sulfide (SSC)'!$S15,'Tables - Part 2'!$AX$5:$BA$5,0)))/2))/2,0)</f>
        <v>0</v>
      </c>
      <c r="AE15" s="248">
        <f>IF($R15=$AE$3,(((INDEX('Tables - Part 2'!$AX$6:$BA$13,MATCH('SCC_Sulfide (SSC)'!V15,'Tables - Part 2'!$AV$6:$AV$13,0),MATCH('SCC_Sulfide (SSC)'!S15,'Tables - Part 2'!$AX$5:$BA$5,0))+((INDEX('Tables - Part 2'!$AX$6:$BA$13,MATCH('SCC_Sulfide (SSC)'!V15,'Tables - Part 2'!$AV$6:$AV$13,0),MATCH('SCC_Sulfide (SSC)'!S15,'Tables - Part 2'!$AX$5:$BA$5,0))+INDEX('Tables - Part 2'!$BB$6:$BE$13,MATCH('SCC_Sulfide (SSC)'!$V15,'Tables - Part 2'!$AV$6:$AV$13,0),MATCH('SCC_Sulfide (SSC)'!$S15,'Tables - Part 2'!$AX$5:$BA$5,0)))/2))/2)+(INDEX('Tables - Part 2'!$AX$6:$BA$13,MATCH('SCC_Sulfide (SSC)'!V15,'Tables - Part 2'!$AV$6:$AV$13,0),MATCH('SCC_Sulfide (SSC)'!S15,'Tables - Part 2'!$AX$5:$BA$5,0))+INDEX('Tables - Part 2'!$BB$6:$BE$13,MATCH('SCC_Sulfide (SSC)'!$V15,'Tables - Part 2'!$AV$6:$AV$13,0),MATCH('SCC_Sulfide (SSC)'!$S15,'Tables - Part 2'!$AX$5:$BA$5,0)))/2)/2,0)</f>
        <v>0</v>
      </c>
      <c r="AF15" s="248">
        <f>IF($R15=$AF$3,(INDEX('Tables - Part 2'!$AX$6:$BA$13,MATCH('SCC_Sulfide (SSC)'!V15,'Tables - Part 2'!$AV$6:$AV$13,0),MATCH('SCC_Sulfide (SSC)'!S15,'Tables - Part 2'!$AX$5:$BA$5,0))+INDEX('Tables - Part 2'!$BB$6:$BE$13,MATCH('SCC_Sulfide (SSC)'!$V15,'Tables - Part 2'!$AV$6:$AV$13,0),MATCH('SCC_Sulfide (SSC)'!$S15,'Tables - Part 2'!$AX$5:$BA$5,0)))/2,0)</f>
        <v>0</v>
      </c>
      <c r="AG15" s="248">
        <f>IF($R15=$AG$3,(((INDEX('Tables - Part 2'!$AX$6:$BA$13,MATCH('SCC_Sulfide (SSC)'!V15,'Tables - Part 2'!$AV$6:$AV$13,0),MATCH('SCC_Sulfide (SSC)'!S15,'Tables - Part 2'!$AX$5:$BA$5,0))+INDEX('Tables - Part 2'!$BB$6:$BE$13,MATCH('SCC_Sulfide (SSC)'!$V15,'Tables - Part 2'!$AV$6:$AV$13,0),MATCH('SCC_Sulfide (SSC)'!$S15,'Tables - Part 2'!$AX$5:$BA$5,0)))/2)+(((INDEX('Tables - Part 2'!$AX$6:$BA$13,MATCH('SCC_Sulfide (SSC)'!V15,'Tables - Part 2'!$AV$6:$AV$13,0),MATCH('SCC_Sulfide (SSC)'!S15,'Tables - Part 2'!$AX$5:$BA$5,0))+INDEX('Tables - Part 2'!$BB$6:$BE$13,MATCH('SCC_Sulfide (SSC)'!$V15,'Tables - Part 2'!$AV$6:$AV$13,0),MATCH('SCC_Sulfide (SSC)'!$S15,'Tables - Part 2'!$AX$5:$BA$5,0)))/2)+INDEX('Tables - Part 2'!$BB$6:$BE$13,MATCH('SCC_Sulfide (SSC)'!$V15,'Tables - Part 2'!$AV$6:$AV$13,0),MATCH('SCC_Sulfide (SSC)'!$S15,'Tables - Part 2'!$AX$5:$BA$5,0)))/2)/2,0)</f>
        <v>0</v>
      </c>
      <c r="AH15" s="248">
        <f>IF($R15=$AH$3,(((INDEX('Tables - Part 2'!$AX$6:$BA$13,MATCH('SCC_Sulfide (SSC)'!V15,'Tables - Part 2'!$AV$6:$AV$13,0),MATCH('SCC_Sulfide (SSC)'!S15,'Tables - Part 2'!$AX$5:$BA$5,0))+INDEX('Tables - Part 2'!$BB$6:$BE$13,MATCH('SCC_Sulfide (SSC)'!$V15,'Tables - Part 2'!$AV$6:$AV$13,0),MATCH('SCC_Sulfide (SSC)'!$S15,'Tables - Part 2'!$AX$5:$BA$5,0)))/2)+INDEX('Tables - Part 2'!$BB$6:$BE$13,MATCH('SCC_Sulfide (SSC)'!$V15,'Tables - Part 2'!$AV$6:$AV$13,0),MATCH('SCC_Sulfide (SSC)'!$S15,'Tables - Part 2'!$AX$5:$BA$5,0)))/2,0)</f>
        <v>0</v>
      </c>
      <c r="AI15" s="248">
        <f>IF($R15=$AI$3,(((((INDEX('Tables - Part 2'!$AX$6:$BA$13,MATCH('SCC_Sulfide (SSC)'!V15,'Tables - Part 2'!$AV$6:$AV$13,0),MATCH('SCC_Sulfide (SSC)'!S15,'Tables - Part 2'!$AX$5:$BA$5,0))+INDEX('Tables - Part 2'!$BB$6:$BE$13,MATCH('SCC_Sulfide (SSC)'!$V15,'Tables - Part 2'!$AV$6:$AV$13,0),MATCH('SCC_Sulfide (SSC)'!$S15,'Tables - Part 2'!$AX$5:$BA$5,0)))/2)+INDEX('Tables - Part 2'!$BB$6:$BE$13,MATCH('SCC_Sulfide (SSC)'!$V15,'Tables - Part 2'!$AV$6:$AV$13,0),MATCH('SCC_Sulfide (SSC)'!$S15,'Tables - Part 2'!$AX$5:$BA$5,0)))/2)+INDEX('Tables - Part 2'!$BB$6:$BE$13,MATCH('SCC_Sulfide (SSC)'!$V15,'Tables - Part 2'!$AV$6:$AV$13,0),MATCH('SCC_Sulfide (SSC)'!$S15,'Tables - Part 2'!$AX$5:$BA$5,0)))/2,0)</f>
        <v>0</v>
      </c>
      <c r="AJ15" s="248">
        <f>IF($R15=$AJ$3,INDEX('Tables - Part 2'!$BB$6:$BE$13,MATCH('SCC_Sulfide (SSC)'!$V15,'Tables - Part 2'!$AV$6:$AV$13,0),MATCH('SCC_Sulfide (SSC)'!$S15,'Tables - Part 2'!$AX$5:$BA$5,0)),0)</f>
        <v>0</v>
      </c>
      <c r="AK15" s="248">
        <f>IF($R15=$AK$3,((INDEX('Tables - Part 2'!$BB$6:$BE$13,MATCH('SCC_Sulfide (SSC)'!$V15,'Tables - Part 2'!$AV$6:$AV$13,0),MATCH('SCC_Sulfide (SSC)'!$S15,'Tables - Part 2'!$AX$5:$BA$5,0)))+(INDEX('Tables - Part 2'!$BB$6:$BE$13,MATCH('SCC_Sulfide (SSC)'!$V15,'Tables - Part 2'!$AV$6:$AV$13,0),MATCH('SCC_Sulfide (SSC)'!$S15,'Tables - Part 2'!$AX$5:$BA$5,0))+(INDEX('Tables - Part 2'!$BB$6:$BE$13,MATCH('SCC_Sulfide (SSC)'!$V15,'Tables - Part 2'!$AV$6:$AV$13,0),MATCH('SCC_Sulfide (SSC)'!$S15,'Tables - Part 2'!$AX$5:$BA$5,0))+INDEX('Tables - Part 2'!$BF$6:$BI$13,MATCH('SCC_Sulfide (SSC)'!$V15,'Tables - Part 2'!$AV$6:$AV$13,0),MATCH('SCC_Sulfide (SSC)'!$S15,'Tables - Part 2'!$AX$5:$BA$5,0)))/2)/2)/2,0)</f>
        <v>0</v>
      </c>
      <c r="AL15" s="248">
        <f>IF($R15=$AL$3,(INDEX('Tables - Part 2'!$BB$6:$BE$13,MATCH('SCC_Sulfide (SSC)'!$V15,'Tables - Part 2'!$AV$6:$AV$13,0),MATCH('SCC_Sulfide (SSC)'!$S15,'Tables - Part 2'!$AX$5:$BA$5,0))+(INDEX('Tables - Part 2'!$BB$6:$BE$13,MATCH('SCC_Sulfide (SSC)'!$V15,'Tables - Part 2'!$AV$6:$AV$13,0),MATCH('SCC_Sulfide (SSC)'!$S15,'Tables - Part 2'!$AX$5:$BA$5,0))+INDEX('Tables - Part 2'!$BF$6:$BI$13,MATCH('SCC_Sulfide (SSC)'!$V15,'Tables - Part 2'!$AV$6:$AV$13,0),MATCH('SCC_Sulfide (SSC)'!$S15,'Tables - Part 2'!$AX$5:$BA$5,0)))/2)/2,0)</f>
        <v>0</v>
      </c>
      <c r="AM15" s="248">
        <f>IF($R15=$AM$3,(((INDEX('Tables - Part 2'!$BB$6:$BE$13,MATCH('SCC_Sulfide (SSC)'!$V15,'Tables - Part 2'!$AV$6:$AV$13,0),MATCH('SCC_Sulfide (SSC)'!$S15,'Tables - Part 2'!$AX$5:$BA$5,0))+(INDEX('Tables - Part 2'!$BB$6:$BE$13,MATCH('SCC_Sulfide (SSC)'!$V15,'Tables - Part 2'!$AV$6:$AV$13,0),MATCH('SCC_Sulfide (SSC)'!$S15,'Tables - Part 2'!$AX$5:$BA$5,0))+INDEX('Tables - Part 2'!$BF$6:$BI$13,MATCH('SCC_Sulfide (SSC)'!$V15,'Tables - Part 2'!$AV$6:$AV$13,0),MATCH('SCC_Sulfide (SSC)'!$S15,'Tables - Part 2'!$AX$5:$BA$5,0)))/2)/2)+((INDEX('Tables - Part 2'!$BB$6:$BE$13,MATCH('SCC_Sulfide (SSC)'!$V15,'Tables - Part 2'!$AV$6:$AV$13,0),MATCH('SCC_Sulfide (SSC)'!$S15,'Tables - Part 2'!$AX$5:$BA$5,0))+INDEX('Tables - Part 2'!$BF$6:$BI$13,MATCH('SCC_Sulfide (SSC)'!$V15,'Tables - Part 2'!$AV$6:$AV$13,0),MATCH('SCC_Sulfide (SSC)'!$S15,'Tables - Part 2'!$AX$5:$BA$5,0)))/2))/2,0)</f>
        <v>0</v>
      </c>
      <c r="AN15" s="248">
        <f>IF($R15=$AN$3,(INDEX('Tables - Part 2'!$BB$6:$BE$13,MATCH('SCC_Sulfide (SSC)'!$V15,'Tables - Part 2'!$AV$6:$AV$13,0),MATCH('SCC_Sulfide (SSC)'!$S15,'Tables - Part 2'!$AX$5:$BA$5,0))+INDEX('Tables - Part 2'!$BF$6:$BI$13,MATCH('SCC_Sulfide (SSC)'!$V15,'Tables - Part 2'!$AV$6:$AV$13,0),MATCH('SCC_Sulfide (SSC)'!$S15,'Tables - Part 2'!$AX$5:$BA$5,0)))/2,0)</f>
        <v>1</v>
      </c>
      <c r="AO15" s="248">
        <f>IF($R15=$AO$3,(((INDEX('Tables - Part 2'!$BB$6:$BE$13,MATCH('SCC_Sulfide (SSC)'!$V15,'Tables - Part 2'!$AV$6:$AV$13,0),MATCH('SCC_Sulfide (SSC)'!$S15,'Tables - Part 2'!$AX$5:$BA$5,0))+INDEX('Tables - Part 2'!$BF$6:$BI$13,MATCH('SCC_Sulfide (SSC)'!$V15,'Tables - Part 2'!$AV$6:$AV$13,0),MATCH('SCC_Sulfide (SSC)'!$S15,'Tables - Part 2'!$AX$5:$BA$5,0)))/2)+((((INDEX('Tables - Part 2'!$BB$6:$BE$13,MATCH('SCC_Sulfide (SSC)'!$V15,'Tables - Part 2'!$AV$6:$AV$13,0),MATCH('SCC_Sulfide (SSC)'!$S15,'Tables - Part 2'!$AX$5:$BA$5,0))+INDEX('Tables - Part 2'!$BF$6:$BI$13,MATCH('SCC_Sulfide (SSC)'!$V15,'Tables - Part 2'!$AV$6:$AV$13,0),MATCH('SCC_Sulfide (SSC)'!$S15,'Tables - Part 2'!$AX$5:$BA$5,0)))/2)+INDEX('Tables - Part 2'!$BF$6:$BI$13,MATCH('SCC_Sulfide (SSC)'!$V15,'Tables - Part 2'!$AV$6:$AV$13,0),MATCH('SCC_Sulfide (SSC)'!$S15,'Tables - Part 2'!$AX$5:$BA$5,0)))/2))/2,0)</f>
        <v>0</v>
      </c>
      <c r="AP15" s="248">
        <f>IF($R15=$AP$3,(((INDEX('Tables - Part 2'!$BB$6:$BE$13,MATCH('SCC_Sulfide (SSC)'!$V15,'Tables - Part 2'!$AV$6:$AV$13,0),MATCH('SCC_Sulfide (SSC)'!$S15,'Tables - Part 2'!$AX$5:$BA$5,0))+INDEX('Tables - Part 2'!$BF$6:$BI$13,MATCH('SCC_Sulfide (SSC)'!$V15,'Tables - Part 2'!$AV$6:$AV$13,0),MATCH('SCC_Sulfide (SSC)'!$S15,'Tables - Part 2'!$AX$5:$BA$5,0)))/2)+INDEX('Tables - Part 2'!$BF$6:$BI$13,MATCH('SCC_Sulfide (SSC)'!$V15,'Tables - Part 2'!$AV$6:$AV$13,0),MATCH('SCC_Sulfide (SSC)'!$S15,'Tables - Part 2'!$AX$5:$BA$5,0)))/2,0)</f>
        <v>0</v>
      </c>
      <c r="AQ15" s="248">
        <f>IF($R15=$AQ$3,(((((INDEX('Tables - Part 2'!$BB$6:$BE$13,MATCH('SCC_Sulfide (SSC)'!$V15,'Tables - Part 2'!$AV$6:$AV$13,0),MATCH('SCC_Sulfide (SSC)'!$S15,'Tables - Part 2'!$AX$5:$BA$5,0))+INDEX('Tables - Part 2'!$BF$6:$BI$13,MATCH('SCC_Sulfide (SSC)'!$V15,'Tables - Part 2'!$AV$6:$AV$13,0),MATCH('SCC_Sulfide (SSC)'!$S15,'Tables - Part 2'!$AX$5:$BA$5,0)))/2)+INDEX('Tables - Part 2'!$BF$6:$BI$13,MATCH('SCC_Sulfide (SSC)'!$V15,'Tables - Part 2'!$AV$6:$AV$13,0),MATCH('SCC_Sulfide (SSC)'!$S15,'Tables - Part 2'!$AX$5:$BA$5,0)))/2)+INDEX('Tables - Part 2'!$BF$6:$BI$13,MATCH('SCC_Sulfide (SSC)'!$V15,'Tables - Part 2'!$AV$6:$AV$13,0),MATCH('SCC_Sulfide (SSC)'!$S15,'Tables - Part 2'!$AX$5:$BA$5,0)))/2,0)</f>
        <v>0</v>
      </c>
      <c r="AR15" s="248">
        <f>IF($R15=$AR$3,INDEX('Tables - Part 2'!$BF$6:$BI$13,MATCH('SCC_Sulfide (SSC)'!$V15,'Tables - Part 2'!$AV$6:$AV$13,0),MATCH('SCC_Sulfide (SSC)'!$S15,'Tables - Part 2'!$AX$5:$BA$5,0)),0)</f>
        <v>0</v>
      </c>
      <c r="AS15" s="248">
        <f>IF($R15=$AS$3,(INDEX('Tables - Part 2'!$BF$6:$BI$13,MATCH('SCC_Sulfide (SSC)'!$V15,'Tables - Part 2'!$AV$6:$AV$13,0),MATCH('SCC_Sulfide (SSC)'!$S15,'Tables - Part 2'!$AX$5:$BA$5,0))+((INDEX('Tables - Part 2'!$BF$6:$BI$13,MATCH('SCC_Sulfide (SSC)'!$V15,'Tables - Part 2'!$AV$6:$AV$13,0),MATCH('SCC_Sulfide (SSC)'!$S15,'Tables - Part 2'!$AX$5:$BA$5,0))+(INDEX('Tables - Part 2'!$BF$6:$BI$13,MATCH('SCC_Sulfide (SSC)'!$V15,'Tables - Part 2'!$AV$6:$AV$13,0),MATCH('SCC_Sulfide (SSC)'!$S15,'Tables - Part 2'!$AX$5:$BA$5,0))+INDEX('Tables - Part 2'!$AX$17:$BA$24,MATCH('SCC_Sulfide (SSC)'!$V15,'Tables - Part 2'!$AV$6:$AV$13,0),MATCH('SCC_Sulfide (SSC)'!$S15,'Tables - Part 2'!$AX$5:$BA$5,0)))/2)/2))/2,0)</f>
        <v>0</v>
      </c>
      <c r="AT15" s="248">
        <f>IF($R15=$AT$3,(INDEX('Tables - Part 2'!$BF$6:$BI$13,MATCH('SCC_Sulfide (SSC)'!$V15,'Tables - Part 2'!$AV$6:$AV$13,0),MATCH('SCC_Sulfide (SSC)'!$S15,'Tables - Part 2'!$AX$5:$BA$5,0))+(INDEX('Tables - Part 2'!$BF$6:$BI$13,MATCH('SCC_Sulfide (SSC)'!$V15,'Tables - Part 2'!$AV$6:$AV$13,0),MATCH('SCC_Sulfide (SSC)'!$S15,'Tables - Part 2'!$AX$5:$BA$5,0))+INDEX('Tables - Part 2'!$AX$17:$BA$24,MATCH('SCC_Sulfide (SSC)'!$V15,'Tables - Part 2'!$AV$6:$AV$13,0),MATCH('SCC_Sulfide (SSC)'!$S15,'Tables - Part 2'!$AX$5:$BA$5,0)))/2)/2,0)</f>
        <v>0</v>
      </c>
      <c r="AU15" s="248">
        <f>IF($R15=$AU$3,(((INDEX('Tables - Part 2'!$BF$6:$BI$13,MATCH('SCC_Sulfide (SSC)'!$V15,'Tables - Part 2'!$AV$6:$AV$13,0),MATCH('SCC_Sulfide (SSC)'!$S15,'Tables - Part 2'!$AX$5:$BA$5,0))+(INDEX('Tables - Part 2'!$BF$6:$BI$13,MATCH('SCC_Sulfide (SSC)'!$V15,'Tables - Part 2'!$AV$6:$AV$13,0),MATCH('SCC_Sulfide (SSC)'!$S15,'Tables - Part 2'!$AX$5:$BA$5,0))+INDEX('Tables - Part 2'!$AX$17:$BA$24,MATCH('SCC_Sulfide (SSC)'!$V15,'Tables - Part 2'!$AV$6:$AV$13,0),MATCH('SCC_Sulfide (SSC)'!$S15,'Tables - Part 2'!$AX$5:$BA$5,0)))/2)/2)+((INDEX('Tables - Part 2'!$BF$6:$BI$13,MATCH('SCC_Sulfide (SSC)'!$V15,'Tables - Part 2'!$AV$6:$AV$13,0),MATCH('SCC_Sulfide (SSC)'!$S15,'Tables - Part 2'!$AX$5:$BA$5,0))+INDEX('Tables - Part 2'!$AX$17:$BA$24,MATCH('SCC_Sulfide (SSC)'!$V15,'Tables - Part 2'!$AV$6:$AV$13,0),MATCH('SCC_Sulfide (SSC)'!$S15,'Tables - Part 2'!$AX$5:$BA$5,0)))/2))/2,0)</f>
        <v>0</v>
      </c>
      <c r="AV15" s="248">
        <f>IF($R15=$AV$3,(INDEX('Tables - Part 2'!$BF$6:$BI$13,MATCH('SCC_Sulfide (SSC)'!$V15,'Tables - Part 2'!$AV$6:$AV$13,0),MATCH('SCC_Sulfide (SSC)'!$S15,'Tables - Part 2'!$AX$5:$BA$5,0))+INDEX('Tables - Part 2'!$AX$17:$BA$24,MATCH('SCC_Sulfide (SSC)'!$V15,'Tables - Part 2'!$AV$6:$AV$13,0),MATCH('SCC_Sulfide (SSC)'!$S15,'Tables - Part 2'!$AX$5:$BA$5,0)))/2,0)</f>
        <v>0</v>
      </c>
      <c r="AW15" s="248">
        <f>IF($R15=$AW$3,(((INDEX('Tables - Part 2'!$BF$6:$BI$13,MATCH('SCC_Sulfide (SSC)'!$V15,'Tables - Part 2'!$AV$6:$AV$13,0),MATCH('SCC_Sulfide (SSC)'!$S15,'Tables - Part 2'!$AX$5:$BA$5,0))+INDEX('Tables - Part 2'!$AX$17:$BA$24,MATCH('SCC_Sulfide (SSC)'!$V15,'Tables - Part 2'!$AV$6:$AV$13,0),MATCH('SCC_Sulfide (SSC)'!$S15,'Tables - Part 2'!$AX$5:$BA$5,0)))/2)+((((INDEX('Tables - Part 2'!$BF$6:$BI$13,MATCH('SCC_Sulfide (SSC)'!$V15,'Tables - Part 2'!$AV$6:$AV$13,0),MATCH('SCC_Sulfide (SSC)'!$S15,'Tables - Part 2'!$AX$5:$BA$5,0))+INDEX('Tables - Part 2'!$AX$17:$BA$24,MATCH('SCC_Sulfide (SSC)'!$V15,'Tables - Part 2'!$AV$6:$AV$13,0),MATCH('SCC_Sulfide (SSC)'!$S15,'Tables - Part 2'!$AX$5:$BA$5,0)))/2)+INDEX('Tables - Part 2'!$AX$17:$BA$24,MATCH('SCC_Sulfide (SSC)'!$V15,'Tables - Part 2'!$AV$6:$AV$13,0),MATCH('SCC_Sulfide (SSC)'!$S15,'Tables - Part 2'!$AX$5:$BA$5,0)))/2))/2,0)</f>
        <v>0</v>
      </c>
      <c r="AX15" s="248">
        <f>IF($R15=$AX$3,(((INDEX('Tables - Part 2'!$BF$6:$BI$13,MATCH('SCC_Sulfide (SSC)'!$V15,'Tables - Part 2'!$AV$6:$AV$13,0),MATCH('SCC_Sulfide (SSC)'!$S15,'Tables - Part 2'!$AX$5:$BA$5,0))+INDEX('Tables - Part 2'!$AX$17:$BA$24,MATCH('SCC_Sulfide (SSC)'!$V15,'Tables - Part 2'!$AV$6:$AV$13,0),MATCH('SCC_Sulfide (SSC)'!$S15,'Tables - Part 2'!$AX$5:$BA$5,0)))/2)+INDEX('Tables - Part 2'!$AX$17:$BA$24,MATCH('SCC_Sulfide (SSC)'!$V15,'Tables - Part 2'!$AV$6:$AV$13,0),MATCH('SCC_Sulfide (SSC)'!$S15,'Tables - Part 2'!$AX$5:$BA$5,0)))/2,0)</f>
        <v>0</v>
      </c>
      <c r="AY15" s="248">
        <f>IF($R15=$AY$3,(((((INDEX('Tables - Part 2'!$BF$6:$BI$13,MATCH('SCC_Sulfide (SSC)'!$V15,'Tables - Part 2'!$AV$6:$AV$13,0),MATCH('SCC_Sulfide (SSC)'!$S15,'Tables - Part 2'!$AX$5:$BA$5,0))+INDEX('Tables - Part 2'!$AX$17:$BA$24,MATCH('SCC_Sulfide (SSC)'!$V15,'Tables - Part 2'!$AV$6:$AV$13,0),MATCH('SCC_Sulfide (SSC)'!$S15,'Tables - Part 2'!$AX$5:$BA$5,0)))/2)+INDEX('Tables - Part 2'!$AX$17:$BA$24,MATCH('SCC_Sulfide (SSC)'!$V15,'Tables - Part 2'!$AV$6:$AV$13,0),MATCH('SCC_Sulfide (SSC)'!$S15,'Tables - Part 2'!$AX$5:$BA$5,0)))/2)+(INDEX('Tables - Part 2'!$AX$17:$BA$24,MATCH('SCC_Sulfide (SSC)'!$V15,'Tables - Part 2'!$AV$6:$AV$13,0),MATCH('SCC_Sulfide (SSC)'!$S15,'Tables - Part 2'!$AX$5:$BA$5,0))))/2,0)</f>
        <v>0</v>
      </c>
      <c r="AZ15" s="248">
        <f>IF($R15=$AZ$3,INDEX('Tables - Part 2'!$AX$17:$BA$24,MATCH('SCC_Sulfide (SSC)'!$V15,'Tables - Part 2'!$AV$6:$AV$13,0),MATCH('SCC_Sulfide (SSC)'!$S15,'Tables - Part 2'!$AX$5:$BA$5,0)),0)</f>
        <v>0</v>
      </c>
      <c r="BA15" s="248">
        <f>IF($R15=$BA$3,((INDEX('Tables - Part 2'!$AX$17:$BA$24,MATCH('SCC_Sulfide (SSC)'!$V15,'Tables - Part 2'!$AV$6:$AV$13,0),MATCH('SCC_Sulfide (SSC)'!$S15,'Tables - Part 2'!$AX$5:$BA$5,0)))+(((INDEX('Tables - Part 2'!$AX$17:$BA$24,MATCH('SCC_Sulfide (SSC)'!$V15,'Tables - Part 2'!$AV$6:$AV$13,0),MATCH('SCC_Sulfide (SSC)'!$S15,'Tables - Part 2'!$AX$5:$BA$5,0)))+(INDEX('Tables - Part 2'!$AX$17:$BA$24,MATCH('SCC_Sulfide (SSC)'!$V15,'Tables - Part 2'!$AV$6:$AV$13,0),MATCH('SCC_Sulfide (SSC)'!$S15,'Tables - Part 2'!$AX$5:$BA$5,0))+INDEX('Tables - Part 2'!$BB$17:$BE$24,MATCH('SCC_Sulfide (SSC)'!$V15,'Tables - Part 2'!$AV$6:$AV$13,0),MATCH('SCC_Sulfide (SSC)'!$S15,'Tables - Part 2'!$AX$5:$BA$5,0)))/2)/2))/2,0)</f>
        <v>0</v>
      </c>
      <c r="BB15" s="248">
        <f>IF($R15=$BB$3,((INDEX('Tables - Part 2'!$AX$17:$BA$24,MATCH('SCC_Sulfide (SSC)'!$V15,'Tables - Part 2'!$AV$6:$AV$13,0),MATCH('SCC_Sulfide (SSC)'!$S15,'Tables - Part 2'!$AX$5:$BA$5,0)))+(INDEX('Tables - Part 2'!$AX$17:$BA$24,MATCH('SCC_Sulfide (SSC)'!$V15,'Tables - Part 2'!$AV$6:$AV$13,0),MATCH('SCC_Sulfide (SSC)'!$S15,'Tables - Part 2'!$AX$5:$BA$5,0))+INDEX('Tables - Part 2'!$BB$17:$BE$24,MATCH('SCC_Sulfide (SSC)'!$V15,'Tables - Part 2'!$AV$6:$AV$13,0),MATCH('SCC_Sulfide (SSC)'!$S15,'Tables - Part 2'!$AX$5:$BA$5,0)))/2)/2,0)</f>
        <v>0</v>
      </c>
      <c r="BC15" s="248">
        <f>IF($R15=$BC$3,((((INDEX('Tables - Part 2'!$AX$17:$BA$24,MATCH('SCC_Sulfide (SSC)'!$V15,'Tables - Part 2'!$AV$6:$AV$13,0),MATCH('SCC_Sulfide (SSC)'!$S15,'Tables - Part 2'!$AX$5:$BA$5,0)))+(INDEX('Tables - Part 2'!$AX$17:$BA$24,MATCH('SCC_Sulfide (SSC)'!$V15,'Tables - Part 2'!$AV$6:$AV$13,0),MATCH('SCC_Sulfide (SSC)'!$S15,'Tables - Part 2'!$AX$5:$BA$5,0))+INDEX('Tables - Part 2'!$BB$17:$BE$24,MATCH('SCC_Sulfide (SSC)'!$V15,'Tables - Part 2'!$AV$6:$AV$13,0),MATCH('SCC_Sulfide (SSC)'!$S15,'Tables - Part 2'!$AX$5:$BA$5,0)))/2)/2)+((INDEX('Tables - Part 2'!$AX$17:$BA$24,MATCH('SCC_Sulfide (SSC)'!$V15,'Tables - Part 2'!$AV$6:$AV$13,0),MATCH('SCC_Sulfide (SSC)'!$S15,'Tables - Part 2'!$AX$5:$BA$5,0))+INDEX('Tables - Part 2'!$BB$17:$BE$24,MATCH('SCC_Sulfide (SSC)'!$V15,'Tables - Part 2'!$AV$6:$AV$13,0),MATCH('SCC_Sulfide (SSC)'!$S15,'Tables - Part 2'!$AX$5:$BA$5,0)))/2))/2,0)</f>
        <v>0</v>
      </c>
      <c r="BD15" s="248">
        <f>IF($R15=$BD$3,(INDEX('Tables - Part 2'!$AX$17:$BA$24,MATCH('SCC_Sulfide (SSC)'!$V15,'Tables - Part 2'!$AV$6:$AV$13,0),MATCH('SCC_Sulfide (SSC)'!$S15,'Tables - Part 2'!$AX$5:$BA$5,0))+INDEX('Tables - Part 2'!$BB$17:$BE$24,MATCH('SCC_Sulfide (SSC)'!$V15,'Tables - Part 2'!$AV$6:$AV$13,0),MATCH('SCC_Sulfide (SSC)'!$S15,'Tables - Part 2'!$AX$5:$BA$5,0)))/2,0)</f>
        <v>0</v>
      </c>
      <c r="BE15" s="248">
        <f>IF($R15=$BE$3,(((INDEX('Tables - Part 2'!$AX$17:$BA$24,MATCH('SCC_Sulfide (SSC)'!$V15,'Tables - Part 2'!$AV$6:$AV$13,0),MATCH('SCC_Sulfide (SSC)'!$S15,'Tables - Part 2'!$AX$5:$BA$5,0))+INDEX('Tables - Part 2'!$BB$17:$BE$24,MATCH('SCC_Sulfide (SSC)'!$V15,'Tables - Part 2'!$AV$6:$AV$13,0),MATCH('SCC_Sulfide (SSC)'!$S15,'Tables - Part 2'!$AX$5:$BA$5,0)))/2)+((((INDEX('Tables - Part 2'!$AX$17:$BA$24,MATCH('SCC_Sulfide (SSC)'!$V15,'Tables - Part 2'!$AV$6:$AV$13,0),MATCH('SCC_Sulfide (SSC)'!$S15,'Tables - Part 2'!$AX$5:$BA$5,0))+INDEX('Tables - Part 2'!$BB$17:$BE$24,MATCH('SCC_Sulfide (SSC)'!$V15,'Tables - Part 2'!$AV$6:$AV$13,0),MATCH('SCC_Sulfide (SSC)'!$S15,'Tables - Part 2'!$AX$5:$BA$5,0)))/2)+INDEX('Tables - Part 2'!$BB$17:$BE$24,MATCH('SCC_Sulfide (SSC)'!$V15,'Tables - Part 2'!$AV$6:$AV$13,0),MATCH('SCC_Sulfide (SSC)'!$S15,'Tables - Part 2'!$AX$5:$BA$5,0)))/2))/2,0)</f>
        <v>0</v>
      </c>
      <c r="BF15" s="248">
        <f>IF($R15=$BF$3,(((INDEX('Tables - Part 2'!$AX$17:$BA$24,MATCH('SCC_Sulfide (SSC)'!$V15,'Tables - Part 2'!$AV$6:$AV$13,0),MATCH('SCC_Sulfide (SSC)'!$S15,'Tables - Part 2'!$AX$5:$BA$5,0))+INDEX('Tables - Part 2'!$BB$17:$BE$24,MATCH('SCC_Sulfide (SSC)'!$V15,'Tables - Part 2'!$AV$6:$AV$13,0),MATCH('SCC_Sulfide (SSC)'!$S15,'Tables - Part 2'!$AX$5:$BA$5,0)))/2)+INDEX('Tables - Part 2'!$BB$17:$BE$24,MATCH('SCC_Sulfide (SSC)'!$V15,'Tables - Part 2'!$AV$6:$AV$13,0),MATCH('SCC_Sulfide (SSC)'!$S15,'Tables - Part 2'!$AX$5:$BA$5,0)))/2,0)</f>
        <v>0</v>
      </c>
      <c r="BG15" s="248">
        <f>IF($R15=$BG$3,(((((INDEX('Tables - Part 2'!$AX$17:$BA$24,MATCH('SCC_Sulfide (SSC)'!$V15,'Tables - Part 2'!$AV$6:$AV$13,0),MATCH('SCC_Sulfide (SSC)'!$S15,'Tables - Part 2'!$AX$5:$BA$5,0))+INDEX('Tables - Part 2'!$BB$17:$BE$24,MATCH('SCC_Sulfide (SSC)'!$V15,'Tables - Part 2'!$AV$6:$AV$13,0),MATCH('SCC_Sulfide (SSC)'!$S15,'Tables - Part 2'!$AX$5:$BA$5,0)))/2)+INDEX('Tables - Part 2'!$BB$17:$BE$24,MATCH('SCC_Sulfide (SSC)'!$V15,'Tables - Part 2'!$AV$6:$AV$13,0),MATCH('SCC_Sulfide (SSC)'!$S15,'Tables - Part 2'!$AX$5:$BA$5,0)))/2)+(INDEX('Tables - Part 2'!$BB$17:$BE$24,MATCH('SCC_Sulfide (SSC)'!$V15,'Tables - Part 2'!$AV$6:$AV$13,0),MATCH('SCC_Sulfide (SSC)'!$S15,'Tables - Part 2'!$AX$5:$BA$5,0))))/2,0)</f>
        <v>0</v>
      </c>
      <c r="BH15" s="248">
        <f>IF($R15=$BH$3,INDEX('Tables - Part 2'!$BB$17:$BE$24,MATCH('SCC_Sulfide (SSC)'!$V15,'Tables - Part 2'!$AV$6:$AV$13,0),MATCH('SCC_Sulfide (SSC)'!$S15,'Tables - Part 2'!$AX$5:$BA$5,0)),0)</f>
        <v>0</v>
      </c>
      <c r="BI15" s="248">
        <f>IF($R15=$BI$3,((INDEX('Tables - Part 2'!$BB$17:$BE$24,MATCH('SCC_Sulfide (SSC)'!$V15,'Tables - Part 2'!$AV$6:$AV$13,0),MATCH('SCC_Sulfide (SSC)'!$S15,'Tables - Part 2'!$AX$5:$BA$5,0)))+(((INDEX('Tables - Part 2'!$BB$17:$BE$24,MATCH('SCC_Sulfide (SSC)'!$V15,'Tables - Part 2'!$AV$6:$AV$13,0),MATCH('SCC_Sulfide (SSC)'!$S15,'Tables - Part 2'!$AX$5:$BA$5,0)))+(INDEX('Tables - Part 2'!$BB$17:$BE$24,MATCH('SCC_Sulfide (SSC)'!$V15,'Tables - Part 2'!$AV$6:$AV$13,0),MATCH('SCC_Sulfide (SSC)'!$S15,'Tables - Part 2'!$AX$5:$BA$5,0))+INDEX('Tables - Part 2'!$BF$17:$BI$24,MATCH('SCC_Sulfide (SSC)'!$V15,'Tables - Part 2'!$AV$6:$AV$13,0),MATCH('SCC_Sulfide (SSC)'!$S15,'Tables - Part 2'!$AX$5:$BA$5,0)))/2)/2))/2,0)</f>
        <v>0</v>
      </c>
      <c r="BJ15" s="248">
        <f>IF($R15=$BJ$3,((INDEX('Tables - Part 2'!$BB$17:$BE$24,MATCH('SCC_Sulfide (SSC)'!$V15,'Tables - Part 2'!$AV$6:$AV$13,0),MATCH('SCC_Sulfide (SSC)'!$S15,'Tables - Part 2'!$AX$5:$BA$5,0)))+(INDEX('Tables - Part 2'!$BB$17:$BE$24,MATCH('SCC_Sulfide (SSC)'!$V15,'Tables - Part 2'!$AV$6:$AV$13,0),MATCH('SCC_Sulfide (SSC)'!$S15,'Tables - Part 2'!$AX$5:$BA$5,0))+INDEX('Tables - Part 2'!$BF$17:$BI$24,MATCH('SCC_Sulfide (SSC)'!$V15,'Tables - Part 2'!$AV$6:$AV$13,0),MATCH('SCC_Sulfide (SSC)'!$S15,'Tables - Part 2'!$AX$5:$BA$5,0)))/2)/2,0)</f>
        <v>0</v>
      </c>
      <c r="BK15" s="248">
        <f>IF($R15=$BK$3,((((INDEX('Tables - Part 2'!$BB$17:$BE$24,MATCH('SCC_Sulfide (SSC)'!$V15,'Tables - Part 2'!$AV$6:$AV$13,0),MATCH('SCC_Sulfide (SSC)'!$S15,'Tables - Part 2'!$AX$5:$BA$5,0)))+(INDEX('Tables - Part 2'!$BB$17:$BE$24,MATCH('SCC_Sulfide (SSC)'!$V15,'Tables - Part 2'!$AV$6:$AV$13,0),MATCH('SCC_Sulfide (SSC)'!$S15,'Tables - Part 2'!$AX$5:$BA$5,0))+INDEX('Tables - Part 2'!$BF$17:$BI$24,MATCH('SCC_Sulfide (SSC)'!$V15,'Tables - Part 2'!$AV$6:$AV$13,0),MATCH('SCC_Sulfide (SSC)'!$S15,'Tables - Part 2'!$AX$5:$BA$5,0)))/2)/2)+((INDEX('Tables - Part 2'!$BB$17:$BE$24,MATCH('SCC_Sulfide (SSC)'!$V15,'Tables - Part 2'!$AV$6:$AV$13,0),MATCH('SCC_Sulfide (SSC)'!$S15,'Tables - Part 2'!$AX$5:$BA$5,0))+INDEX('Tables - Part 2'!$BF$17:$BI$24,MATCH('SCC_Sulfide (SSC)'!$V15,'Tables - Part 2'!$AV$6:$AV$13,0),MATCH('SCC_Sulfide (SSC)'!$S15,'Tables - Part 2'!$AX$5:$BA$5,0)))/2))/2,0)</f>
        <v>0</v>
      </c>
      <c r="BL15" s="248">
        <f>IF($R15=$BL$3,(INDEX('Tables - Part 2'!$BB$17:$BE$24,MATCH('SCC_Sulfide (SSC)'!$V15,'Tables - Part 2'!$AV$6:$AV$13,0),MATCH('SCC_Sulfide (SSC)'!$S15,'Tables - Part 2'!$AX$5:$BA$5,0))+INDEX('Tables - Part 2'!$BF$17:$BI$24,MATCH('SCC_Sulfide (SSC)'!$V15,'Tables - Part 2'!$AV$6:$AV$13,0),MATCH('SCC_Sulfide (SSC)'!$S15,'Tables - Part 2'!$AX$5:$BA$5,0)))/2,0)</f>
        <v>0</v>
      </c>
      <c r="BM15" s="248">
        <f>IF($R15=$BM$3,(((INDEX('Tables - Part 2'!$BB$17:$BE$24,MATCH('SCC_Sulfide (SSC)'!$V15,'Tables - Part 2'!$AV$6:$AV$13,0),MATCH('SCC_Sulfide (SSC)'!$S15,'Tables - Part 2'!$AX$5:$BA$5,0))+INDEX('Tables - Part 2'!$BF$17:$BI$24,MATCH('SCC_Sulfide (SSC)'!$V15,'Tables - Part 2'!$AV$6:$AV$13,0),MATCH('SCC_Sulfide (SSC)'!$S15,'Tables - Part 2'!$AX$5:$BA$5,0)))/2)+((((INDEX('Tables - Part 2'!$BB$17:$BE$24,MATCH('SCC_Sulfide (SSC)'!$V15,'Tables - Part 2'!$AV$6:$AV$13,0),MATCH('SCC_Sulfide (SSC)'!$S15,'Tables - Part 2'!$AX$5:$BA$5,0))+INDEX('Tables - Part 2'!$BF$17:$BI$24,MATCH('SCC_Sulfide (SSC)'!$V15,'Tables - Part 2'!$AV$6:$AV$13,0),MATCH('SCC_Sulfide (SSC)'!$S15,'Tables - Part 2'!$AX$5:$BA$5,0)))/2)+INDEX('Tables - Part 2'!$BF$17:$BI$24,MATCH('SCC_Sulfide (SSC)'!$V15,'Tables - Part 2'!$AV$6:$AV$13,0),MATCH('SCC_Sulfide (SSC)'!$S15,'Tables - Part 2'!$AX$5:$BA$5,0)))/2))/2,0)</f>
        <v>0</v>
      </c>
      <c r="BN15" s="248">
        <f>IF($R15=$BN$3,(((INDEX('Tables - Part 2'!$BB$17:$BE$24,MATCH('SCC_Sulfide (SSC)'!$V15,'Tables - Part 2'!$AV$6:$AV$13,0),MATCH('SCC_Sulfide (SSC)'!$S15,'Tables - Part 2'!$AX$5:$BA$5,0))+INDEX('Tables - Part 2'!$BF$17:$BI$24,MATCH('SCC_Sulfide (SSC)'!$V15,'Tables - Part 2'!$AV$6:$AV$13,0),MATCH('SCC_Sulfide (SSC)'!$S15,'Tables - Part 2'!$AX$5:$BA$5,0)))/2)+INDEX('Tables - Part 2'!$BF$17:$BI$24,MATCH('SCC_Sulfide (SSC)'!$V15,'Tables - Part 2'!$AV$6:$AV$13,0),MATCH('SCC_Sulfide (SSC)'!$S15,'Tables - Part 2'!$AX$5:$BA$5,0)))/2,0)</f>
        <v>0</v>
      </c>
      <c r="BO15" s="248">
        <f>IF($R15=$BO$3,(((((INDEX('Tables - Part 2'!$BB$17:$BE$24,MATCH('SCC_Sulfide (SSC)'!$V15,'Tables - Part 2'!$AV$6:$AV$13,0),MATCH('SCC_Sulfide (SSC)'!$S15,'Tables - Part 2'!$AX$5:$BA$5,0))+INDEX('Tables - Part 2'!$BF$17:$BI$24,MATCH('SCC_Sulfide (SSC)'!$V15,'Tables - Part 2'!$AV$6:$AV$13,0),MATCH('SCC_Sulfide (SSC)'!$S15,'Tables - Part 2'!$AX$5:$BA$5,0)))/2)+INDEX('Tables - Part 2'!$BF$17:$BI$24,MATCH('SCC_Sulfide (SSC)'!$V15,'Tables - Part 2'!$AV$6:$AV$13,0),MATCH('SCC_Sulfide (SSC)'!$S15,'Tables - Part 2'!$AX$5:$BA$5,0)))/2)+(INDEX('Tables - Part 2'!$BF$17:$BI$24,MATCH('SCC_Sulfide (SSC)'!$V15,'Tables - Part 2'!$AV$6:$AV$13,0),MATCH('SCC_Sulfide (SSC)'!$S15,'Tables - Part 2'!$AX$5:$BA$5,0))))/2,0)</f>
        <v>0</v>
      </c>
      <c r="BP15" s="248">
        <f>IF($R15=$BP$3,INDEX('Tables - Part 2'!$BF$17:$BI$24,MATCH('SCC_Sulfide (SSC)'!$V15,'Tables - Part 2'!$AV$6:$AV$13,0),MATCH('SCC_Sulfide (SSC)'!$S15,'Tables - Part 2'!$AX$5:$BA$5,0)),0)</f>
        <v>0</v>
      </c>
      <c r="BQ15" s="248">
        <f t="shared" si="6"/>
        <v>0</v>
      </c>
      <c r="BR15" s="238">
        <f t="shared" si="8"/>
        <v>1</v>
      </c>
      <c r="BS15" s="238">
        <f t="shared" si="7"/>
        <v>16.77288246840839</v>
      </c>
    </row>
    <row r="16" spans="2:84" x14ac:dyDescent="0.35">
      <c r="B16" s="161" t="str">
        <f>'Tratamento de Dados'!B24</f>
        <v>V-6</v>
      </c>
      <c r="C16" s="161" t="str">
        <f>'Tratamento de Dados'!D24</f>
        <v>Casco</v>
      </c>
      <c r="D16" s="209" t="s">
        <v>245</v>
      </c>
      <c r="E16" s="209" t="s">
        <v>61</v>
      </c>
      <c r="F16" s="209" t="s">
        <v>836</v>
      </c>
      <c r="G16" s="209" t="s">
        <v>832</v>
      </c>
      <c r="H16" s="209" t="s">
        <v>245</v>
      </c>
      <c r="I16" s="209" t="s">
        <v>1113</v>
      </c>
      <c r="J16" s="209" t="s">
        <v>245</v>
      </c>
      <c r="K16" s="210">
        <v>39092</v>
      </c>
      <c r="L16" s="209">
        <v>0</v>
      </c>
      <c r="M16" s="209">
        <v>1</v>
      </c>
      <c r="N16" s="209">
        <v>1</v>
      </c>
      <c r="O16" s="209">
        <v>4</v>
      </c>
      <c r="P16" s="253">
        <f>'Tratamento de Dados'!DA24</f>
        <v>0</v>
      </c>
      <c r="Q16" s="253">
        <f>'Tratamento de Dados'!DB24</f>
        <v>0</v>
      </c>
      <c r="R16" s="256">
        <f t="shared" si="0"/>
        <v>2.5</v>
      </c>
      <c r="S16" s="246" t="str">
        <f t="shared" si="1"/>
        <v>B</v>
      </c>
      <c r="T16" s="238" t="str">
        <f>IF(D16=$BX$2,$BV$4,IF(AND(H16=$BX$2,OR(F16='Tables - Part 2'!$BN$8,'Tables - Part 2'!$BN$9),OR('SCC_Sulfide (SSC)'!G16='Tables - Part 2'!$BQ$4,'SCC_Sulfide (SSC)'!G16='Tables - Part 2'!$BR$4)),$BV$4,INDEX('Tables - Part 2'!$BO$5:$BR$9,MATCH('SCC_Sulfide (SSC)'!F16,'Tables - Part 2'!$BN$5:$BN$9,0),MATCH('SCC_Sulfide (SSC)'!G16,'Tables - Part 2'!$BO$4:$BR$4,0))))</f>
        <v>Moderate</v>
      </c>
      <c r="U16" s="238" t="str">
        <f>IF(D16=$BX$2,$BV$4,IF(J16=$BX$2,INDEX('Tables - Part 2'!$BX$6:$BZ$8,MATCH('SCC_Sulfide (SSC)'!T16,'Tables - Part 2'!$BT$6:$BT$8,0),MATCH('SCC_Sulfide (SSC)'!I16,'Tables - Part 2'!$BX$5:$BZ$5,0)),INDEX('Tables - Part 2'!$BU$6:$BW$8,MATCH('SCC_Sulfide (SSC)'!T16,'Tables - Part 2'!$BT$6:$BT$8,0),MATCH('SCC_Sulfide (SSC)'!I16,'Tables - Part 2'!$BU$5:$BW$5,0))))</f>
        <v>Medium</v>
      </c>
      <c r="V16" s="238">
        <f>IF(AND(D16=$BX$2,E16&lt;&gt;$BX$2),"Fitness-For-Service",INDEX('Tables - Part 2'!$CC$4:$CC$7,MATCH('SCC_Sulfide (SSC)'!U16,'Tables - Part 2'!$CB$4:$CB$7,0),))</f>
        <v>10</v>
      </c>
      <c r="W16" s="238">
        <f>IF(K16=0,(Thinning!G17-Thinning!F17)/365.25,(Thinning!G17-K16)/365.25)</f>
        <v>12.980150581793293</v>
      </c>
      <c r="X16" s="248">
        <f t="shared" si="2"/>
        <v>0</v>
      </c>
      <c r="Y16" s="248">
        <f t="shared" si="3"/>
        <v>2.5</v>
      </c>
      <c r="Z16" s="248">
        <f t="shared" si="4"/>
        <v>3</v>
      </c>
      <c r="AA16" s="247">
        <f t="shared" si="5"/>
        <v>4</v>
      </c>
      <c r="AB16" s="248">
        <f>IF($R16=$AB$3,INDEX('Tables - Part 2'!$AX$6:$BA$13,MATCH('SCC_Sulfide (SSC)'!V16,'Tables - Part 2'!$AV$6:$AV$13,0),MATCH('SCC_Sulfide (SSC)'!S16,'Tables - Part 2'!$AX$5:$BA$5,0)),0)</f>
        <v>0</v>
      </c>
      <c r="AC16" s="248">
        <f>IF($R16=$AC$3,(INDEX('Tables - Part 2'!$AX$6:$BA$13,MATCH('SCC_Sulfide (SSC)'!V16,'Tables - Part 2'!$AV$6:$AV$13,0),MATCH('SCC_Sulfide (SSC)'!S16,'Tables - Part 2'!$AX$5:$BA$5,0))+(INDEX('Tables - Part 2'!$AX$6:$BA$13,MATCH('SCC_Sulfide (SSC)'!V16,'Tables - Part 2'!$AV$6:$AV$13,0),MATCH('SCC_Sulfide (SSC)'!S16,'Tables - Part 2'!$AX$5:$BA$5,0))+((INDEX('Tables - Part 2'!$AX$6:$BA$13,MATCH('SCC_Sulfide (SSC)'!V16,'Tables - Part 2'!$AV$6:$AV$13,0),MATCH('SCC_Sulfide (SSC)'!S16,'Tables - Part 2'!$AX$5:$BA$5,0))+INDEX('Tables - Part 2'!$BB$6:$BE$13,MATCH('SCC_Sulfide (SSC)'!$V16,'Tables - Part 2'!$AV$6:$AV$13,0),MATCH('SCC_Sulfide (SSC)'!$S16,'Tables - Part 2'!$AX$5:$BA$5,0)))/2))/2)/2,0)</f>
        <v>0</v>
      </c>
      <c r="AD16" s="248">
        <f>IF($R16=$AD$3,(INDEX('Tables - Part 2'!$AX$6:$BA$13,MATCH('SCC_Sulfide (SSC)'!V16,'Tables - Part 2'!$AV$6:$AV$13,0),MATCH('SCC_Sulfide (SSC)'!S16,'Tables - Part 2'!$AX$5:$BA$5,0))+((INDEX('Tables - Part 2'!$AX$6:$BA$13,MATCH('SCC_Sulfide (SSC)'!V16,'Tables - Part 2'!$AV$6:$AV$13,0),MATCH('SCC_Sulfide (SSC)'!S16,'Tables - Part 2'!$AX$5:$BA$5,0))+INDEX('Tables - Part 2'!$BB$6:$BE$13,MATCH('SCC_Sulfide (SSC)'!$V16,'Tables - Part 2'!$AV$6:$AV$13,0),MATCH('SCC_Sulfide (SSC)'!$S16,'Tables - Part 2'!$AX$5:$BA$5,0)))/2))/2,0)</f>
        <v>0</v>
      </c>
      <c r="AE16" s="248">
        <f>IF($R16=$AE$3,(((INDEX('Tables - Part 2'!$AX$6:$BA$13,MATCH('SCC_Sulfide (SSC)'!V16,'Tables - Part 2'!$AV$6:$AV$13,0),MATCH('SCC_Sulfide (SSC)'!S16,'Tables - Part 2'!$AX$5:$BA$5,0))+((INDEX('Tables - Part 2'!$AX$6:$BA$13,MATCH('SCC_Sulfide (SSC)'!V16,'Tables - Part 2'!$AV$6:$AV$13,0),MATCH('SCC_Sulfide (SSC)'!S16,'Tables - Part 2'!$AX$5:$BA$5,0))+INDEX('Tables - Part 2'!$BB$6:$BE$13,MATCH('SCC_Sulfide (SSC)'!$V16,'Tables - Part 2'!$AV$6:$AV$13,0),MATCH('SCC_Sulfide (SSC)'!$S16,'Tables - Part 2'!$AX$5:$BA$5,0)))/2))/2)+(INDEX('Tables - Part 2'!$AX$6:$BA$13,MATCH('SCC_Sulfide (SSC)'!V16,'Tables - Part 2'!$AV$6:$AV$13,0),MATCH('SCC_Sulfide (SSC)'!S16,'Tables - Part 2'!$AX$5:$BA$5,0))+INDEX('Tables - Part 2'!$BB$6:$BE$13,MATCH('SCC_Sulfide (SSC)'!$V16,'Tables - Part 2'!$AV$6:$AV$13,0),MATCH('SCC_Sulfide (SSC)'!$S16,'Tables - Part 2'!$AX$5:$BA$5,0)))/2)/2,0)</f>
        <v>0</v>
      </c>
      <c r="AF16" s="248">
        <f>IF($R16=$AF$3,(INDEX('Tables - Part 2'!$AX$6:$BA$13,MATCH('SCC_Sulfide (SSC)'!V16,'Tables - Part 2'!$AV$6:$AV$13,0),MATCH('SCC_Sulfide (SSC)'!S16,'Tables - Part 2'!$AX$5:$BA$5,0))+INDEX('Tables - Part 2'!$BB$6:$BE$13,MATCH('SCC_Sulfide (SSC)'!$V16,'Tables - Part 2'!$AV$6:$AV$13,0),MATCH('SCC_Sulfide (SSC)'!$S16,'Tables - Part 2'!$AX$5:$BA$5,0)))/2,0)</f>
        <v>0</v>
      </c>
      <c r="AG16" s="248">
        <f>IF($R16=$AG$3,(((INDEX('Tables - Part 2'!$AX$6:$BA$13,MATCH('SCC_Sulfide (SSC)'!V16,'Tables - Part 2'!$AV$6:$AV$13,0),MATCH('SCC_Sulfide (SSC)'!S16,'Tables - Part 2'!$AX$5:$BA$5,0))+INDEX('Tables - Part 2'!$BB$6:$BE$13,MATCH('SCC_Sulfide (SSC)'!$V16,'Tables - Part 2'!$AV$6:$AV$13,0),MATCH('SCC_Sulfide (SSC)'!$S16,'Tables - Part 2'!$AX$5:$BA$5,0)))/2)+(((INDEX('Tables - Part 2'!$AX$6:$BA$13,MATCH('SCC_Sulfide (SSC)'!V16,'Tables - Part 2'!$AV$6:$AV$13,0),MATCH('SCC_Sulfide (SSC)'!S16,'Tables - Part 2'!$AX$5:$BA$5,0))+INDEX('Tables - Part 2'!$BB$6:$BE$13,MATCH('SCC_Sulfide (SSC)'!$V16,'Tables - Part 2'!$AV$6:$AV$13,0),MATCH('SCC_Sulfide (SSC)'!$S16,'Tables - Part 2'!$AX$5:$BA$5,0)))/2)+INDEX('Tables - Part 2'!$BB$6:$BE$13,MATCH('SCC_Sulfide (SSC)'!$V16,'Tables - Part 2'!$AV$6:$AV$13,0),MATCH('SCC_Sulfide (SSC)'!$S16,'Tables - Part 2'!$AX$5:$BA$5,0)))/2)/2,0)</f>
        <v>0</v>
      </c>
      <c r="AH16" s="248">
        <f>IF($R16=$AH$3,(((INDEX('Tables - Part 2'!$AX$6:$BA$13,MATCH('SCC_Sulfide (SSC)'!V16,'Tables - Part 2'!$AV$6:$AV$13,0),MATCH('SCC_Sulfide (SSC)'!S16,'Tables - Part 2'!$AX$5:$BA$5,0))+INDEX('Tables - Part 2'!$BB$6:$BE$13,MATCH('SCC_Sulfide (SSC)'!$V16,'Tables - Part 2'!$AV$6:$AV$13,0),MATCH('SCC_Sulfide (SSC)'!$S16,'Tables - Part 2'!$AX$5:$BA$5,0)))/2)+INDEX('Tables - Part 2'!$BB$6:$BE$13,MATCH('SCC_Sulfide (SSC)'!$V16,'Tables - Part 2'!$AV$6:$AV$13,0),MATCH('SCC_Sulfide (SSC)'!$S16,'Tables - Part 2'!$AX$5:$BA$5,0)))/2,0)</f>
        <v>0</v>
      </c>
      <c r="AI16" s="248">
        <f>IF($R16=$AI$3,(((((INDEX('Tables - Part 2'!$AX$6:$BA$13,MATCH('SCC_Sulfide (SSC)'!V16,'Tables - Part 2'!$AV$6:$AV$13,0),MATCH('SCC_Sulfide (SSC)'!S16,'Tables - Part 2'!$AX$5:$BA$5,0))+INDEX('Tables - Part 2'!$BB$6:$BE$13,MATCH('SCC_Sulfide (SSC)'!$V16,'Tables - Part 2'!$AV$6:$AV$13,0),MATCH('SCC_Sulfide (SSC)'!$S16,'Tables - Part 2'!$AX$5:$BA$5,0)))/2)+INDEX('Tables - Part 2'!$BB$6:$BE$13,MATCH('SCC_Sulfide (SSC)'!$V16,'Tables - Part 2'!$AV$6:$AV$13,0),MATCH('SCC_Sulfide (SSC)'!$S16,'Tables - Part 2'!$AX$5:$BA$5,0)))/2)+INDEX('Tables - Part 2'!$BB$6:$BE$13,MATCH('SCC_Sulfide (SSC)'!$V16,'Tables - Part 2'!$AV$6:$AV$13,0),MATCH('SCC_Sulfide (SSC)'!$S16,'Tables - Part 2'!$AX$5:$BA$5,0)))/2,0)</f>
        <v>0</v>
      </c>
      <c r="AJ16" s="248">
        <f>IF($R16=$AJ$3,INDEX('Tables - Part 2'!$BB$6:$BE$13,MATCH('SCC_Sulfide (SSC)'!$V16,'Tables - Part 2'!$AV$6:$AV$13,0),MATCH('SCC_Sulfide (SSC)'!$S16,'Tables - Part 2'!$AX$5:$BA$5,0)),0)</f>
        <v>0</v>
      </c>
      <c r="AK16" s="248">
        <f>IF($R16=$AK$3,((INDEX('Tables - Part 2'!$BB$6:$BE$13,MATCH('SCC_Sulfide (SSC)'!$V16,'Tables - Part 2'!$AV$6:$AV$13,0),MATCH('SCC_Sulfide (SSC)'!$S16,'Tables - Part 2'!$AX$5:$BA$5,0)))+(INDEX('Tables - Part 2'!$BB$6:$BE$13,MATCH('SCC_Sulfide (SSC)'!$V16,'Tables - Part 2'!$AV$6:$AV$13,0),MATCH('SCC_Sulfide (SSC)'!$S16,'Tables - Part 2'!$AX$5:$BA$5,0))+(INDEX('Tables - Part 2'!$BB$6:$BE$13,MATCH('SCC_Sulfide (SSC)'!$V16,'Tables - Part 2'!$AV$6:$AV$13,0),MATCH('SCC_Sulfide (SSC)'!$S16,'Tables - Part 2'!$AX$5:$BA$5,0))+INDEX('Tables - Part 2'!$BF$6:$BI$13,MATCH('SCC_Sulfide (SSC)'!$V16,'Tables - Part 2'!$AV$6:$AV$13,0),MATCH('SCC_Sulfide (SSC)'!$S16,'Tables - Part 2'!$AX$5:$BA$5,0)))/2)/2)/2,0)</f>
        <v>0</v>
      </c>
      <c r="AL16" s="248">
        <f>IF($R16=$AL$3,(INDEX('Tables - Part 2'!$BB$6:$BE$13,MATCH('SCC_Sulfide (SSC)'!$V16,'Tables - Part 2'!$AV$6:$AV$13,0),MATCH('SCC_Sulfide (SSC)'!$S16,'Tables - Part 2'!$AX$5:$BA$5,0))+(INDEX('Tables - Part 2'!$BB$6:$BE$13,MATCH('SCC_Sulfide (SSC)'!$V16,'Tables - Part 2'!$AV$6:$AV$13,0),MATCH('SCC_Sulfide (SSC)'!$S16,'Tables - Part 2'!$AX$5:$BA$5,0))+INDEX('Tables - Part 2'!$BF$6:$BI$13,MATCH('SCC_Sulfide (SSC)'!$V16,'Tables - Part 2'!$AV$6:$AV$13,0),MATCH('SCC_Sulfide (SSC)'!$S16,'Tables - Part 2'!$AX$5:$BA$5,0)))/2)/2,0)</f>
        <v>0</v>
      </c>
      <c r="AM16" s="248">
        <f>IF($R16=$AM$3,(((INDEX('Tables - Part 2'!$BB$6:$BE$13,MATCH('SCC_Sulfide (SSC)'!$V16,'Tables - Part 2'!$AV$6:$AV$13,0),MATCH('SCC_Sulfide (SSC)'!$S16,'Tables - Part 2'!$AX$5:$BA$5,0))+(INDEX('Tables - Part 2'!$BB$6:$BE$13,MATCH('SCC_Sulfide (SSC)'!$V16,'Tables - Part 2'!$AV$6:$AV$13,0),MATCH('SCC_Sulfide (SSC)'!$S16,'Tables - Part 2'!$AX$5:$BA$5,0))+INDEX('Tables - Part 2'!$BF$6:$BI$13,MATCH('SCC_Sulfide (SSC)'!$V16,'Tables - Part 2'!$AV$6:$AV$13,0),MATCH('SCC_Sulfide (SSC)'!$S16,'Tables - Part 2'!$AX$5:$BA$5,0)))/2)/2)+((INDEX('Tables - Part 2'!$BB$6:$BE$13,MATCH('SCC_Sulfide (SSC)'!$V16,'Tables - Part 2'!$AV$6:$AV$13,0),MATCH('SCC_Sulfide (SSC)'!$S16,'Tables - Part 2'!$AX$5:$BA$5,0))+INDEX('Tables - Part 2'!$BF$6:$BI$13,MATCH('SCC_Sulfide (SSC)'!$V16,'Tables - Part 2'!$AV$6:$AV$13,0),MATCH('SCC_Sulfide (SSC)'!$S16,'Tables - Part 2'!$AX$5:$BA$5,0)))/2))/2,0)</f>
        <v>0</v>
      </c>
      <c r="AN16" s="248">
        <f>IF($R16=$AN$3,(INDEX('Tables - Part 2'!$BB$6:$BE$13,MATCH('SCC_Sulfide (SSC)'!$V16,'Tables - Part 2'!$AV$6:$AV$13,0),MATCH('SCC_Sulfide (SSC)'!$S16,'Tables - Part 2'!$AX$5:$BA$5,0))+INDEX('Tables - Part 2'!$BF$6:$BI$13,MATCH('SCC_Sulfide (SSC)'!$V16,'Tables - Part 2'!$AV$6:$AV$13,0),MATCH('SCC_Sulfide (SSC)'!$S16,'Tables - Part 2'!$AX$5:$BA$5,0)))/2,0)</f>
        <v>1</v>
      </c>
      <c r="AO16" s="248">
        <f>IF($R16=$AO$3,(((INDEX('Tables - Part 2'!$BB$6:$BE$13,MATCH('SCC_Sulfide (SSC)'!$V16,'Tables - Part 2'!$AV$6:$AV$13,0),MATCH('SCC_Sulfide (SSC)'!$S16,'Tables - Part 2'!$AX$5:$BA$5,0))+INDEX('Tables - Part 2'!$BF$6:$BI$13,MATCH('SCC_Sulfide (SSC)'!$V16,'Tables - Part 2'!$AV$6:$AV$13,0),MATCH('SCC_Sulfide (SSC)'!$S16,'Tables - Part 2'!$AX$5:$BA$5,0)))/2)+((((INDEX('Tables - Part 2'!$BB$6:$BE$13,MATCH('SCC_Sulfide (SSC)'!$V16,'Tables - Part 2'!$AV$6:$AV$13,0),MATCH('SCC_Sulfide (SSC)'!$S16,'Tables - Part 2'!$AX$5:$BA$5,0))+INDEX('Tables - Part 2'!$BF$6:$BI$13,MATCH('SCC_Sulfide (SSC)'!$V16,'Tables - Part 2'!$AV$6:$AV$13,0),MATCH('SCC_Sulfide (SSC)'!$S16,'Tables - Part 2'!$AX$5:$BA$5,0)))/2)+INDEX('Tables - Part 2'!$BF$6:$BI$13,MATCH('SCC_Sulfide (SSC)'!$V16,'Tables - Part 2'!$AV$6:$AV$13,0),MATCH('SCC_Sulfide (SSC)'!$S16,'Tables - Part 2'!$AX$5:$BA$5,0)))/2))/2,0)</f>
        <v>0</v>
      </c>
      <c r="AP16" s="248">
        <f>IF($R16=$AP$3,(((INDEX('Tables - Part 2'!$BB$6:$BE$13,MATCH('SCC_Sulfide (SSC)'!$V16,'Tables - Part 2'!$AV$6:$AV$13,0),MATCH('SCC_Sulfide (SSC)'!$S16,'Tables - Part 2'!$AX$5:$BA$5,0))+INDEX('Tables - Part 2'!$BF$6:$BI$13,MATCH('SCC_Sulfide (SSC)'!$V16,'Tables - Part 2'!$AV$6:$AV$13,0),MATCH('SCC_Sulfide (SSC)'!$S16,'Tables - Part 2'!$AX$5:$BA$5,0)))/2)+INDEX('Tables - Part 2'!$BF$6:$BI$13,MATCH('SCC_Sulfide (SSC)'!$V16,'Tables - Part 2'!$AV$6:$AV$13,0),MATCH('SCC_Sulfide (SSC)'!$S16,'Tables - Part 2'!$AX$5:$BA$5,0)))/2,0)</f>
        <v>0</v>
      </c>
      <c r="AQ16" s="248">
        <f>IF($R16=$AQ$3,(((((INDEX('Tables - Part 2'!$BB$6:$BE$13,MATCH('SCC_Sulfide (SSC)'!$V16,'Tables - Part 2'!$AV$6:$AV$13,0),MATCH('SCC_Sulfide (SSC)'!$S16,'Tables - Part 2'!$AX$5:$BA$5,0))+INDEX('Tables - Part 2'!$BF$6:$BI$13,MATCH('SCC_Sulfide (SSC)'!$V16,'Tables - Part 2'!$AV$6:$AV$13,0),MATCH('SCC_Sulfide (SSC)'!$S16,'Tables - Part 2'!$AX$5:$BA$5,0)))/2)+INDEX('Tables - Part 2'!$BF$6:$BI$13,MATCH('SCC_Sulfide (SSC)'!$V16,'Tables - Part 2'!$AV$6:$AV$13,0),MATCH('SCC_Sulfide (SSC)'!$S16,'Tables - Part 2'!$AX$5:$BA$5,0)))/2)+INDEX('Tables - Part 2'!$BF$6:$BI$13,MATCH('SCC_Sulfide (SSC)'!$V16,'Tables - Part 2'!$AV$6:$AV$13,0),MATCH('SCC_Sulfide (SSC)'!$S16,'Tables - Part 2'!$AX$5:$BA$5,0)))/2,0)</f>
        <v>0</v>
      </c>
      <c r="AR16" s="248">
        <f>IF($R16=$AR$3,INDEX('Tables - Part 2'!$BF$6:$BI$13,MATCH('SCC_Sulfide (SSC)'!$V16,'Tables - Part 2'!$AV$6:$AV$13,0),MATCH('SCC_Sulfide (SSC)'!$S16,'Tables - Part 2'!$AX$5:$BA$5,0)),0)</f>
        <v>0</v>
      </c>
      <c r="AS16" s="248">
        <f>IF($R16=$AS$3,(INDEX('Tables - Part 2'!$BF$6:$BI$13,MATCH('SCC_Sulfide (SSC)'!$V16,'Tables - Part 2'!$AV$6:$AV$13,0),MATCH('SCC_Sulfide (SSC)'!$S16,'Tables - Part 2'!$AX$5:$BA$5,0))+((INDEX('Tables - Part 2'!$BF$6:$BI$13,MATCH('SCC_Sulfide (SSC)'!$V16,'Tables - Part 2'!$AV$6:$AV$13,0),MATCH('SCC_Sulfide (SSC)'!$S16,'Tables - Part 2'!$AX$5:$BA$5,0))+(INDEX('Tables - Part 2'!$BF$6:$BI$13,MATCH('SCC_Sulfide (SSC)'!$V16,'Tables - Part 2'!$AV$6:$AV$13,0),MATCH('SCC_Sulfide (SSC)'!$S16,'Tables - Part 2'!$AX$5:$BA$5,0))+INDEX('Tables - Part 2'!$AX$17:$BA$24,MATCH('SCC_Sulfide (SSC)'!$V16,'Tables - Part 2'!$AV$6:$AV$13,0),MATCH('SCC_Sulfide (SSC)'!$S16,'Tables - Part 2'!$AX$5:$BA$5,0)))/2)/2))/2,0)</f>
        <v>0</v>
      </c>
      <c r="AT16" s="248">
        <f>IF($R16=$AT$3,(INDEX('Tables - Part 2'!$BF$6:$BI$13,MATCH('SCC_Sulfide (SSC)'!$V16,'Tables - Part 2'!$AV$6:$AV$13,0),MATCH('SCC_Sulfide (SSC)'!$S16,'Tables - Part 2'!$AX$5:$BA$5,0))+(INDEX('Tables - Part 2'!$BF$6:$BI$13,MATCH('SCC_Sulfide (SSC)'!$V16,'Tables - Part 2'!$AV$6:$AV$13,0),MATCH('SCC_Sulfide (SSC)'!$S16,'Tables - Part 2'!$AX$5:$BA$5,0))+INDEX('Tables - Part 2'!$AX$17:$BA$24,MATCH('SCC_Sulfide (SSC)'!$V16,'Tables - Part 2'!$AV$6:$AV$13,0),MATCH('SCC_Sulfide (SSC)'!$S16,'Tables - Part 2'!$AX$5:$BA$5,0)))/2)/2,0)</f>
        <v>0</v>
      </c>
      <c r="AU16" s="248">
        <f>IF($R16=$AU$3,(((INDEX('Tables - Part 2'!$BF$6:$BI$13,MATCH('SCC_Sulfide (SSC)'!$V16,'Tables - Part 2'!$AV$6:$AV$13,0),MATCH('SCC_Sulfide (SSC)'!$S16,'Tables - Part 2'!$AX$5:$BA$5,0))+(INDEX('Tables - Part 2'!$BF$6:$BI$13,MATCH('SCC_Sulfide (SSC)'!$V16,'Tables - Part 2'!$AV$6:$AV$13,0),MATCH('SCC_Sulfide (SSC)'!$S16,'Tables - Part 2'!$AX$5:$BA$5,0))+INDEX('Tables - Part 2'!$AX$17:$BA$24,MATCH('SCC_Sulfide (SSC)'!$V16,'Tables - Part 2'!$AV$6:$AV$13,0),MATCH('SCC_Sulfide (SSC)'!$S16,'Tables - Part 2'!$AX$5:$BA$5,0)))/2)/2)+((INDEX('Tables - Part 2'!$BF$6:$BI$13,MATCH('SCC_Sulfide (SSC)'!$V16,'Tables - Part 2'!$AV$6:$AV$13,0),MATCH('SCC_Sulfide (SSC)'!$S16,'Tables - Part 2'!$AX$5:$BA$5,0))+INDEX('Tables - Part 2'!$AX$17:$BA$24,MATCH('SCC_Sulfide (SSC)'!$V16,'Tables - Part 2'!$AV$6:$AV$13,0),MATCH('SCC_Sulfide (SSC)'!$S16,'Tables - Part 2'!$AX$5:$BA$5,0)))/2))/2,0)</f>
        <v>0</v>
      </c>
      <c r="AV16" s="248">
        <f>IF($R16=$AV$3,(INDEX('Tables - Part 2'!$BF$6:$BI$13,MATCH('SCC_Sulfide (SSC)'!$V16,'Tables - Part 2'!$AV$6:$AV$13,0),MATCH('SCC_Sulfide (SSC)'!$S16,'Tables - Part 2'!$AX$5:$BA$5,0))+INDEX('Tables - Part 2'!$AX$17:$BA$24,MATCH('SCC_Sulfide (SSC)'!$V16,'Tables - Part 2'!$AV$6:$AV$13,0),MATCH('SCC_Sulfide (SSC)'!$S16,'Tables - Part 2'!$AX$5:$BA$5,0)))/2,0)</f>
        <v>0</v>
      </c>
      <c r="AW16" s="248">
        <f>IF($R16=$AW$3,(((INDEX('Tables - Part 2'!$BF$6:$BI$13,MATCH('SCC_Sulfide (SSC)'!$V16,'Tables - Part 2'!$AV$6:$AV$13,0),MATCH('SCC_Sulfide (SSC)'!$S16,'Tables - Part 2'!$AX$5:$BA$5,0))+INDEX('Tables - Part 2'!$AX$17:$BA$24,MATCH('SCC_Sulfide (SSC)'!$V16,'Tables - Part 2'!$AV$6:$AV$13,0),MATCH('SCC_Sulfide (SSC)'!$S16,'Tables - Part 2'!$AX$5:$BA$5,0)))/2)+((((INDEX('Tables - Part 2'!$BF$6:$BI$13,MATCH('SCC_Sulfide (SSC)'!$V16,'Tables - Part 2'!$AV$6:$AV$13,0),MATCH('SCC_Sulfide (SSC)'!$S16,'Tables - Part 2'!$AX$5:$BA$5,0))+INDEX('Tables - Part 2'!$AX$17:$BA$24,MATCH('SCC_Sulfide (SSC)'!$V16,'Tables - Part 2'!$AV$6:$AV$13,0),MATCH('SCC_Sulfide (SSC)'!$S16,'Tables - Part 2'!$AX$5:$BA$5,0)))/2)+INDEX('Tables - Part 2'!$AX$17:$BA$24,MATCH('SCC_Sulfide (SSC)'!$V16,'Tables - Part 2'!$AV$6:$AV$13,0),MATCH('SCC_Sulfide (SSC)'!$S16,'Tables - Part 2'!$AX$5:$BA$5,0)))/2))/2,0)</f>
        <v>0</v>
      </c>
      <c r="AX16" s="248">
        <f>IF($R16=$AX$3,(((INDEX('Tables - Part 2'!$BF$6:$BI$13,MATCH('SCC_Sulfide (SSC)'!$V16,'Tables - Part 2'!$AV$6:$AV$13,0),MATCH('SCC_Sulfide (SSC)'!$S16,'Tables - Part 2'!$AX$5:$BA$5,0))+INDEX('Tables - Part 2'!$AX$17:$BA$24,MATCH('SCC_Sulfide (SSC)'!$V16,'Tables - Part 2'!$AV$6:$AV$13,0),MATCH('SCC_Sulfide (SSC)'!$S16,'Tables - Part 2'!$AX$5:$BA$5,0)))/2)+INDEX('Tables - Part 2'!$AX$17:$BA$24,MATCH('SCC_Sulfide (SSC)'!$V16,'Tables - Part 2'!$AV$6:$AV$13,0),MATCH('SCC_Sulfide (SSC)'!$S16,'Tables - Part 2'!$AX$5:$BA$5,0)))/2,0)</f>
        <v>0</v>
      </c>
      <c r="AY16" s="248">
        <f>IF($R16=$AY$3,(((((INDEX('Tables - Part 2'!$BF$6:$BI$13,MATCH('SCC_Sulfide (SSC)'!$V16,'Tables - Part 2'!$AV$6:$AV$13,0),MATCH('SCC_Sulfide (SSC)'!$S16,'Tables - Part 2'!$AX$5:$BA$5,0))+INDEX('Tables - Part 2'!$AX$17:$BA$24,MATCH('SCC_Sulfide (SSC)'!$V16,'Tables - Part 2'!$AV$6:$AV$13,0),MATCH('SCC_Sulfide (SSC)'!$S16,'Tables - Part 2'!$AX$5:$BA$5,0)))/2)+INDEX('Tables - Part 2'!$AX$17:$BA$24,MATCH('SCC_Sulfide (SSC)'!$V16,'Tables - Part 2'!$AV$6:$AV$13,0),MATCH('SCC_Sulfide (SSC)'!$S16,'Tables - Part 2'!$AX$5:$BA$5,0)))/2)+(INDEX('Tables - Part 2'!$AX$17:$BA$24,MATCH('SCC_Sulfide (SSC)'!$V16,'Tables - Part 2'!$AV$6:$AV$13,0),MATCH('SCC_Sulfide (SSC)'!$S16,'Tables - Part 2'!$AX$5:$BA$5,0))))/2,0)</f>
        <v>0</v>
      </c>
      <c r="AZ16" s="248">
        <f>IF($R16=$AZ$3,INDEX('Tables - Part 2'!$AX$17:$BA$24,MATCH('SCC_Sulfide (SSC)'!$V16,'Tables - Part 2'!$AV$6:$AV$13,0),MATCH('SCC_Sulfide (SSC)'!$S16,'Tables - Part 2'!$AX$5:$BA$5,0)),0)</f>
        <v>0</v>
      </c>
      <c r="BA16" s="248">
        <f>IF($R16=$BA$3,((INDEX('Tables - Part 2'!$AX$17:$BA$24,MATCH('SCC_Sulfide (SSC)'!$V16,'Tables - Part 2'!$AV$6:$AV$13,0),MATCH('SCC_Sulfide (SSC)'!$S16,'Tables - Part 2'!$AX$5:$BA$5,0)))+(((INDEX('Tables - Part 2'!$AX$17:$BA$24,MATCH('SCC_Sulfide (SSC)'!$V16,'Tables - Part 2'!$AV$6:$AV$13,0),MATCH('SCC_Sulfide (SSC)'!$S16,'Tables - Part 2'!$AX$5:$BA$5,0)))+(INDEX('Tables - Part 2'!$AX$17:$BA$24,MATCH('SCC_Sulfide (SSC)'!$V16,'Tables - Part 2'!$AV$6:$AV$13,0),MATCH('SCC_Sulfide (SSC)'!$S16,'Tables - Part 2'!$AX$5:$BA$5,0))+INDEX('Tables - Part 2'!$BB$17:$BE$24,MATCH('SCC_Sulfide (SSC)'!$V16,'Tables - Part 2'!$AV$6:$AV$13,0),MATCH('SCC_Sulfide (SSC)'!$S16,'Tables - Part 2'!$AX$5:$BA$5,0)))/2)/2))/2,0)</f>
        <v>0</v>
      </c>
      <c r="BB16" s="248">
        <f>IF($R16=$BB$3,((INDEX('Tables - Part 2'!$AX$17:$BA$24,MATCH('SCC_Sulfide (SSC)'!$V16,'Tables - Part 2'!$AV$6:$AV$13,0),MATCH('SCC_Sulfide (SSC)'!$S16,'Tables - Part 2'!$AX$5:$BA$5,0)))+(INDEX('Tables - Part 2'!$AX$17:$BA$24,MATCH('SCC_Sulfide (SSC)'!$V16,'Tables - Part 2'!$AV$6:$AV$13,0),MATCH('SCC_Sulfide (SSC)'!$S16,'Tables - Part 2'!$AX$5:$BA$5,0))+INDEX('Tables - Part 2'!$BB$17:$BE$24,MATCH('SCC_Sulfide (SSC)'!$V16,'Tables - Part 2'!$AV$6:$AV$13,0),MATCH('SCC_Sulfide (SSC)'!$S16,'Tables - Part 2'!$AX$5:$BA$5,0)))/2)/2,0)</f>
        <v>0</v>
      </c>
      <c r="BC16" s="248">
        <f>IF($R16=$BC$3,((((INDEX('Tables - Part 2'!$AX$17:$BA$24,MATCH('SCC_Sulfide (SSC)'!$V16,'Tables - Part 2'!$AV$6:$AV$13,0),MATCH('SCC_Sulfide (SSC)'!$S16,'Tables - Part 2'!$AX$5:$BA$5,0)))+(INDEX('Tables - Part 2'!$AX$17:$BA$24,MATCH('SCC_Sulfide (SSC)'!$V16,'Tables - Part 2'!$AV$6:$AV$13,0),MATCH('SCC_Sulfide (SSC)'!$S16,'Tables - Part 2'!$AX$5:$BA$5,0))+INDEX('Tables - Part 2'!$BB$17:$BE$24,MATCH('SCC_Sulfide (SSC)'!$V16,'Tables - Part 2'!$AV$6:$AV$13,0),MATCH('SCC_Sulfide (SSC)'!$S16,'Tables - Part 2'!$AX$5:$BA$5,0)))/2)/2)+((INDEX('Tables - Part 2'!$AX$17:$BA$24,MATCH('SCC_Sulfide (SSC)'!$V16,'Tables - Part 2'!$AV$6:$AV$13,0),MATCH('SCC_Sulfide (SSC)'!$S16,'Tables - Part 2'!$AX$5:$BA$5,0))+INDEX('Tables - Part 2'!$BB$17:$BE$24,MATCH('SCC_Sulfide (SSC)'!$V16,'Tables - Part 2'!$AV$6:$AV$13,0),MATCH('SCC_Sulfide (SSC)'!$S16,'Tables - Part 2'!$AX$5:$BA$5,0)))/2))/2,0)</f>
        <v>0</v>
      </c>
      <c r="BD16" s="248">
        <f>IF($R16=$BD$3,(INDEX('Tables - Part 2'!$AX$17:$BA$24,MATCH('SCC_Sulfide (SSC)'!$V16,'Tables - Part 2'!$AV$6:$AV$13,0),MATCH('SCC_Sulfide (SSC)'!$S16,'Tables - Part 2'!$AX$5:$BA$5,0))+INDEX('Tables - Part 2'!$BB$17:$BE$24,MATCH('SCC_Sulfide (SSC)'!$V16,'Tables - Part 2'!$AV$6:$AV$13,0),MATCH('SCC_Sulfide (SSC)'!$S16,'Tables - Part 2'!$AX$5:$BA$5,0)))/2,0)</f>
        <v>0</v>
      </c>
      <c r="BE16" s="248">
        <f>IF($R16=$BE$3,(((INDEX('Tables - Part 2'!$AX$17:$BA$24,MATCH('SCC_Sulfide (SSC)'!$V16,'Tables - Part 2'!$AV$6:$AV$13,0),MATCH('SCC_Sulfide (SSC)'!$S16,'Tables - Part 2'!$AX$5:$BA$5,0))+INDEX('Tables - Part 2'!$BB$17:$BE$24,MATCH('SCC_Sulfide (SSC)'!$V16,'Tables - Part 2'!$AV$6:$AV$13,0),MATCH('SCC_Sulfide (SSC)'!$S16,'Tables - Part 2'!$AX$5:$BA$5,0)))/2)+((((INDEX('Tables - Part 2'!$AX$17:$BA$24,MATCH('SCC_Sulfide (SSC)'!$V16,'Tables - Part 2'!$AV$6:$AV$13,0),MATCH('SCC_Sulfide (SSC)'!$S16,'Tables - Part 2'!$AX$5:$BA$5,0))+INDEX('Tables - Part 2'!$BB$17:$BE$24,MATCH('SCC_Sulfide (SSC)'!$V16,'Tables - Part 2'!$AV$6:$AV$13,0),MATCH('SCC_Sulfide (SSC)'!$S16,'Tables - Part 2'!$AX$5:$BA$5,0)))/2)+INDEX('Tables - Part 2'!$BB$17:$BE$24,MATCH('SCC_Sulfide (SSC)'!$V16,'Tables - Part 2'!$AV$6:$AV$13,0),MATCH('SCC_Sulfide (SSC)'!$S16,'Tables - Part 2'!$AX$5:$BA$5,0)))/2))/2,0)</f>
        <v>0</v>
      </c>
      <c r="BF16" s="248">
        <f>IF($R16=$BF$3,(((INDEX('Tables - Part 2'!$AX$17:$BA$24,MATCH('SCC_Sulfide (SSC)'!$V16,'Tables - Part 2'!$AV$6:$AV$13,0),MATCH('SCC_Sulfide (SSC)'!$S16,'Tables - Part 2'!$AX$5:$BA$5,0))+INDEX('Tables - Part 2'!$BB$17:$BE$24,MATCH('SCC_Sulfide (SSC)'!$V16,'Tables - Part 2'!$AV$6:$AV$13,0),MATCH('SCC_Sulfide (SSC)'!$S16,'Tables - Part 2'!$AX$5:$BA$5,0)))/2)+INDEX('Tables - Part 2'!$BB$17:$BE$24,MATCH('SCC_Sulfide (SSC)'!$V16,'Tables - Part 2'!$AV$6:$AV$13,0),MATCH('SCC_Sulfide (SSC)'!$S16,'Tables - Part 2'!$AX$5:$BA$5,0)))/2,0)</f>
        <v>0</v>
      </c>
      <c r="BG16" s="248">
        <f>IF($R16=$BG$3,(((((INDEX('Tables - Part 2'!$AX$17:$BA$24,MATCH('SCC_Sulfide (SSC)'!$V16,'Tables - Part 2'!$AV$6:$AV$13,0),MATCH('SCC_Sulfide (SSC)'!$S16,'Tables - Part 2'!$AX$5:$BA$5,0))+INDEX('Tables - Part 2'!$BB$17:$BE$24,MATCH('SCC_Sulfide (SSC)'!$V16,'Tables - Part 2'!$AV$6:$AV$13,0),MATCH('SCC_Sulfide (SSC)'!$S16,'Tables - Part 2'!$AX$5:$BA$5,0)))/2)+INDEX('Tables - Part 2'!$BB$17:$BE$24,MATCH('SCC_Sulfide (SSC)'!$V16,'Tables - Part 2'!$AV$6:$AV$13,0),MATCH('SCC_Sulfide (SSC)'!$S16,'Tables - Part 2'!$AX$5:$BA$5,0)))/2)+(INDEX('Tables - Part 2'!$BB$17:$BE$24,MATCH('SCC_Sulfide (SSC)'!$V16,'Tables - Part 2'!$AV$6:$AV$13,0),MATCH('SCC_Sulfide (SSC)'!$S16,'Tables - Part 2'!$AX$5:$BA$5,0))))/2,0)</f>
        <v>0</v>
      </c>
      <c r="BH16" s="248">
        <f>IF($R16=$BH$3,INDEX('Tables - Part 2'!$BB$17:$BE$24,MATCH('SCC_Sulfide (SSC)'!$V16,'Tables - Part 2'!$AV$6:$AV$13,0),MATCH('SCC_Sulfide (SSC)'!$S16,'Tables - Part 2'!$AX$5:$BA$5,0)),0)</f>
        <v>0</v>
      </c>
      <c r="BI16" s="248">
        <f>IF($R16=$BI$3,((INDEX('Tables - Part 2'!$BB$17:$BE$24,MATCH('SCC_Sulfide (SSC)'!$V16,'Tables - Part 2'!$AV$6:$AV$13,0),MATCH('SCC_Sulfide (SSC)'!$S16,'Tables - Part 2'!$AX$5:$BA$5,0)))+(((INDEX('Tables - Part 2'!$BB$17:$BE$24,MATCH('SCC_Sulfide (SSC)'!$V16,'Tables - Part 2'!$AV$6:$AV$13,0),MATCH('SCC_Sulfide (SSC)'!$S16,'Tables - Part 2'!$AX$5:$BA$5,0)))+(INDEX('Tables - Part 2'!$BB$17:$BE$24,MATCH('SCC_Sulfide (SSC)'!$V16,'Tables - Part 2'!$AV$6:$AV$13,0),MATCH('SCC_Sulfide (SSC)'!$S16,'Tables - Part 2'!$AX$5:$BA$5,0))+INDEX('Tables - Part 2'!$BF$17:$BI$24,MATCH('SCC_Sulfide (SSC)'!$V16,'Tables - Part 2'!$AV$6:$AV$13,0),MATCH('SCC_Sulfide (SSC)'!$S16,'Tables - Part 2'!$AX$5:$BA$5,0)))/2)/2))/2,0)</f>
        <v>0</v>
      </c>
      <c r="BJ16" s="248">
        <f>IF($R16=$BJ$3,((INDEX('Tables - Part 2'!$BB$17:$BE$24,MATCH('SCC_Sulfide (SSC)'!$V16,'Tables - Part 2'!$AV$6:$AV$13,0),MATCH('SCC_Sulfide (SSC)'!$S16,'Tables - Part 2'!$AX$5:$BA$5,0)))+(INDEX('Tables - Part 2'!$BB$17:$BE$24,MATCH('SCC_Sulfide (SSC)'!$V16,'Tables - Part 2'!$AV$6:$AV$13,0),MATCH('SCC_Sulfide (SSC)'!$S16,'Tables - Part 2'!$AX$5:$BA$5,0))+INDEX('Tables - Part 2'!$BF$17:$BI$24,MATCH('SCC_Sulfide (SSC)'!$V16,'Tables - Part 2'!$AV$6:$AV$13,0),MATCH('SCC_Sulfide (SSC)'!$S16,'Tables - Part 2'!$AX$5:$BA$5,0)))/2)/2,0)</f>
        <v>0</v>
      </c>
      <c r="BK16" s="248">
        <f>IF($R16=$BK$3,((((INDEX('Tables - Part 2'!$BB$17:$BE$24,MATCH('SCC_Sulfide (SSC)'!$V16,'Tables - Part 2'!$AV$6:$AV$13,0),MATCH('SCC_Sulfide (SSC)'!$S16,'Tables - Part 2'!$AX$5:$BA$5,0)))+(INDEX('Tables - Part 2'!$BB$17:$BE$24,MATCH('SCC_Sulfide (SSC)'!$V16,'Tables - Part 2'!$AV$6:$AV$13,0),MATCH('SCC_Sulfide (SSC)'!$S16,'Tables - Part 2'!$AX$5:$BA$5,0))+INDEX('Tables - Part 2'!$BF$17:$BI$24,MATCH('SCC_Sulfide (SSC)'!$V16,'Tables - Part 2'!$AV$6:$AV$13,0),MATCH('SCC_Sulfide (SSC)'!$S16,'Tables - Part 2'!$AX$5:$BA$5,0)))/2)/2)+((INDEX('Tables - Part 2'!$BB$17:$BE$24,MATCH('SCC_Sulfide (SSC)'!$V16,'Tables - Part 2'!$AV$6:$AV$13,0),MATCH('SCC_Sulfide (SSC)'!$S16,'Tables - Part 2'!$AX$5:$BA$5,0))+INDEX('Tables - Part 2'!$BF$17:$BI$24,MATCH('SCC_Sulfide (SSC)'!$V16,'Tables - Part 2'!$AV$6:$AV$13,0),MATCH('SCC_Sulfide (SSC)'!$S16,'Tables - Part 2'!$AX$5:$BA$5,0)))/2))/2,0)</f>
        <v>0</v>
      </c>
      <c r="BL16" s="248">
        <f>IF($R16=$BL$3,(INDEX('Tables - Part 2'!$BB$17:$BE$24,MATCH('SCC_Sulfide (SSC)'!$V16,'Tables - Part 2'!$AV$6:$AV$13,0),MATCH('SCC_Sulfide (SSC)'!$S16,'Tables - Part 2'!$AX$5:$BA$5,0))+INDEX('Tables - Part 2'!$BF$17:$BI$24,MATCH('SCC_Sulfide (SSC)'!$V16,'Tables - Part 2'!$AV$6:$AV$13,0),MATCH('SCC_Sulfide (SSC)'!$S16,'Tables - Part 2'!$AX$5:$BA$5,0)))/2,0)</f>
        <v>0</v>
      </c>
      <c r="BM16" s="248">
        <f>IF($R16=$BM$3,(((INDEX('Tables - Part 2'!$BB$17:$BE$24,MATCH('SCC_Sulfide (SSC)'!$V16,'Tables - Part 2'!$AV$6:$AV$13,0),MATCH('SCC_Sulfide (SSC)'!$S16,'Tables - Part 2'!$AX$5:$BA$5,0))+INDEX('Tables - Part 2'!$BF$17:$BI$24,MATCH('SCC_Sulfide (SSC)'!$V16,'Tables - Part 2'!$AV$6:$AV$13,0),MATCH('SCC_Sulfide (SSC)'!$S16,'Tables - Part 2'!$AX$5:$BA$5,0)))/2)+((((INDEX('Tables - Part 2'!$BB$17:$BE$24,MATCH('SCC_Sulfide (SSC)'!$V16,'Tables - Part 2'!$AV$6:$AV$13,0),MATCH('SCC_Sulfide (SSC)'!$S16,'Tables - Part 2'!$AX$5:$BA$5,0))+INDEX('Tables - Part 2'!$BF$17:$BI$24,MATCH('SCC_Sulfide (SSC)'!$V16,'Tables - Part 2'!$AV$6:$AV$13,0),MATCH('SCC_Sulfide (SSC)'!$S16,'Tables - Part 2'!$AX$5:$BA$5,0)))/2)+INDEX('Tables - Part 2'!$BF$17:$BI$24,MATCH('SCC_Sulfide (SSC)'!$V16,'Tables - Part 2'!$AV$6:$AV$13,0),MATCH('SCC_Sulfide (SSC)'!$S16,'Tables - Part 2'!$AX$5:$BA$5,0)))/2))/2,0)</f>
        <v>0</v>
      </c>
      <c r="BN16" s="248">
        <f>IF($R16=$BN$3,(((INDEX('Tables - Part 2'!$BB$17:$BE$24,MATCH('SCC_Sulfide (SSC)'!$V16,'Tables - Part 2'!$AV$6:$AV$13,0),MATCH('SCC_Sulfide (SSC)'!$S16,'Tables - Part 2'!$AX$5:$BA$5,0))+INDEX('Tables - Part 2'!$BF$17:$BI$24,MATCH('SCC_Sulfide (SSC)'!$V16,'Tables - Part 2'!$AV$6:$AV$13,0),MATCH('SCC_Sulfide (SSC)'!$S16,'Tables - Part 2'!$AX$5:$BA$5,0)))/2)+INDEX('Tables - Part 2'!$BF$17:$BI$24,MATCH('SCC_Sulfide (SSC)'!$V16,'Tables - Part 2'!$AV$6:$AV$13,0),MATCH('SCC_Sulfide (SSC)'!$S16,'Tables - Part 2'!$AX$5:$BA$5,0)))/2,0)</f>
        <v>0</v>
      </c>
      <c r="BO16" s="248">
        <f>IF($R16=$BO$3,(((((INDEX('Tables - Part 2'!$BB$17:$BE$24,MATCH('SCC_Sulfide (SSC)'!$V16,'Tables - Part 2'!$AV$6:$AV$13,0),MATCH('SCC_Sulfide (SSC)'!$S16,'Tables - Part 2'!$AX$5:$BA$5,0))+INDEX('Tables - Part 2'!$BF$17:$BI$24,MATCH('SCC_Sulfide (SSC)'!$V16,'Tables - Part 2'!$AV$6:$AV$13,0),MATCH('SCC_Sulfide (SSC)'!$S16,'Tables - Part 2'!$AX$5:$BA$5,0)))/2)+INDEX('Tables - Part 2'!$BF$17:$BI$24,MATCH('SCC_Sulfide (SSC)'!$V16,'Tables - Part 2'!$AV$6:$AV$13,0),MATCH('SCC_Sulfide (SSC)'!$S16,'Tables - Part 2'!$AX$5:$BA$5,0)))/2)+(INDEX('Tables - Part 2'!$BF$17:$BI$24,MATCH('SCC_Sulfide (SSC)'!$V16,'Tables - Part 2'!$AV$6:$AV$13,0),MATCH('SCC_Sulfide (SSC)'!$S16,'Tables - Part 2'!$AX$5:$BA$5,0))))/2,0)</f>
        <v>0</v>
      </c>
      <c r="BP16" s="248">
        <f>IF($R16=$BP$3,INDEX('Tables - Part 2'!$BF$17:$BI$24,MATCH('SCC_Sulfide (SSC)'!$V16,'Tables - Part 2'!$AV$6:$AV$13,0),MATCH('SCC_Sulfide (SSC)'!$S16,'Tables - Part 2'!$AX$5:$BA$5,0)),0)</f>
        <v>0</v>
      </c>
      <c r="BQ16" s="248">
        <f t="shared" si="6"/>
        <v>0</v>
      </c>
      <c r="BR16" s="238">
        <f t="shared" si="8"/>
        <v>1</v>
      </c>
      <c r="BS16" s="238">
        <f t="shared" si="7"/>
        <v>16.77288246840839</v>
      </c>
    </row>
    <row r="17" spans="2:71" x14ac:dyDescent="0.35">
      <c r="B17" s="161" t="str">
        <f>'Tratamento de Dados'!B25</f>
        <v>V-7</v>
      </c>
      <c r="C17" s="161" t="str">
        <f>'Tratamento de Dados'!D25</f>
        <v>Casco</v>
      </c>
      <c r="D17" s="209" t="s">
        <v>245</v>
      </c>
      <c r="E17" s="209" t="s">
        <v>61</v>
      </c>
      <c r="F17" s="209" t="s">
        <v>836</v>
      </c>
      <c r="G17" s="209" t="s">
        <v>832</v>
      </c>
      <c r="H17" s="209" t="s">
        <v>245</v>
      </c>
      <c r="I17" s="209" t="s">
        <v>1113</v>
      </c>
      <c r="J17" s="209" t="s">
        <v>245</v>
      </c>
      <c r="K17" s="210">
        <v>39092</v>
      </c>
      <c r="L17" s="209">
        <v>0</v>
      </c>
      <c r="M17" s="209">
        <v>1</v>
      </c>
      <c r="N17" s="209">
        <v>1</v>
      </c>
      <c r="O17" s="209">
        <v>4</v>
      </c>
      <c r="P17" s="253">
        <f>'Tratamento de Dados'!DA25</f>
        <v>0</v>
      </c>
      <c r="Q17" s="253">
        <f>'Tratamento de Dados'!DB25</f>
        <v>0</v>
      </c>
      <c r="R17" s="256">
        <f t="shared" si="0"/>
        <v>2.5</v>
      </c>
      <c r="S17" s="246" t="str">
        <f t="shared" si="1"/>
        <v>B</v>
      </c>
      <c r="T17" s="238" t="str">
        <f>IF(D17=$BX$2,$BV$4,IF(AND(H17=$BX$2,OR(F17='Tables - Part 2'!$BN$8,'Tables - Part 2'!$BN$9),OR('SCC_Sulfide (SSC)'!G17='Tables - Part 2'!$BQ$4,'SCC_Sulfide (SSC)'!G17='Tables - Part 2'!$BR$4)),$BV$4,INDEX('Tables - Part 2'!$BO$5:$BR$9,MATCH('SCC_Sulfide (SSC)'!F17,'Tables - Part 2'!$BN$5:$BN$9,0),MATCH('SCC_Sulfide (SSC)'!G17,'Tables - Part 2'!$BO$4:$BR$4,0))))</f>
        <v>Moderate</v>
      </c>
      <c r="U17" s="238" t="str">
        <f>IF(D17=$BX$2,$BV$4,IF(J17=$BX$2,INDEX('Tables - Part 2'!$BX$6:$BZ$8,MATCH('SCC_Sulfide (SSC)'!T17,'Tables - Part 2'!$BT$6:$BT$8,0),MATCH('SCC_Sulfide (SSC)'!I17,'Tables - Part 2'!$BX$5:$BZ$5,0)),INDEX('Tables - Part 2'!$BU$6:$BW$8,MATCH('SCC_Sulfide (SSC)'!T17,'Tables - Part 2'!$BT$6:$BT$8,0),MATCH('SCC_Sulfide (SSC)'!I17,'Tables - Part 2'!$BU$5:$BW$5,0))))</f>
        <v>Medium</v>
      </c>
      <c r="V17" s="238">
        <f>IF(AND(D17=$BX$2,E17&lt;&gt;$BX$2),"Fitness-For-Service",INDEX('Tables - Part 2'!$CC$4:$CC$7,MATCH('SCC_Sulfide (SSC)'!U17,'Tables - Part 2'!$CB$4:$CB$7,0),))</f>
        <v>10</v>
      </c>
      <c r="W17" s="238">
        <f>IF(K17=0,(Thinning!G18-Thinning!F18)/365.25,(Thinning!G18-K17)/365.25)</f>
        <v>12.980150581793293</v>
      </c>
      <c r="X17" s="248">
        <f t="shared" si="2"/>
        <v>0</v>
      </c>
      <c r="Y17" s="248">
        <f t="shared" si="3"/>
        <v>2.5</v>
      </c>
      <c r="Z17" s="248">
        <f t="shared" si="4"/>
        <v>3</v>
      </c>
      <c r="AA17" s="247">
        <f t="shared" si="5"/>
        <v>4</v>
      </c>
      <c r="AB17" s="248">
        <f>IF($R17=$AB$3,INDEX('Tables - Part 2'!$AX$6:$BA$13,MATCH('SCC_Sulfide (SSC)'!V17,'Tables - Part 2'!$AV$6:$AV$13,0),MATCH('SCC_Sulfide (SSC)'!S17,'Tables - Part 2'!$AX$5:$BA$5,0)),0)</f>
        <v>0</v>
      </c>
      <c r="AC17" s="248">
        <f>IF($R17=$AC$3,(INDEX('Tables - Part 2'!$AX$6:$BA$13,MATCH('SCC_Sulfide (SSC)'!V17,'Tables - Part 2'!$AV$6:$AV$13,0),MATCH('SCC_Sulfide (SSC)'!S17,'Tables - Part 2'!$AX$5:$BA$5,0))+(INDEX('Tables - Part 2'!$AX$6:$BA$13,MATCH('SCC_Sulfide (SSC)'!V17,'Tables - Part 2'!$AV$6:$AV$13,0),MATCH('SCC_Sulfide (SSC)'!S17,'Tables - Part 2'!$AX$5:$BA$5,0))+((INDEX('Tables - Part 2'!$AX$6:$BA$13,MATCH('SCC_Sulfide (SSC)'!V17,'Tables - Part 2'!$AV$6:$AV$13,0),MATCH('SCC_Sulfide (SSC)'!S17,'Tables - Part 2'!$AX$5:$BA$5,0))+INDEX('Tables - Part 2'!$BB$6:$BE$13,MATCH('SCC_Sulfide (SSC)'!$V17,'Tables - Part 2'!$AV$6:$AV$13,0),MATCH('SCC_Sulfide (SSC)'!$S17,'Tables - Part 2'!$AX$5:$BA$5,0)))/2))/2)/2,0)</f>
        <v>0</v>
      </c>
      <c r="AD17" s="248">
        <f>IF($R17=$AD$3,(INDEX('Tables - Part 2'!$AX$6:$BA$13,MATCH('SCC_Sulfide (SSC)'!V17,'Tables - Part 2'!$AV$6:$AV$13,0),MATCH('SCC_Sulfide (SSC)'!S17,'Tables - Part 2'!$AX$5:$BA$5,0))+((INDEX('Tables - Part 2'!$AX$6:$BA$13,MATCH('SCC_Sulfide (SSC)'!V17,'Tables - Part 2'!$AV$6:$AV$13,0),MATCH('SCC_Sulfide (SSC)'!S17,'Tables - Part 2'!$AX$5:$BA$5,0))+INDEX('Tables - Part 2'!$BB$6:$BE$13,MATCH('SCC_Sulfide (SSC)'!$V17,'Tables - Part 2'!$AV$6:$AV$13,0),MATCH('SCC_Sulfide (SSC)'!$S17,'Tables - Part 2'!$AX$5:$BA$5,0)))/2))/2,0)</f>
        <v>0</v>
      </c>
      <c r="AE17" s="248">
        <f>IF($R17=$AE$3,(((INDEX('Tables - Part 2'!$AX$6:$BA$13,MATCH('SCC_Sulfide (SSC)'!V17,'Tables - Part 2'!$AV$6:$AV$13,0),MATCH('SCC_Sulfide (SSC)'!S17,'Tables - Part 2'!$AX$5:$BA$5,0))+((INDEX('Tables - Part 2'!$AX$6:$BA$13,MATCH('SCC_Sulfide (SSC)'!V17,'Tables - Part 2'!$AV$6:$AV$13,0),MATCH('SCC_Sulfide (SSC)'!S17,'Tables - Part 2'!$AX$5:$BA$5,0))+INDEX('Tables - Part 2'!$BB$6:$BE$13,MATCH('SCC_Sulfide (SSC)'!$V17,'Tables - Part 2'!$AV$6:$AV$13,0),MATCH('SCC_Sulfide (SSC)'!$S17,'Tables - Part 2'!$AX$5:$BA$5,0)))/2))/2)+(INDEX('Tables - Part 2'!$AX$6:$BA$13,MATCH('SCC_Sulfide (SSC)'!V17,'Tables - Part 2'!$AV$6:$AV$13,0),MATCH('SCC_Sulfide (SSC)'!S17,'Tables - Part 2'!$AX$5:$BA$5,0))+INDEX('Tables - Part 2'!$BB$6:$BE$13,MATCH('SCC_Sulfide (SSC)'!$V17,'Tables - Part 2'!$AV$6:$AV$13,0),MATCH('SCC_Sulfide (SSC)'!$S17,'Tables - Part 2'!$AX$5:$BA$5,0)))/2)/2,0)</f>
        <v>0</v>
      </c>
      <c r="AF17" s="248">
        <f>IF($R17=$AF$3,(INDEX('Tables - Part 2'!$AX$6:$BA$13,MATCH('SCC_Sulfide (SSC)'!V17,'Tables - Part 2'!$AV$6:$AV$13,0),MATCH('SCC_Sulfide (SSC)'!S17,'Tables - Part 2'!$AX$5:$BA$5,0))+INDEX('Tables - Part 2'!$BB$6:$BE$13,MATCH('SCC_Sulfide (SSC)'!$V17,'Tables - Part 2'!$AV$6:$AV$13,0),MATCH('SCC_Sulfide (SSC)'!$S17,'Tables - Part 2'!$AX$5:$BA$5,0)))/2,0)</f>
        <v>0</v>
      </c>
      <c r="AG17" s="248">
        <f>IF($R17=$AG$3,(((INDEX('Tables - Part 2'!$AX$6:$BA$13,MATCH('SCC_Sulfide (SSC)'!V17,'Tables - Part 2'!$AV$6:$AV$13,0),MATCH('SCC_Sulfide (SSC)'!S17,'Tables - Part 2'!$AX$5:$BA$5,0))+INDEX('Tables - Part 2'!$BB$6:$BE$13,MATCH('SCC_Sulfide (SSC)'!$V17,'Tables - Part 2'!$AV$6:$AV$13,0),MATCH('SCC_Sulfide (SSC)'!$S17,'Tables - Part 2'!$AX$5:$BA$5,0)))/2)+(((INDEX('Tables - Part 2'!$AX$6:$BA$13,MATCH('SCC_Sulfide (SSC)'!V17,'Tables - Part 2'!$AV$6:$AV$13,0),MATCH('SCC_Sulfide (SSC)'!S17,'Tables - Part 2'!$AX$5:$BA$5,0))+INDEX('Tables - Part 2'!$BB$6:$BE$13,MATCH('SCC_Sulfide (SSC)'!$V17,'Tables - Part 2'!$AV$6:$AV$13,0),MATCH('SCC_Sulfide (SSC)'!$S17,'Tables - Part 2'!$AX$5:$BA$5,0)))/2)+INDEX('Tables - Part 2'!$BB$6:$BE$13,MATCH('SCC_Sulfide (SSC)'!$V17,'Tables - Part 2'!$AV$6:$AV$13,0),MATCH('SCC_Sulfide (SSC)'!$S17,'Tables - Part 2'!$AX$5:$BA$5,0)))/2)/2,0)</f>
        <v>0</v>
      </c>
      <c r="AH17" s="248">
        <f>IF($R17=$AH$3,(((INDEX('Tables - Part 2'!$AX$6:$BA$13,MATCH('SCC_Sulfide (SSC)'!V17,'Tables - Part 2'!$AV$6:$AV$13,0),MATCH('SCC_Sulfide (SSC)'!S17,'Tables - Part 2'!$AX$5:$BA$5,0))+INDEX('Tables - Part 2'!$BB$6:$BE$13,MATCH('SCC_Sulfide (SSC)'!$V17,'Tables - Part 2'!$AV$6:$AV$13,0),MATCH('SCC_Sulfide (SSC)'!$S17,'Tables - Part 2'!$AX$5:$BA$5,0)))/2)+INDEX('Tables - Part 2'!$BB$6:$BE$13,MATCH('SCC_Sulfide (SSC)'!$V17,'Tables - Part 2'!$AV$6:$AV$13,0),MATCH('SCC_Sulfide (SSC)'!$S17,'Tables - Part 2'!$AX$5:$BA$5,0)))/2,0)</f>
        <v>0</v>
      </c>
      <c r="AI17" s="248">
        <f>IF($R17=$AI$3,(((((INDEX('Tables - Part 2'!$AX$6:$BA$13,MATCH('SCC_Sulfide (SSC)'!V17,'Tables - Part 2'!$AV$6:$AV$13,0),MATCH('SCC_Sulfide (SSC)'!S17,'Tables - Part 2'!$AX$5:$BA$5,0))+INDEX('Tables - Part 2'!$BB$6:$BE$13,MATCH('SCC_Sulfide (SSC)'!$V17,'Tables - Part 2'!$AV$6:$AV$13,0),MATCH('SCC_Sulfide (SSC)'!$S17,'Tables - Part 2'!$AX$5:$BA$5,0)))/2)+INDEX('Tables - Part 2'!$BB$6:$BE$13,MATCH('SCC_Sulfide (SSC)'!$V17,'Tables - Part 2'!$AV$6:$AV$13,0),MATCH('SCC_Sulfide (SSC)'!$S17,'Tables - Part 2'!$AX$5:$BA$5,0)))/2)+INDEX('Tables - Part 2'!$BB$6:$BE$13,MATCH('SCC_Sulfide (SSC)'!$V17,'Tables - Part 2'!$AV$6:$AV$13,0),MATCH('SCC_Sulfide (SSC)'!$S17,'Tables - Part 2'!$AX$5:$BA$5,0)))/2,0)</f>
        <v>0</v>
      </c>
      <c r="AJ17" s="248">
        <f>IF($R17=$AJ$3,INDEX('Tables - Part 2'!$BB$6:$BE$13,MATCH('SCC_Sulfide (SSC)'!$V17,'Tables - Part 2'!$AV$6:$AV$13,0),MATCH('SCC_Sulfide (SSC)'!$S17,'Tables - Part 2'!$AX$5:$BA$5,0)),0)</f>
        <v>0</v>
      </c>
      <c r="AK17" s="248">
        <f>IF($R17=$AK$3,((INDEX('Tables - Part 2'!$BB$6:$BE$13,MATCH('SCC_Sulfide (SSC)'!$V17,'Tables - Part 2'!$AV$6:$AV$13,0),MATCH('SCC_Sulfide (SSC)'!$S17,'Tables - Part 2'!$AX$5:$BA$5,0)))+(INDEX('Tables - Part 2'!$BB$6:$BE$13,MATCH('SCC_Sulfide (SSC)'!$V17,'Tables - Part 2'!$AV$6:$AV$13,0),MATCH('SCC_Sulfide (SSC)'!$S17,'Tables - Part 2'!$AX$5:$BA$5,0))+(INDEX('Tables - Part 2'!$BB$6:$BE$13,MATCH('SCC_Sulfide (SSC)'!$V17,'Tables - Part 2'!$AV$6:$AV$13,0),MATCH('SCC_Sulfide (SSC)'!$S17,'Tables - Part 2'!$AX$5:$BA$5,0))+INDEX('Tables - Part 2'!$BF$6:$BI$13,MATCH('SCC_Sulfide (SSC)'!$V17,'Tables - Part 2'!$AV$6:$AV$13,0),MATCH('SCC_Sulfide (SSC)'!$S17,'Tables - Part 2'!$AX$5:$BA$5,0)))/2)/2)/2,0)</f>
        <v>0</v>
      </c>
      <c r="AL17" s="248">
        <f>IF($R17=$AL$3,(INDEX('Tables - Part 2'!$BB$6:$BE$13,MATCH('SCC_Sulfide (SSC)'!$V17,'Tables - Part 2'!$AV$6:$AV$13,0),MATCH('SCC_Sulfide (SSC)'!$S17,'Tables - Part 2'!$AX$5:$BA$5,0))+(INDEX('Tables - Part 2'!$BB$6:$BE$13,MATCH('SCC_Sulfide (SSC)'!$V17,'Tables - Part 2'!$AV$6:$AV$13,0),MATCH('SCC_Sulfide (SSC)'!$S17,'Tables - Part 2'!$AX$5:$BA$5,0))+INDEX('Tables - Part 2'!$BF$6:$BI$13,MATCH('SCC_Sulfide (SSC)'!$V17,'Tables - Part 2'!$AV$6:$AV$13,0),MATCH('SCC_Sulfide (SSC)'!$S17,'Tables - Part 2'!$AX$5:$BA$5,0)))/2)/2,0)</f>
        <v>0</v>
      </c>
      <c r="AM17" s="248">
        <f>IF($R17=$AM$3,(((INDEX('Tables - Part 2'!$BB$6:$BE$13,MATCH('SCC_Sulfide (SSC)'!$V17,'Tables - Part 2'!$AV$6:$AV$13,0),MATCH('SCC_Sulfide (SSC)'!$S17,'Tables - Part 2'!$AX$5:$BA$5,0))+(INDEX('Tables - Part 2'!$BB$6:$BE$13,MATCH('SCC_Sulfide (SSC)'!$V17,'Tables - Part 2'!$AV$6:$AV$13,0),MATCH('SCC_Sulfide (SSC)'!$S17,'Tables - Part 2'!$AX$5:$BA$5,0))+INDEX('Tables - Part 2'!$BF$6:$BI$13,MATCH('SCC_Sulfide (SSC)'!$V17,'Tables - Part 2'!$AV$6:$AV$13,0),MATCH('SCC_Sulfide (SSC)'!$S17,'Tables - Part 2'!$AX$5:$BA$5,0)))/2)/2)+((INDEX('Tables - Part 2'!$BB$6:$BE$13,MATCH('SCC_Sulfide (SSC)'!$V17,'Tables - Part 2'!$AV$6:$AV$13,0),MATCH('SCC_Sulfide (SSC)'!$S17,'Tables - Part 2'!$AX$5:$BA$5,0))+INDEX('Tables - Part 2'!$BF$6:$BI$13,MATCH('SCC_Sulfide (SSC)'!$V17,'Tables - Part 2'!$AV$6:$AV$13,0),MATCH('SCC_Sulfide (SSC)'!$S17,'Tables - Part 2'!$AX$5:$BA$5,0)))/2))/2,0)</f>
        <v>0</v>
      </c>
      <c r="AN17" s="248">
        <f>IF($R17=$AN$3,(INDEX('Tables - Part 2'!$BB$6:$BE$13,MATCH('SCC_Sulfide (SSC)'!$V17,'Tables - Part 2'!$AV$6:$AV$13,0),MATCH('SCC_Sulfide (SSC)'!$S17,'Tables - Part 2'!$AX$5:$BA$5,0))+INDEX('Tables - Part 2'!$BF$6:$BI$13,MATCH('SCC_Sulfide (SSC)'!$V17,'Tables - Part 2'!$AV$6:$AV$13,0),MATCH('SCC_Sulfide (SSC)'!$S17,'Tables - Part 2'!$AX$5:$BA$5,0)))/2,0)</f>
        <v>1</v>
      </c>
      <c r="AO17" s="248">
        <f>IF($R17=$AO$3,(((INDEX('Tables - Part 2'!$BB$6:$BE$13,MATCH('SCC_Sulfide (SSC)'!$V17,'Tables - Part 2'!$AV$6:$AV$13,0),MATCH('SCC_Sulfide (SSC)'!$S17,'Tables - Part 2'!$AX$5:$BA$5,0))+INDEX('Tables - Part 2'!$BF$6:$BI$13,MATCH('SCC_Sulfide (SSC)'!$V17,'Tables - Part 2'!$AV$6:$AV$13,0),MATCH('SCC_Sulfide (SSC)'!$S17,'Tables - Part 2'!$AX$5:$BA$5,0)))/2)+((((INDEX('Tables - Part 2'!$BB$6:$BE$13,MATCH('SCC_Sulfide (SSC)'!$V17,'Tables - Part 2'!$AV$6:$AV$13,0),MATCH('SCC_Sulfide (SSC)'!$S17,'Tables - Part 2'!$AX$5:$BA$5,0))+INDEX('Tables - Part 2'!$BF$6:$BI$13,MATCH('SCC_Sulfide (SSC)'!$V17,'Tables - Part 2'!$AV$6:$AV$13,0),MATCH('SCC_Sulfide (SSC)'!$S17,'Tables - Part 2'!$AX$5:$BA$5,0)))/2)+INDEX('Tables - Part 2'!$BF$6:$BI$13,MATCH('SCC_Sulfide (SSC)'!$V17,'Tables - Part 2'!$AV$6:$AV$13,0),MATCH('SCC_Sulfide (SSC)'!$S17,'Tables - Part 2'!$AX$5:$BA$5,0)))/2))/2,0)</f>
        <v>0</v>
      </c>
      <c r="AP17" s="248">
        <f>IF($R17=$AP$3,(((INDEX('Tables - Part 2'!$BB$6:$BE$13,MATCH('SCC_Sulfide (SSC)'!$V17,'Tables - Part 2'!$AV$6:$AV$13,0),MATCH('SCC_Sulfide (SSC)'!$S17,'Tables - Part 2'!$AX$5:$BA$5,0))+INDEX('Tables - Part 2'!$BF$6:$BI$13,MATCH('SCC_Sulfide (SSC)'!$V17,'Tables - Part 2'!$AV$6:$AV$13,0),MATCH('SCC_Sulfide (SSC)'!$S17,'Tables - Part 2'!$AX$5:$BA$5,0)))/2)+INDEX('Tables - Part 2'!$BF$6:$BI$13,MATCH('SCC_Sulfide (SSC)'!$V17,'Tables - Part 2'!$AV$6:$AV$13,0),MATCH('SCC_Sulfide (SSC)'!$S17,'Tables - Part 2'!$AX$5:$BA$5,0)))/2,0)</f>
        <v>0</v>
      </c>
      <c r="AQ17" s="248">
        <f>IF($R17=$AQ$3,(((((INDEX('Tables - Part 2'!$BB$6:$BE$13,MATCH('SCC_Sulfide (SSC)'!$V17,'Tables - Part 2'!$AV$6:$AV$13,0),MATCH('SCC_Sulfide (SSC)'!$S17,'Tables - Part 2'!$AX$5:$BA$5,0))+INDEX('Tables - Part 2'!$BF$6:$BI$13,MATCH('SCC_Sulfide (SSC)'!$V17,'Tables - Part 2'!$AV$6:$AV$13,0),MATCH('SCC_Sulfide (SSC)'!$S17,'Tables - Part 2'!$AX$5:$BA$5,0)))/2)+INDEX('Tables - Part 2'!$BF$6:$BI$13,MATCH('SCC_Sulfide (SSC)'!$V17,'Tables - Part 2'!$AV$6:$AV$13,0),MATCH('SCC_Sulfide (SSC)'!$S17,'Tables - Part 2'!$AX$5:$BA$5,0)))/2)+INDEX('Tables - Part 2'!$BF$6:$BI$13,MATCH('SCC_Sulfide (SSC)'!$V17,'Tables - Part 2'!$AV$6:$AV$13,0),MATCH('SCC_Sulfide (SSC)'!$S17,'Tables - Part 2'!$AX$5:$BA$5,0)))/2,0)</f>
        <v>0</v>
      </c>
      <c r="AR17" s="248">
        <f>IF($R17=$AR$3,INDEX('Tables - Part 2'!$BF$6:$BI$13,MATCH('SCC_Sulfide (SSC)'!$V17,'Tables - Part 2'!$AV$6:$AV$13,0),MATCH('SCC_Sulfide (SSC)'!$S17,'Tables - Part 2'!$AX$5:$BA$5,0)),0)</f>
        <v>0</v>
      </c>
      <c r="AS17" s="248">
        <f>IF($R17=$AS$3,(INDEX('Tables - Part 2'!$BF$6:$BI$13,MATCH('SCC_Sulfide (SSC)'!$V17,'Tables - Part 2'!$AV$6:$AV$13,0),MATCH('SCC_Sulfide (SSC)'!$S17,'Tables - Part 2'!$AX$5:$BA$5,0))+((INDEX('Tables - Part 2'!$BF$6:$BI$13,MATCH('SCC_Sulfide (SSC)'!$V17,'Tables - Part 2'!$AV$6:$AV$13,0),MATCH('SCC_Sulfide (SSC)'!$S17,'Tables - Part 2'!$AX$5:$BA$5,0))+(INDEX('Tables - Part 2'!$BF$6:$BI$13,MATCH('SCC_Sulfide (SSC)'!$V17,'Tables - Part 2'!$AV$6:$AV$13,0),MATCH('SCC_Sulfide (SSC)'!$S17,'Tables - Part 2'!$AX$5:$BA$5,0))+INDEX('Tables - Part 2'!$AX$17:$BA$24,MATCH('SCC_Sulfide (SSC)'!$V17,'Tables - Part 2'!$AV$6:$AV$13,0),MATCH('SCC_Sulfide (SSC)'!$S17,'Tables - Part 2'!$AX$5:$BA$5,0)))/2)/2))/2,0)</f>
        <v>0</v>
      </c>
      <c r="AT17" s="248">
        <f>IF($R17=$AT$3,(INDEX('Tables - Part 2'!$BF$6:$BI$13,MATCH('SCC_Sulfide (SSC)'!$V17,'Tables - Part 2'!$AV$6:$AV$13,0),MATCH('SCC_Sulfide (SSC)'!$S17,'Tables - Part 2'!$AX$5:$BA$5,0))+(INDEX('Tables - Part 2'!$BF$6:$BI$13,MATCH('SCC_Sulfide (SSC)'!$V17,'Tables - Part 2'!$AV$6:$AV$13,0),MATCH('SCC_Sulfide (SSC)'!$S17,'Tables - Part 2'!$AX$5:$BA$5,0))+INDEX('Tables - Part 2'!$AX$17:$BA$24,MATCH('SCC_Sulfide (SSC)'!$V17,'Tables - Part 2'!$AV$6:$AV$13,0),MATCH('SCC_Sulfide (SSC)'!$S17,'Tables - Part 2'!$AX$5:$BA$5,0)))/2)/2,0)</f>
        <v>0</v>
      </c>
      <c r="AU17" s="248">
        <f>IF($R17=$AU$3,(((INDEX('Tables - Part 2'!$BF$6:$BI$13,MATCH('SCC_Sulfide (SSC)'!$V17,'Tables - Part 2'!$AV$6:$AV$13,0),MATCH('SCC_Sulfide (SSC)'!$S17,'Tables - Part 2'!$AX$5:$BA$5,0))+(INDEX('Tables - Part 2'!$BF$6:$BI$13,MATCH('SCC_Sulfide (SSC)'!$V17,'Tables - Part 2'!$AV$6:$AV$13,0),MATCH('SCC_Sulfide (SSC)'!$S17,'Tables - Part 2'!$AX$5:$BA$5,0))+INDEX('Tables - Part 2'!$AX$17:$BA$24,MATCH('SCC_Sulfide (SSC)'!$V17,'Tables - Part 2'!$AV$6:$AV$13,0),MATCH('SCC_Sulfide (SSC)'!$S17,'Tables - Part 2'!$AX$5:$BA$5,0)))/2)/2)+((INDEX('Tables - Part 2'!$BF$6:$BI$13,MATCH('SCC_Sulfide (SSC)'!$V17,'Tables - Part 2'!$AV$6:$AV$13,0),MATCH('SCC_Sulfide (SSC)'!$S17,'Tables - Part 2'!$AX$5:$BA$5,0))+INDEX('Tables - Part 2'!$AX$17:$BA$24,MATCH('SCC_Sulfide (SSC)'!$V17,'Tables - Part 2'!$AV$6:$AV$13,0),MATCH('SCC_Sulfide (SSC)'!$S17,'Tables - Part 2'!$AX$5:$BA$5,0)))/2))/2,0)</f>
        <v>0</v>
      </c>
      <c r="AV17" s="248">
        <f>IF($R17=$AV$3,(INDEX('Tables - Part 2'!$BF$6:$BI$13,MATCH('SCC_Sulfide (SSC)'!$V17,'Tables - Part 2'!$AV$6:$AV$13,0),MATCH('SCC_Sulfide (SSC)'!$S17,'Tables - Part 2'!$AX$5:$BA$5,0))+INDEX('Tables - Part 2'!$AX$17:$BA$24,MATCH('SCC_Sulfide (SSC)'!$V17,'Tables - Part 2'!$AV$6:$AV$13,0),MATCH('SCC_Sulfide (SSC)'!$S17,'Tables - Part 2'!$AX$5:$BA$5,0)))/2,0)</f>
        <v>0</v>
      </c>
      <c r="AW17" s="248">
        <f>IF($R17=$AW$3,(((INDEX('Tables - Part 2'!$BF$6:$BI$13,MATCH('SCC_Sulfide (SSC)'!$V17,'Tables - Part 2'!$AV$6:$AV$13,0),MATCH('SCC_Sulfide (SSC)'!$S17,'Tables - Part 2'!$AX$5:$BA$5,0))+INDEX('Tables - Part 2'!$AX$17:$BA$24,MATCH('SCC_Sulfide (SSC)'!$V17,'Tables - Part 2'!$AV$6:$AV$13,0),MATCH('SCC_Sulfide (SSC)'!$S17,'Tables - Part 2'!$AX$5:$BA$5,0)))/2)+((((INDEX('Tables - Part 2'!$BF$6:$BI$13,MATCH('SCC_Sulfide (SSC)'!$V17,'Tables - Part 2'!$AV$6:$AV$13,0),MATCH('SCC_Sulfide (SSC)'!$S17,'Tables - Part 2'!$AX$5:$BA$5,0))+INDEX('Tables - Part 2'!$AX$17:$BA$24,MATCH('SCC_Sulfide (SSC)'!$V17,'Tables - Part 2'!$AV$6:$AV$13,0),MATCH('SCC_Sulfide (SSC)'!$S17,'Tables - Part 2'!$AX$5:$BA$5,0)))/2)+INDEX('Tables - Part 2'!$AX$17:$BA$24,MATCH('SCC_Sulfide (SSC)'!$V17,'Tables - Part 2'!$AV$6:$AV$13,0),MATCH('SCC_Sulfide (SSC)'!$S17,'Tables - Part 2'!$AX$5:$BA$5,0)))/2))/2,0)</f>
        <v>0</v>
      </c>
      <c r="AX17" s="248">
        <f>IF($R17=$AX$3,(((INDEX('Tables - Part 2'!$BF$6:$BI$13,MATCH('SCC_Sulfide (SSC)'!$V17,'Tables - Part 2'!$AV$6:$AV$13,0),MATCH('SCC_Sulfide (SSC)'!$S17,'Tables - Part 2'!$AX$5:$BA$5,0))+INDEX('Tables - Part 2'!$AX$17:$BA$24,MATCH('SCC_Sulfide (SSC)'!$V17,'Tables - Part 2'!$AV$6:$AV$13,0),MATCH('SCC_Sulfide (SSC)'!$S17,'Tables - Part 2'!$AX$5:$BA$5,0)))/2)+INDEX('Tables - Part 2'!$AX$17:$BA$24,MATCH('SCC_Sulfide (SSC)'!$V17,'Tables - Part 2'!$AV$6:$AV$13,0),MATCH('SCC_Sulfide (SSC)'!$S17,'Tables - Part 2'!$AX$5:$BA$5,0)))/2,0)</f>
        <v>0</v>
      </c>
      <c r="AY17" s="248">
        <f>IF($R17=$AY$3,(((((INDEX('Tables - Part 2'!$BF$6:$BI$13,MATCH('SCC_Sulfide (SSC)'!$V17,'Tables - Part 2'!$AV$6:$AV$13,0),MATCH('SCC_Sulfide (SSC)'!$S17,'Tables - Part 2'!$AX$5:$BA$5,0))+INDEX('Tables - Part 2'!$AX$17:$BA$24,MATCH('SCC_Sulfide (SSC)'!$V17,'Tables - Part 2'!$AV$6:$AV$13,0),MATCH('SCC_Sulfide (SSC)'!$S17,'Tables - Part 2'!$AX$5:$BA$5,0)))/2)+INDEX('Tables - Part 2'!$AX$17:$BA$24,MATCH('SCC_Sulfide (SSC)'!$V17,'Tables - Part 2'!$AV$6:$AV$13,0),MATCH('SCC_Sulfide (SSC)'!$S17,'Tables - Part 2'!$AX$5:$BA$5,0)))/2)+(INDEX('Tables - Part 2'!$AX$17:$BA$24,MATCH('SCC_Sulfide (SSC)'!$V17,'Tables - Part 2'!$AV$6:$AV$13,0),MATCH('SCC_Sulfide (SSC)'!$S17,'Tables - Part 2'!$AX$5:$BA$5,0))))/2,0)</f>
        <v>0</v>
      </c>
      <c r="AZ17" s="248">
        <f>IF($R17=$AZ$3,INDEX('Tables - Part 2'!$AX$17:$BA$24,MATCH('SCC_Sulfide (SSC)'!$V17,'Tables - Part 2'!$AV$6:$AV$13,0),MATCH('SCC_Sulfide (SSC)'!$S17,'Tables - Part 2'!$AX$5:$BA$5,0)),0)</f>
        <v>0</v>
      </c>
      <c r="BA17" s="248">
        <f>IF($R17=$BA$3,((INDEX('Tables - Part 2'!$AX$17:$BA$24,MATCH('SCC_Sulfide (SSC)'!$V17,'Tables - Part 2'!$AV$6:$AV$13,0),MATCH('SCC_Sulfide (SSC)'!$S17,'Tables - Part 2'!$AX$5:$BA$5,0)))+(((INDEX('Tables - Part 2'!$AX$17:$BA$24,MATCH('SCC_Sulfide (SSC)'!$V17,'Tables - Part 2'!$AV$6:$AV$13,0),MATCH('SCC_Sulfide (SSC)'!$S17,'Tables - Part 2'!$AX$5:$BA$5,0)))+(INDEX('Tables - Part 2'!$AX$17:$BA$24,MATCH('SCC_Sulfide (SSC)'!$V17,'Tables - Part 2'!$AV$6:$AV$13,0),MATCH('SCC_Sulfide (SSC)'!$S17,'Tables - Part 2'!$AX$5:$BA$5,0))+INDEX('Tables - Part 2'!$BB$17:$BE$24,MATCH('SCC_Sulfide (SSC)'!$V17,'Tables - Part 2'!$AV$6:$AV$13,0),MATCH('SCC_Sulfide (SSC)'!$S17,'Tables - Part 2'!$AX$5:$BA$5,0)))/2)/2))/2,0)</f>
        <v>0</v>
      </c>
      <c r="BB17" s="248">
        <f>IF($R17=$BB$3,((INDEX('Tables - Part 2'!$AX$17:$BA$24,MATCH('SCC_Sulfide (SSC)'!$V17,'Tables - Part 2'!$AV$6:$AV$13,0),MATCH('SCC_Sulfide (SSC)'!$S17,'Tables - Part 2'!$AX$5:$BA$5,0)))+(INDEX('Tables - Part 2'!$AX$17:$BA$24,MATCH('SCC_Sulfide (SSC)'!$V17,'Tables - Part 2'!$AV$6:$AV$13,0),MATCH('SCC_Sulfide (SSC)'!$S17,'Tables - Part 2'!$AX$5:$BA$5,0))+INDEX('Tables - Part 2'!$BB$17:$BE$24,MATCH('SCC_Sulfide (SSC)'!$V17,'Tables - Part 2'!$AV$6:$AV$13,0),MATCH('SCC_Sulfide (SSC)'!$S17,'Tables - Part 2'!$AX$5:$BA$5,0)))/2)/2,0)</f>
        <v>0</v>
      </c>
      <c r="BC17" s="248">
        <f>IF($R17=$BC$3,((((INDEX('Tables - Part 2'!$AX$17:$BA$24,MATCH('SCC_Sulfide (SSC)'!$V17,'Tables - Part 2'!$AV$6:$AV$13,0),MATCH('SCC_Sulfide (SSC)'!$S17,'Tables - Part 2'!$AX$5:$BA$5,0)))+(INDEX('Tables - Part 2'!$AX$17:$BA$24,MATCH('SCC_Sulfide (SSC)'!$V17,'Tables - Part 2'!$AV$6:$AV$13,0),MATCH('SCC_Sulfide (SSC)'!$S17,'Tables - Part 2'!$AX$5:$BA$5,0))+INDEX('Tables - Part 2'!$BB$17:$BE$24,MATCH('SCC_Sulfide (SSC)'!$V17,'Tables - Part 2'!$AV$6:$AV$13,0),MATCH('SCC_Sulfide (SSC)'!$S17,'Tables - Part 2'!$AX$5:$BA$5,0)))/2)/2)+((INDEX('Tables - Part 2'!$AX$17:$BA$24,MATCH('SCC_Sulfide (SSC)'!$V17,'Tables - Part 2'!$AV$6:$AV$13,0),MATCH('SCC_Sulfide (SSC)'!$S17,'Tables - Part 2'!$AX$5:$BA$5,0))+INDEX('Tables - Part 2'!$BB$17:$BE$24,MATCH('SCC_Sulfide (SSC)'!$V17,'Tables - Part 2'!$AV$6:$AV$13,0),MATCH('SCC_Sulfide (SSC)'!$S17,'Tables - Part 2'!$AX$5:$BA$5,0)))/2))/2,0)</f>
        <v>0</v>
      </c>
      <c r="BD17" s="248">
        <f>IF($R17=$BD$3,(INDEX('Tables - Part 2'!$AX$17:$BA$24,MATCH('SCC_Sulfide (SSC)'!$V17,'Tables - Part 2'!$AV$6:$AV$13,0),MATCH('SCC_Sulfide (SSC)'!$S17,'Tables - Part 2'!$AX$5:$BA$5,0))+INDEX('Tables - Part 2'!$BB$17:$BE$24,MATCH('SCC_Sulfide (SSC)'!$V17,'Tables - Part 2'!$AV$6:$AV$13,0),MATCH('SCC_Sulfide (SSC)'!$S17,'Tables - Part 2'!$AX$5:$BA$5,0)))/2,0)</f>
        <v>0</v>
      </c>
      <c r="BE17" s="248">
        <f>IF($R17=$BE$3,(((INDEX('Tables - Part 2'!$AX$17:$BA$24,MATCH('SCC_Sulfide (SSC)'!$V17,'Tables - Part 2'!$AV$6:$AV$13,0),MATCH('SCC_Sulfide (SSC)'!$S17,'Tables - Part 2'!$AX$5:$BA$5,0))+INDEX('Tables - Part 2'!$BB$17:$BE$24,MATCH('SCC_Sulfide (SSC)'!$V17,'Tables - Part 2'!$AV$6:$AV$13,0),MATCH('SCC_Sulfide (SSC)'!$S17,'Tables - Part 2'!$AX$5:$BA$5,0)))/2)+((((INDEX('Tables - Part 2'!$AX$17:$BA$24,MATCH('SCC_Sulfide (SSC)'!$V17,'Tables - Part 2'!$AV$6:$AV$13,0),MATCH('SCC_Sulfide (SSC)'!$S17,'Tables - Part 2'!$AX$5:$BA$5,0))+INDEX('Tables - Part 2'!$BB$17:$BE$24,MATCH('SCC_Sulfide (SSC)'!$V17,'Tables - Part 2'!$AV$6:$AV$13,0),MATCH('SCC_Sulfide (SSC)'!$S17,'Tables - Part 2'!$AX$5:$BA$5,0)))/2)+INDEX('Tables - Part 2'!$BB$17:$BE$24,MATCH('SCC_Sulfide (SSC)'!$V17,'Tables - Part 2'!$AV$6:$AV$13,0),MATCH('SCC_Sulfide (SSC)'!$S17,'Tables - Part 2'!$AX$5:$BA$5,0)))/2))/2,0)</f>
        <v>0</v>
      </c>
      <c r="BF17" s="248">
        <f>IF($R17=$BF$3,(((INDEX('Tables - Part 2'!$AX$17:$BA$24,MATCH('SCC_Sulfide (SSC)'!$V17,'Tables - Part 2'!$AV$6:$AV$13,0),MATCH('SCC_Sulfide (SSC)'!$S17,'Tables - Part 2'!$AX$5:$BA$5,0))+INDEX('Tables - Part 2'!$BB$17:$BE$24,MATCH('SCC_Sulfide (SSC)'!$V17,'Tables - Part 2'!$AV$6:$AV$13,0),MATCH('SCC_Sulfide (SSC)'!$S17,'Tables - Part 2'!$AX$5:$BA$5,0)))/2)+INDEX('Tables - Part 2'!$BB$17:$BE$24,MATCH('SCC_Sulfide (SSC)'!$V17,'Tables - Part 2'!$AV$6:$AV$13,0),MATCH('SCC_Sulfide (SSC)'!$S17,'Tables - Part 2'!$AX$5:$BA$5,0)))/2,0)</f>
        <v>0</v>
      </c>
      <c r="BG17" s="248">
        <f>IF($R17=$BG$3,(((((INDEX('Tables - Part 2'!$AX$17:$BA$24,MATCH('SCC_Sulfide (SSC)'!$V17,'Tables - Part 2'!$AV$6:$AV$13,0),MATCH('SCC_Sulfide (SSC)'!$S17,'Tables - Part 2'!$AX$5:$BA$5,0))+INDEX('Tables - Part 2'!$BB$17:$BE$24,MATCH('SCC_Sulfide (SSC)'!$V17,'Tables - Part 2'!$AV$6:$AV$13,0),MATCH('SCC_Sulfide (SSC)'!$S17,'Tables - Part 2'!$AX$5:$BA$5,0)))/2)+INDEX('Tables - Part 2'!$BB$17:$BE$24,MATCH('SCC_Sulfide (SSC)'!$V17,'Tables - Part 2'!$AV$6:$AV$13,0),MATCH('SCC_Sulfide (SSC)'!$S17,'Tables - Part 2'!$AX$5:$BA$5,0)))/2)+(INDEX('Tables - Part 2'!$BB$17:$BE$24,MATCH('SCC_Sulfide (SSC)'!$V17,'Tables - Part 2'!$AV$6:$AV$13,0),MATCH('SCC_Sulfide (SSC)'!$S17,'Tables - Part 2'!$AX$5:$BA$5,0))))/2,0)</f>
        <v>0</v>
      </c>
      <c r="BH17" s="248">
        <f>IF($R17=$BH$3,INDEX('Tables - Part 2'!$BB$17:$BE$24,MATCH('SCC_Sulfide (SSC)'!$V17,'Tables - Part 2'!$AV$6:$AV$13,0),MATCH('SCC_Sulfide (SSC)'!$S17,'Tables - Part 2'!$AX$5:$BA$5,0)),0)</f>
        <v>0</v>
      </c>
      <c r="BI17" s="248">
        <f>IF($R17=$BI$3,((INDEX('Tables - Part 2'!$BB$17:$BE$24,MATCH('SCC_Sulfide (SSC)'!$V17,'Tables - Part 2'!$AV$6:$AV$13,0),MATCH('SCC_Sulfide (SSC)'!$S17,'Tables - Part 2'!$AX$5:$BA$5,0)))+(((INDEX('Tables - Part 2'!$BB$17:$BE$24,MATCH('SCC_Sulfide (SSC)'!$V17,'Tables - Part 2'!$AV$6:$AV$13,0),MATCH('SCC_Sulfide (SSC)'!$S17,'Tables - Part 2'!$AX$5:$BA$5,0)))+(INDEX('Tables - Part 2'!$BB$17:$BE$24,MATCH('SCC_Sulfide (SSC)'!$V17,'Tables - Part 2'!$AV$6:$AV$13,0),MATCH('SCC_Sulfide (SSC)'!$S17,'Tables - Part 2'!$AX$5:$BA$5,0))+INDEX('Tables - Part 2'!$BF$17:$BI$24,MATCH('SCC_Sulfide (SSC)'!$V17,'Tables - Part 2'!$AV$6:$AV$13,0),MATCH('SCC_Sulfide (SSC)'!$S17,'Tables - Part 2'!$AX$5:$BA$5,0)))/2)/2))/2,0)</f>
        <v>0</v>
      </c>
      <c r="BJ17" s="248">
        <f>IF($R17=$BJ$3,((INDEX('Tables - Part 2'!$BB$17:$BE$24,MATCH('SCC_Sulfide (SSC)'!$V17,'Tables - Part 2'!$AV$6:$AV$13,0),MATCH('SCC_Sulfide (SSC)'!$S17,'Tables - Part 2'!$AX$5:$BA$5,0)))+(INDEX('Tables - Part 2'!$BB$17:$BE$24,MATCH('SCC_Sulfide (SSC)'!$V17,'Tables - Part 2'!$AV$6:$AV$13,0),MATCH('SCC_Sulfide (SSC)'!$S17,'Tables - Part 2'!$AX$5:$BA$5,0))+INDEX('Tables - Part 2'!$BF$17:$BI$24,MATCH('SCC_Sulfide (SSC)'!$V17,'Tables - Part 2'!$AV$6:$AV$13,0),MATCH('SCC_Sulfide (SSC)'!$S17,'Tables - Part 2'!$AX$5:$BA$5,0)))/2)/2,0)</f>
        <v>0</v>
      </c>
      <c r="BK17" s="248">
        <f>IF($R17=$BK$3,((((INDEX('Tables - Part 2'!$BB$17:$BE$24,MATCH('SCC_Sulfide (SSC)'!$V17,'Tables - Part 2'!$AV$6:$AV$13,0),MATCH('SCC_Sulfide (SSC)'!$S17,'Tables - Part 2'!$AX$5:$BA$5,0)))+(INDEX('Tables - Part 2'!$BB$17:$BE$24,MATCH('SCC_Sulfide (SSC)'!$V17,'Tables - Part 2'!$AV$6:$AV$13,0),MATCH('SCC_Sulfide (SSC)'!$S17,'Tables - Part 2'!$AX$5:$BA$5,0))+INDEX('Tables - Part 2'!$BF$17:$BI$24,MATCH('SCC_Sulfide (SSC)'!$V17,'Tables - Part 2'!$AV$6:$AV$13,0),MATCH('SCC_Sulfide (SSC)'!$S17,'Tables - Part 2'!$AX$5:$BA$5,0)))/2)/2)+((INDEX('Tables - Part 2'!$BB$17:$BE$24,MATCH('SCC_Sulfide (SSC)'!$V17,'Tables - Part 2'!$AV$6:$AV$13,0),MATCH('SCC_Sulfide (SSC)'!$S17,'Tables - Part 2'!$AX$5:$BA$5,0))+INDEX('Tables - Part 2'!$BF$17:$BI$24,MATCH('SCC_Sulfide (SSC)'!$V17,'Tables - Part 2'!$AV$6:$AV$13,0),MATCH('SCC_Sulfide (SSC)'!$S17,'Tables - Part 2'!$AX$5:$BA$5,0)))/2))/2,0)</f>
        <v>0</v>
      </c>
      <c r="BL17" s="248">
        <f>IF($R17=$BL$3,(INDEX('Tables - Part 2'!$BB$17:$BE$24,MATCH('SCC_Sulfide (SSC)'!$V17,'Tables - Part 2'!$AV$6:$AV$13,0),MATCH('SCC_Sulfide (SSC)'!$S17,'Tables - Part 2'!$AX$5:$BA$5,0))+INDEX('Tables - Part 2'!$BF$17:$BI$24,MATCH('SCC_Sulfide (SSC)'!$V17,'Tables - Part 2'!$AV$6:$AV$13,0),MATCH('SCC_Sulfide (SSC)'!$S17,'Tables - Part 2'!$AX$5:$BA$5,0)))/2,0)</f>
        <v>0</v>
      </c>
      <c r="BM17" s="248">
        <f>IF($R17=$BM$3,(((INDEX('Tables - Part 2'!$BB$17:$BE$24,MATCH('SCC_Sulfide (SSC)'!$V17,'Tables - Part 2'!$AV$6:$AV$13,0),MATCH('SCC_Sulfide (SSC)'!$S17,'Tables - Part 2'!$AX$5:$BA$5,0))+INDEX('Tables - Part 2'!$BF$17:$BI$24,MATCH('SCC_Sulfide (SSC)'!$V17,'Tables - Part 2'!$AV$6:$AV$13,0),MATCH('SCC_Sulfide (SSC)'!$S17,'Tables - Part 2'!$AX$5:$BA$5,0)))/2)+((((INDEX('Tables - Part 2'!$BB$17:$BE$24,MATCH('SCC_Sulfide (SSC)'!$V17,'Tables - Part 2'!$AV$6:$AV$13,0),MATCH('SCC_Sulfide (SSC)'!$S17,'Tables - Part 2'!$AX$5:$BA$5,0))+INDEX('Tables - Part 2'!$BF$17:$BI$24,MATCH('SCC_Sulfide (SSC)'!$V17,'Tables - Part 2'!$AV$6:$AV$13,0),MATCH('SCC_Sulfide (SSC)'!$S17,'Tables - Part 2'!$AX$5:$BA$5,0)))/2)+INDEX('Tables - Part 2'!$BF$17:$BI$24,MATCH('SCC_Sulfide (SSC)'!$V17,'Tables - Part 2'!$AV$6:$AV$13,0),MATCH('SCC_Sulfide (SSC)'!$S17,'Tables - Part 2'!$AX$5:$BA$5,0)))/2))/2,0)</f>
        <v>0</v>
      </c>
      <c r="BN17" s="248">
        <f>IF($R17=$BN$3,(((INDEX('Tables - Part 2'!$BB$17:$BE$24,MATCH('SCC_Sulfide (SSC)'!$V17,'Tables - Part 2'!$AV$6:$AV$13,0),MATCH('SCC_Sulfide (SSC)'!$S17,'Tables - Part 2'!$AX$5:$BA$5,0))+INDEX('Tables - Part 2'!$BF$17:$BI$24,MATCH('SCC_Sulfide (SSC)'!$V17,'Tables - Part 2'!$AV$6:$AV$13,0),MATCH('SCC_Sulfide (SSC)'!$S17,'Tables - Part 2'!$AX$5:$BA$5,0)))/2)+INDEX('Tables - Part 2'!$BF$17:$BI$24,MATCH('SCC_Sulfide (SSC)'!$V17,'Tables - Part 2'!$AV$6:$AV$13,0),MATCH('SCC_Sulfide (SSC)'!$S17,'Tables - Part 2'!$AX$5:$BA$5,0)))/2,0)</f>
        <v>0</v>
      </c>
      <c r="BO17" s="248">
        <f>IF($R17=$BO$3,(((((INDEX('Tables - Part 2'!$BB$17:$BE$24,MATCH('SCC_Sulfide (SSC)'!$V17,'Tables - Part 2'!$AV$6:$AV$13,0),MATCH('SCC_Sulfide (SSC)'!$S17,'Tables - Part 2'!$AX$5:$BA$5,0))+INDEX('Tables - Part 2'!$BF$17:$BI$24,MATCH('SCC_Sulfide (SSC)'!$V17,'Tables - Part 2'!$AV$6:$AV$13,0),MATCH('SCC_Sulfide (SSC)'!$S17,'Tables - Part 2'!$AX$5:$BA$5,0)))/2)+INDEX('Tables - Part 2'!$BF$17:$BI$24,MATCH('SCC_Sulfide (SSC)'!$V17,'Tables - Part 2'!$AV$6:$AV$13,0),MATCH('SCC_Sulfide (SSC)'!$S17,'Tables - Part 2'!$AX$5:$BA$5,0)))/2)+(INDEX('Tables - Part 2'!$BF$17:$BI$24,MATCH('SCC_Sulfide (SSC)'!$V17,'Tables - Part 2'!$AV$6:$AV$13,0),MATCH('SCC_Sulfide (SSC)'!$S17,'Tables - Part 2'!$AX$5:$BA$5,0))))/2,0)</f>
        <v>0</v>
      </c>
      <c r="BP17" s="248">
        <f>IF($R17=$BP$3,INDEX('Tables - Part 2'!$BF$17:$BI$24,MATCH('SCC_Sulfide (SSC)'!$V17,'Tables - Part 2'!$AV$6:$AV$13,0),MATCH('SCC_Sulfide (SSC)'!$S17,'Tables - Part 2'!$AX$5:$BA$5,0)),0)</f>
        <v>0</v>
      </c>
      <c r="BQ17" s="248">
        <f t="shared" si="6"/>
        <v>0</v>
      </c>
      <c r="BR17" s="238">
        <f t="shared" si="8"/>
        <v>1</v>
      </c>
      <c r="BS17" s="238">
        <f t="shared" si="7"/>
        <v>16.77288246840839</v>
      </c>
    </row>
    <row r="18" spans="2:71" x14ac:dyDescent="0.35">
      <c r="B18" s="161" t="str">
        <f>'Tratamento de Dados'!B26</f>
        <v>V-80</v>
      </c>
      <c r="C18" s="161" t="str">
        <f>'Tratamento de Dados'!D26</f>
        <v>Casco</v>
      </c>
      <c r="D18" s="209" t="s">
        <v>245</v>
      </c>
      <c r="E18" s="209" t="s">
        <v>61</v>
      </c>
      <c r="F18" s="209" t="s">
        <v>836</v>
      </c>
      <c r="G18" s="209" t="s">
        <v>832</v>
      </c>
      <c r="H18" s="209" t="s">
        <v>245</v>
      </c>
      <c r="I18" s="209" t="s">
        <v>1113</v>
      </c>
      <c r="J18" s="209" t="s">
        <v>245</v>
      </c>
      <c r="K18" s="210">
        <v>39092</v>
      </c>
      <c r="L18" s="209">
        <v>0</v>
      </c>
      <c r="M18" s="209">
        <v>1</v>
      </c>
      <c r="N18" s="209">
        <v>1</v>
      </c>
      <c r="O18" s="209">
        <v>4</v>
      </c>
      <c r="P18" s="253">
        <f>'Tratamento de Dados'!DA26</f>
        <v>0</v>
      </c>
      <c r="Q18" s="253">
        <f>'Tratamento de Dados'!DB26</f>
        <v>0</v>
      </c>
      <c r="R18" s="256">
        <f t="shared" si="0"/>
        <v>2.5</v>
      </c>
      <c r="S18" s="246" t="str">
        <f t="shared" si="1"/>
        <v>B</v>
      </c>
      <c r="T18" s="238" t="str">
        <f>IF(D18=$BX$2,$BV$4,IF(AND(H18=$BX$2,OR(F18='Tables - Part 2'!$BN$8,'Tables - Part 2'!$BN$9),OR('SCC_Sulfide (SSC)'!G18='Tables - Part 2'!$BQ$4,'SCC_Sulfide (SSC)'!G18='Tables - Part 2'!$BR$4)),$BV$4,INDEX('Tables - Part 2'!$BO$5:$BR$9,MATCH('SCC_Sulfide (SSC)'!F18,'Tables - Part 2'!$BN$5:$BN$9,0),MATCH('SCC_Sulfide (SSC)'!G18,'Tables - Part 2'!$BO$4:$BR$4,0))))</f>
        <v>Moderate</v>
      </c>
      <c r="U18" s="238" t="str">
        <f>IF(D18=$BX$2,$BV$4,IF(J18=$BX$2,INDEX('Tables - Part 2'!$BX$6:$BZ$8,MATCH('SCC_Sulfide (SSC)'!T18,'Tables - Part 2'!$BT$6:$BT$8,0),MATCH('SCC_Sulfide (SSC)'!I18,'Tables - Part 2'!$BX$5:$BZ$5,0)),INDEX('Tables - Part 2'!$BU$6:$BW$8,MATCH('SCC_Sulfide (SSC)'!T18,'Tables - Part 2'!$BT$6:$BT$8,0),MATCH('SCC_Sulfide (SSC)'!I18,'Tables - Part 2'!$BU$5:$BW$5,0))))</f>
        <v>Medium</v>
      </c>
      <c r="V18" s="238">
        <f>IF(AND(D18=$BX$2,E18&lt;&gt;$BX$2),"Fitness-For-Service",INDEX('Tables - Part 2'!$CC$4:$CC$7,MATCH('SCC_Sulfide (SSC)'!U18,'Tables - Part 2'!$CB$4:$CB$7,0),))</f>
        <v>10</v>
      </c>
      <c r="W18" s="238">
        <f>IF(K18=0,(Thinning!G19-Thinning!F19)/365.25,(Thinning!G19-K18)/365.25)</f>
        <v>12.980150581793293</v>
      </c>
      <c r="X18" s="248">
        <f t="shared" si="2"/>
        <v>0</v>
      </c>
      <c r="Y18" s="248">
        <f t="shared" si="3"/>
        <v>2.5</v>
      </c>
      <c r="Z18" s="248">
        <f t="shared" si="4"/>
        <v>3</v>
      </c>
      <c r="AA18" s="247">
        <f t="shared" si="5"/>
        <v>4</v>
      </c>
      <c r="AB18" s="248">
        <f>IF($R18=$AB$3,INDEX('Tables - Part 2'!$AX$6:$BA$13,MATCH('SCC_Sulfide (SSC)'!V18,'Tables - Part 2'!$AV$6:$AV$13,0),MATCH('SCC_Sulfide (SSC)'!S18,'Tables - Part 2'!$AX$5:$BA$5,0)),0)</f>
        <v>0</v>
      </c>
      <c r="AC18" s="248">
        <f>IF($R18=$AC$3,(INDEX('Tables - Part 2'!$AX$6:$BA$13,MATCH('SCC_Sulfide (SSC)'!V18,'Tables - Part 2'!$AV$6:$AV$13,0),MATCH('SCC_Sulfide (SSC)'!S18,'Tables - Part 2'!$AX$5:$BA$5,0))+(INDEX('Tables - Part 2'!$AX$6:$BA$13,MATCH('SCC_Sulfide (SSC)'!V18,'Tables - Part 2'!$AV$6:$AV$13,0),MATCH('SCC_Sulfide (SSC)'!S18,'Tables - Part 2'!$AX$5:$BA$5,0))+((INDEX('Tables - Part 2'!$AX$6:$BA$13,MATCH('SCC_Sulfide (SSC)'!V18,'Tables - Part 2'!$AV$6:$AV$13,0),MATCH('SCC_Sulfide (SSC)'!S18,'Tables - Part 2'!$AX$5:$BA$5,0))+INDEX('Tables - Part 2'!$BB$6:$BE$13,MATCH('SCC_Sulfide (SSC)'!$V18,'Tables - Part 2'!$AV$6:$AV$13,0),MATCH('SCC_Sulfide (SSC)'!$S18,'Tables - Part 2'!$AX$5:$BA$5,0)))/2))/2)/2,0)</f>
        <v>0</v>
      </c>
      <c r="AD18" s="248">
        <f>IF($R18=$AD$3,(INDEX('Tables - Part 2'!$AX$6:$BA$13,MATCH('SCC_Sulfide (SSC)'!V18,'Tables - Part 2'!$AV$6:$AV$13,0),MATCH('SCC_Sulfide (SSC)'!S18,'Tables - Part 2'!$AX$5:$BA$5,0))+((INDEX('Tables - Part 2'!$AX$6:$BA$13,MATCH('SCC_Sulfide (SSC)'!V18,'Tables - Part 2'!$AV$6:$AV$13,0),MATCH('SCC_Sulfide (SSC)'!S18,'Tables - Part 2'!$AX$5:$BA$5,0))+INDEX('Tables - Part 2'!$BB$6:$BE$13,MATCH('SCC_Sulfide (SSC)'!$V18,'Tables - Part 2'!$AV$6:$AV$13,0),MATCH('SCC_Sulfide (SSC)'!$S18,'Tables - Part 2'!$AX$5:$BA$5,0)))/2))/2,0)</f>
        <v>0</v>
      </c>
      <c r="AE18" s="248">
        <f>IF($R18=$AE$3,(((INDEX('Tables - Part 2'!$AX$6:$BA$13,MATCH('SCC_Sulfide (SSC)'!V18,'Tables - Part 2'!$AV$6:$AV$13,0),MATCH('SCC_Sulfide (SSC)'!S18,'Tables - Part 2'!$AX$5:$BA$5,0))+((INDEX('Tables - Part 2'!$AX$6:$BA$13,MATCH('SCC_Sulfide (SSC)'!V18,'Tables - Part 2'!$AV$6:$AV$13,0),MATCH('SCC_Sulfide (SSC)'!S18,'Tables - Part 2'!$AX$5:$BA$5,0))+INDEX('Tables - Part 2'!$BB$6:$BE$13,MATCH('SCC_Sulfide (SSC)'!$V18,'Tables - Part 2'!$AV$6:$AV$13,0),MATCH('SCC_Sulfide (SSC)'!$S18,'Tables - Part 2'!$AX$5:$BA$5,0)))/2))/2)+(INDEX('Tables - Part 2'!$AX$6:$BA$13,MATCH('SCC_Sulfide (SSC)'!V18,'Tables - Part 2'!$AV$6:$AV$13,0),MATCH('SCC_Sulfide (SSC)'!S18,'Tables - Part 2'!$AX$5:$BA$5,0))+INDEX('Tables - Part 2'!$BB$6:$BE$13,MATCH('SCC_Sulfide (SSC)'!$V18,'Tables - Part 2'!$AV$6:$AV$13,0),MATCH('SCC_Sulfide (SSC)'!$S18,'Tables - Part 2'!$AX$5:$BA$5,0)))/2)/2,0)</f>
        <v>0</v>
      </c>
      <c r="AF18" s="248">
        <f>IF($R18=$AF$3,(INDEX('Tables - Part 2'!$AX$6:$BA$13,MATCH('SCC_Sulfide (SSC)'!V18,'Tables - Part 2'!$AV$6:$AV$13,0),MATCH('SCC_Sulfide (SSC)'!S18,'Tables - Part 2'!$AX$5:$BA$5,0))+INDEX('Tables - Part 2'!$BB$6:$BE$13,MATCH('SCC_Sulfide (SSC)'!$V18,'Tables - Part 2'!$AV$6:$AV$13,0),MATCH('SCC_Sulfide (SSC)'!$S18,'Tables - Part 2'!$AX$5:$BA$5,0)))/2,0)</f>
        <v>0</v>
      </c>
      <c r="AG18" s="248">
        <f>IF($R18=$AG$3,(((INDEX('Tables - Part 2'!$AX$6:$BA$13,MATCH('SCC_Sulfide (SSC)'!V18,'Tables - Part 2'!$AV$6:$AV$13,0),MATCH('SCC_Sulfide (SSC)'!S18,'Tables - Part 2'!$AX$5:$BA$5,0))+INDEX('Tables - Part 2'!$BB$6:$BE$13,MATCH('SCC_Sulfide (SSC)'!$V18,'Tables - Part 2'!$AV$6:$AV$13,0),MATCH('SCC_Sulfide (SSC)'!$S18,'Tables - Part 2'!$AX$5:$BA$5,0)))/2)+(((INDEX('Tables - Part 2'!$AX$6:$BA$13,MATCH('SCC_Sulfide (SSC)'!V18,'Tables - Part 2'!$AV$6:$AV$13,0),MATCH('SCC_Sulfide (SSC)'!S18,'Tables - Part 2'!$AX$5:$BA$5,0))+INDEX('Tables - Part 2'!$BB$6:$BE$13,MATCH('SCC_Sulfide (SSC)'!$V18,'Tables - Part 2'!$AV$6:$AV$13,0),MATCH('SCC_Sulfide (SSC)'!$S18,'Tables - Part 2'!$AX$5:$BA$5,0)))/2)+INDEX('Tables - Part 2'!$BB$6:$BE$13,MATCH('SCC_Sulfide (SSC)'!$V18,'Tables - Part 2'!$AV$6:$AV$13,0),MATCH('SCC_Sulfide (SSC)'!$S18,'Tables - Part 2'!$AX$5:$BA$5,0)))/2)/2,0)</f>
        <v>0</v>
      </c>
      <c r="AH18" s="248">
        <f>IF($R18=$AH$3,(((INDEX('Tables - Part 2'!$AX$6:$BA$13,MATCH('SCC_Sulfide (SSC)'!V18,'Tables - Part 2'!$AV$6:$AV$13,0),MATCH('SCC_Sulfide (SSC)'!S18,'Tables - Part 2'!$AX$5:$BA$5,0))+INDEX('Tables - Part 2'!$BB$6:$BE$13,MATCH('SCC_Sulfide (SSC)'!$V18,'Tables - Part 2'!$AV$6:$AV$13,0),MATCH('SCC_Sulfide (SSC)'!$S18,'Tables - Part 2'!$AX$5:$BA$5,0)))/2)+INDEX('Tables - Part 2'!$BB$6:$BE$13,MATCH('SCC_Sulfide (SSC)'!$V18,'Tables - Part 2'!$AV$6:$AV$13,0),MATCH('SCC_Sulfide (SSC)'!$S18,'Tables - Part 2'!$AX$5:$BA$5,0)))/2,0)</f>
        <v>0</v>
      </c>
      <c r="AI18" s="248">
        <f>IF($R18=$AI$3,(((((INDEX('Tables - Part 2'!$AX$6:$BA$13,MATCH('SCC_Sulfide (SSC)'!V18,'Tables - Part 2'!$AV$6:$AV$13,0),MATCH('SCC_Sulfide (SSC)'!S18,'Tables - Part 2'!$AX$5:$BA$5,0))+INDEX('Tables - Part 2'!$BB$6:$BE$13,MATCH('SCC_Sulfide (SSC)'!$V18,'Tables - Part 2'!$AV$6:$AV$13,0),MATCH('SCC_Sulfide (SSC)'!$S18,'Tables - Part 2'!$AX$5:$BA$5,0)))/2)+INDEX('Tables - Part 2'!$BB$6:$BE$13,MATCH('SCC_Sulfide (SSC)'!$V18,'Tables - Part 2'!$AV$6:$AV$13,0),MATCH('SCC_Sulfide (SSC)'!$S18,'Tables - Part 2'!$AX$5:$BA$5,0)))/2)+INDEX('Tables - Part 2'!$BB$6:$BE$13,MATCH('SCC_Sulfide (SSC)'!$V18,'Tables - Part 2'!$AV$6:$AV$13,0),MATCH('SCC_Sulfide (SSC)'!$S18,'Tables - Part 2'!$AX$5:$BA$5,0)))/2,0)</f>
        <v>0</v>
      </c>
      <c r="AJ18" s="248">
        <f>IF($R18=$AJ$3,INDEX('Tables - Part 2'!$BB$6:$BE$13,MATCH('SCC_Sulfide (SSC)'!$V18,'Tables - Part 2'!$AV$6:$AV$13,0),MATCH('SCC_Sulfide (SSC)'!$S18,'Tables - Part 2'!$AX$5:$BA$5,0)),0)</f>
        <v>0</v>
      </c>
      <c r="AK18" s="248">
        <f>IF($R18=$AK$3,((INDEX('Tables - Part 2'!$BB$6:$BE$13,MATCH('SCC_Sulfide (SSC)'!$V18,'Tables - Part 2'!$AV$6:$AV$13,0),MATCH('SCC_Sulfide (SSC)'!$S18,'Tables - Part 2'!$AX$5:$BA$5,0)))+(INDEX('Tables - Part 2'!$BB$6:$BE$13,MATCH('SCC_Sulfide (SSC)'!$V18,'Tables - Part 2'!$AV$6:$AV$13,0),MATCH('SCC_Sulfide (SSC)'!$S18,'Tables - Part 2'!$AX$5:$BA$5,0))+(INDEX('Tables - Part 2'!$BB$6:$BE$13,MATCH('SCC_Sulfide (SSC)'!$V18,'Tables - Part 2'!$AV$6:$AV$13,0),MATCH('SCC_Sulfide (SSC)'!$S18,'Tables - Part 2'!$AX$5:$BA$5,0))+INDEX('Tables - Part 2'!$BF$6:$BI$13,MATCH('SCC_Sulfide (SSC)'!$V18,'Tables - Part 2'!$AV$6:$AV$13,0),MATCH('SCC_Sulfide (SSC)'!$S18,'Tables - Part 2'!$AX$5:$BA$5,0)))/2)/2)/2,0)</f>
        <v>0</v>
      </c>
      <c r="AL18" s="248">
        <f>IF($R18=$AL$3,(INDEX('Tables - Part 2'!$BB$6:$BE$13,MATCH('SCC_Sulfide (SSC)'!$V18,'Tables - Part 2'!$AV$6:$AV$13,0),MATCH('SCC_Sulfide (SSC)'!$S18,'Tables - Part 2'!$AX$5:$BA$5,0))+(INDEX('Tables - Part 2'!$BB$6:$BE$13,MATCH('SCC_Sulfide (SSC)'!$V18,'Tables - Part 2'!$AV$6:$AV$13,0),MATCH('SCC_Sulfide (SSC)'!$S18,'Tables - Part 2'!$AX$5:$BA$5,0))+INDEX('Tables - Part 2'!$BF$6:$BI$13,MATCH('SCC_Sulfide (SSC)'!$V18,'Tables - Part 2'!$AV$6:$AV$13,0),MATCH('SCC_Sulfide (SSC)'!$S18,'Tables - Part 2'!$AX$5:$BA$5,0)))/2)/2,0)</f>
        <v>0</v>
      </c>
      <c r="AM18" s="248">
        <f>IF($R18=$AM$3,(((INDEX('Tables - Part 2'!$BB$6:$BE$13,MATCH('SCC_Sulfide (SSC)'!$V18,'Tables - Part 2'!$AV$6:$AV$13,0),MATCH('SCC_Sulfide (SSC)'!$S18,'Tables - Part 2'!$AX$5:$BA$5,0))+(INDEX('Tables - Part 2'!$BB$6:$BE$13,MATCH('SCC_Sulfide (SSC)'!$V18,'Tables - Part 2'!$AV$6:$AV$13,0),MATCH('SCC_Sulfide (SSC)'!$S18,'Tables - Part 2'!$AX$5:$BA$5,0))+INDEX('Tables - Part 2'!$BF$6:$BI$13,MATCH('SCC_Sulfide (SSC)'!$V18,'Tables - Part 2'!$AV$6:$AV$13,0),MATCH('SCC_Sulfide (SSC)'!$S18,'Tables - Part 2'!$AX$5:$BA$5,0)))/2)/2)+((INDEX('Tables - Part 2'!$BB$6:$BE$13,MATCH('SCC_Sulfide (SSC)'!$V18,'Tables - Part 2'!$AV$6:$AV$13,0),MATCH('SCC_Sulfide (SSC)'!$S18,'Tables - Part 2'!$AX$5:$BA$5,0))+INDEX('Tables - Part 2'!$BF$6:$BI$13,MATCH('SCC_Sulfide (SSC)'!$V18,'Tables - Part 2'!$AV$6:$AV$13,0),MATCH('SCC_Sulfide (SSC)'!$S18,'Tables - Part 2'!$AX$5:$BA$5,0)))/2))/2,0)</f>
        <v>0</v>
      </c>
      <c r="AN18" s="248">
        <f>IF($R18=$AN$3,(INDEX('Tables - Part 2'!$BB$6:$BE$13,MATCH('SCC_Sulfide (SSC)'!$V18,'Tables - Part 2'!$AV$6:$AV$13,0),MATCH('SCC_Sulfide (SSC)'!$S18,'Tables - Part 2'!$AX$5:$BA$5,0))+INDEX('Tables - Part 2'!$BF$6:$BI$13,MATCH('SCC_Sulfide (SSC)'!$V18,'Tables - Part 2'!$AV$6:$AV$13,0),MATCH('SCC_Sulfide (SSC)'!$S18,'Tables - Part 2'!$AX$5:$BA$5,0)))/2,0)</f>
        <v>1</v>
      </c>
      <c r="AO18" s="248">
        <f>IF($R18=$AO$3,(((INDEX('Tables - Part 2'!$BB$6:$BE$13,MATCH('SCC_Sulfide (SSC)'!$V18,'Tables - Part 2'!$AV$6:$AV$13,0),MATCH('SCC_Sulfide (SSC)'!$S18,'Tables - Part 2'!$AX$5:$BA$5,0))+INDEX('Tables - Part 2'!$BF$6:$BI$13,MATCH('SCC_Sulfide (SSC)'!$V18,'Tables - Part 2'!$AV$6:$AV$13,0),MATCH('SCC_Sulfide (SSC)'!$S18,'Tables - Part 2'!$AX$5:$BA$5,0)))/2)+((((INDEX('Tables - Part 2'!$BB$6:$BE$13,MATCH('SCC_Sulfide (SSC)'!$V18,'Tables - Part 2'!$AV$6:$AV$13,0),MATCH('SCC_Sulfide (SSC)'!$S18,'Tables - Part 2'!$AX$5:$BA$5,0))+INDEX('Tables - Part 2'!$BF$6:$BI$13,MATCH('SCC_Sulfide (SSC)'!$V18,'Tables - Part 2'!$AV$6:$AV$13,0),MATCH('SCC_Sulfide (SSC)'!$S18,'Tables - Part 2'!$AX$5:$BA$5,0)))/2)+INDEX('Tables - Part 2'!$BF$6:$BI$13,MATCH('SCC_Sulfide (SSC)'!$V18,'Tables - Part 2'!$AV$6:$AV$13,0),MATCH('SCC_Sulfide (SSC)'!$S18,'Tables - Part 2'!$AX$5:$BA$5,0)))/2))/2,0)</f>
        <v>0</v>
      </c>
      <c r="AP18" s="248">
        <f>IF($R18=$AP$3,(((INDEX('Tables - Part 2'!$BB$6:$BE$13,MATCH('SCC_Sulfide (SSC)'!$V18,'Tables - Part 2'!$AV$6:$AV$13,0),MATCH('SCC_Sulfide (SSC)'!$S18,'Tables - Part 2'!$AX$5:$BA$5,0))+INDEX('Tables - Part 2'!$BF$6:$BI$13,MATCH('SCC_Sulfide (SSC)'!$V18,'Tables - Part 2'!$AV$6:$AV$13,0),MATCH('SCC_Sulfide (SSC)'!$S18,'Tables - Part 2'!$AX$5:$BA$5,0)))/2)+INDEX('Tables - Part 2'!$BF$6:$BI$13,MATCH('SCC_Sulfide (SSC)'!$V18,'Tables - Part 2'!$AV$6:$AV$13,0),MATCH('SCC_Sulfide (SSC)'!$S18,'Tables - Part 2'!$AX$5:$BA$5,0)))/2,0)</f>
        <v>0</v>
      </c>
      <c r="AQ18" s="248">
        <f>IF($R18=$AQ$3,(((((INDEX('Tables - Part 2'!$BB$6:$BE$13,MATCH('SCC_Sulfide (SSC)'!$V18,'Tables - Part 2'!$AV$6:$AV$13,0),MATCH('SCC_Sulfide (SSC)'!$S18,'Tables - Part 2'!$AX$5:$BA$5,0))+INDEX('Tables - Part 2'!$BF$6:$BI$13,MATCH('SCC_Sulfide (SSC)'!$V18,'Tables - Part 2'!$AV$6:$AV$13,0),MATCH('SCC_Sulfide (SSC)'!$S18,'Tables - Part 2'!$AX$5:$BA$5,0)))/2)+INDEX('Tables - Part 2'!$BF$6:$BI$13,MATCH('SCC_Sulfide (SSC)'!$V18,'Tables - Part 2'!$AV$6:$AV$13,0),MATCH('SCC_Sulfide (SSC)'!$S18,'Tables - Part 2'!$AX$5:$BA$5,0)))/2)+INDEX('Tables - Part 2'!$BF$6:$BI$13,MATCH('SCC_Sulfide (SSC)'!$V18,'Tables - Part 2'!$AV$6:$AV$13,0),MATCH('SCC_Sulfide (SSC)'!$S18,'Tables - Part 2'!$AX$5:$BA$5,0)))/2,0)</f>
        <v>0</v>
      </c>
      <c r="AR18" s="248">
        <f>IF($R18=$AR$3,INDEX('Tables - Part 2'!$BF$6:$BI$13,MATCH('SCC_Sulfide (SSC)'!$V18,'Tables - Part 2'!$AV$6:$AV$13,0),MATCH('SCC_Sulfide (SSC)'!$S18,'Tables - Part 2'!$AX$5:$BA$5,0)),0)</f>
        <v>0</v>
      </c>
      <c r="AS18" s="248">
        <f>IF($R18=$AS$3,(INDEX('Tables - Part 2'!$BF$6:$BI$13,MATCH('SCC_Sulfide (SSC)'!$V18,'Tables - Part 2'!$AV$6:$AV$13,0),MATCH('SCC_Sulfide (SSC)'!$S18,'Tables - Part 2'!$AX$5:$BA$5,0))+((INDEX('Tables - Part 2'!$BF$6:$BI$13,MATCH('SCC_Sulfide (SSC)'!$V18,'Tables - Part 2'!$AV$6:$AV$13,0),MATCH('SCC_Sulfide (SSC)'!$S18,'Tables - Part 2'!$AX$5:$BA$5,0))+(INDEX('Tables - Part 2'!$BF$6:$BI$13,MATCH('SCC_Sulfide (SSC)'!$V18,'Tables - Part 2'!$AV$6:$AV$13,0),MATCH('SCC_Sulfide (SSC)'!$S18,'Tables - Part 2'!$AX$5:$BA$5,0))+INDEX('Tables - Part 2'!$AX$17:$BA$24,MATCH('SCC_Sulfide (SSC)'!$V18,'Tables - Part 2'!$AV$6:$AV$13,0),MATCH('SCC_Sulfide (SSC)'!$S18,'Tables - Part 2'!$AX$5:$BA$5,0)))/2)/2))/2,0)</f>
        <v>0</v>
      </c>
      <c r="AT18" s="248">
        <f>IF($R18=$AT$3,(INDEX('Tables - Part 2'!$BF$6:$BI$13,MATCH('SCC_Sulfide (SSC)'!$V18,'Tables - Part 2'!$AV$6:$AV$13,0),MATCH('SCC_Sulfide (SSC)'!$S18,'Tables - Part 2'!$AX$5:$BA$5,0))+(INDEX('Tables - Part 2'!$BF$6:$BI$13,MATCH('SCC_Sulfide (SSC)'!$V18,'Tables - Part 2'!$AV$6:$AV$13,0),MATCH('SCC_Sulfide (SSC)'!$S18,'Tables - Part 2'!$AX$5:$BA$5,0))+INDEX('Tables - Part 2'!$AX$17:$BA$24,MATCH('SCC_Sulfide (SSC)'!$V18,'Tables - Part 2'!$AV$6:$AV$13,0),MATCH('SCC_Sulfide (SSC)'!$S18,'Tables - Part 2'!$AX$5:$BA$5,0)))/2)/2,0)</f>
        <v>0</v>
      </c>
      <c r="AU18" s="248">
        <f>IF($R18=$AU$3,(((INDEX('Tables - Part 2'!$BF$6:$BI$13,MATCH('SCC_Sulfide (SSC)'!$V18,'Tables - Part 2'!$AV$6:$AV$13,0),MATCH('SCC_Sulfide (SSC)'!$S18,'Tables - Part 2'!$AX$5:$BA$5,0))+(INDEX('Tables - Part 2'!$BF$6:$BI$13,MATCH('SCC_Sulfide (SSC)'!$V18,'Tables - Part 2'!$AV$6:$AV$13,0),MATCH('SCC_Sulfide (SSC)'!$S18,'Tables - Part 2'!$AX$5:$BA$5,0))+INDEX('Tables - Part 2'!$AX$17:$BA$24,MATCH('SCC_Sulfide (SSC)'!$V18,'Tables - Part 2'!$AV$6:$AV$13,0),MATCH('SCC_Sulfide (SSC)'!$S18,'Tables - Part 2'!$AX$5:$BA$5,0)))/2)/2)+((INDEX('Tables - Part 2'!$BF$6:$BI$13,MATCH('SCC_Sulfide (SSC)'!$V18,'Tables - Part 2'!$AV$6:$AV$13,0),MATCH('SCC_Sulfide (SSC)'!$S18,'Tables - Part 2'!$AX$5:$BA$5,0))+INDEX('Tables - Part 2'!$AX$17:$BA$24,MATCH('SCC_Sulfide (SSC)'!$V18,'Tables - Part 2'!$AV$6:$AV$13,0),MATCH('SCC_Sulfide (SSC)'!$S18,'Tables - Part 2'!$AX$5:$BA$5,0)))/2))/2,0)</f>
        <v>0</v>
      </c>
      <c r="AV18" s="248">
        <f>IF($R18=$AV$3,(INDEX('Tables - Part 2'!$BF$6:$BI$13,MATCH('SCC_Sulfide (SSC)'!$V18,'Tables - Part 2'!$AV$6:$AV$13,0),MATCH('SCC_Sulfide (SSC)'!$S18,'Tables - Part 2'!$AX$5:$BA$5,0))+INDEX('Tables - Part 2'!$AX$17:$BA$24,MATCH('SCC_Sulfide (SSC)'!$V18,'Tables - Part 2'!$AV$6:$AV$13,0),MATCH('SCC_Sulfide (SSC)'!$S18,'Tables - Part 2'!$AX$5:$BA$5,0)))/2,0)</f>
        <v>0</v>
      </c>
      <c r="AW18" s="248">
        <f>IF($R18=$AW$3,(((INDEX('Tables - Part 2'!$BF$6:$BI$13,MATCH('SCC_Sulfide (SSC)'!$V18,'Tables - Part 2'!$AV$6:$AV$13,0),MATCH('SCC_Sulfide (SSC)'!$S18,'Tables - Part 2'!$AX$5:$BA$5,0))+INDEX('Tables - Part 2'!$AX$17:$BA$24,MATCH('SCC_Sulfide (SSC)'!$V18,'Tables - Part 2'!$AV$6:$AV$13,0),MATCH('SCC_Sulfide (SSC)'!$S18,'Tables - Part 2'!$AX$5:$BA$5,0)))/2)+((((INDEX('Tables - Part 2'!$BF$6:$BI$13,MATCH('SCC_Sulfide (SSC)'!$V18,'Tables - Part 2'!$AV$6:$AV$13,0),MATCH('SCC_Sulfide (SSC)'!$S18,'Tables - Part 2'!$AX$5:$BA$5,0))+INDEX('Tables - Part 2'!$AX$17:$BA$24,MATCH('SCC_Sulfide (SSC)'!$V18,'Tables - Part 2'!$AV$6:$AV$13,0),MATCH('SCC_Sulfide (SSC)'!$S18,'Tables - Part 2'!$AX$5:$BA$5,0)))/2)+INDEX('Tables - Part 2'!$AX$17:$BA$24,MATCH('SCC_Sulfide (SSC)'!$V18,'Tables - Part 2'!$AV$6:$AV$13,0),MATCH('SCC_Sulfide (SSC)'!$S18,'Tables - Part 2'!$AX$5:$BA$5,0)))/2))/2,0)</f>
        <v>0</v>
      </c>
      <c r="AX18" s="248">
        <f>IF($R18=$AX$3,(((INDEX('Tables - Part 2'!$BF$6:$BI$13,MATCH('SCC_Sulfide (SSC)'!$V18,'Tables - Part 2'!$AV$6:$AV$13,0),MATCH('SCC_Sulfide (SSC)'!$S18,'Tables - Part 2'!$AX$5:$BA$5,0))+INDEX('Tables - Part 2'!$AX$17:$BA$24,MATCH('SCC_Sulfide (SSC)'!$V18,'Tables - Part 2'!$AV$6:$AV$13,0),MATCH('SCC_Sulfide (SSC)'!$S18,'Tables - Part 2'!$AX$5:$BA$5,0)))/2)+INDEX('Tables - Part 2'!$AX$17:$BA$24,MATCH('SCC_Sulfide (SSC)'!$V18,'Tables - Part 2'!$AV$6:$AV$13,0),MATCH('SCC_Sulfide (SSC)'!$S18,'Tables - Part 2'!$AX$5:$BA$5,0)))/2,0)</f>
        <v>0</v>
      </c>
      <c r="AY18" s="248">
        <f>IF($R18=$AY$3,(((((INDEX('Tables - Part 2'!$BF$6:$BI$13,MATCH('SCC_Sulfide (SSC)'!$V18,'Tables - Part 2'!$AV$6:$AV$13,0),MATCH('SCC_Sulfide (SSC)'!$S18,'Tables - Part 2'!$AX$5:$BA$5,0))+INDEX('Tables - Part 2'!$AX$17:$BA$24,MATCH('SCC_Sulfide (SSC)'!$V18,'Tables - Part 2'!$AV$6:$AV$13,0),MATCH('SCC_Sulfide (SSC)'!$S18,'Tables - Part 2'!$AX$5:$BA$5,0)))/2)+INDEX('Tables - Part 2'!$AX$17:$BA$24,MATCH('SCC_Sulfide (SSC)'!$V18,'Tables - Part 2'!$AV$6:$AV$13,0),MATCH('SCC_Sulfide (SSC)'!$S18,'Tables - Part 2'!$AX$5:$BA$5,0)))/2)+(INDEX('Tables - Part 2'!$AX$17:$BA$24,MATCH('SCC_Sulfide (SSC)'!$V18,'Tables - Part 2'!$AV$6:$AV$13,0),MATCH('SCC_Sulfide (SSC)'!$S18,'Tables - Part 2'!$AX$5:$BA$5,0))))/2,0)</f>
        <v>0</v>
      </c>
      <c r="AZ18" s="248">
        <f>IF($R18=$AZ$3,INDEX('Tables - Part 2'!$AX$17:$BA$24,MATCH('SCC_Sulfide (SSC)'!$V18,'Tables - Part 2'!$AV$6:$AV$13,0),MATCH('SCC_Sulfide (SSC)'!$S18,'Tables - Part 2'!$AX$5:$BA$5,0)),0)</f>
        <v>0</v>
      </c>
      <c r="BA18" s="248">
        <f>IF($R18=$BA$3,((INDEX('Tables - Part 2'!$AX$17:$BA$24,MATCH('SCC_Sulfide (SSC)'!$V18,'Tables - Part 2'!$AV$6:$AV$13,0),MATCH('SCC_Sulfide (SSC)'!$S18,'Tables - Part 2'!$AX$5:$BA$5,0)))+(((INDEX('Tables - Part 2'!$AX$17:$BA$24,MATCH('SCC_Sulfide (SSC)'!$V18,'Tables - Part 2'!$AV$6:$AV$13,0),MATCH('SCC_Sulfide (SSC)'!$S18,'Tables - Part 2'!$AX$5:$BA$5,0)))+(INDEX('Tables - Part 2'!$AX$17:$BA$24,MATCH('SCC_Sulfide (SSC)'!$V18,'Tables - Part 2'!$AV$6:$AV$13,0),MATCH('SCC_Sulfide (SSC)'!$S18,'Tables - Part 2'!$AX$5:$BA$5,0))+INDEX('Tables - Part 2'!$BB$17:$BE$24,MATCH('SCC_Sulfide (SSC)'!$V18,'Tables - Part 2'!$AV$6:$AV$13,0),MATCH('SCC_Sulfide (SSC)'!$S18,'Tables - Part 2'!$AX$5:$BA$5,0)))/2)/2))/2,0)</f>
        <v>0</v>
      </c>
      <c r="BB18" s="248">
        <f>IF($R18=$BB$3,((INDEX('Tables - Part 2'!$AX$17:$BA$24,MATCH('SCC_Sulfide (SSC)'!$V18,'Tables - Part 2'!$AV$6:$AV$13,0),MATCH('SCC_Sulfide (SSC)'!$S18,'Tables - Part 2'!$AX$5:$BA$5,0)))+(INDEX('Tables - Part 2'!$AX$17:$BA$24,MATCH('SCC_Sulfide (SSC)'!$V18,'Tables - Part 2'!$AV$6:$AV$13,0),MATCH('SCC_Sulfide (SSC)'!$S18,'Tables - Part 2'!$AX$5:$BA$5,0))+INDEX('Tables - Part 2'!$BB$17:$BE$24,MATCH('SCC_Sulfide (SSC)'!$V18,'Tables - Part 2'!$AV$6:$AV$13,0),MATCH('SCC_Sulfide (SSC)'!$S18,'Tables - Part 2'!$AX$5:$BA$5,0)))/2)/2,0)</f>
        <v>0</v>
      </c>
      <c r="BC18" s="248">
        <f>IF($R18=$BC$3,((((INDEX('Tables - Part 2'!$AX$17:$BA$24,MATCH('SCC_Sulfide (SSC)'!$V18,'Tables - Part 2'!$AV$6:$AV$13,0),MATCH('SCC_Sulfide (SSC)'!$S18,'Tables - Part 2'!$AX$5:$BA$5,0)))+(INDEX('Tables - Part 2'!$AX$17:$BA$24,MATCH('SCC_Sulfide (SSC)'!$V18,'Tables - Part 2'!$AV$6:$AV$13,0),MATCH('SCC_Sulfide (SSC)'!$S18,'Tables - Part 2'!$AX$5:$BA$5,0))+INDEX('Tables - Part 2'!$BB$17:$BE$24,MATCH('SCC_Sulfide (SSC)'!$V18,'Tables - Part 2'!$AV$6:$AV$13,0),MATCH('SCC_Sulfide (SSC)'!$S18,'Tables - Part 2'!$AX$5:$BA$5,0)))/2)/2)+((INDEX('Tables - Part 2'!$AX$17:$BA$24,MATCH('SCC_Sulfide (SSC)'!$V18,'Tables - Part 2'!$AV$6:$AV$13,0),MATCH('SCC_Sulfide (SSC)'!$S18,'Tables - Part 2'!$AX$5:$BA$5,0))+INDEX('Tables - Part 2'!$BB$17:$BE$24,MATCH('SCC_Sulfide (SSC)'!$V18,'Tables - Part 2'!$AV$6:$AV$13,0),MATCH('SCC_Sulfide (SSC)'!$S18,'Tables - Part 2'!$AX$5:$BA$5,0)))/2))/2,0)</f>
        <v>0</v>
      </c>
      <c r="BD18" s="248">
        <f>IF($R18=$BD$3,(INDEX('Tables - Part 2'!$AX$17:$BA$24,MATCH('SCC_Sulfide (SSC)'!$V18,'Tables - Part 2'!$AV$6:$AV$13,0),MATCH('SCC_Sulfide (SSC)'!$S18,'Tables - Part 2'!$AX$5:$BA$5,0))+INDEX('Tables - Part 2'!$BB$17:$BE$24,MATCH('SCC_Sulfide (SSC)'!$V18,'Tables - Part 2'!$AV$6:$AV$13,0),MATCH('SCC_Sulfide (SSC)'!$S18,'Tables - Part 2'!$AX$5:$BA$5,0)))/2,0)</f>
        <v>0</v>
      </c>
      <c r="BE18" s="248">
        <f>IF($R18=$BE$3,(((INDEX('Tables - Part 2'!$AX$17:$BA$24,MATCH('SCC_Sulfide (SSC)'!$V18,'Tables - Part 2'!$AV$6:$AV$13,0),MATCH('SCC_Sulfide (SSC)'!$S18,'Tables - Part 2'!$AX$5:$BA$5,0))+INDEX('Tables - Part 2'!$BB$17:$BE$24,MATCH('SCC_Sulfide (SSC)'!$V18,'Tables - Part 2'!$AV$6:$AV$13,0),MATCH('SCC_Sulfide (SSC)'!$S18,'Tables - Part 2'!$AX$5:$BA$5,0)))/2)+((((INDEX('Tables - Part 2'!$AX$17:$BA$24,MATCH('SCC_Sulfide (SSC)'!$V18,'Tables - Part 2'!$AV$6:$AV$13,0),MATCH('SCC_Sulfide (SSC)'!$S18,'Tables - Part 2'!$AX$5:$BA$5,0))+INDEX('Tables - Part 2'!$BB$17:$BE$24,MATCH('SCC_Sulfide (SSC)'!$V18,'Tables - Part 2'!$AV$6:$AV$13,0),MATCH('SCC_Sulfide (SSC)'!$S18,'Tables - Part 2'!$AX$5:$BA$5,0)))/2)+INDEX('Tables - Part 2'!$BB$17:$BE$24,MATCH('SCC_Sulfide (SSC)'!$V18,'Tables - Part 2'!$AV$6:$AV$13,0),MATCH('SCC_Sulfide (SSC)'!$S18,'Tables - Part 2'!$AX$5:$BA$5,0)))/2))/2,0)</f>
        <v>0</v>
      </c>
      <c r="BF18" s="248">
        <f>IF($R18=$BF$3,(((INDEX('Tables - Part 2'!$AX$17:$BA$24,MATCH('SCC_Sulfide (SSC)'!$V18,'Tables - Part 2'!$AV$6:$AV$13,0),MATCH('SCC_Sulfide (SSC)'!$S18,'Tables - Part 2'!$AX$5:$BA$5,0))+INDEX('Tables - Part 2'!$BB$17:$BE$24,MATCH('SCC_Sulfide (SSC)'!$V18,'Tables - Part 2'!$AV$6:$AV$13,0),MATCH('SCC_Sulfide (SSC)'!$S18,'Tables - Part 2'!$AX$5:$BA$5,0)))/2)+INDEX('Tables - Part 2'!$BB$17:$BE$24,MATCH('SCC_Sulfide (SSC)'!$V18,'Tables - Part 2'!$AV$6:$AV$13,0),MATCH('SCC_Sulfide (SSC)'!$S18,'Tables - Part 2'!$AX$5:$BA$5,0)))/2,0)</f>
        <v>0</v>
      </c>
      <c r="BG18" s="248">
        <f>IF($R18=$BG$3,(((((INDEX('Tables - Part 2'!$AX$17:$BA$24,MATCH('SCC_Sulfide (SSC)'!$V18,'Tables - Part 2'!$AV$6:$AV$13,0),MATCH('SCC_Sulfide (SSC)'!$S18,'Tables - Part 2'!$AX$5:$BA$5,0))+INDEX('Tables - Part 2'!$BB$17:$BE$24,MATCH('SCC_Sulfide (SSC)'!$V18,'Tables - Part 2'!$AV$6:$AV$13,0),MATCH('SCC_Sulfide (SSC)'!$S18,'Tables - Part 2'!$AX$5:$BA$5,0)))/2)+INDEX('Tables - Part 2'!$BB$17:$BE$24,MATCH('SCC_Sulfide (SSC)'!$V18,'Tables - Part 2'!$AV$6:$AV$13,0),MATCH('SCC_Sulfide (SSC)'!$S18,'Tables - Part 2'!$AX$5:$BA$5,0)))/2)+(INDEX('Tables - Part 2'!$BB$17:$BE$24,MATCH('SCC_Sulfide (SSC)'!$V18,'Tables - Part 2'!$AV$6:$AV$13,0),MATCH('SCC_Sulfide (SSC)'!$S18,'Tables - Part 2'!$AX$5:$BA$5,0))))/2,0)</f>
        <v>0</v>
      </c>
      <c r="BH18" s="248">
        <f>IF($R18=$BH$3,INDEX('Tables - Part 2'!$BB$17:$BE$24,MATCH('SCC_Sulfide (SSC)'!$V18,'Tables - Part 2'!$AV$6:$AV$13,0),MATCH('SCC_Sulfide (SSC)'!$S18,'Tables - Part 2'!$AX$5:$BA$5,0)),0)</f>
        <v>0</v>
      </c>
      <c r="BI18" s="248">
        <f>IF($R18=$BI$3,((INDEX('Tables - Part 2'!$BB$17:$BE$24,MATCH('SCC_Sulfide (SSC)'!$V18,'Tables - Part 2'!$AV$6:$AV$13,0),MATCH('SCC_Sulfide (SSC)'!$S18,'Tables - Part 2'!$AX$5:$BA$5,0)))+(((INDEX('Tables - Part 2'!$BB$17:$BE$24,MATCH('SCC_Sulfide (SSC)'!$V18,'Tables - Part 2'!$AV$6:$AV$13,0),MATCH('SCC_Sulfide (SSC)'!$S18,'Tables - Part 2'!$AX$5:$BA$5,0)))+(INDEX('Tables - Part 2'!$BB$17:$BE$24,MATCH('SCC_Sulfide (SSC)'!$V18,'Tables - Part 2'!$AV$6:$AV$13,0),MATCH('SCC_Sulfide (SSC)'!$S18,'Tables - Part 2'!$AX$5:$BA$5,0))+INDEX('Tables - Part 2'!$BF$17:$BI$24,MATCH('SCC_Sulfide (SSC)'!$V18,'Tables - Part 2'!$AV$6:$AV$13,0),MATCH('SCC_Sulfide (SSC)'!$S18,'Tables - Part 2'!$AX$5:$BA$5,0)))/2)/2))/2,0)</f>
        <v>0</v>
      </c>
      <c r="BJ18" s="248">
        <f>IF($R18=$BJ$3,((INDEX('Tables - Part 2'!$BB$17:$BE$24,MATCH('SCC_Sulfide (SSC)'!$V18,'Tables - Part 2'!$AV$6:$AV$13,0),MATCH('SCC_Sulfide (SSC)'!$S18,'Tables - Part 2'!$AX$5:$BA$5,0)))+(INDEX('Tables - Part 2'!$BB$17:$BE$24,MATCH('SCC_Sulfide (SSC)'!$V18,'Tables - Part 2'!$AV$6:$AV$13,0),MATCH('SCC_Sulfide (SSC)'!$S18,'Tables - Part 2'!$AX$5:$BA$5,0))+INDEX('Tables - Part 2'!$BF$17:$BI$24,MATCH('SCC_Sulfide (SSC)'!$V18,'Tables - Part 2'!$AV$6:$AV$13,0),MATCH('SCC_Sulfide (SSC)'!$S18,'Tables - Part 2'!$AX$5:$BA$5,0)))/2)/2,0)</f>
        <v>0</v>
      </c>
      <c r="BK18" s="248">
        <f>IF($R18=$BK$3,((((INDEX('Tables - Part 2'!$BB$17:$BE$24,MATCH('SCC_Sulfide (SSC)'!$V18,'Tables - Part 2'!$AV$6:$AV$13,0),MATCH('SCC_Sulfide (SSC)'!$S18,'Tables - Part 2'!$AX$5:$BA$5,0)))+(INDEX('Tables - Part 2'!$BB$17:$BE$24,MATCH('SCC_Sulfide (SSC)'!$V18,'Tables - Part 2'!$AV$6:$AV$13,0),MATCH('SCC_Sulfide (SSC)'!$S18,'Tables - Part 2'!$AX$5:$BA$5,0))+INDEX('Tables - Part 2'!$BF$17:$BI$24,MATCH('SCC_Sulfide (SSC)'!$V18,'Tables - Part 2'!$AV$6:$AV$13,0),MATCH('SCC_Sulfide (SSC)'!$S18,'Tables - Part 2'!$AX$5:$BA$5,0)))/2)/2)+((INDEX('Tables - Part 2'!$BB$17:$BE$24,MATCH('SCC_Sulfide (SSC)'!$V18,'Tables - Part 2'!$AV$6:$AV$13,0),MATCH('SCC_Sulfide (SSC)'!$S18,'Tables - Part 2'!$AX$5:$BA$5,0))+INDEX('Tables - Part 2'!$BF$17:$BI$24,MATCH('SCC_Sulfide (SSC)'!$V18,'Tables - Part 2'!$AV$6:$AV$13,0),MATCH('SCC_Sulfide (SSC)'!$S18,'Tables - Part 2'!$AX$5:$BA$5,0)))/2))/2,0)</f>
        <v>0</v>
      </c>
      <c r="BL18" s="248">
        <f>IF($R18=$BL$3,(INDEX('Tables - Part 2'!$BB$17:$BE$24,MATCH('SCC_Sulfide (SSC)'!$V18,'Tables - Part 2'!$AV$6:$AV$13,0),MATCH('SCC_Sulfide (SSC)'!$S18,'Tables - Part 2'!$AX$5:$BA$5,0))+INDEX('Tables - Part 2'!$BF$17:$BI$24,MATCH('SCC_Sulfide (SSC)'!$V18,'Tables - Part 2'!$AV$6:$AV$13,0),MATCH('SCC_Sulfide (SSC)'!$S18,'Tables - Part 2'!$AX$5:$BA$5,0)))/2,0)</f>
        <v>0</v>
      </c>
      <c r="BM18" s="248">
        <f>IF($R18=$BM$3,(((INDEX('Tables - Part 2'!$BB$17:$BE$24,MATCH('SCC_Sulfide (SSC)'!$V18,'Tables - Part 2'!$AV$6:$AV$13,0),MATCH('SCC_Sulfide (SSC)'!$S18,'Tables - Part 2'!$AX$5:$BA$5,0))+INDEX('Tables - Part 2'!$BF$17:$BI$24,MATCH('SCC_Sulfide (SSC)'!$V18,'Tables - Part 2'!$AV$6:$AV$13,0),MATCH('SCC_Sulfide (SSC)'!$S18,'Tables - Part 2'!$AX$5:$BA$5,0)))/2)+((((INDEX('Tables - Part 2'!$BB$17:$BE$24,MATCH('SCC_Sulfide (SSC)'!$V18,'Tables - Part 2'!$AV$6:$AV$13,0),MATCH('SCC_Sulfide (SSC)'!$S18,'Tables - Part 2'!$AX$5:$BA$5,0))+INDEX('Tables - Part 2'!$BF$17:$BI$24,MATCH('SCC_Sulfide (SSC)'!$V18,'Tables - Part 2'!$AV$6:$AV$13,0),MATCH('SCC_Sulfide (SSC)'!$S18,'Tables - Part 2'!$AX$5:$BA$5,0)))/2)+INDEX('Tables - Part 2'!$BF$17:$BI$24,MATCH('SCC_Sulfide (SSC)'!$V18,'Tables - Part 2'!$AV$6:$AV$13,0),MATCH('SCC_Sulfide (SSC)'!$S18,'Tables - Part 2'!$AX$5:$BA$5,0)))/2))/2,0)</f>
        <v>0</v>
      </c>
      <c r="BN18" s="248">
        <f>IF($R18=$BN$3,(((INDEX('Tables - Part 2'!$BB$17:$BE$24,MATCH('SCC_Sulfide (SSC)'!$V18,'Tables - Part 2'!$AV$6:$AV$13,0),MATCH('SCC_Sulfide (SSC)'!$S18,'Tables - Part 2'!$AX$5:$BA$5,0))+INDEX('Tables - Part 2'!$BF$17:$BI$24,MATCH('SCC_Sulfide (SSC)'!$V18,'Tables - Part 2'!$AV$6:$AV$13,0),MATCH('SCC_Sulfide (SSC)'!$S18,'Tables - Part 2'!$AX$5:$BA$5,0)))/2)+INDEX('Tables - Part 2'!$BF$17:$BI$24,MATCH('SCC_Sulfide (SSC)'!$V18,'Tables - Part 2'!$AV$6:$AV$13,0),MATCH('SCC_Sulfide (SSC)'!$S18,'Tables - Part 2'!$AX$5:$BA$5,0)))/2,0)</f>
        <v>0</v>
      </c>
      <c r="BO18" s="248">
        <f>IF($R18=$BO$3,(((((INDEX('Tables - Part 2'!$BB$17:$BE$24,MATCH('SCC_Sulfide (SSC)'!$V18,'Tables - Part 2'!$AV$6:$AV$13,0),MATCH('SCC_Sulfide (SSC)'!$S18,'Tables - Part 2'!$AX$5:$BA$5,0))+INDEX('Tables - Part 2'!$BF$17:$BI$24,MATCH('SCC_Sulfide (SSC)'!$V18,'Tables - Part 2'!$AV$6:$AV$13,0),MATCH('SCC_Sulfide (SSC)'!$S18,'Tables - Part 2'!$AX$5:$BA$5,0)))/2)+INDEX('Tables - Part 2'!$BF$17:$BI$24,MATCH('SCC_Sulfide (SSC)'!$V18,'Tables - Part 2'!$AV$6:$AV$13,0),MATCH('SCC_Sulfide (SSC)'!$S18,'Tables - Part 2'!$AX$5:$BA$5,0)))/2)+(INDEX('Tables - Part 2'!$BF$17:$BI$24,MATCH('SCC_Sulfide (SSC)'!$V18,'Tables - Part 2'!$AV$6:$AV$13,0),MATCH('SCC_Sulfide (SSC)'!$S18,'Tables - Part 2'!$AX$5:$BA$5,0))))/2,0)</f>
        <v>0</v>
      </c>
      <c r="BP18" s="248">
        <f>IF($R18=$BP$3,INDEX('Tables - Part 2'!$BF$17:$BI$24,MATCH('SCC_Sulfide (SSC)'!$V18,'Tables - Part 2'!$AV$6:$AV$13,0),MATCH('SCC_Sulfide (SSC)'!$S18,'Tables - Part 2'!$AX$5:$BA$5,0)),0)</f>
        <v>0</v>
      </c>
      <c r="BQ18" s="248">
        <f t="shared" si="6"/>
        <v>0</v>
      </c>
      <c r="BR18" s="238">
        <f t="shared" si="8"/>
        <v>1</v>
      </c>
      <c r="BS18" s="238">
        <f t="shared" si="7"/>
        <v>16.77288246840839</v>
      </c>
    </row>
    <row r="19" spans="2:71" x14ac:dyDescent="0.35">
      <c r="B19" s="161" t="str">
        <f>'Tratamento de Dados'!B27</f>
        <v>V-8</v>
      </c>
      <c r="C19" s="161" t="str">
        <f>'Tratamento de Dados'!D27</f>
        <v>Casco</v>
      </c>
      <c r="D19" s="209" t="s">
        <v>245</v>
      </c>
      <c r="E19" s="209" t="s">
        <v>61</v>
      </c>
      <c r="F19" s="209" t="s">
        <v>836</v>
      </c>
      <c r="G19" s="209" t="s">
        <v>832</v>
      </c>
      <c r="H19" s="209" t="s">
        <v>245</v>
      </c>
      <c r="I19" s="209" t="s">
        <v>1113</v>
      </c>
      <c r="J19" s="209" t="s">
        <v>245</v>
      </c>
      <c r="K19" s="210">
        <v>39092</v>
      </c>
      <c r="L19" s="209">
        <v>0</v>
      </c>
      <c r="M19" s="209">
        <v>1</v>
      </c>
      <c r="N19" s="209">
        <v>1</v>
      </c>
      <c r="O19" s="209">
        <v>4</v>
      </c>
      <c r="P19" s="253">
        <f>'Tratamento de Dados'!DA27</f>
        <v>0</v>
      </c>
      <c r="Q19" s="253">
        <f>'Tratamento de Dados'!DB27</f>
        <v>0</v>
      </c>
      <c r="R19" s="256">
        <f t="shared" si="0"/>
        <v>2.5</v>
      </c>
      <c r="S19" s="246" t="str">
        <f t="shared" si="1"/>
        <v>B</v>
      </c>
      <c r="T19" s="238" t="str">
        <f>IF(D19=$BX$2,$BV$4,IF(AND(H19=$BX$2,OR(F19='Tables - Part 2'!$BN$8,'Tables - Part 2'!$BN$9),OR('SCC_Sulfide (SSC)'!G19='Tables - Part 2'!$BQ$4,'SCC_Sulfide (SSC)'!G19='Tables - Part 2'!$BR$4)),$BV$4,INDEX('Tables - Part 2'!$BO$5:$BR$9,MATCH('SCC_Sulfide (SSC)'!F19,'Tables - Part 2'!$BN$5:$BN$9,0),MATCH('SCC_Sulfide (SSC)'!G19,'Tables - Part 2'!$BO$4:$BR$4,0))))</f>
        <v>Moderate</v>
      </c>
      <c r="U19" s="238" t="str">
        <f>IF(D19=$BX$2,$BV$4,IF(J19=$BX$2,INDEX('Tables - Part 2'!$BX$6:$BZ$8,MATCH('SCC_Sulfide (SSC)'!T19,'Tables - Part 2'!$BT$6:$BT$8,0),MATCH('SCC_Sulfide (SSC)'!I19,'Tables - Part 2'!$BX$5:$BZ$5,0)),INDEX('Tables - Part 2'!$BU$6:$BW$8,MATCH('SCC_Sulfide (SSC)'!T19,'Tables - Part 2'!$BT$6:$BT$8,0),MATCH('SCC_Sulfide (SSC)'!I19,'Tables - Part 2'!$BU$5:$BW$5,0))))</f>
        <v>Medium</v>
      </c>
      <c r="V19" s="238">
        <f>IF(AND(D19=$BX$2,E19&lt;&gt;$BX$2),"Fitness-For-Service",INDEX('Tables - Part 2'!$CC$4:$CC$7,MATCH('SCC_Sulfide (SSC)'!U19,'Tables - Part 2'!$CB$4:$CB$7,0),))</f>
        <v>10</v>
      </c>
      <c r="W19" s="238">
        <f>IF(K19=0,(Thinning!G20-Thinning!F20)/365.25,(Thinning!G20-K19)/365.25)</f>
        <v>12.980150581793293</v>
      </c>
      <c r="X19" s="248">
        <f t="shared" si="2"/>
        <v>0</v>
      </c>
      <c r="Y19" s="248">
        <f t="shared" si="3"/>
        <v>2.5</v>
      </c>
      <c r="Z19" s="248">
        <f t="shared" si="4"/>
        <v>3</v>
      </c>
      <c r="AA19" s="247">
        <f t="shared" si="5"/>
        <v>4</v>
      </c>
      <c r="AB19" s="248">
        <f>IF($R19=$AB$3,INDEX('Tables - Part 2'!$AX$6:$BA$13,MATCH('SCC_Sulfide (SSC)'!V19,'Tables - Part 2'!$AV$6:$AV$13,0),MATCH('SCC_Sulfide (SSC)'!S19,'Tables - Part 2'!$AX$5:$BA$5,0)),0)</f>
        <v>0</v>
      </c>
      <c r="AC19" s="248">
        <f>IF($R19=$AC$3,(INDEX('Tables - Part 2'!$AX$6:$BA$13,MATCH('SCC_Sulfide (SSC)'!V19,'Tables - Part 2'!$AV$6:$AV$13,0),MATCH('SCC_Sulfide (SSC)'!S19,'Tables - Part 2'!$AX$5:$BA$5,0))+(INDEX('Tables - Part 2'!$AX$6:$BA$13,MATCH('SCC_Sulfide (SSC)'!V19,'Tables - Part 2'!$AV$6:$AV$13,0),MATCH('SCC_Sulfide (SSC)'!S19,'Tables - Part 2'!$AX$5:$BA$5,0))+((INDEX('Tables - Part 2'!$AX$6:$BA$13,MATCH('SCC_Sulfide (SSC)'!V19,'Tables - Part 2'!$AV$6:$AV$13,0),MATCH('SCC_Sulfide (SSC)'!S19,'Tables - Part 2'!$AX$5:$BA$5,0))+INDEX('Tables - Part 2'!$BB$6:$BE$13,MATCH('SCC_Sulfide (SSC)'!$V19,'Tables - Part 2'!$AV$6:$AV$13,0),MATCH('SCC_Sulfide (SSC)'!$S19,'Tables - Part 2'!$AX$5:$BA$5,0)))/2))/2)/2,0)</f>
        <v>0</v>
      </c>
      <c r="AD19" s="248">
        <f>IF($R19=$AD$3,(INDEX('Tables - Part 2'!$AX$6:$BA$13,MATCH('SCC_Sulfide (SSC)'!V19,'Tables - Part 2'!$AV$6:$AV$13,0),MATCH('SCC_Sulfide (SSC)'!S19,'Tables - Part 2'!$AX$5:$BA$5,0))+((INDEX('Tables - Part 2'!$AX$6:$BA$13,MATCH('SCC_Sulfide (SSC)'!V19,'Tables - Part 2'!$AV$6:$AV$13,0),MATCH('SCC_Sulfide (SSC)'!S19,'Tables - Part 2'!$AX$5:$BA$5,0))+INDEX('Tables - Part 2'!$BB$6:$BE$13,MATCH('SCC_Sulfide (SSC)'!$V19,'Tables - Part 2'!$AV$6:$AV$13,0),MATCH('SCC_Sulfide (SSC)'!$S19,'Tables - Part 2'!$AX$5:$BA$5,0)))/2))/2,0)</f>
        <v>0</v>
      </c>
      <c r="AE19" s="248">
        <f>IF($R19=$AE$3,(((INDEX('Tables - Part 2'!$AX$6:$BA$13,MATCH('SCC_Sulfide (SSC)'!V19,'Tables - Part 2'!$AV$6:$AV$13,0),MATCH('SCC_Sulfide (SSC)'!S19,'Tables - Part 2'!$AX$5:$BA$5,0))+((INDEX('Tables - Part 2'!$AX$6:$BA$13,MATCH('SCC_Sulfide (SSC)'!V19,'Tables - Part 2'!$AV$6:$AV$13,0),MATCH('SCC_Sulfide (SSC)'!S19,'Tables - Part 2'!$AX$5:$BA$5,0))+INDEX('Tables - Part 2'!$BB$6:$BE$13,MATCH('SCC_Sulfide (SSC)'!$V19,'Tables - Part 2'!$AV$6:$AV$13,0),MATCH('SCC_Sulfide (SSC)'!$S19,'Tables - Part 2'!$AX$5:$BA$5,0)))/2))/2)+(INDEX('Tables - Part 2'!$AX$6:$BA$13,MATCH('SCC_Sulfide (SSC)'!V19,'Tables - Part 2'!$AV$6:$AV$13,0),MATCH('SCC_Sulfide (SSC)'!S19,'Tables - Part 2'!$AX$5:$BA$5,0))+INDEX('Tables - Part 2'!$BB$6:$BE$13,MATCH('SCC_Sulfide (SSC)'!$V19,'Tables - Part 2'!$AV$6:$AV$13,0),MATCH('SCC_Sulfide (SSC)'!$S19,'Tables - Part 2'!$AX$5:$BA$5,0)))/2)/2,0)</f>
        <v>0</v>
      </c>
      <c r="AF19" s="248">
        <f>IF($R19=$AF$3,(INDEX('Tables - Part 2'!$AX$6:$BA$13,MATCH('SCC_Sulfide (SSC)'!V19,'Tables - Part 2'!$AV$6:$AV$13,0),MATCH('SCC_Sulfide (SSC)'!S19,'Tables - Part 2'!$AX$5:$BA$5,0))+INDEX('Tables - Part 2'!$BB$6:$BE$13,MATCH('SCC_Sulfide (SSC)'!$V19,'Tables - Part 2'!$AV$6:$AV$13,0),MATCH('SCC_Sulfide (SSC)'!$S19,'Tables - Part 2'!$AX$5:$BA$5,0)))/2,0)</f>
        <v>0</v>
      </c>
      <c r="AG19" s="248">
        <f>IF($R19=$AG$3,(((INDEX('Tables - Part 2'!$AX$6:$BA$13,MATCH('SCC_Sulfide (SSC)'!V19,'Tables - Part 2'!$AV$6:$AV$13,0),MATCH('SCC_Sulfide (SSC)'!S19,'Tables - Part 2'!$AX$5:$BA$5,0))+INDEX('Tables - Part 2'!$BB$6:$BE$13,MATCH('SCC_Sulfide (SSC)'!$V19,'Tables - Part 2'!$AV$6:$AV$13,0),MATCH('SCC_Sulfide (SSC)'!$S19,'Tables - Part 2'!$AX$5:$BA$5,0)))/2)+(((INDEX('Tables - Part 2'!$AX$6:$BA$13,MATCH('SCC_Sulfide (SSC)'!V19,'Tables - Part 2'!$AV$6:$AV$13,0),MATCH('SCC_Sulfide (SSC)'!S19,'Tables - Part 2'!$AX$5:$BA$5,0))+INDEX('Tables - Part 2'!$BB$6:$BE$13,MATCH('SCC_Sulfide (SSC)'!$V19,'Tables - Part 2'!$AV$6:$AV$13,0),MATCH('SCC_Sulfide (SSC)'!$S19,'Tables - Part 2'!$AX$5:$BA$5,0)))/2)+INDEX('Tables - Part 2'!$BB$6:$BE$13,MATCH('SCC_Sulfide (SSC)'!$V19,'Tables - Part 2'!$AV$6:$AV$13,0),MATCH('SCC_Sulfide (SSC)'!$S19,'Tables - Part 2'!$AX$5:$BA$5,0)))/2)/2,0)</f>
        <v>0</v>
      </c>
      <c r="AH19" s="248">
        <f>IF($R19=$AH$3,(((INDEX('Tables - Part 2'!$AX$6:$BA$13,MATCH('SCC_Sulfide (SSC)'!V19,'Tables - Part 2'!$AV$6:$AV$13,0),MATCH('SCC_Sulfide (SSC)'!S19,'Tables - Part 2'!$AX$5:$BA$5,0))+INDEX('Tables - Part 2'!$BB$6:$BE$13,MATCH('SCC_Sulfide (SSC)'!$V19,'Tables - Part 2'!$AV$6:$AV$13,0),MATCH('SCC_Sulfide (SSC)'!$S19,'Tables - Part 2'!$AX$5:$BA$5,0)))/2)+INDEX('Tables - Part 2'!$BB$6:$BE$13,MATCH('SCC_Sulfide (SSC)'!$V19,'Tables - Part 2'!$AV$6:$AV$13,0),MATCH('SCC_Sulfide (SSC)'!$S19,'Tables - Part 2'!$AX$5:$BA$5,0)))/2,0)</f>
        <v>0</v>
      </c>
      <c r="AI19" s="248">
        <f>IF($R19=$AI$3,(((((INDEX('Tables - Part 2'!$AX$6:$BA$13,MATCH('SCC_Sulfide (SSC)'!V19,'Tables - Part 2'!$AV$6:$AV$13,0),MATCH('SCC_Sulfide (SSC)'!S19,'Tables - Part 2'!$AX$5:$BA$5,0))+INDEX('Tables - Part 2'!$BB$6:$BE$13,MATCH('SCC_Sulfide (SSC)'!$V19,'Tables - Part 2'!$AV$6:$AV$13,0),MATCH('SCC_Sulfide (SSC)'!$S19,'Tables - Part 2'!$AX$5:$BA$5,0)))/2)+INDEX('Tables - Part 2'!$BB$6:$BE$13,MATCH('SCC_Sulfide (SSC)'!$V19,'Tables - Part 2'!$AV$6:$AV$13,0),MATCH('SCC_Sulfide (SSC)'!$S19,'Tables - Part 2'!$AX$5:$BA$5,0)))/2)+INDEX('Tables - Part 2'!$BB$6:$BE$13,MATCH('SCC_Sulfide (SSC)'!$V19,'Tables - Part 2'!$AV$6:$AV$13,0),MATCH('SCC_Sulfide (SSC)'!$S19,'Tables - Part 2'!$AX$5:$BA$5,0)))/2,0)</f>
        <v>0</v>
      </c>
      <c r="AJ19" s="248">
        <f>IF($R19=$AJ$3,INDEX('Tables - Part 2'!$BB$6:$BE$13,MATCH('SCC_Sulfide (SSC)'!$V19,'Tables - Part 2'!$AV$6:$AV$13,0),MATCH('SCC_Sulfide (SSC)'!$S19,'Tables - Part 2'!$AX$5:$BA$5,0)),0)</f>
        <v>0</v>
      </c>
      <c r="AK19" s="248">
        <f>IF($R19=$AK$3,((INDEX('Tables - Part 2'!$BB$6:$BE$13,MATCH('SCC_Sulfide (SSC)'!$V19,'Tables - Part 2'!$AV$6:$AV$13,0),MATCH('SCC_Sulfide (SSC)'!$S19,'Tables - Part 2'!$AX$5:$BA$5,0)))+(INDEX('Tables - Part 2'!$BB$6:$BE$13,MATCH('SCC_Sulfide (SSC)'!$V19,'Tables - Part 2'!$AV$6:$AV$13,0),MATCH('SCC_Sulfide (SSC)'!$S19,'Tables - Part 2'!$AX$5:$BA$5,0))+(INDEX('Tables - Part 2'!$BB$6:$BE$13,MATCH('SCC_Sulfide (SSC)'!$V19,'Tables - Part 2'!$AV$6:$AV$13,0),MATCH('SCC_Sulfide (SSC)'!$S19,'Tables - Part 2'!$AX$5:$BA$5,0))+INDEX('Tables - Part 2'!$BF$6:$BI$13,MATCH('SCC_Sulfide (SSC)'!$V19,'Tables - Part 2'!$AV$6:$AV$13,0),MATCH('SCC_Sulfide (SSC)'!$S19,'Tables - Part 2'!$AX$5:$BA$5,0)))/2)/2)/2,0)</f>
        <v>0</v>
      </c>
      <c r="AL19" s="248">
        <f>IF($R19=$AL$3,(INDEX('Tables - Part 2'!$BB$6:$BE$13,MATCH('SCC_Sulfide (SSC)'!$V19,'Tables - Part 2'!$AV$6:$AV$13,0),MATCH('SCC_Sulfide (SSC)'!$S19,'Tables - Part 2'!$AX$5:$BA$5,0))+(INDEX('Tables - Part 2'!$BB$6:$BE$13,MATCH('SCC_Sulfide (SSC)'!$V19,'Tables - Part 2'!$AV$6:$AV$13,0),MATCH('SCC_Sulfide (SSC)'!$S19,'Tables - Part 2'!$AX$5:$BA$5,0))+INDEX('Tables - Part 2'!$BF$6:$BI$13,MATCH('SCC_Sulfide (SSC)'!$V19,'Tables - Part 2'!$AV$6:$AV$13,0),MATCH('SCC_Sulfide (SSC)'!$S19,'Tables - Part 2'!$AX$5:$BA$5,0)))/2)/2,0)</f>
        <v>0</v>
      </c>
      <c r="AM19" s="248">
        <f>IF($R19=$AM$3,(((INDEX('Tables - Part 2'!$BB$6:$BE$13,MATCH('SCC_Sulfide (SSC)'!$V19,'Tables - Part 2'!$AV$6:$AV$13,0),MATCH('SCC_Sulfide (SSC)'!$S19,'Tables - Part 2'!$AX$5:$BA$5,0))+(INDEX('Tables - Part 2'!$BB$6:$BE$13,MATCH('SCC_Sulfide (SSC)'!$V19,'Tables - Part 2'!$AV$6:$AV$13,0),MATCH('SCC_Sulfide (SSC)'!$S19,'Tables - Part 2'!$AX$5:$BA$5,0))+INDEX('Tables - Part 2'!$BF$6:$BI$13,MATCH('SCC_Sulfide (SSC)'!$V19,'Tables - Part 2'!$AV$6:$AV$13,0),MATCH('SCC_Sulfide (SSC)'!$S19,'Tables - Part 2'!$AX$5:$BA$5,0)))/2)/2)+((INDEX('Tables - Part 2'!$BB$6:$BE$13,MATCH('SCC_Sulfide (SSC)'!$V19,'Tables - Part 2'!$AV$6:$AV$13,0),MATCH('SCC_Sulfide (SSC)'!$S19,'Tables - Part 2'!$AX$5:$BA$5,0))+INDEX('Tables - Part 2'!$BF$6:$BI$13,MATCH('SCC_Sulfide (SSC)'!$V19,'Tables - Part 2'!$AV$6:$AV$13,0),MATCH('SCC_Sulfide (SSC)'!$S19,'Tables - Part 2'!$AX$5:$BA$5,0)))/2))/2,0)</f>
        <v>0</v>
      </c>
      <c r="AN19" s="248">
        <f>IF($R19=$AN$3,(INDEX('Tables - Part 2'!$BB$6:$BE$13,MATCH('SCC_Sulfide (SSC)'!$V19,'Tables - Part 2'!$AV$6:$AV$13,0),MATCH('SCC_Sulfide (SSC)'!$S19,'Tables - Part 2'!$AX$5:$BA$5,0))+INDEX('Tables - Part 2'!$BF$6:$BI$13,MATCH('SCC_Sulfide (SSC)'!$V19,'Tables - Part 2'!$AV$6:$AV$13,0),MATCH('SCC_Sulfide (SSC)'!$S19,'Tables - Part 2'!$AX$5:$BA$5,0)))/2,0)</f>
        <v>1</v>
      </c>
      <c r="AO19" s="248">
        <f>IF($R19=$AO$3,(((INDEX('Tables - Part 2'!$BB$6:$BE$13,MATCH('SCC_Sulfide (SSC)'!$V19,'Tables - Part 2'!$AV$6:$AV$13,0),MATCH('SCC_Sulfide (SSC)'!$S19,'Tables - Part 2'!$AX$5:$BA$5,0))+INDEX('Tables - Part 2'!$BF$6:$BI$13,MATCH('SCC_Sulfide (SSC)'!$V19,'Tables - Part 2'!$AV$6:$AV$13,0),MATCH('SCC_Sulfide (SSC)'!$S19,'Tables - Part 2'!$AX$5:$BA$5,0)))/2)+((((INDEX('Tables - Part 2'!$BB$6:$BE$13,MATCH('SCC_Sulfide (SSC)'!$V19,'Tables - Part 2'!$AV$6:$AV$13,0),MATCH('SCC_Sulfide (SSC)'!$S19,'Tables - Part 2'!$AX$5:$BA$5,0))+INDEX('Tables - Part 2'!$BF$6:$BI$13,MATCH('SCC_Sulfide (SSC)'!$V19,'Tables - Part 2'!$AV$6:$AV$13,0),MATCH('SCC_Sulfide (SSC)'!$S19,'Tables - Part 2'!$AX$5:$BA$5,0)))/2)+INDEX('Tables - Part 2'!$BF$6:$BI$13,MATCH('SCC_Sulfide (SSC)'!$V19,'Tables - Part 2'!$AV$6:$AV$13,0),MATCH('SCC_Sulfide (SSC)'!$S19,'Tables - Part 2'!$AX$5:$BA$5,0)))/2))/2,0)</f>
        <v>0</v>
      </c>
      <c r="AP19" s="248">
        <f>IF($R19=$AP$3,(((INDEX('Tables - Part 2'!$BB$6:$BE$13,MATCH('SCC_Sulfide (SSC)'!$V19,'Tables - Part 2'!$AV$6:$AV$13,0),MATCH('SCC_Sulfide (SSC)'!$S19,'Tables - Part 2'!$AX$5:$BA$5,0))+INDEX('Tables - Part 2'!$BF$6:$BI$13,MATCH('SCC_Sulfide (SSC)'!$V19,'Tables - Part 2'!$AV$6:$AV$13,0),MATCH('SCC_Sulfide (SSC)'!$S19,'Tables - Part 2'!$AX$5:$BA$5,0)))/2)+INDEX('Tables - Part 2'!$BF$6:$BI$13,MATCH('SCC_Sulfide (SSC)'!$V19,'Tables - Part 2'!$AV$6:$AV$13,0),MATCH('SCC_Sulfide (SSC)'!$S19,'Tables - Part 2'!$AX$5:$BA$5,0)))/2,0)</f>
        <v>0</v>
      </c>
      <c r="AQ19" s="248">
        <f>IF($R19=$AQ$3,(((((INDEX('Tables - Part 2'!$BB$6:$BE$13,MATCH('SCC_Sulfide (SSC)'!$V19,'Tables - Part 2'!$AV$6:$AV$13,0),MATCH('SCC_Sulfide (SSC)'!$S19,'Tables - Part 2'!$AX$5:$BA$5,0))+INDEX('Tables - Part 2'!$BF$6:$BI$13,MATCH('SCC_Sulfide (SSC)'!$V19,'Tables - Part 2'!$AV$6:$AV$13,0),MATCH('SCC_Sulfide (SSC)'!$S19,'Tables - Part 2'!$AX$5:$BA$5,0)))/2)+INDEX('Tables - Part 2'!$BF$6:$BI$13,MATCH('SCC_Sulfide (SSC)'!$V19,'Tables - Part 2'!$AV$6:$AV$13,0),MATCH('SCC_Sulfide (SSC)'!$S19,'Tables - Part 2'!$AX$5:$BA$5,0)))/2)+INDEX('Tables - Part 2'!$BF$6:$BI$13,MATCH('SCC_Sulfide (SSC)'!$V19,'Tables - Part 2'!$AV$6:$AV$13,0),MATCH('SCC_Sulfide (SSC)'!$S19,'Tables - Part 2'!$AX$5:$BA$5,0)))/2,0)</f>
        <v>0</v>
      </c>
      <c r="AR19" s="248">
        <f>IF($R19=$AR$3,INDEX('Tables - Part 2'!$BF$6:$BI$13,MATCH('SCC_Sulfide (SSC)'!$V19,'Tables - Part 2'!$AV$6:$AV$13,0),MATCH('SCC_Sulfide (SSC)'!$S19,'Tables - Part 2'!$AX$5:$BA$5,0)),0)</f>
        <v>0</v>
      </c>
      <c r="AS19" s="248">
        <f>IF($R19=$AS$3,(INDEX('Tables - Part 2'!$BF$6:$BI$13,MATCH('SCC_Sulfide (SSC)'!$V19,'Tables - Part 2'!$AV$6:$AV$13,0),MATCH('SCC_Sulfide (SSC)'!$S19,'Tables - Part 2'!$AX$5:$BA$5,0))+((INDEX('Tables - Part 2'!$BF$6:$BI$13,MATCH('SCC_Sulfide (SSC)'!$V19,'Tables - Part 2'!$AV$6:$AV$13,0),MATCH('SCC_Sulfide (SSC)'!$S19,'Tables - Part 2'!$AX$5:$BA$5,0))+(INDEX('Tables - Part 2'!$BF$6:$BI$13,MATCH('SCC_Sulfide (SSC)'!$V19,'Tables - Part 2'!$AV$6:$AV$13,0),MATCH('SCC_Sulfide (SSC)'!$S19,'Tables - Part 2'!$AX$5:$BA$5,0))+INDEX('Tables - Part 2'!$AX$17:$BA$24,MATCH('SCC_Sulfide (SSC)'!$V19,'Tables - Part 2'!$AV$6:$AV$13,0),MATCH('SCC_Sulfide (SSC)'!$S19,'Tables - Part 2'!$AX$5:$BA$5,0)))/2)/2))/2,0)</f>
        <v>0</v>
      </c>
      <c r="AT19" s="248">
        <f>IF($R19=$AT$3,(INDEX('Tables - Part 2'!$BF$6:$BI$13,MATCH('SCC_Sulfide (SSC)'!$V19,'Tables - Part 2'!$AV$6:$AV$13,0),MATCH('SCC_Sulfide (SSC)'!$S19,'Tables - Part 2'!$AX$5:$BA$5,0))+(INDEX('Tables - Part 2'!$BF$6:$BI$13,MATCH('SCC_Sulfide (SSC)'!$V19,'Tables - Part 2'!$AV$6:$AV$13,0),MATCH('SCC_Sulfide (SSC)'!$S19,'Tables - Part 2'!$AX$5:$BA$5,0))+INDEX('Tables - Part 2'!$AX$17:$BA$24,MATCH('SCC_Sulfide (SSC)'!$V19,'Tables - Part 2'!$AV$6:$AV$13,0),MATCH('SCC_Sulfide (SSC)'!$S19,'Tables - Part 2'!$AX$5:$BA$5,0)))/2)/2,0)</f>
        <v>0</v>
      </c>
      <c r="AU19" s="248">
        <f>IF($R19=$AU$3,(((INDEX('Tables - Part 2'!$BF$6:$BI$13,MATCH('SCC_Sulfide (SSC)'!$V19,'Tables - Part 2'!$AV$6:$AV$13,0),MATCH('SCC_Sulfide (SSC)'!$S19,'Tables - Part 2'!$AX$5:$BA$5,0))+(INDEX('Tables - Part 2'!$BF$6:$BI$13,MATCH('SCC_Sulfide (SSC)'!$V19,'Tables - Part 2'!$AV$6:$AV$13,0),MATCH('SCC_Sulfide (SSC)'!$S19,'Tables - Part 2'!$AX$5:$BA$5,0))+INDEX('Tables - Part 2'!$AX$17:$BA$24,MATCH('SCC_Sulfide (SSC)'!$V19,'Tables - Part 2'!$AV$6:$AV$13,0),MATCH('SCC_Sulfide (SSC)'!$S19,'Tables - Part 2'!$AX$5:$BA$5,0)))/2)/2)+((INDEX('Tables - Part 2'!$BF$6:$BI$13,MATCH('SCC_Sulfide (SSC)'!$V19,'Tables - Part 2'!$AV$6:$AV$13,0),MATCH('SCC_Sulfide (SSC)'!$S19,'Tables - Part 2'!$AX$5:$BA$5,0))+INDEX('Tables - Part 2'!$AX$17:$BA$24,MATCH('SCC_Sulfide (SSC)'!$V19,'Tables - Part 2'!$AV$6:$AV$13,0),MATCH('SCC_Sulfide (SSC)'!$S19,'Tables - Part 2'!$AX$5:$BA$5,0)))/2))/2,0)</f>
        <v>0</v>
      </c>
      <c r="AV19" s="248">
        <f>IF($R19=$AV$3,(INDEX('Tables - Part 2'!$BF$6:$BI$13,MATCH('SCC_Sulfide (SSC)'!$V19,'Tables - Part 2'!$AV$6:$AV$13,0),MATCH('SCC_Sulfide (SSC)'!$S19,'Tables - Part 2'!$AX$5:$BA$5,0))+INDEX('Tables - Part 2'!$AX$17:$BA$24,MATCH('SCC_Sulfide (SSC)'!$V19,'Tables - Part 2'!$AV$6:$AV$13,0),MATCH('SCC_Sulfide (SSC)'!$S19,'Tables - Part 2'!$AX$5:$BA$5,0)))/2,0)</f>
        <v>0</v>
      </c>
      <c r="AW19" s="248">
        <f>IF($R19=$AW$3,(((INDEX('Tables - Part 2'!$BF$6:$BI$13,MATCH('SCC_Sulfide (SSC)'!$V19,'Tables - Part 2'!$AV$6:$AV$13,0),MATCH('SCC_Sulfide (SSC)'!$S19,'Tables - Part 2'!$AX$5:$BA$5,0))+INDEX('Tables - Part 2'!$AX$17:$BA$24,MATCH('SCC_Sulfide (SSC)'!$V19,'Tables - Part 2'!$AV$6:$AV$13,0),MATCH('SCC_Sulfide (SSC)'!$S19,'Tables - Part 2'!$AX$5:$BA$5,0)))/2)+((((INDEX('Tables - Part 2'!$BF$6:$BI$13,MATCH('SCC_Sulfide (SSC)'!$V19,'Tables - Part 2'!$AV$6:$AV$13,0),MATCH('SCC_Sulfide (SSC)'!$S19,'Tables - Part 2'!$AX$5:$BA$5,0))+INDEX('Tables - Part 2'!$AX$17:$BA$24,MATCH('SCC_Sulfide (SSC)'!$V19,'Tables - Part 2'!$AV$6:$AV$13,0),MATCH('SCC_Sulfide (SSC)'!$S19,'Tables - Part 2'!$AX$5:$BA$5,0)))/2)+INDEX('Tables - Part 2'!$AX$17:$BA$24,MATCH('SCC_Sulfide (SSC)'!$V19,'Tables - Part 2'!$AV$6:$AV$13,0),MATCH('SCC_Sulfide (SSC)'!$S19,'Tables - Part 2'!$AX$5:$BA$5,0)))/2))/2,0)</f>
        <v>0</v>
      </c>
      <c r="AX19" s="248">
        <f>IF($R19=$AX$3,(((INDEX('Tables - Part 2'!$BF$6:$BI$13,MATCH('SCC_Sulfide (SSC)'!$V19,'Tables - Part 2'!$AV$6:$AV$13,0),MATCH('SCC_Sulfide (SSC)'!$S19,'Tables - Part 2'!$AX$5:$BA$5,0))+INDEX('Tables - Part 2'!$AX$17:$BA$24,MATCH('SCC_Sulfide (SSC)'!$V19,'Tables - Part 2'!$AV$6:$AV$13,0),MATCH('SCC_Sulfide (SSC)'!$S19,'Tables - Part 2'!$AX$5:$BA$5,0)))/2)+INDEX('Tables - Part 2'!$AX$17:$BA$24,MATCH('SCC_Sulfide (SSC)'!$V19,'Tables - Part 2'!$AV$6:$AV$13,0),MATCH('SCC_Sulfide (SSC)'!$S19,'Tables - Part 2'!$AX$5:$BA$5,0)))/2,0)</f>
        <v>0</v>
      </c>
      <c r="AY19" s="248">
        <f>IF($R19=$AY$3,(((((INDEX('Tables - Part 2'!$BF$6:$BI$13,MATCH('SCC_Sulfide (SSC)'!$V19,'Tables - Part 2'!$AV$6:$AV$13,0),MATCH('SCC_Sulfide (SSC)'!$S19,'Tables - Part 2'!$AX$5:$BA$5,0))+INDEX('Tables - Part 2'!$AX$17:$BA$24,MATCH('SCC_Sulfide (SSC)'!$V19,'Tables - Part 2'!$AV$6:$AV$13,0),MATCH('SCC_Sulfide (SSC)'!$S19,'Tables - Part 2'!$AX$5:$BA$5,0)))/2)+INDEX('Tables - Part 2'!$AX$17:$BA$24,MATCH('SCC_Sulfide (SSC)'!$V19,'Tables - Part 2'!$AV$6:$AV$13,0),MATCH('SCC_Sulfide (SSC)'!$S19,'Tables - Part 2'!$AX$5:$BA$5,0)))/2)+(INDEX('Tables - Part 2'!$AX$17:$BA$24,MATCH('SCC_Sulfide (SSC)'!$V19,'Tables - Part 2'!$AV$6:$AV$13,0),MATCH('SCC_Sulfide (SSC)'!$S19,'Tables - Part 2'!$AX$5:$BA$5,0))))/2,0)</f>
        <v>0</v>
      </c>
      <c r="AZ19" s="248">
        <f>IF($R19=$AZ$3,INDEX('Tables - Part 2'!$AX$17:$BA$24,MATCH('SCC_Sulfide (SSC)'!$V19,'Tables - Part 2'!$AV$6:$AV$13,0),MATCH('SCC_Sulfide (SSC)'!$S19,'Tables - Part 2'!$AX$5:$BA$5,0)),0)</f>
        <v>0</v>
      </c>
      <c r="BA19" s="248">
        <f>IF($R19=$BA$3,((INDEX('Tables - Part 2'!$AX$17:$BA$24,MATCH('SCC_Sulfide (SSC)'!$V19,'Tables - Part 2'!$AV$6:$AV$13,0),MATCH('SCC_Sulfide (SSC)'!$S19,'Tables - Part 2'!$AX$5:$BA$5,0)))+(((INDEX('Tables - Part 2'!$AX$17:$BA$24,MATCH('SCC_Sulfide (SSC)'!$V19,'Tables - Part 2'!$AV$6:$AV$13,0),MATCH('SCC_Sulfide (SSC)'!$S19,'Tables - Part 2'!$AX$5:$BA$5,0)))+(INDEX('Tables - Part 2'!$AX$17:$BA$24,MATCH('SCC_Sulfide (SSC)'!$V19,'Tables - Part 2'!$AV$6:$AV$13,0),MATCH('SCC_Sulfide (SSC)'!$S19,'Tables - Part 2'!$AX$5:$BA$5,0))+INDEX('Tables - Part 2'!$BB$17:$BE$24,MATCH('SCC_Sulfide (SSC)'!$V19,'Tables - Part 2'!$AV$6:$AV$13,0),MATCH('SCC_Sulfide (SSC)'!$S19,'Tables - Part 2'!$AX$5:$BA$5,0)))/2)/2))/2,0)</f>
        <v>0</v>
      </c>
      <c r="BB19" s="248">
        <f>IF($R19=$BB$3,((INDEX('Tables - Part 2'!$AX$17:$BA$24,MATCH('SCC_Sulfide (SSC)'!$V19,'Tables - Part 2'!$AV$6:$AV$13,0),MATCH('SCC_Sulfide (SSC)'!$S19,'Tables - Part 2'!$AX$5:$BA$5,0)))+(INDEX('Tables - Part 2'!$AX$17:$BA$24,MATCH('SCC_Sulfide (SSC)'!$V19,'Tables - Part 2'!$AV$6:$AV$13,0),MATCH('SCC_Sulfide (SSC)'!$S19,'Tables - Part 2'!$AX$5:$BA$5,0))+INDEX('Tables - Part 2'!$BB$17:$BE$24,MATCH('SCC_Sulfide (SSC)'!$V19,'Tables - Part 2'!$AV$6:$AV$13,0),MATCH('SCC_Sulfide (SSC)'!$S19,'Tables - Part 2'!$AX$5:$BA$5,0)))/2)/2,0)</f>
        <v>0</v>
      </c>
      <c r="BC19" s="248">
        <f>IF($R19=$BC$3,((((INDEX('Tables - Part 2'!$AX$17:$BA$24,MATCH('SCC_Sulfide (SSC)'!$V19,'Tables - Part 2'!$AV$6:$AV$13,0),MATCH('SCC_Sulfide (SSC)'!$S19,'Tables - Part 2'!$AX$5:$BA$5,0)))+(INDEX('Tables - Part 2'!$AX$17:$BA$24,MATCH('SCC_Sulfide (SSC)'!$V19,'Tables - Part 2'!$AV$6:$AV$13,0),MATCH('SCC_Sulfide (SSC)'!$S19,'Tables - Part 2'!$AX$5:$BA$5,0))+INDEX('Tables - Part 2'!$BB$17:$BE$24,MATCH('SCC_Sulfide (SSC)'!$V19,'Tables - Part 2'!$AV$6:$AV$13,0),MATCH('SCC_Sulfide (SSC)'!$S19,'Tables - Part 2'!$AX$5:$BA$5,0)))/2)/2)+((INDEX('Tables - Part 2'!$AX$17:$BA$24,MATCH('SCC_Sulfide (SSC)'!$V19,'Tables - Part 2'!$AV$6:$AV$13,0),MATCH('SCC_Sulfide (SSC)'!$S19,'Tables - Part 2'!$AX$5:$BA$5,0))+INDEX('Tables - Part 2'!$BB$17:$BE$24,MATCH('SCC_Sulfide (SSC)'!$V19,'Tables - Part 2'!$AV$6:$AV$13,0),MATCH('SCC_Sulfide (SSC)'!$S19,'Tables - Part 2'!$AX$5:$BA$5,0)))/2))/2,0)</f>
        <v>0</v>
      </c>
      <c r="BD19" s="248">
        <f>IF($R19=$BD$3,(INDEX('Tables - Part 2'!$AX$17:$BA$24,MATCH('SCC_Sulfide (SSC)'!$V19,'Tables - Part 2'!$AV$6:$AV$13,0),MATCH('SCC_Sulfide (SSC)'!$S19,'Tables - Part 2'!$AX$5:$BA$5,0))+INDEX('Tables - Part 2'!$BB$17:$BE$24,MATCH('SCC_Sulfide (SSC)'!$V19,'Tables - Part 2'!$AV$6:$AV$13,0),MATCH('SCC_Sulfide (SSC)'!$S19,'Tables - Part 2'!$AX$5:$BA$5,0)))/2,0)</f>
        <v>0</v>
      </c>
      <c r="BE19" s="248">
        <f>IF($R19=$BE$3,(((INDEX('Tables - Part 2'!$AX$17:$BA$24,MATCH('SCC_Sulfide (SSC)'!$V19,'Tables - Part 2'!$AV$6:$AV$13,0),MATCH('SCC_Sulfide (SSC)'!$S19,'Tables - Part 2'!$AX$5:$BA$5,0))+INDEX('Tables - Part 2'!$BB$17:$BE$24,MATCH('SCC_Sulfide (SSC)'!$V19,'Tables - Part 2'!$AV$6:$AV$13,0),MATCH('SCC_Sulfide (SSC)'!$S19,'Tables - Part 2'!$AX$5:$BA$5,0)))/2)+((((INDEX('Tables - Part 2'!$AX$17:$BA$24,MATCH('SCC_Sulfide (SSC)'!$V19,'Tables - Part 2'!$AV$6:$AV$13,0),MATCH('SCC_Sulfide (SSC)'!$S19,'Tables - Part 2'!$AX$5:$BA$5,0))+INDEX('Tables - Part 2'!$BB$17:$BE$24,MATCH('SCC_Sulfide (SSC)'!$V19,'Tables - Part 2'!$AV$6:$AV$13,0),MATCH('SCC_Sulfide (SSC)'!$S19,'Tables - Part 2'!$AX$5:$BA$5,0)))/2)+INDEX('Tables - Part 2'!$BB$17:$BE$24,MATCH('SCC_Sulfide (SSC)'!$V19,'Tables - Part 2'!$AV$6:$AV$13,0),MATCH('SCC_Sulfide (SSC)'!$S19,'Tables - Part 2'!$AX$5:$BA$5,0)))/2))/2,0)</f>
        <v>0</v>
      </c>
      <c r="BF19" s="248">
        <f>IF($R19=$BF$3,(((INDEX('Tables - Part 2'!$AX$17:$BA$24,MATCH('SCC_Sulfide (SSC)'!$V19,'Tables - Part 2'!$AV$6:$AV$13,0),MATCH('SCC_Sulfide (SSC)'!$S19,'Tables - Part 2'!$AX$5:$BA$5,0))+INDEX('Tables - Part 2'!$BB$17:$BE$24,MATCH('SCC_Sulfide (SSC)'!$V19,'Tables - Part 2'!$AV$6:$AV$13,0),MATCH('SCC_Sulfide (SSC)'!$S19,'Tables - Part 2'!$AX$5:$BA$5,0)))/2)+INDEX('Tables - Part 2'!$BB$17:$BE$24,MATCH('SCC_Sulfide (SSC)'!$V19,'Tables - Part 2'!$AV$6:$AV$13,0),MATCH('SCC_Sulfide (SSC)'!$S19,'Tables - Part 2'!$AX$5:$BA$5,0)))/2,0)</f>
        <v>0</v>
      </c>
      <c r="BG19" s="248">
        <f>IF($R19=$BG$3,(((((INDEX('Tables - Part 2'!$AX$17:$BA$24,MATCH('SCC_Sulfide (SSC)'!$V19,'Tables - Part 2'!$AV$6:$AV$13,0),MATCH('SCC_Sulfide (SSC)'!$S19,'Tables - Part 2'!$AX$5:$BA$5,0))+INDEX('Tables - Part 2'!$BB$17:$BE$24,MATCH('SCC_Sulfide (SSC)'!$V19,'Tables - Part 2'!$AV$6:$AV$13,0),MATCH('SCC_Sulfide (SSC)'!$S19,'Tables - Part 2'!$AX$5:$BA$5,0)))/2)+INDEX('Tables - Part 2'!$BB$17:$BE$24,MATCH('SCC_Sulfide (SSC)'!$V19,'Tables - Part 2'!$AV$6:$AV$13,0),MATCH('SCC_Sulfide (SSC)'!$S19,'Tables - Part 2'!$AX$5:$BA$5,0)))/2)+(INDEX('Tables - Part 2'!$BB$17:$BE$24,MATCH('SCC_Sulfide (SSC)'!$V19,'Tables - Part 2'!$AV$6:$AV$13,0),MATCH('SCC_Sulfide (SSC)'!$S19,'Tables - Part 2'!$AX$5:$BA$5,0))))/2,0)</f>
        <v>0</v>
      </c>
      <c r="BH19" s="248">
        <f>IF($R19=$BH$3,INDEX('Tables - Part 2'!$BB$17:$BE$24,MATCH('SCC_Sulfide (SSC)'!$V19,'Tables - Part 2'!$AV$6:$AV$13,0),MATCH('SCC_Sulfide (SSC)'!$S19,'Tables - Part 2'!$AX$5:$BA$5,0)),0)</f>
        <v>0</v>
      </c>
      <c r="BI19" s="248">
        <f>IF($R19=$BI$3,((INDEX('Tables - Part 2'!$BB$17:$BE$24,MATCH('SCC_Sulfide (SSC)'!$V19,'Tables - Part 2'!$AV$6:$AV$13,0),MATCH('SCC_Sulfide (SSC)'!$S19,'Tables - Part 2'!$AX$5:$BA$5,0)))+(((INDEX('Tables - Part 2'!$BB$17:$BE$24,MATCH('SCC_Sulfide (SSC)'!$V19,'Tables - Part 2'!$AV$6:$AV$13,0),MATCH('SCC_Sulfide (SSC)'!$S19,'Tables - Part 2'!$AX$5:$BA$5,0)))+(INDEX('Tables - Part 2'!$BB$17:$BE$24,MATCH('SCC_Sulfide (SSC)'!$V19,'Tables - Part 2'!$AV$6:$AV$13,0),MATCH('SCC_Sulfide (SSC)'!$S19,'Tables - Part 2'!$AX$5:$BA$5,0))+INDEX('Tables - Part 2'!$BF$17:$BI$24,MATCH('SCC_Sulfide (SSC)'!$V19,'Tables - Part 2'!$AV$6:$AV$13,0),MATCH('SCC_Sulfide (SSC)'!$S19,'Tables - Part 2'!$AX$5:$BA$5,0)))/2)/2))/2,0)</f>
        <v>0</v>
      </c>
      <c r="BJ19" s="248">
        <f>IF($R19=$BJ$3,((INDEX('Tables - Part 2'!$BB$17:$BE$24,MATCH('SCC_Sulfide (SSC)'!$V19,'Tables - Part 2'!$AV$6:$AV$13,0),MATCH('SCC_Sulfide (SSC)'!$S19,'Tables - Part 2'!$AX$5:$BA$5,0)))+(INDEX('Tables - Part 2'!$BB$17:$BE$24,MATCH('SCC_Sulfide (SSC)'!$V19,'Tables - Part 2'!$AV$6:$AV$13,0),MATCH('SCC_Sulfide (SSC)'!$S19,'Tables - Part 2'!$AX$5:$BA$5,0))+INDEX('Tables - Part 2'!$BF$17:$BI$24,MATCH('SCC_Sulfide (SSC)'!$V19,'Tables - Part 2'!$AV$6:$AV$13,0),MATCH('SCC_Sulfide (SSC)'!$S19,'Tables - Part 2'!$AX$5:$BA$5,0)))/2)/2,0)</f>
        <v>0</v>
      </c>
      <c r="BK19" s="248">
        <f>IF($R19=$BK$3,((((INDEX('Tables - Part 2'!$BB$17:$BE$24,MATCH('SCC_Sulfide (SSC)'!$V19,'Tables - Part 2'!$AV$6:$AV$13,0),MATCH('SCC_Sulfide (SSC)'!$S19,'Tables - Part 2'!$AX$5:$BA$5,0)))+(INDEX('Tables - Part 2'!$BB$17:$BE$24,MATCH('SCC_Sulfide (SSC)'!$V19,'Tables - Part 2'!$AV$6:$AV$13,0),MATCH('SCC_Sulfide (SSC)'!$S19,'Tables - Part 2'!$AX$5:$BA$5,0))+INDEX('Tables - Part 2'!$BF$17:$BI$24,MATCH('SCC_Sulfide (SSC)'!$V19,'Tables - Part 2'!$AV$6:$AV$13,0),MATCH('SCC_Sulfide (SSC)'!$S19,'Tables - Part 2'!$AX$5:$BA$5,0)))/2)/2)+((INDEX('Tables - Part 2'!$BB$17:$BE$24,MATCH('SCC_Sulfide (SSC)'!$V19,'Tables - Part 2'!$AV$6:$AV$13,0),MATCH('SCC_Sulfide (SSC)'!$S19,'Tables - Part 2'!$AX$5:$BA$5,0))+INDEX('Tables - Part 2'!$BF$17:$BI$24,MATCH('SCC_Sulfide (SSC)'!$V19,'Tables - Part 2'!$AV$6:$AV$13,0),MATCH('SCC_Sulfide (SSC)'!$S19,'Tables - Part 2'!$AX$5:$BA$5,0)))/2))/2,0)</f>
        <v>0</v>
      </c>
      <c r="BL19" s="248">
        <f>IF($R19=$BL$3,(INDEX('Tables - Part 2'!$BB$17:$BE$24,MATCH('SCC_Sulfide (SSC)'!$V19,'Tables - Part 2'!$AV$6:$AV$13,0),MATCH('SCC_Sulfide (SSC)'!$S19,'Tables - Part 2'!$AX$5:$BA$5,0))+INDEX('Tables - Part 2'!$BF$17:$BI$24,MATCH('SCC_Sulfide (SSC)'!$V19,'Tables - Part 2'!$AV$6:$AV$13,0),MATCH('SCC_Sulfide (SSC)'!$S19,'Tables - Part 2'!$AX$5:$BA$5,0)))/2,0)</f>
        <v>0</v>
      </c>
      <c r="BM19" s="248">
        <f>IF($R19=$BM$3,(((INDEX('Tables - Part 2'!$BB$17:$BE$24,MATCH('SCC_Sulfide (SSC)'!$V19,'Tables - Part 2'!$AV$6:$AV$13,0),MATCH('SCC_Sulfide (SSC)'!$S19,'Tables - Part 2'!$AX$5:$BA$5,0))+INDEX('Tables - Part 2'!$BF$17:$BI$24,MATCH('SCC_Sulfide (SSC)'!$V19,'Tables - Part 2'!$AV$6:$AV$13,0),MATCH('SCC_Sulfide (SSC)'!$S19,'Tables - Part 2'!$AX$5:$BA$5,0)))/2)+((((INDEX('Tables - Part 2'!$BB$17:$BE$24,MATCH('SCC_Sulfide (SSC)'!$V19,'Tables - Part 2'!$AV$6:$AV$13,0),MATCH('SCC_Sulfide (SSC)'!$S19,'Tables - Part 2'!$AX$5:$BA$5,0))+INDEX('Tables - Part 2'!$BF$17:$BI$24,MATCH('SCC_Sulfide (SSC)'!$V19,'Tables - Part 2'!$AV$6:$AV$13,0),MATCH('SCC_Sulfide (SSC)'!$S19,'Tables - Part 2'!$AX$5:$BA$5,0)))/2)+INDEX('Tables - Part 2'!$BF$17:$BI$24,MATCH('SCC_Sulfide (SSC)'!$V19,'Tables - Part 2'!$AV$6:$AV$13,0),MATCH('SCC_Sulfide (SSC)'!$S19,'Tables - Part 2'!$AX$5:$BA$5,0)))/2))/2,0)</f>
        <v>0</v>
      </c>
      <c r="BN19" s="248">
        <f>IF($R19=$BN$3,(((INDEX('Tables - Part 2'!$BB$17:$BE$24,MATCH('SCC_Sulfide (SSC)'!$V19,'Tables - Part 2'!$AV$6:$AV$13,0),MATCH('SCC_Sulfide (SSC)'!$S19,'Tables - Part 2'!$AX$5:$BA$5,0))+INDEX('Tables - Part 2'!$BF$17:$BI$24,MATCH('SCC_Sulfide (SSC)'!$V19,'Tables - Part 2'!$AV$6:$AV$13,0),MATCH('SCC_Sulfide (SSC)'!$S19,'Tables - Part 2'!$AX$5:$BA$5,0)))/2)+INDEX('Tables - Part 2'!$BF$17:$BI$24,MATCH('SCC_Sulfide (SSC)'!$V19,'Tables - Part 2'!$AV$6:$AV$13,0),MATCH('SCC_Sulfide (SSC)'!$S19,'Tables - Part 2'!$AX$5:$BA$5,0)))/2,0)</f>
        <v>0</v>
      </c>
      <c r="BO19" s="248">
        <f>IF($R19=$BO$3,(((((INDEX('Tables - Part 2'!$BB$17:$BE$24,MATCH('SCC_Sulfide (SSC)'!$V19,'Tables - Part 2'!$AV$6:$AV$13,0),MATCH('SCC_Sulfide (SSC)'!$S19,'Tables - Part 2'!$AX$5:$BA$5,0))+INDEX('Tables - Part 2'!$BF$17:$BI$24,MATCH('SCC_Sulfide (SSC)'!$V19,'Tables - Part 2'!$AV$6:$AV$13,0),MATCH('SCC_Sulfide (SSC)'!$S19,'Tables - Part 2'!$AX$5:$BA$5,0)))/2)+INDEX('Tables - Part 2'!$BF$17:$BI$24,MATCH('SCC_Sulfide (SSC)'!$V19,'Tables - Part 2'!$AV$6:$AV$13,0),MATCH('SCC_Sulfide (SSC)'!$S19,'Tables - Part 2'!$AX$5:$BA$5,0)))/2)+(INDEX('Tables - Part 2'!$BF$17:$BI$24,MATCH('SCC_Sulfide (SSC)'!$V19,'Tables - Part 2'!$AV$6:$AV$13,0),MATCH('SCC_Sulfide (SSC)'!$S19,'Tables - Part 2'!$AX$5:$BA$5,0))))/2,0)</f>
        <v>0</v>
      </c>
      <c r="BP19" s="248">
        <f>IF($R19=$BP$3,INDEX('Tables - Part 2'!$BF$17:$BI$24,MATCH('SCC_Sulfide (SSC)'!$V19,'Tables - Part 2'!$AV$6:$AV$13,0),MATCH('SCC_Sulfide (SSC)'!$S19,'Tables - Part 2'!$AX$5:$BA$5,0)),0)</f>
        <v>0</v>
      </c>
      <c r="BQ19" s="248">
        <f t="shared" si="6"/>
        <v>0</v>
      </c>
      <c r="BR19" s="238">
        <f t="shared" si="8"/>
        <v>1</v>
      </c>
      <c r="BS19" s="238">
        <f t="shared" si="7"/>
        <v>16.77288246840839</v>
      </c>
    </row>
    <row r="20" spans="2:71" x14ac:dyDescent="0.35">
      <c r="B20" s="161" t="str">
        <f>'Tratamento de Dados'!B28</f>
        <v>V-90</v>
      </c>
      <c r="C20" s="161" t="str">
        <f>'Tratamento de Dados'!D28</f>
        <v>Casco</v>
      </c>
      <c r="D20" s="209" t="s">
        <v>245</v>
      </c>
      <c r="E20" s="209" t="s">
        <v>61</v>
      </c>
      <c r="F20" s="209" t="s">
        <v>836</v>
      </c>
      <c r="G20" s="209" t="s">
        <v>832</v>
      </c>
      <c r="H20" s="209" t="s">
        <v>245</v>
      </c>
      <c r="I20" s="209" t="s">
        <v>1113</v>
      </c>
      <c r="J20" s="209" t="s">
        <v>245</v>
      </c>
      <c r="K20" s="210">
        <v>39092</v>
      </c>
      <c r="L20" s="209">
        <v>0</v>
      </c>
      <c r="M20" s="209">
        <v>1</v>
      </c>
      <c r="N20" s="209">
        <v>1</v>
      </c>
      <c r="O20" s="209">
        <v>4</v>
      </c>
      <c r="P20" s="253">
        <f>'Tratamento de Dados'!DA28</f>
        <v>0</v>
      </c>
      <c r="Q20" s="253">
        <f>'Tratamento de Dados'!DB28</f>
        <v>0</v>
      </c>
      <c r="R20" s="256">
        <f t="shared" si="0"/>
        <v>2.5</v>
      </c>
      <c r="S20" s="246" t="str">
        <f t="shared" si="1"/>
        <v>B</v>
      </c>
      <c r="T20" s="238" t="str">
        <f>IF(D20=$BX$2,$BV$4,IF(AND(H20=$BX$2,OR(F20='Tables - Part 2'!$BN$8,'Tables - Part 2'!$BN$9),OR('SCC_Sulfide (SSC)'!G20='Tables - Part 2'!$BQ$4,'SCC_Sulfide (SSC)'!G20='Tables - Part 2'!$BR$4)),$BV$4,INDEX('Tables - Part 2'!$BO$5:$BR$9,MATCH('SCC_Sulfide (SSC)'!F20,'Tables - Part 2'!$BN$5:$BN$9,0),MATCH('SCC_Sulfide (SSC)'!G20,'Tables - Part 2'!$BO$4:$BR$4,0))))</f>
        <v>Moderate</v>
      </c>
      <c r="U20" s="238" t="str">
        <f>IF(D20=$BX$2,$BV$4,IF(J20=$BX$2,INDEX('Tables - Part 2'!$BX$6:$BZ$8,MATCH('SCC_Sulfide (SSC)'!T20,'Tables - Part 2'!$BT$6:$BT$8,0),MATCH('SCC_Sulfide (SSC)'!I20,'Tables - Part 2'!$BX$5:$BZ$5,0)),INDEX('Tables - Part 2'!$BU$6:$BW$8,MATCH('SCC_Sulfide (SSC)'!T20,'Tables - Part 2'!$BT$6:$BT$8,0),MATCH('SCC_Sulfide (SSC)'!I20,'Tables - Part 2'!$BU$5:$BW$5,0))))</f>
        <v>Medium</v>
      </c>
      <c r="V20" s="238">
        <f>IF(AND(D20=$BX$2,E20&lt;&gt;$BX$2),"Fitness-For-Service",INDEX('Tables - Part 2'!$CC$4:$CC$7,MATCH('SCC_Sulfide (SSC)'!U20,'Tables - Part 2'!$CB$4:$CB$7,0),))</f>
        <v>10</v>
      </c>
      <c r="W20" s="238">
        <f>IF(K20=0,(Thinning!G21-Thinning!F21)/365.25,(Thinning!G21-K20)/365.25)</f>
        <v>12.980150581793293</v>
      </c>
      <c r="X20" s="248">
        <f t="shared" si="2"/>
        <v>0</v>
      </c>
      <c r="Y20" s="248">
        <f t="shared" si="3"/>
        <v>2.5</v>
      </c>
      <c r="Z20" s="248">
        <f t="shared" si="4"/>
        <v>3</v>
      </c>
      <c r="AA20" s="247">
        <f t="shared" si="5"/>
        <v>4</v>
      </c>
      <c r="AB20" s="248">
        <f>IF($R20=$AB$3,INDEX('Tables - Part 2'!$AX$6:$BA$13,MATCH('SCC_Sulfide (SSC)'!V20,'Tables - Part 2'!$AV$6:$AV$13,0),MATCH('SCC_Sulfide (SSC)'!S20,'Tables - Part 2'!$AX$5:$BA$5,0)),0)</f>
        <v>0</v>
      </c>
      <c r="AC20" s="248">
        <f>IF($R20=$AC$3,(INDEX('Tables - Part 2'!$AX$6:$BA$13,MATCH('SCC_Sulfide (SSC)'!V20,'Tables - Part 2'!$AV$6:$AV$13,0),MATCH('SCC_Sulfide (SSC)'!S20,'Tables - Part 2'!$AX$5:$BA$5,0))+(INDEX('Tables - Part 2'!$AX$6:$BA$13,MATCH('SCC_Sulfide (SSC)'!V20,'Tables - Part 2'!$AV$6:$AV$13,0),MATCH('SCC_Sulfide (SSC)'!S20,'Tables - Part 2'!$AX$5:$BA$5,0))+((INDEX('Tables - Part 2'!$AX$6:$BA$13,MATCH('SCC_Sulfide (SSC)'!V20,'Tables - Part 2'!$AV$6:$AV$13,0),MATCH('SCC_Sulfide (SSC)'!S20,'Tables - Part 2'!$AX$5:$BA$5,0))+INDEX('Tables - Part 2'!$BB$6:$BE$13,MATCH('SCC_Sulfide (SSC)'!$V20,'Tables - Part 2'!$AV$6:$AV$13,0),MATCH('SCC_Sulfide (SSC)'!$S20,'Tables - Part 2'!$AX$5:$BA$5,0)))/2))/2)/2,0)</f>
        <v>0</v>
      </c>
      <c r="AD20" s="248">
        <f>IF($R20=$AD$3,(INDEX('Tables - Part 2'!$AX$6:$BA$13,MATCH('SCC_Sulfide (SSC)'!V20,'Tables - Part 2'!$AV$6:$AV$13,0),MATCH('SCC_Sulfide (SSC)'!S20,'Tables - Part 2'!$AX$5:$BA$5,0))+((INDEX('Tables - Part 2'!$AX$6:$BA$13,MATCH('SCC_Sulfide (SSC)'!V20,'Tables - Part 2'!$AV$6:$AV$13,0),MATCH('SCC_Sulfide (SSC)'!S20,'Tables - Part 2'!$AX$5:$BA$5,0))+INDEX('Tables - Part 2'!$BB$6:$BE$13,MATCH('SCC_Sulfide (SSC)'!$V20,'Tables - Part 2'!$AV$6:$AV$13,0),MATCH('SCC_Sulfide (SSC)'!$S20,'Tables - Part 2'!$AX$5:$BA$5,0)))/2))/2,0)</f>
        <v>0</v>
      </c>
      <c r="AE20" s="248">
        <f>IF($R20=$AE$3,(((INDEX('Tables - Part 2'!$AX$6:$BA$13,MATCH('SCC_Sulfide (SSC)'!V20,'Tables - Part 2'!$AV$6:$AV$13,0),MATCH('SCC_Sulfide (SSC)'!S20,'Tables - Part 2'!$AX$5:$BA$5,0))+((INDEX('Tables - Part 2'!$AX$6:$BA$13,MATCH('SCC_Sulfide (SSC)'!V20,'Tables - Part 2'!$AV$6:$AV$13,0),MATCH('SCC_Sulfide (SSC)'!S20,'Tables - Part 2'!$AX$5:$BA$5,0))+INDEX('Tables - Part 2'!$BB$6:$BE$13,MATCH('SCC_Sulfide (SSC)'!$V20,'Tables - Part 2'!$AV$6:$AV$13,0),MATCH('SCC_Sulfide (SSC)'!$S20,'Tables - Part 2'!$AX$5:$BA$5,0)))/2))/2)+(INDEX('Tables - Part 2'!$AX$6:$BA$13,MATCH('SCC_Sulfide (SSC)'!V20,'Tables - Part 2'!$AV$6:$AV$13,0),MATCH('SCC_Sulfide (SSC)'!S20,'Tables - Part 2'!$AX$5:$BA$5,0))+INDEX('Tables - Part 2'!$BB$6:$BE$13,MATCH('SCC_Sulfide (SSC)'!$V20,'Tables - Part 2'!$AV$6:$AV$13,0),MATCH('SCC_Sulfide (SSC)'!$S20,'Tables - Part 2'!$AX$5:$BA$5,0)))/2)/2,0)</f>
        <v>0</v>
      </c>
      <c r="AF20" s="248">
        <f>IF($R20=$AF$3,(INDEX('Tables - Part 2'!$AX$6:$BA$13,MATCH('SCC_Sulfide (SSC)'!V20,'Tables - Part 2'!$AV$6:$AV$13,0),MATCH('SCC_Sulfide (SSC)'!S20,'Tables - Part 2'!$AX$5:$BA$5,0))+INDEX('Tables - Part 2'!$BB$6:$BE$13,MATCH('SCC_Sulfide (SSC)'!$V20,'Tables - Part 2'!$AV$6:$AV$13,0),MATCH('SCC_Sulfide (SSC)'!$S20,'Tables - Part 2'!$AX$5:$BA$5,0)))/2,0)</f>
        <v>0</v>
      </c>
      <c r="AG20" s="248">
        <f>IF($R20=$AG$3,(((INDEX('Tables - Part 2'!$AX$6:$BA$13,MATCH('SCC_Sulfide (SSC)'!V20,'Tables - Part 2'!$AV$6:$AV$13,0),MATCH('SCC_Sulfide (SSC)'!S20,'Tables - Part 2'!$AX$5:$BA$5,0))+INDEX('Tables - Part 2'!$BB$6:$BE$13,MATCH('SCC_Sulfide (SSC)'!$V20,'Tables - Part 2'!$AV$6:$AV$13,0),MATCH('SCC_Sulfide (SSC)'!$S20,'Tables - Part 2'!$AX$5:$BA$5,0)))/2)+(((INDEX('Tables - Part 2'!$AX$6:$BA$13,MATCH('SCC_Sulfide (SSC)'!V20,'Tables - Part 2'!$AV$6:$AV$13,0),MATCH('SCC_Sulfide (SSC)'!S20,'Tables - Part 2'!$AX$5:$BA$5,0))+INDEX('Tables - Part 2'!$BB$6:$BE$13,MATCH('SCC_Sulfide (SSC)'!$V20,'Tables - Part 2'!$AV$6:$AV$13,0),MATCH('SCC_Sulfide (SSC)'!$S20,'Tables - Part 2'!$AX$5:$BA$5,0)))/2)+INDEX('Tables - Part 2'!$BB$6:$BE$13,MATCH('SCC_Sulfide (SSC)'!$V20,'Tables - Part 2'!$AV$6:$AV$13,0),MATCH('SCC_Sulfide (SSC)'!$S20,'Tables - Part 2'!$AX$5:$BA$5,0)))/2)/2,0)</f>
        <v>0</v>
      </c>
      <c r="AH20" s="248">
        <f>IF($R20=$AH$3,(((INDEX('Tables - Part 2'!$AX$6:$BA$13,MATCH('SCC_Sulfide (SSC)'!V20,'Tables - Part 2'!$AV$6:$AV$13,0),MATCH('SCC_Sulfide (SSC)'!S20,'Tables - Part 2'!$AX$5:$BA$5,0))+INDEX('Tables - Part 2'!$BB$6:$BE$13,MATCH('SCC_Sulfide (SSC)'!$V20,'Tables - Part 2'!$AV$6:$AV$13,0),MATCH('SCC_Sulfide (SSC)'!$S20,'Tables - Part 2'!$AX$5:$BA$5,0)))/2)+INDEX('Tables - Part 2'!$BB$6:$BE$13,MATCH('SCC_Sulfide (SSC)'!$V20,'Tables - Part 2'!$AV$6:$AV$13,0),MATCH('SCC_Sulfide (SSC)'!$S20,'Tables - Part 2'!$AX$5:$BA$5,0)))/2,0)</f>
        <v>0</v>
      </c>
      <c r="AI20" s="248">
        <f>IF($R20=$AI$3,(((((INDEX('Tables - Part 2'!$AX$6:$BA$13,MATCH('SCC_Sulfide (SSC)'!V20,'Tables - Part 2'!$AV$6:$AV$13,0),MATCH('SCC_Sulfide (SSC)'!S20,'Tables - Part 2'!$AX$5:$BA$5,0))+INDEX('Tables - Part 2'!$BB$6:$BE$13,MATCH('SCC_Sulfide (SSC)'!$V20,'Tables - Part 2'!$AV$6:$AV$13,0),MATCH('SCC_Sulfide (SSC)'!$S20,'Tables - Part 2'!$AX$5:$BA$5,0)))/2)+INDEX('Tables - Part 2'!$BB$6:$BE$13,MATCH('SCC_Sulfide (SSC)'!$V20,'Tables - Part 2'!$AV$6:$AV$13,0),MATCH('SCC_Sulfide (SSC)'!$S20,'Tables - Part 2'!$AX$5:$BA$5,0)))/2)+INDEX('Tables - Part 2'!$BB$6:$BE$13,MATCH('SCC_Sulfide (SSC)'!$V20,'Tables - Part 2'!$AV$6:$AV$13,0),MATCH('SCC_Sulfide (SSC)'!$S20,'Tables - Part 2'!$AX$5:$BA$5,0)))/2,0)</f>
        <v>0</v>
      </c>
      <c r="AJ20" s="248">
        <f>IF($R20=$AJ$3,INDEX('Tables - Part 2'!$BB$6:$BE$13,MATCH('SCC_Sulfide (SSC)'!$V20,'Tables - Part 2'!$AV$6:$AV$13,0),MATCH('SCC_Sulfide (SSC)'!$S20,'Tables - Part 2'!$AX$5:$BA$5,0)),0)</f>
        <v>0</v>
      </c>
      <c r="AK20" s="248">
        <f>IF($R20=$AK$3,((INDEX('Tables - Part 2'!$BB$6:$BE$13,MATCH('SCC_Sulfide (SSC)'!$V20,'Tables - Part 2'!$AV$6:$AV$13,0),MATCH('SCC_Sulfide (SSC)'!$S20,'Tables - Part 2'!$AX$5:$BA$5,0)))+(INDEX('Tables - Part 2'!$BB$6:$BE$13,MATCH('SCC_Sulfide (SSC)'!$V20,'Tables - Part 2'!$AV$6:$AV$13,0),MATCH('SCC_Sulfide (SSC)'!$S20,'Tables - Part 2'!$AX$5:$BA$5,0))+(INDEX('Tables - Part 2'!$BB$6:$BE$13,MATCH('SCC_Sulfide (SSC)'!$V20,'Tables - Part 2'!$AV$6:$AV$13,0),MATCH('SCC_Sulfide (SSC)'!$S20,'Tables - Part 2'!$AX$5:$BA$5,0))+INDEX('Tables - Part 2'!$BF$6:$BI$13,MATCH('SCC_Sulfide (SSC)'!$V20,'Tables - Part 2'!$AV$6:$AV$13,0),MATCH('SCC_Sulfide (SSC)'!$S20,'Tables - Part 2'!$AX$5:$BA$5,0)))/2)/2)/2,0)</f>
        <v>0</v>
      </c>
      <c r="AL20" s="248">
        <f>IF($R20=$AL$3,(INDEX('Tables - Part 2'!$BB$6:$BE$13,MATCH('SCC_Sulfide (SSC)'!$V20,'Tables - Part 2'!$AV$6:$AV$13,0),MATCH('SCC_Sulfide (SSC)'!$S20,'Tables - Part 2'!$AX$5:$BA$5,0))+(INDEX('Tables - Part 2'!$BB$6:$BE$13,MATCH('SCC_Sulfide (SSC)'!$V20,'Tables - Part 2'!$AV$6:$AV$13,0),MATCH('SCC_Sulfide (SSC)'!$S20,'Tables - Part 2'!$AX$5:$BA$5,0))+INDEX('Tables - Part 2'!$BF$6:$BI$13,MATCH('SCC_Sulfide (SSC)'!$V20,'Tables - Part 2'!$AV$6:$AV$13,0),MATCH('SCC_Sulfide (SSC)'!$S20,'Tables - Part 2'!$AX$5:$BA$5,0)))/2)/2,0)</f>
        <v>0</v>
      </c>
      <c r="AM20" s="248">
        <f>IF($R20=$AM$3,(((INDEX('Tables - Part 2'!$BB$6:$BE$13,MATCH('SCC_Sulfide (SSC)'!$V20,'Tables - Part 2'!$AV$6:$AV$13,0),MATCH('SCC_Sulfide (SSC)'!$S20,'Tables - Part 2'!$AX$5:$BA$5,0))+(INDEX('Tables - Part 2'!$BB$6:$BE$13,MATCH('SCC_Sulfide (SSC)'!$V20,'Tables - Part 2'!$AV$6:$AV$13,0),MATCH('SCC_Sulfide (SSC)'!$S20,'Tables - Part 2'!$AX$5:$BA$5,0))+INDEX('Tables - Part 2'!$BF$6:$BI$13,MATCH('SCC_Sulfide (SSC)'!$V20,'Tables - Part 2'!$AV$6:$AV$13,0),MATCH('SCC_Sulfide (SSC)'!$S20,'Tables - Part 2'!$AX$5:$BA$5,0)))/2)/2)+((INDEX('Tables - Part 2'!$BB$6:$BE$13,MATCH('SCC_Sulfide (SSC)'!$V20,'Tables - Part 2'!$AV$6:$AV$13,0),MATCH('SCC_Sulfide (SSC)'!$S20,'Tables - Part 2'!$AX$5:$BA$5,0))+INDEX('Tables - Part 2'!$BF$6:$BI$13,MATCH('SCC_Sulfide (SSC)'!$V20,'Tables - Part 2'!$AV$6:$AV$13,0),MATCH('SCC_Sulfide (SSC)'!$S20,'Tables - Part 2'!$AX$5:$BA$5,0)))/2))/2,0)</f>
        <v>0</v>
      </c>
      <c r="AN20" s="248">
        <f>IF($R20=$AN$3,(INDEX('Tables - Part 2'!$BB$6:$BE$13,MATCH('SCC_Sulfide (SSC)'!$V20,'Tables - Part 2'!$AV$6:$AV$13,0),MATCH('SCC_Sulfide (SSC)'!$S20,'Tables - Part 2'!$AX$5:$BA$5,0))+INDEX('Tables - Part 2'!$BF$6:$BI$13,MATCH('SCC_Sulfide (SSC)'!$V20,'Tables - Part 2'!$AV$6:$AV$13,0),MATCH('SCC_Sulfide (SSC)'!$S20,'Tables - Part 2'!$AX$5:$BA$5,0)))/2,0)</f>
        <v>1</v>
      </c>
      <c r="AO20" s="248">
        <f>IF($R20=$AO$3,(((INDEX('Tables - Part 2'!$BB$6:$BE$13,MATCH('SCC_Sulfide (SSC)'!$V20,'Tables - Part 2'!$AV$6:$AV$13,0),MATCH('SCC_Sulfide (SSC)'!$S20,'Tables - Part 2'!$AX$5:$BA$5,0))+INDEX('Tables - Part 2'!$BF$6:$BI$13,MATCH('SCC_Sulfide (SSC)'!$V20,'Tables - Part 2'!$AV$6:$AV$13,0),MATCH('SCC_Sulfide (SSC)'!$S20,'Tables - Part 2'!$AX$5:$BA$5,0)))/2)+((((INDEX('Tables - Part 2'!$BB$6:$BE$13,MATCH('SCC_Sulfide (SSC)'!$V20,'Tables - Part 2'!$AV$6:$AV$13,0),MATCH('SCC_Sulfide (SSC)'!$S20,'Tables - Part 2'!$AX$5:$BA$5,0))+INDEX('Tables - Part 2'!$BF$6:$BI$13,MATCH('SCC_Sulfide (SSC)'!$V20,'Tables - Part 2'!$AV$6:$AV$13,0),MATCH('SCC_Sulfide (SSC)'!$S20,'Tables - Part 2'!$AX$5:$BA$5,0)))/2)+INDEX('Tables - Part 2'!$BF$6:$BI$13,MATCH('SCC_Sulfide (SSC)'!$V20,'Tables - Part 2'!$AV$6:$AV$13,0),MATCH('SCC_Sulfide (SSC)'!$S20,'Tables - Part 2'!$AX$5:$BA$5,0)))/2))/2,0)</f>
        <v>0</v>
      </c>
      <c r="AP20" s="248">
        <f>IF($R20=$AP$3,(((INDEX('Tables - Part 2'!$BB$6:$BE$13,MATCH('SCC_Sulfide (SSC)'!$V20,'Tables - Part 2'!$AV$6:$AV$13,0),MATCH('SCC_Sulfide (SSC)'!$S20,'Tables - Part 2'!$AX$5:$BA$5,0))+INDEX('Tables - Part 2'!$BF$6:$BI$13,MATCH('SCC_Sulfide (SSC)'!$V20,'Tables - Part 2'!$AV$6:$AV$13,0),MATCH('SCC_Sulfide (SSC)'!$S20,'Tables - Part 2'!$AX$5:$BA$5,0)))/2)+INDEX('Tables - Part 2'!$BF$6:$BI$13,MATCH('SCC_Sulfide (SSC)'!$V20,'Tables - Part 2'!$AV$6:$AV$13,0),MATCH('SCC_Sulfide (SSC)'!$S20,'Tables - Part 2'!$AX$5:$BA$5,0)))/2,0)</f>
        <v>0</v>
      </c>
      <c r="AQ20" s="248">
        <f>IF($R20=$AQ$3,(((((INDEX('Tables - Part 2'!$BB$6:$BE$13,MATCH('SCC_Sulfide (SSC)'!$V20,'Tables - Part 2'!$AV$6:$AV$13,0),MATCH('SCC_Sulfide (SSC)'!$S20,'Tables - Part 2'!$AX$5:$BA$5,0))+INDEX('Tables - Part 2'!$BF$6:$BI$13,MATCH('SCC_Sulfide (SSC)'!$V20,'Tables - Part 2'!$AV$6:$AV$13,0),MATCH('SCC_Sulfide (SSC)'!$S20,'Tables - Part 2'!$AX$5:$BA$5,0)))/2)+INDEX('Tables - Part 2'!$BF$6:$BI$13,MATCH('SCC_Sulfide (SSC)'!$V20,'Tables - Part 2'!$AV$6:$AV$13,0),MATCH('SCC_Sulfide (SSC)'!$S20,'Tables - Part 2'!$AX$5:$BA$5,0)))/2)+INDEX('Tables - Part 2'!$BF$6:$BI$13,MATCH('SCC_Sulfide (SSC)'!$V20,'Tables - Part 2'!$AV$6:$AV$13,0),MATCH('SCC_Sulfide (SSC)'!$S20,'Tables - Part 2'!$AX$5:$BA$5,0)))/2,0)</f>
        <v>0</v>
      </c>
      <c r="AR20" s="248">
        <f>IF($R20=$AR$3,INDEX('Tables - Part 2'!$BF$6:$BI$13,MATCH('SCC_Sulfide (SSC)'!$V20,'Tables - Part 2'!$AV$6:$AV$13,0),MATCH('SCC_Sulfide (SSC)'!$S20,'Tables - Part 2'!$AX$5:$BA$5,0)),0)</f>
        <v>0</v>
      </c>
      <c r="AS20" s="248">
        <f>IF($R20=$AS$3,(INDEX('Tables - Part 2'!$BF$6:$BI$13,MATCH('SCC_Sulfide (SSC)'!$V20,'Tables - Part 2'!$AV$6:$AV$13,0),MATCH('SCC_Sulfide (SSC)'!$S20,'Tables - Part 2'!$AX$5:$BA$5,0))+((INDEX('Tables - Part 2'!$BF$6:$BI$13,MATCH('SCC_Sulfide (SSC)'!$V20,'Tables - Part 2'!$AV$6:$AV$13,0),MATCH('SCC_Sulfide (SSC)'!$S20,'Tables - Part 2'!$AX$5:$BA$5,0))+(INDEX('Tables - Part 2'!$BF$6:$BI$13,MATCH('SCC_Sulfide (SSC)'!$V20,'Tables - Part 2'!$AV$6:$AV$13,0),MATCH('SCC_Sulfide (SSC)'!$S20,'Tables - Part 2'!$AX$5:$BA$5,0))+INDEX('Tables - Part 2'!$AX$17:$BA$24,MATCH('SCC_Sulfide (SSC)'!$V20,'Tables - Part 2'!$AV$6:$AV$13,0),MATCH('SCC_Sulfide (SSC)'!$S20,'Tables - Part 2'!$AX$5:$BA$5,0)))/2)/2))/2,0)</f>
        <v>0</v>
      </c>
      <c r="AT20" s="248">
        <f>IF($R20=$AT$3,(INDEX('Tables - Part 2'!$BF$6:$BI$13,MATCH('SCC_Sulfide (SSC)'!$V20,'Tables - Part 2'!$AV$6:$AV$13,0),MATCH('SCC_Sulfide (SSC)'!$S20,'Tables - Part 2'!$AX$5:$BA$5,0))+(INDEX('Tables - Part 2'!$BF$6:$BI$13,MATCH('SCC_Sulfide (SSC)'!$V20,'Tables - Part 2'!$AV$6:$AV$13,0),MATCH('SCC_Sulfide (SSC)'!$S20,'Tables - Part 2'!$AX$5:$BA$5,0))+INDEX('Tables - Part 2'!$AX$17:$BA$24,MATCH('SCC_Sulfide (SSC)'!$V20,'Tables - Part 2'!$AV$6:$AV$13,0),MATCH('SCC_Sulfide (SSC)'!$S20,'Tables - Part 2'!$AX$5:$BA$5,0)))/2)/2,0)</f>
        <v>0</v>
      </c>
      <c r="AU20" s="248">
        <f>IF($R20=$AU$3,(((INDEX('Tables - Part 2'!$BF$6:$BI$13,MATCH('SCC_Sulfide (SSC)'!$V20,'Tables - Part 2'!$AV$6:$AV$13,0),MATCH('SCC_Sulfide (SSC)'!$S20,'Tables - Part 2'!$AX$5:$BA$5,0))+(INDEX('Tables - Part 2'!$BF$6:$BI$13,MATCH('SCC_Sulfide (SSC)'!$V20,'Tables - Part 2'!$AV$6:$AV$13,0),MATCH('SCC_Sulfide (SSC)'!$S20,'Tables - Part 2'!$AX$5:$BA$5,0))+INDEX('Tables - Part 2'!$AX$17:$BA$24,MATCH('SCC_Sulfide (SSC)'!$V20,'Tables - Part 2'!$AV$6:$AV$13,0),MATCH('SCC_Sulfide (SSC)'!$S20,'Tables - Part 2'!$AX$5:$BA$5,0)))/2)/2)+((INDEX('Tables - Part 2'!$BF$6:$BI$13,MATCH('SCC_Sulfide (SSC)'!$V20,'Tables - Part 2'!$AV$6:$AV$13,0),MATCH('SCC_Sulfide (SSC)'!$S20,'Tables - Part 2'!$AX$5:$BA$5,0))+INDEX('Tables - Part 2'!$AX$17:$BA$24,MATCH('SCC_Sulfide (SSC)'!$V20,'Tables - Part 2'!$AV$6:$AV$13,0),MATCH('SCC_Sulfide (SSC)'!$S20,'Tables - Part 2'!$AX$5:$BA$5,0)))/2))/2,0)</f>
        <v>0</v>
      </c>
      <c r="AV20" s="248">
        <f>IF($R20=$AV$3,(INDEX('Tables - Part 2'!$BF$6:$BI$13,MATCH('SCC_Sulfide (SSC)'!$V20,'Tables - Part 2'!$AV$6:$AV$13,0),MATCH('SCC_Sulfide (SSC)'!$S20,'Tables - Part 2'!$AX$5:$BA$5,0))+INDEX('Tables - Part 2'!$AX$17:$BA$24,MATCH('SCC_Sulfide (SSC)'!$V20,'Tables - Part 2'!$AV$6:$AV$13,0),MATCH('SCC_Sulfide (SSC)'!$S20,'Tables - Part 2'!$AX$5:$BA$5,0)))/2,0)</f>
        <v>0</v>
      </c>
      <c r="AW20" s="248">
        <f>IF($R20=$AW$3,(((INDEX('Tables - Part 2'!$BF$6:$BI$13,MATCH('SCC_Sulfide (SSC)'!$V20,'Tables - Part 2'!$AV$6:$AV$13,0),MATCH('SCC_Sulfide (SSC)'!$S20,'Tables - Part 2'!$AX$5:$BA$5,0))+INDEX('Tables - Part 2'!$AX$17:$BA$24,MATCH('SCC_Sulfide (SSC)'!$V20,'Tables - Part 2'!$AV$6:$AV$13,0),MATCH('SCC_Sulfide (SSC)'!$S20,'Tables - Part 2'!$AX$5:$BA$5,0)))/2)+((((INDEX('Tables - Part 2'!$BF$6:$BI$13,MATCH('SCC_Sulfide (SSC)'!$V20,'Tables - Part 2'!$AV$6:$AV$13,0),MATCH('SCC_Sulfide (SSC)'!$S20,'Tables - Part 2'!$AX$5:$BA$5,0))+INDEX('Tables - Part 2'!$AX$17:$BA$24,MATCH('SCC_Sulfide (SSC)'!$V20,'Tables - Part 2'!$AV$6:$AV$13,0),MATCH('SCC_Sulfide (SSC)'!$S20,'Tables - Part 2'!$AX$5:$BA$5,0)))/2)+INDEX('Tables - Part 2'!$AX$17:$BA$24,MATCH('SCC_Sulfide (SSC)'!$V20,'Tables - Part 2'!$AV$6:$AV$13,0),MATCH('SCC_Sulfide (SSC)'!$S20,'Tables - Part 2'!$AX$5:$BA$5,0)))/2))/2,0)</f>
        <v>0</v>
      </c>
      <c r="AX20" s="248">
        <f>IF($R20=$AX$3,(((INDEX('Tables - Part 2'!$BF$6:$BI$13,MATCH('SCC_Sulfide (SSC)'!$V20,'Tables - Part 2'!$AV$6:$AV$13,0),MATCH('SCC_Sulfide (SSC)'!$S20,'Tables - Part 2'!$AX$5:$BA$5,0))+INDEX('Tables - Part 2'!$AX$17:$BA$24,MATCH('SCC_Sulfide (SSC)'!$V20,'Tables - Part 2'!$AV$6:$AV$13,0),MATCH('SCC_Sulfide (SSC)'!$S20,'Tables - Part 2'!$AX$5:$BA$5,0)))/2)+INDEX('Tables - Part 2'!$AX$17:$BA$24,MATCH('SCC_Sulfide (SSC)'!$V20,'Tables - Part 2'!$AV$6:$AV$13,0),MATCH('SCC_Sulfide (SSC)'!$S20,'Tables - Part 2'!$AX$5:$BA$5,0)))/2,0)</f>
        <v>0</v>
      </c>
      <c r="AY20" s="248">
        <f>IF($R20=$AY$3,(((((INDEX('Tables - Part 2'!$BF$6:$BI$13,MATCH('SCC_Sulfide (SSC)'!$V20,'Tables - Part 2'!$AV$6:$AV$13,0),MATCH('SCC_Sulfide (SSC)'!$S20,'Tables - Part 2'!$AX$5:$BA$5,0))+INDEX('Tables - Part 2'!$AX$17:$BA$24,MATCH('SCC_Sulfide (SSC)'!$V20,'Tables - Part 2'!$AV$6:$AV$13,0),MATCH('SCC_Sulfide (SSC)'!$S20,'Tables - Part 2'!$AX$5:$BA$5,0)))/2)+INDEX('Tables - Part 2'!$AX$17:$BA$24,MATCH('SCC_Sulfide (SSC)'!$V20,'Tables - Part 2'!$AV$6:$AV$13,0),MATCH('SCC_Sulfide (SSC)'!$S20,'Tables - Part 2'!$AX$5:$BA$5,0)))/2)+(INDEX('Tables - Part 2'!$AX$17:$BA$24,MATCH('SCC_Sulfide (SSC)'!$V20,'Tables - Part 2'!$AV$6:$AV$13,0),MATCH('SCC_Sulfide (SSC)'!$S20,'Tables - Part 2'!$AX$5:$BA$5,0))))/2,0)</f>
        <v>0</v>
      </c>
      <c r="AZ20" s="248">
        <f>IF($R20=$AZ$3,INDEX('Tables - Part 2'!$AX$17:$BA$24,MATCH('SCC_Sulfide (SSC)'!$V20,'Tables - Part 2'!$AV$6:$AV$13,0),MATCH('SCC_Sulfide (SSC)'!$S20,'Tables - Part 2'!$AX$5:$BA$5,0)),0)</f>
        <v>0</v>
      </c>
      <c r="BA20" s="248">
        <f>IF($R20=$BA$3,((INDEX('Tables - Part 2'!$AX$17:$BA$24,MATCH('SCC_Sulfide (SSC)'!$V20,'Tables - Part 2'!$AV$6:$AV$13,0),MATCH('SCC_Sulfide (SSC)'!$S20,'Tables - Part 2'!$AX$5:$BA$5,0)))+(((INDEX('Tables - Part 2'!$AX$17:$BA$24,MATCH('SCC_Sulfide (SSC)'!$V20,'Tables - Part 2'!$AV$6:$AV$13,0),MATCH('SCC_Sulfide (SSC)'!$S20,'Tables - Part 2'!$AX$5:$BA$5,0)))+(INDEX('Tables - Part 2'!$AX$17:$BA$24,MATCH('SCC_Sulfide (SSC)'!$V20,'Tables - Part 2'!$AV$6:$AV$13,0),MATCH('SCC_Sulfide (SSC)'!$S20,'Tables - Part 2'!$AX$5:$BA$5,0))+INDEX('Tables - Part 2'!$BB$17:$BE$24,MATCH('SCC_Sulfide (SSC)'!$V20,'Tables - Part 2'!$AV$6:$AV$13,0),MATCH('SCC_Sulfide (SSC)'!$S20,'Tables - Part 2'!$AX$5:$BA$5,0)))/2)/2))/2,0)</f>
        <v>0</v>
      </c>
      <c r="BB20" s="248">
        <f>IF($R20=$BB$3,((INDEX('Tables - Part 2'!$AX$17:$BA$24,MATCH('SCC_Sulfide (SSC)'!$V20,'Tables - Part 2'!$AV$6:$AV$13,0),MATCH('SCC_Sulfide (SSC)'!$S20,'Tables - Part 2'!$AX$5:$BA$5,0)))+(INDEX('Tables - Part 2'!$AX$17:$BA$24,MATCH('SCC_Sulfide (SSC)'!$V20,'Tables - Part 2'!$AV$6:$AV$13,0),MATCH('SCC_Sulfide (SSC)'!$S20,'Tables - Part 2'!$AX$5:$BA$5,0))+INDEX('Tables - Part 2'!$BB$17:$BE$24,MATCH('SCC_Sulfide (SSC)'!$V20,'Tables - Part 2'!$AV$6:$AV$13,0),MATCH('SCC_Sulfide (SSC)'!$S20,'Tables - Part 2'!$AX$5:$BA$5,0)))/2)/2,0)</f>
        <v>0</v>
      </c>
      <c r="BC20" s="248">
        <f>IF($R20=$BC$3,((((INDEX('Tables - Part 2'!$AX$17:$BA$24,MATCH('SCC_Sulfide (SSC)'!$V20,'Tables - Part 2'!$AV$6:$AV$13,0),MATCH('SCC_Sulfide (SSC)'!$S20,'Tables - Part 2'!$AX$5:$BA$5,0)))+(INDEX('Tables - Part 2'!$AX$17:$BA$24,MATCH('SCC_Sulfide (SSC)'!$V20,'Tables - Part 2'!$AV$6:$AV$13,0),MATCH('SCC_Sulfide (SSC)'!$S20,'Tables - Part 2'!$AX$5:$BA$5,0))+INDEX('Tables - Part 2'!$BB$17:$BE$24,MATCH('SCC_Sulfide (SSC)'!$V20,'Tables - Part 2'!$AV$6:$AV$13,0),MATCH('SCC_Sulfide (SSC)'!$S20,'Tables - Part 2'!$AX$5:$BA$5,0)))/2)/2)+((INDEX('Tables - Part 2'!$AX$17:$BA$24,MATCH('SCC_Sulfide (SSC)'!$V20,'Tables - Part 2'!$AV$6:$AV$13,0),MATCH('SCC_Sulfide (SSC)'!$S20,'Tables - Part 2'!$AX$5:$BA$5,0))+INDEX('Tables - Part 2'!$BB$17:$BE$24,MATCH('SCC_Sulfide (SSC)'!$V20,'Tables - Part 2'!$AV$6:$AV$13,0),MATCH('SCC_Sulfide (SSC)'!$S20,'Tables - Part 2'!$AX$5:$BA$5,0)))/2))/2,0)</f>
        <v>0</v>
      </c>
      <c r="BD20" s="248">
        <f>IF($R20=$BD$3,(INDEX('Tables - Part 2'!$AX$17:$BA$24,MATCH('SCC_Sulfide (SSC)'!$V20,'Tables - Part 2'!$AV$6:$AV$13,0),MATCH('SCC_Sulfide (SSC)'!$S20,'Tables - Part 2'!$AX$5:$BA$5,0))+INDEX('Tables - Part 2'!$BB$17:$BE$24,MATCH('SCC_Sulfide (SSC)'!$V20,'Tables - Part 2'!$AV$6:$AV$13,0),MATCH('SCC_Sulfide (SSC)'!$S20,'Tables - Part 2'!$AX$5:$BA$5,0)))/2,0)</f>
        <v>0</v>
      </c>
      <c r="BE20" s="248">
        <f>IF($R20=$BE$3,(((INDEX('Tables - Part 2'!$AX$17:$BA$24,MATCH('SCC_Sulfide (SSC)'!$V20,'Tables - Part 2'!$AV$6:$AV$13,0),MATCH('SCC_Sulfide (SSC)'!$S20,'Tables - Part 2'!$AX$5:$BA$5,0))+INDEX('Tables - Part 2'!$BB$17:$BE$24,MATCH('SCC_Sulfide (SSC)'!$V20,'Tables - Part 2'!$AV$6:$AV$13,0),MATCH('SCC_Sulfide (SSC)'!$S20,'Tables - Part 2'!$AX$5:$BA$5,0)))/2)+((((INDEX('Tables - Part 2'!$AX$17:$BA$24,MATCH('SCC_Sulfide (SSC)'!$V20,'Tables - Part 2'!$AV$6:$AV$13,0),MATCH('SCC_Sulfide (SSC)'!$S20,'Tables - Part 2'!$AX$5:$BA$5,0))+INDEX('Tables - Part 2'!$BB$17:$BE$24,MATCH('SCC_Sulfide (SSC)'!$V20,'Tables - Part 2'!$AV$6:$AV$13,0),MATCH('SCC_Sulfide (SSC)'!$S20,'Tables - Part 2'!$AX$5:$BA$5,0)))/2)+INDEX('Tables - Part 2'!$BB$17:$BE$24,MATCH('SCC_Sulfide (SSC)'!$V20,'Tables - Part 2'!$AV$6:$AV$13,0),MATCH('SCC_Sulfide (SSC)'!$S20,'Tables - Part 2'!$AX$5:$BA$5,0)))/2))/2,0)</f>
        <v>0</v>
      </c>
      <c r="BF20" s="248">
        <f>IF($R20=$BF$3,(((INDEX('Tables - Part 2'!$AX$17:$BA$24,MATCH('SCC_Sulfide (SSC)'!$V20,'Tables - Part 2'!$AV$6:$AV$13,0),MATCH('SCC_Sulfide (SSC)'!$S20,'Tables - Part 2'!$AX$5:$BA$5,0))+INDEX('Tables - Part 2'!$BB$17:$BE$24,MATCH('SCC_Sulfide (SSC)'!$V20,'Tables - Part 2'!$AV$6:$AV$13,0),MATCH('SCC_Sulfide (SSC)'!$S20,'Tables - Part 2'!$AX$5:$BA$5,0)))/2)+INDEX('Tables - Part 2'!$BB$17:$BE$24,MATCH('SCC_Sulfide (SSC)'!$V20,'Tables - Part 2'!$AV$6:$AV$13,0),MATCH('SCC_Sulfide (SSC)'!$S20,'Tables - Part 2'!$AX$5:$BA$5,0)))/2,0)</f>
        <v>0</v>
      </c>
      <c r="BG20" s="248">
        <f>IF($R20=$BG$3,(((((INDEX('Tables - Part 2'!$AX$17:$BA$24,MATCH('SCC_Sulfide (SSC)'!$V20,'Tables - Part 2'!$AV$6:$AV$13,0),MATCH('SCC_Sulfide (SSC)'!$S20,'Tables - Part 2'!$AX$5:$BA$5,0))+INDEX('Tables - Part 2'!$BB$17:$BE$24,MATCH('SCC_Sulfide (SSC)'!$V20,'Tables - Part 2'!$AV$6:$AV$13,0),MATCH('SCC_Sulfide (SSC)'!$S20,'Tables - Part 2'!$AX$5:$BA$5,0)))/2)+INDEX('Tables - Part 2'!$BB$17:$BE$24,MATCH('SCC_Sulfide (SSC)'!$V20,'Tables - Part 2'!$AV$6:$AV$13,0),MATCH('SCC_Sulfide (SSC)'!$S20,'Tables - Part 2'!$AX$5:$BA$5,0)))/2)+(INDEX('Tables - Part 2'!$BB$17:$BE$24,MATCH('SCC_Sulfide (SSC)'!$V20,'Tables - Part 2'!$AV$6:$AV$13,0),MATCH('SCC_Sulfide (SSC)'!$S20,'Tables - Part 2'!$AX$5:$BA$5,0))))/2,0)</f>
        <v>0</v>
      </c>
      <c r="BH20" s="248">
        <f>IF($R20=$BH$3,INDEX('Tables - Part 2'!$BB$17:$BE$24,MATCH('SCC_Sulfide (SSC)'!$V20,'Tables - Part 2'!$AV$6:$AV$13,0),MATCH('SCC_Sulfide (SSC)'!$S20,'Tables - Part 2'!$AX$5:$BA$5,0)),0)</f>
        <v>0</v>
      </c>
      <c r="BI20" s="248">
        <f>IF($R20=$BI$3,((INDEX('Tables - Part 2'!$BB$17:$BE$24,MATCH('SCC_Sulfide (SSC)'!$V20,'Tables - Part 2'!$AV$6:$AV$13,0),MATCH('SCC_Sulfide (SSC)'!$S20,'Tables - Part 2'!$AX$5:$BA$5,0)))+(((INDEX('Tables - Part 2'!$BB$17:$BE$24,MATCH('SCC_Sulfide (SSC)'!$V20,'Tables - Part 2'!$AV$6:$AV$13,0),MATCH('SCC_Sulfide (SSC)'!$S20,'Tables - Part 2'!$AX$5:$BA$5,0)))+(INDEX('Tables - Part 2'!$BB$17:$BE$24,MATCH('SCC_Sulfide (SSC)'!$V20,'Tables - Part 2'!$AV$6:$AV$13,0),MATCH('SCC_Sulfide (SSC)'!$S20,'Tables - Part 2'!$AX$5:$BA$5,0))+INDEX('Tables - Part 2'!$BF$17:$BI$24,MATCH('SCC_Sulfide (SSC)'!$V20,'Tables - Part 2'!$AV$6:$AV$13,0),MATCH('SCC_Sulfide (SSC)'!$S20,'Tables - Part 2'!$AX$5:$BA$5,0)))/2)/2))/2,0)</f>
        <v>0</v>
      </c>
      <c r="BJ20" s="248">
        <f>IF($R20=$BJ$3,((INDEX('Tables - Part 2'!$BB$17:$BE$24,MATCH('SCC_Sulfide (SSC)'!$V20,'Tables - Part 2'!$AV$6:$AV$13,0),MATCH('SCC_Sulfide (SSC)'!$S20,'Tables - Part 2'!$AX$5:$BA$5,0)))+(INDEX('Tables - Part 2'!$BB$17:$BE$24,MATCH('SCC_Sulfide (SSC)'!$V20,'Tables - Part 2'!$AV$6:$AV$13,0),MATCH('SCC_Sulfide (SSC)'!$S20,'Tables - Part 2'!$AX$5:$BA$5,0))+INDEX('Tables - Part 2'!$BF$17:$BI$24,MATCH('SCC_Sulfide (SSC)'!$V20,'Tables - Part 2'!$AV$6:$AV$13,0),MATCH('SCC_Sulfide (SSC)'!$S20,'Tables - Part 2'!$AX$5:$BA$5,0)))/2)/2,0)</f>
        <v>0</v>
      </c>
      <c r="BK20" s="248">
        <f>IF($R20=$BK$3,((((INDEX('Tables - Part 2'!$BB$17:$BE$24,MATCH('SCC_Sulfide (SSC)'!$V20,'Tables - Part 2'!$AV$6:$AV$13,0),MATCH('SCC_Sulfide (SSC)'!$S20,'Tables - Part 2'!$AX$5:$BA$5,0)))+(INDEX('Tables - Part 2'!$BB$17:$BE$24,MATCH('SCC_Sulfide (SSC)'!$V20,'Tables - Part 2'!$AV$6:$AV$13,0),MATCH('SCC_Sulfide (SSC)'!$S20,'Tables - Part 2'!$AX$5:$BA$5,0))+INDEX('Tables - Part 2'!$BF$17:$BI$24,MATCH('SCC_Sulfide (SSC)'!$V20,'Tables - Part 2'!$AV$6:$AV$13,0),MATCH('SCC_Sulfide (SSC)'!$S20,'Tables - Part 2'!$AX$5:$BA$5,0)))/2)/2)+((INDEX('Tables - Part 2'!$BB$17:$BE$24,MATCH('SCC_Sulfide (SSC)'!$V20,'Tables - Part 2'!$AV$6:$AV$13,0),MATCH('SCC_Sulfide (SSC)'!$S20,'Tables - Part 2'!$AX$5:$BA$5,0))+INDEX('Tables - Part 2'!$BF$17:$BI$24,MATCH('SCC_Sulfide (SSC)'!$V20,'Tables - Part 2'!$AV$6:$AV$13,0),MATCH('SCC_Sulfide (SSC)'!$S20,'Tables - Part 2'!$AX$5:$BA$5,0)))/2))/2,0)</f>
        <v>0</v>
      </c>
      <c r="BL20" s="248">
        <f>IF($R20=$BL$3,(INDEX('Tables - Part 2'!$BB$17:$BE$24,MATCH('SCC_Sulfide (SSC)'!$V20,'Tables - Part 2'!$AV$6:$AV$13,0),MATCH('SCC_Sulfide (SSC)'!$S20,'Tables - Part 2'!$AX$5:$BA$5,0))+INDEX('Tables - Part 2'!$BF$17:$BI$24,MATCH('SCC_Sulfide (SSC)'!$V20,'Tables - Part 2'!$AV$6:$AV$13,0),MATCH('SCC_Sulfide (SSC)'!$S20,'Tables - Part 2'!$AX$5:$BA$5,0)))/2,0)</f>
        <v>0</v>
      </c>
      <c r="BM20" s="248">
        <f>IF($R20=$BM$3,(((INDEX('Tables - Part 2'!$BB$17:$BE$24,MATCH('SCC_Sulfide (SSC)'!$V20,'Tables - Part 2'!$AV$6:$AV$13,0),MATCH('SCC_Sulfide (SSC)'!$S20,'Tables - Part 2'!$AX$5:$BA$5,0))+INDEX('Tables - Part 2'!$BF$17:$BI$24,MATCH('SCC_Sulfide (SSC)'!$V20,'Tables - Part 2'!$AV$6:$AV$13,0),MATCH('SCC_Sulfide (SSC)'!$S20,'Tables - Part 2'!$AX$5:$BA$5,0)))/2)+((((INDEX('Tables - Part 2'!$BB$17:$BE$24,MATCH('SCC_Sulfide (SSC)'!$V20,'Tables - Part 2'!$AV$6:$AV$13,0),MATCH('SCC_Sulfide (SSC)'!$S20,'Tables - Part 2'!$AX$5:$BA$5,0))+INDEX('Tables - Part 2'!$BF$17:$BI$24,MATCH('SCC_Sulfide (SSC)'!$V20,'Tables - Part 2'!$AV$6:$AV$13,0),MATCH('SCC_Sulfide (SSC)'!$S20,'Tables - Part 2'!$AX$5:$BA$5,0)))/2)+INDEX('Tables - Part 2'!$BF$17:$BI$24,MATCH('SCC_Sulfide (SSC)'!$V20,'Tables - Part 2'!$AV$6:$AV$13,0),MATCH('SCC_Sulfide (SSC)'!$S20,'Tables - Part 2'!$AX$5:$BA$5,0)))/2))/2,0)</f>
        <v>0</v>
      </c>
      <c r="BN20" s="248">
        <f>IF($R20=$BN$3,(((INDEX('Tables - Part 2'!$BB$17:$BE$24,MATCH('SCC_Sulfide (SSC)'!$V20,'Tables - Part 2'!$AV$6:$AV$13,0),MATCH('SCC_Sulfide (SSC)'!$S20,'Tables - Part 2'!$AX$5:$BA$5,0))+INDEX('Tables - Part 2'!$BF$17:$BI$24,MATCH('SCC_Sulfide (SSC)'!$V20,'Tables - Part 2'!$AV$6:$AV$13,0),MATCH('SCC_Sulfide (SSC)'!$S20,'Tables - Part 2'!$AX$5:$BA$5,0)))/2)+INDEX('Tables - Part 2'!$BF$17:$BI$24,MATCH('SCC_Sulfide (SSC)'!$V20,'Tables - Part 2'!$AV$6:$AV$13,0),MATCH('SCC_Sulfide (SSC)'!$S20,'Tables - Part 2'!$AX$5:$BA$5,0)))/2,0)</f>
        <v>0</v>
      </c>
      <c r="BO20" s="248">
        <f>IF($R20=$BO$3,(((((INDEX('Tables - Part 2'!$BB$17:$BE$24,MATCH('SCC_Sulfide (SSC)'!$V20,'Tables - Part 2'!$AV$6:$AV$13,0),MATCH('SCC_Sulfide (SSC)'!$S20,'Tables - Part 2'!$AX$5:$BA$5,0))+INDEX('Tables - Part 2'!$BF$17:$BI$24,MATCH('SCC_Sulfide (SSC)'!$V20,'Tables - Part 2'!$AV$6:$AV$13,0),MATCH('SCC_Sulfide (SSC)'!$S20,'Tables - Part 2'!$AX$5:$BA$5,0)))/2)+INDEX('Tables - Part 2'!$BF$17:$BI$24,MATCH('SCC_Sulfide (SSC)'!$V20,'Tables - Part 2'!$AV$6:$AV$13,0),MATCH('SCC_Sulfide (SSC)'!$S20,'Tables - Part 2'!$AX$5:$BA$5,0)))/2)+(INDEX('Tables - Part 2'!$BF$17:$BI$24,MATCH('SCC_Sulfide (SSC)'!$V20,'Tables - Part 2'!$AV$6:$AV$13,0),MATCH('SCC_Sulfide (SSC)'!$S20,'Tables - Part 2'!$AX$5:$BA$5,0))))/2,0)</f>
        <v>0</v>
      </c>
      <c r="BP20" s="248">
        <f>IF($R20=$BP$3,INDEX('Tables - Part 2'!$BF$17:$BI$24,MATCH('SCC_Sulfide (SSC)'!$V20,'Tables - Part 2'!$AV$6:$AV$13,0),MATCH('SCC_Sulfide (SSC)'!$S20,'Tables - Part 2'!$AX$5:$BA$5,0)),0)</f>
        <v>0</v>
      </c>
      <c r="BQ20" s="248">
        <f t="shared" si="6"/>
        <v>0</v>
      </c>
      <c r="BR20" s="238">
        <f t="shared" si="8"/>
        <v>1</v>
      </c>
      <c r="BS20" s="238">
        <f t="shared" si="7"/>
        <v>16.77288246840839</v>
      </c>
    </row>
    <row r="21" spans="2:71" x14ac:dyDescent="0.35">
      <c r="B21" s="161" t="str">
        <f>'Tratamento de Dados'!B29</f>
        <v>V-9</v>
      </c>
      <c r="C21" s="161" t="str">
        <f>'Tratamento de Dados'!D29</f>
        <v>Casco</v>
      </c>
      <c r="D21" s="209" t="s">
        <v>245</v>
      </c>
      <c r="E21" s="209" t="s">
        <v>61</v>
      </c>
      <c r="F21" s="209" t="s">
        <v>836</v>
      </c>
      <c r="G21" s="209" t="s">
        <v>832</v>
      </c>
      <c r="H21" s="209" t="s">
        <v>245</v>
      </c>
      <c r="I21" s="209" t="s">
        <v>1113</v>
      </c>
      <c r="J21" s="209" t="s">
        <v>245</v>
      </c>
      <c r="K21" s="210">
        <v>39092</v>
      </c>
      <c r="L21" s="209">
        <v>0</v>
      </c>
      <c r="M21" s="209">
        <v>1</v>
      </c>
      <c r="N21" s="209">
        <v>1</v>
      </c>
      <c r="O21" s="209">
        <v>4</v>
      </c>
      <c r="P21" s="253">
        <f>'Tratamento de Dados'!DA29</f>
        <v>0</v>
      </c>
      <c r="Q21" s="253">
        <f>'Tratamento de Dados'!DB29</f>
        <v>0</v>
      </c>
      <c r="R21" s="256">
        <f t="shared" si="0"/>
        <v>2.5</v>
      </c>
      <c r="S21" s="246" t="str">
        <f t="shared" si="1"/>
        <v>B</v>
      </c>
      <c r="T21" s="238" t="str">
        <f>IF(D21=$BX$2,$BV$4,IF(AND(H21=$BX$2,OR(F21='Tables - Part 2'!$BN$8,'Tables - Part 2'!$BN$9),OR('SCC_Sulfide (SSC)'!G21='Tables - Part 2'!$BQ$4,'SCC_Sulfide (SSC)'!G21='Tables - Part 2'!$BR$4)),$BV$4,INDEX('Tables - Part 2'!$BO$5:$BR$9,MATCH('SCC_Sulfide (SSC)'!F21,'Tables - Part 2'!$BN$5:$BN$9,0),MATCH('SCC_Sulfide (SSC)'!G21,'Tables - Part 2'!$BO$4:$BR$4,0))))</f>
        <v>Moderate</v>
      </c>
      <c r="U21" s="238" t="str">
        <f>IF(D21=$BX$2,$BV$4,IF(J21=$BX$2,INDEX('Tables - Part 2'!$BX$6:$BZ$8,MATCH('SCC_Sulfide (SSC)'!T21,'Tables - Part 2'!$BT$6:$BT$8,0),MATCH('SCC_Sulfide (SSC)'!I21,'Tables - Part 2'!$BX$5:$BZ$5,0)),INDEX('Tables - Part 2'!$BU$6:$BW$8,MATCH('SCC_Sulfide (SSC)'!T21,'Tables - Part 2'!$BT$6:$BT$8,0),MATCH('SCC_Sulfide (SSC)'!I21,'Tables - Part 2'!$BU$5:$BW$5,0))))</f>
        <v>Medium</v>
      </c>
      <c r="V21" s="238">
        <f>IF(AND(D21=$BX$2,E21&lt;&gt;$BX$2),"Fitness-For-Service",INDEX('Tables - Part 2'!$CC$4:$CC$7,MATCH('SCC_Sulfide (SSC)'!U21,'Tables - Part 2'!$CB$4:$CB$7,0),))</f>
        <v>10</v>
      </c>
      <c r="W21" s="238">
        <f>IF(K21=0,(Thinning!G22-Thinning!F22)/365.25,(Thinning!G22-K21)/365.25)</f>
        <v>12.980150581793293</v>
      </c>
      <c r="X21" s="248">
        <f t="shared" si="2"/>
        <v>0</v>
      </c>
      <c r="Y21" s="248">
        <f t="shared" si="3"/>
        <v>2.5</v>
      </c>
      <c r="Z21" s="248">
        <f t="shared" si="4"/>
        <v>3</v>
      </c>
      <c r="AA21" s="247">
        <f t="shared" si="5"/>
        <v>4</v>
      </c>
      <c r="AB21" s="248">
        <f>IF($R21=$AB$3,INDEX('Tables - Part 2'!$AX$6:$BA$13,MATCH('SCC_Sulfide (SSC)'!V21,'Tables - Part 2'!$AV$6:$AV$13,0),MATCH('SCC_Sulfide (SSC)'!S21,'Tables - Part 2'!$AX$5:$BA$5,0)),0)</f>
        <v>0</v>
      </c>
      <c r="AC21" s="248">
        <f>IF($R21=$AC$3,(INDEX('Tables - Part 2'!$AX$6:$BA$13,MATCH('SCC_Sulfide (SSC)'!V21,'Tables - Part 2'!$AV$6:$AV$13,0),MATCH('SCC_Sulfide (SSC)'!S21,'Tables - Part 2'!$AX$5:$BA$5,0))+(INDEX('Tables - Part 2'!$AX$6:$BA$13,MATCH('SCC_Sulfide (SSC)'!V21,'Tables - Part 2'!$AV$6:$AV$13,0),MATCH('SCC_Sulfide (SSC)'!S21,'Tables - Part 2'!$AX$5:$BA$5,0))+((INDEX('Tables - Part 2'!$AX$6:$BA$13,MATCH('SCC_Sulfide (SSC)'!V21,'Tables - Part 2'!$AV$6:$AV$13,0),MATCH('SCC_Sulfide (SSC)'!S21,'Tables - Part 2'!$AX$5:$BA$5,0))+INDEX('Tables - Part 2'!$BB$6:$BE$13,MATCH('SCC_Sulfide (SSC)'!$V21,'Tables - Part 2'!$AV$6:$AV$13,0),MATCH('SCC_Sulfide (SSC)'!$S21,'Tables - Part 2'!$AX$5:$BA$5,0)))/2))/2)/2,0)</f>
        <v>0</v>
      </c>
      <c r="AD21" s="248">
        <f>IF($R21=$AD$3,(INDEX('Tables - Part 2'!$AX$6:$BA$13,MATCH('SCC_Sulfide (SSC)'!V21,'Tables - Part 2'!$AV$6:$AV$13,0),MATCH('SCC_Sulfide (SSC)'!S21,'Tables - Part 2'!$AX$5:$BA$5,0))+((INDEX('Tables - Part 2'!$AX$6:$BA$13,MATCH('SCC_Sulfide (SSC)'!V21,'Tables - Part 2'!$AV$6:$AV$13,0),MATCH('SCC_Sulfide (SSC)'!S21,'Tables - Part 2'!$AX$5:$BA$5,0))+INDEX('Tables - Part 2'!$BB$6:$BE$13,MATCH('SCC_Sulfide (SSC)'!$V21,'Tables - Part 2'!$AV$6:$AV$13,0),MATCH('SCC_Sulfide (SSC)'!$S21,'Tables - Part 2'!$AX$5:$BA$5,0)))/2))/2,0)</f>
        <v>0</v>
      </c>
      <c r="AE21" s="248">
        <f>IF($R21=$AE$3,(((INDEX('Tables - Part 2'!$AX$6:$BA$13,MATCH('SCC_Sulfide (SSC)'!V21,'Tables - Part 2'!$AV$6:$AV$13,0),MATCH('SCC_Sulfide (SSC)'!S21,'Tables - Part 2'!$AX$5:$BA$5,0))+((INDEX('Tables - Part 2'!$AX$6:$BA$13,MATCH('SCC_Sulfide (SSC)'!V21,'Tables - Part 2'!$AV$6:$AV$13,0),MATCH('SCC_Sulfide (SSC)'!S21,'Tables - Part 2'!$AX$5:$BA$5,0))+INDEX('Tables - Part 2'!$BB$6:$BE$13,MATCH('SCC_Sulfide (SSC)'!$V21,'Tables - Part 2'!$AV$6:$AV$13,0),MATCH('SCC_Sulfide (SSC)'!$S21,'Tables - Part 2'!$AX$5:$BA$5,0)))/2))/2)+(INDEX('Tables - Part 2'!$AX$6:$BA$13,MATCH('SCC_Sulfide (SSC)'!V21,'Tables - Part 2'!$AV$6:$AV$13,0),MATCH('SCC_Sulfide (SSC)'!S21,'Tables - Part 2'!$AX$5:$BA$5,0))+INDEX('Tables - Part 2'!$BB$6:$BE$13,MATCH('SCC_Sulfide (SSC)'!$V21,'Tables - Part 2'!$AV$6:$AV$13,0),MATCH('SCC_Sulfide (SSC)'!$S21,'Tables - Part 2'!$AX$5:$BA$5,0)))/2)/2,0)</f>
        <v>0</v>
      </c>
      <c r="AF21" s="248">
        <f>IF($R21=$AF$3,(INDEX('Tables - Part 2'!$AX$6:$BA$13,MATCH('SCC_Sulfide (SSC)'!V21,'Tables - Part 2'!$AV$6:$AV$13,0),MATCH('SCC_Sulfide (SSC)'!S21,'Tables - Part 2'!$AX$5:$BA$5,0))+INDEX('Tables - Part 2'!$BB$6:$BE$13,MATCH('SCC_Sulfide (SSC)'!$V21,'Tables - Part 2'!$AV$6:$AV$13,0),MATCH('SCC_Sulfide (SSC)'!$S21,'Tables - Part 2'!$AX$5:$BA$5,0)))/2,0)</f>
        <v>0</v>
      </c>
      <c r="AG21" s="248">
        <f>IF($R21=$AG$3,(((INDEX('Tables - Part 2'!$AX$6:$BA$13,MATCH('SCC_Sulfide (SSC)'!V21,'Tables - Part 2'!$AV$6:$AV$13,0),MATCH('SCC_Sulfide (SSC)'!S21,'Tables - Part 2'!$AX$5:$BA$5,0))+INDEX('Tables - Part 2'!$BB$6:$BE$13,MATCH('SCC_Sulfide (SSC)'!$V21,'Tables - Part 2'!$AV$6:$AV$13,0),MATCH('SCC_Sulfide (SSC)'!$S21,'Tables - Part 2'!$AX$5:$BA$5,0)))/2)+(((INDEX('Tables - Part 2'!$AX$6:$BA$13,MATCH('SCC_Sulfide (SSC)'!V21,'Tables - Part 2'!$AV$6:$AV$13,0),MATCH('SCC_Sulfide (SSC)'!S21,'Tables - Part 2'!$AX$5:$BA$5,0))+INDEX('Tables - Part 2'!$BB$6:$BE$13,MATCH('SCC_Sulfide (SSC)'!$V21,'Tables - Part 2'!$AV$6:$AV$13,0),MATCH('SCC_Sulfide (SSC)'!$S21,'Tables - Part 2'!$AX$5:$BA$5,0)))/2)+INDEX('Tables - Part 2'!$BB$6:$BE$13,MATCH('SCC_Sulfide (SSC)'!$V21,'Tables - Part 2'!$AV$6:$AV$13,0),MATCH('SCC_Sulfide (SSC)'!$S21,'Tables - Part 2'!$AX$5:$BA$5,0)))/2)/2,0)</f>
        <v>0</v>
      </c>
      <c r="AH21" s="248">
        <f>IF($R21=$AH$3,(((INDEX('Tables - Part 2'!$AX$6:$BA$13,MATCH('SCC_Sulfide (SSC)'!V21,'Tables - Part 2'!$AV$6:$AV$13,0),MATCH('SCC_Sulfide (SSC)'!S21,'Tables - Part 2'!$AX$5:$BA$5,0))+INDEX('Tables - Part 2'!$BB$6:$BE$13,MATCH('SCC_Sulfide (SSC)'!$V21,'Tables - Part 2'!$AV$6:$AV$13,0),MATCH('SCC_Sulfide (SSC)'!$S21,'Tables - Part 2'!$AX$5:$BA$5,0)))/2)+INDEX('Tables - Part 2'!$BB$6:$BE$13,MATCH('SCC_Sulfide (SSC)'!$V21,'Tables - Part 2'!$AV$6:$AV$13,0),MATCH('SCC_Sulfide (SSC)'!$S21,'Tables - Part 2'!$AX$5:$BA$5,0)))/2,0)</f>
        <v>0</v>
      </c>
      <c r="AI21" s="248">
        <f>IF($R21=$AI$3,(((((INDEX('Tables - Part 2'!$AX$6:$BA$13,MATCH('SCC_Sulfide (SSC)'!V21,'Tables - Part 2'!$AV$6:$AV$13,0),MATCH('SCC_Sulfide (SSC)'!S21,'Tables - Part 2'!$AX$5:$BA$5,0))+INDEX('Tables - Part 2'!$BB$6:$BE$13,MATCH('SCC_Sulfide (SSC)'!$V21,'Tables - Part 2'!$AV$6:$AV$13,0),MATCH('SCC_Sulfide (SSC)'!$S21,'Tables - Part 2'!$AX$5:$BA$5,0)))/2)+INDEX('Tables - Part 2'!$BB$6:$BE$13,MATCH('SCC_Sulfide (SSC)'!$V21,'Tables - Part 2'!$AV$6:$AV$13,0),MATCH('SCC_Sulfide (SSC)'!$S21,'Tables - Part 2'!$AX$5:$BA$5,0)))/2)+INDEX('Tables - Part 2'!$BB$6:$BE$13,MATCH('SCC_Sulfide (SSC)'!$V21,'Tables - Part 2'!$AV$6:$AV$13,0),MATCH('SCC_Sulfide (SSC)'!$S21,'Tables - Part 2'!$AX$5:$BA$5,0)))/2,0)</f>
        <v>0</v>
      </c>
      <c r="AJ21" s="248">
        <f>IF($R21=$AJ$3,INDEX('Tables - Part 2'!$BB$6:$BE$13,MATCH('SCC_Sulfide (SSC)'!$V21,'Tables - Part 2'!$AV$6:$AV$13,0),MATCH('SCC_Sulfide (SSC)'!$S21,'Tables - Part 2'!$AX$5:$BA$5,0)),0)</f>
        <v>0</v>
      </c>
      <c r="AK21" s="248">
        <f>IF($R21=$AK$3,((INDEX('Tables - Part 2'!$BB$6:$BE$13,MATCH('SCC_Sulfide (SSC)'!$V21,'Tables - Part 2'!$AV$6:$AV$13,0),MATCH('SCC_Sulfide (SSC)'!$S21,'Tables - Part 2'!$AX$5:$BA$5,0)))+(INDEX('Tables - Part 2'!$BB$6:$BE$13,MATCH('SCC_Sulfide (SSC)'!$V21,'Tables - Part 2'!$AV$6:$AV$13,0),MATCH('SCC_Sulfide (SSC)'!$S21,'Tables - Part 2'!$AX$5:$BA$5,0))+(INDEX('Tables - Part 2'!$BB$6:$BE$13,MATCH('SCC_Sulfide (SSC)'!$V21,'Tables - Part 2'!$AV$6:$AV$13,0),MATCH('SCC_Sulfide (SSC)'!$S21,'Tables - Part 2'!$AX$5:$BA$5,0))+INDEX('Tables - Part 2'!$BF$6:$BI$13,MATCH('SCC_Sulfide (SSC)'!$V21,'Tables - Part 2'!$AV$6:$AV$13,0),MATCH('SCC_Sulfide (SSC)'!$S21,'Tables - Part 2'!$AX$5:$BA$5,0)))/2)/2)/2,0)</f>
        <v>0</v>
      </c>
      <c r="AL21" s="248">
        <f>IF($R21=$AL$3,(INDEX('Tables - Part 2'!$BB$6:$BE$13,MATCH('SCC_Sulfide (SSC)'!$V21,'Tables - Part 2'!$AV$6:$AV$13,0),MATCH('SCC_Sulfide (SSC)'!$S21,'Tables - Part 2'!$AX$5:$BA$5,0))+(INDEX('Tables - Part 2'!$BB$6:$BE$13,MATCH('SCC_Sulfide (SSC)'!$V21,'Tables - Part 2'!$AV$6:$AV$13,0),MATCH('SCC_Sulfide (SSC)'!$S21,'Tables - Part 2'!$AX$5:$BA$5,0))+INDEX('Tables - Part 2'!$BF$6:$BI$13,MATCH('SCC_Sulfide (SSC)'!$V21,'Tables - Part 2'!$AV$6:$AV$13,0),MATCH('SCC_Sulfide (SSC)'!$S21,'Tables - Part 2'!$AX$5:$BA$5,0)))/2)/2,0)</f>
        <v>0</v>
      </c>
      <c r="AM21" s="248">
        <f>IF($R21=$AM$3,(((INDEX('Tables - Part 2'!$BB$6:$BE$13,MATCH('SCC_Sulfide (SSC)'!$V21,'Tables - Part 2'!$AV$6:$AV$13,0),MATCH('SCC_Sulfide (SSC)'!$S21,'Tables - Part 2'!$AX$5:$BA$5,0))+(INDEX('Tables - Part 2'!$BB$6:$BE$13,MATCH('SCC_Sulfide (SSC)'!$V21,'Tables - Part 2'!$AV$6:$AV$13,0),MATCH('SCC_Sulfide (SSC)'!$S21,'Tables - Part 2'!$AX$5:$BA$5,0))+INDEX('Tables - Part 2'!$BF$6:$BI$13,MATCH('SCC_Sulfide (SSC)'!$V21,'Tables - Part 2'!$AV$6:$AV$13,0),MATCH('SCC_Sulfide (SSC)'!$S21,'Tables - Part 2'!$AX$5:$BA$5,0)))/2)/2)+((INDEX('Tables - Part 2'!$BB$6:$BE$13,MATCH('SCC_Sulfide (SSC)'!$V21,'Tables - Part 2'!$AV$6:$AV$13,0),MATCH('SCC_Sulfide (SSC)'!$S21,'Tables - Part 2'!$AX$5:$BA$5,0))+INDEX('Tables - Part 2'!$BF$6:$BI$13,MATCH('SCC_Sulfide (SSC)'!$V21,'Tables - Part 2'!$AV$6:$AV$13,0),MATCH('SCC_Sulfide (SSC)'!$S21,'Tables - Part 2'!$AX$5:$BA$5,0)))/2))/2,0)</f>
        <v>0</v>
      </c>
      <c r="AN21" s="248">
        <f>IF($R21=$AN$3,(INDEX('Tables - Part 2'!$BB$6:$BE$13,MATCH('SCC_Sulfide (SSC)'!$V21,'Tables - Part 2'!$AV$6:$AV$13,0),MATCH('SCC_Sulfide (SSC)'!$S21,'Tables - Part 2'!$AX$5:$BA$5,0))+INDEX('Tables - Part 2'!$BF$6:$BI$13,MATCH('SCC_Sulfide (SSC)'!$V21,'Tables - Part 2'!$AV$6:$AV$13,0),MATCH('SCC_Sulfide (SSC)'!$S21,'Tables - Part 2'!$AX$5:$BA$5,0)))/2,0)</f>
        <v>1</v>
      </c>
      <c r="AO21" s="248">
        <f>IF($R21=$AO$3,(((INDEX('Tables - Part 2'!$BB$6:$BE$13,MATCH('SCC_Sulfide (SSC)'!$V21,'Tables - Part 2'!$AV$6:$AV$13,0),MATCH('SCC_Sulfide (SSC)'!$S21,'Tables - Part 2'!$AX$5:$BA$5,0))+INDEX('Tables - Part 2'!$BF$6:$BI$13,MATCH('SCC_Sulfide (SSC)'!$V21,'Tables - Part 2'!$AV$6:$AV$13,0),MATCH('SCC_Sulfide (SSC)'!$S21,'Tables - Part 2'!$AX$5:$BA$5,0)))/2)+((((INDEX('Tables - Part 2'!$BB$6:$BE$13,MATCH('SCC_Sulfide (SSC)'!$V21,'Tables - Part 2'!$AV$6:$AV$13,0),MATCH('SCC_Sulfide (SSC)'!$S21,'Tables - Part 2'!$AX$5:$BA$5,0))+INDEX('Tables - Part 2'!$BF$6:$BI$13,MATCH('SCC_Sulfide (SSC)'!$V21,'Tables - Part 2'!$AV$6:$AV$13,0),MATCH('SCC_Sulfide (SSC)'!$S21,'Tables - Part 2'!$AX$5:$BA$5,0)))/2)+INDEX('Tables - Part 2'!$BF$6:$BI$13,MATCH('SCC_Sulfide (SSC)'!$V21,'Tables - Part 2'!$AV$6:$AV$13,0),MATCH('SCC_Sulfide (SSC)'!$S21,'Tables - Part 2'!$AX$5:$BA$5,0)))/2))/2,0)</f>
        <v>0</v>
      </c>
      <c r="AP21" s="248">
        <f>IF($R21=$AP$3,(((INDEX('Tables - Part 2'!$BB$6:$BE$13,MATCH('SCC_Sulfide (SSC)'!$V21,'Tables - Part 2'!$AV$6:$AV$13,0),MATCH('SCC_Sulfide (SSC)'!$S21,'Tables - Part 2'!$AX$5:$BA$5,0))+INDEX('Tables - Part 2'!$BF$6:$BI$13,MATCH('SCC_Sulfide (SSC)'!$V21,'Tables - Part 2'!$AV$6:$AV$13,0),MATCH('SCC_Sulfide (SSC)'!$S21,'Tables - Part 2'!$AX$5:$BA$5,0)))/2)+INDEX('Tables - Part 2'!$BF$6:$BI$13,MATCH('SCC_Sulfide (SSC)'!$V21,'Tables - Part 2'!$AV$6:$AV$13,0),MATCH('SCC_Sulfide (SSC)'!$S21,'Tables - Part 2'!$AX$5:$BA$5,0)))/2,0)</f>
        <v>0</v>
      </c>
      <c r="AQ21" s="248">
        <f>IF($R21=$AQ$3,(((((INDEX('Tables - Part 2'!$BB$6:$BE$13,MATCH('SCC_Sulfide (SSC)'!$V21,'Tables - Part 2'!$AV$6:$AV$13,0),MATCH('SCC_Sulfide (SSC)'!$S21,'Tables - Part 2'!$AX$5:$BA$5,0))+INDEX('Tables - Part 2'!$BF$6:$BI$13,MATCH('SCC_Sulfide (SSC)'!$V21,'Tables - Part 2'!$AV$6:$AV$13,0),MATCH('SCC_Sulfide (SSC)'!$S21,'Tables - Part 2'!$AX$5:$BA$5,0)))/2)+INDEX('Tables - Part 2'!$BF$6:$BI$13,MATCH('SCC_Sulfide (SSC)'!$V21,'Tables - Part 2'!$AV$6:$AV$13,0),MATCH('SCC_Sulfide (SSC)'!$S21,'Tables - Part 2'!$AX$5:$BA$5,0)))/2)+INDEX('Tables - Part 2'!$BF$6:$BI$13,MATCH('SCC_Sulfide (SSC)'!$V21,'Tables - Part 2'!$AV$6:$AV$13,0),MATCH('SCC_Sulfide (SSC)'!$S21,'Tables - Part 2'!$AX$5:$BA$5,0)))/2,0)</f>
        <v>0</v>
      </c>
      <c r="AR21" s="248">
        <f>IF($R21=$AR$3,INDEX('Tables - Part 2'!$BF$6:$BI$13,MATCH('SCC_Sulfide (SSC)'!$V21,'Tables - Part 2'!$AV$6:$AV$13,0),MATCH('SCC_Sulfide (SSC)'!$S21,'Tables - Part 2'!$AX$5:$BA$5,0)),0)</f>
        <v>0</v>
      </c>
      <c r="AS21" s="248">
        <f>IF($R21=$AS$3,(INDEX('Tables - Part 2'!$BF$6:$BI$13,MATCH('SCC_Sulfide (SSC)'!$V21,'Tables - Part 2'!$AV$6:$AV$13,0),MATCH('SCC_Sulfide (SSC)'!$S21,'Tables - Part 2'!$AX$5:$BA$5,0))+((INDEX('Tables - Part 2'!$BF$6:$BI$13,MATCH('SCC_Sulfide (SSC)'!$V21,'Tables - Part 2'!$AV$6:$AV$13,0),MATCH('SCC_Sulfide (SSC)'!$S21,'Tables - Part 2'!$AX$5:$BA$5,0))+(INDEX('Tables - Part 2'!$BF$6:$BI$13,MATCH('SCC_Sulfide (SSC)'!$V21,'Tables - Part 2'!$AV$6:$AV$13,0),MATCH('SCC_Sulfide (SSC)'!$S21,'Tables - Part 2'!$AX$5:$BA$5,0))+INDEX('Tables - Part 2'!$AX$17:$BA$24,MATCH('SCC_Sulfide (SSC)'!$V21,'Tables - Part 2'!$AV$6:$AV$13,0),MATCH('SCC_Sulfide (SSC)'!$S21,'Tables - Part 2'!$AX$5:$BA$5,0)))/2)/2))/2,0)</f>
        <v>0</v>
      </c>
      <c r="AT21" s="248">
        <f>IF($R21=$AT$3,(INDEX('Tables - Part 2'!$BF$6:$BI$13,MATCH('SCC_Sulfide (SSC)'!$V21,'Tables - Part 2'!$AV$6:$AV$13,0),MATCH('SCC_Sulfide (SSC)'!$S21,'Tables - Part 2'!$AX$5:$BA$5,0))+(INDEX('Tables - Part 2'!$BF$6:$BI$13,MATCH('SCC_Sulfide (SSC)'!$V21,'Tables - Part 2'!$AV$6:$AV$13,0),MATCH('SCC_Sulfide (SSC)'!$S21,'Tables - Part 2'!$AX$5:$BA$5,0))+INDEX('Tables - Part 2'!$AX$17:$BA$24,MATCH('SCC_Sulfide (SSC)'!$V21,'Tables - Part 2'!$AV$6:$AV$13,0),MATCH('SCC_Sulfide (SSC)'!$S21,'Tables - Part 2'!$AX$5:$BA$5,0)))/2)/2,0)</f>
        <v>0</v>
      </c>
      <c r="AU21" s="248">
        <f>IF($R21=$AU$3,(((INDEX('Tables - Part 2'!$BF$6:$BI$13,MATCH('SCC_Sulfide (SSC)'!$V21,'Tables - Part 2'!$AV$6:$AV$13,0),MATCH('SCC_Sulfide (SSC)'!$S21,'Tables - Part 2'!$AX$5:$BA$5,0))+(INDEX('Tables - Part 2'!$BF$6:$BI$13,MATCH('SCC_Sulfide (SSC)'!$V21,'Tables - Part 2'!$AV$6:$AV$13,0),MATCH('SCC_Sulfide (SSC)'!$S21,'Tables - Part 2'!$AX$5:$BA$5,0))+INDEX('Tables - Part 2'!$AX$17:$BA$24,MATCH('SCC_Sulfide (SSC)'!$V21,'Tables - Part 2'!$AV$6:$AV$13,0),MATCH('SCC_Sulfide (SSC)'!$S21,'Tables - Part 2'!$AX$5:$BA$5,0)))/2)/2)+((INDEX('Tables - Part 2'!$BF$6:$BI$13,MATCH('SCC_Sulfide (SSC)'!$V21,'Tables - Part 2'!$AV$6:$AV$13,0),MATCH('SCC_Sulfide (SSC)'!$S21,'Tables - Part 2'!$AX$5:$BA$5,0))+INDEX('Tables - Part 2'!$AX$17:$BA$24,MATCH('SCC_Sulfide (SSC)'!$V21,'Tables - Part 2'!$AV$6:$AV$13,0),MATCH('SCC_Sulfide (SSC)'!$S21,'Tables - Part 2'!$AX$5:$BA$5,0)))/2))/2,0)</f>
        <v>0</v>
      </c>
      <c r="AV21" s="248">
        <f>IF($R21=$AV$3,(INDEX('Tables - Part 2'!$BF$6:$BI$13,MATCH('SCC_Sulfide (SSC)'!$V21,'Tables - Part 2'!$AV$6:$AV$13,0),MATCH('SCC_Sulfide (SSC)'!$S21,'Tables - Part 2'!$AX$5:$BA$5,0))+INDEX('Tables - Part 2'!$AX$17:$BA$24,MATCH('SCC_Sulfide (SSC)'!$V21,'Tables - Part 2'!$AV$6:$AV$13,0),MATCH('SCC_Sulfide (SSC)'!$S21,'Tables - Part 2'!$AX$5:$BA$5,0)))/2,0)</f>
        <v>0</v>
      </c>
      <c r="AW21" s="248">
        <f>IF($R21=$AW$3,(((INDEX('Tables - Part 2'!$BF$6:$BI$13,MATCH('SCC_Sulfide (SSC)'!$V21,'Tables - Part 2'!$AV$6:$AV$13,0),MATCH('SCC_Sulfide (SSC)'!$S21,'Tables - Part 2'!$AX$5:$BA$5,0))+INDEX('Tables - Part 2'!$AX$17:$BA$24,MATCH('SCC_Sulfide (SSC)'!$V21,'Tables - Part 2'!$AV$6:$AV$13,0),MATCH('SCC_Sulfide (SSC)'!$S21,'Tables - Part 2'!$AX$5:$BA$5,0)))/2)+((((INDEX('Tables - Part 2'!$BF$6:$BI$13,MATCH('SCC_Sulfide (SSC)'!$V21,'Tables - Part 2'!$AV$6:$AV$13,0),MATCH('SCC_Sulfide (SSC)'!$S21,'Tables - Part 2'!$AX$5:$BA$5,0))+INDEX('Tables - Part 2'!$AX$17:$BA$24,MATCH('SCC_Sulfide (SSC)'!$V21,'Tables - Part 2'!$AV$6:$AV$13,0),MATCH('SCC_Sulfide (SSC)'!$S21,'Tables - Part 2'!$AX$5:$BA$5,0)))/2)+INDEX('Tables - Part 2'!$AX$17:$BA$24,MATCH('SCC_Sulfide (SSC)'!$V21,'Tables - Part 2'!$AV$6:$AV$13,0),MATCH('SCC_Sulfide (SSC)'!$S21,'Tables - Part 2'!$AX$5:$BA$5,0)))/2))/2,0)</f>
        <v>0</v>
      </c>
      <c r="AX21" s="248">
        <f>IF($R21=$AX$3,(((INDEX('Tables - Part 2'!$BF$6:$BI$13,MATCH('SCC_Sulfide (SSC)'!$V21,'Tables - Part 2'!$AV$6:$AV$13,0),MATCH('SCC_Sulfide (SSC)'!$S21,'Tables - Part 2'!$AX$5:$BA$5,0))+INDEX('Tables - Part 2'!$AX$17:$BA$24,MATCH('SCC_Sulfide (SSC)'!$V21,'Tables - Part 2'!$AV$6:$AV$13,0),MATCH('SCC_Sulfide (SSC)'!$S21,'Tables - Part 2'!$AX$5:$BA$5,0)))/2)+INDEX('Tables - Part 2'!$AX$17:$BA$24,MATCH('SCC_Sulfide (SSC)'!$V21,'Tables - Part 2'!$AV$6:$AV$13,0),MATCH('SCC_Sulfide (SSC)'!$S21,'Tables - Part 2'!$AX$5:$BA$5,0)))/2,0)</f>
        <v>0</v>
      </c>
      <c r="AY21" s="248">
        <f>IF($R21=$AY$3,(((((INDEX('Tables - Part 2'!$BF$6:$BI$13,MATCH('SCC_Sulfide (SSC)'!$V21,'Tables - Part 2'!$AV$6:$AV$13,0),MATCH('SCC_Sulfide (SSC)'!$S21,'Tables - Part 2'!$AX$5:$BA$5,0))+INDEX('Tables - Part 2'!$AX$17:$BA$24,MATCH('SCC_Sulfide (SSC)'!$V21,'Tables - Part 2'!$AV$6:$AV$13,0),MATCH('SCC_Sulfide (SSC)'!$S21,'Tables - Part 2'!$AX$5:$BA$5,0)))/2)+INDEX('Tables - Part 2'!$AX$17:$BA$24,MATCH('SCC_Sulfide (SSC)'!$V21,'Tables - Part 2'!$AV$6:$AV$13,0),MATCH('SCC_Sulfide (SSC)'!$S21,'Tables - Part 2'!$AX$5:$BA$5,0)))/2)+(INDEX('Tables - Part 2'!$AX$17:$BA$24,MATCH('SCC_Sulfide (SSC)'!$V21,'Tables - Part 2'!$AV$6:$AV$13,0),MATCH('SCC_Sulfide (SSC)'!$S21,'Tables - Part 2'!$AX$5:$BA$5,0))))/2,0)</f>
        <v>0</v>
      </c>
      <c r="AZ21" s="248">
        <f>IF($R21=$AZ$3,INDEX('Tables - Part 2'!$AX$17:$BA$24,MATCH('SCC_Sulfide (SSC)'!$V21,'Tables - Part 2'!$AV$6:$AV$13,0),MATCH('SCC_Sulfide (SSC)'!$S21,'Tables - Part 2'!$AX$5:$BA$5,0)),0)</f>
        <v>0</v>
      </c>
      <c r="BA21" s="248">
        <f>IF($R21=$BA$3,((INDEX('Tables - Part 2'!$AX$17:$BA$24,MATCH('SCC_Sulfide (SSC)'!$V21,'Tables - Part 2'!$AV$6:$AV$13,0),MATCH('SCC_Sulfide (SSC)'!$S21,'Tables - Part 2'!$AX$5:$BA$5,0)))+(((INDEX('Tables - Part 2'!$AX$17:$BA$24,MATCH('SCC_Sulfide (SSC)'!$V21,'Tables - Part 2'!$AV$6:$AV$13,0),MATCH('SCC_Sulfide (SSC)'!$S21,'Tables - Part 2'!$AX$5:$BA$5,0)))+(INDEX('Tables - Part 2'!$AX$17:$BA$24,MATCH('SCC_Sulfide (SSC)'!$V21,'Tables - Part 2'!$AV$6:$AV$13,0),MATCH('SCC_Sulfide (SSC)'!$S21,'Tables - Part 2'!$AX$5:$BA$5,0))+INDEX('Tables - Part 2'!$BB$17:$BE$24,MATCH('SCC_Sulfide (SSC)'!$V21,'Tables - Part 2'!$AV$6:$AV$13,0),MATCH('SCC_Sulfide (SSC)'!$S21,'Tables - Part 2'!$AX$5:$BA$5,0)))/2)/2))/2,0)</f>
        <v>0</v>
      </c>
      <c r="BB21" s="248">
        <f>IF($R21=$BB$3,((INDEX('Tables - Part 2'!$AX$17:$BA$24,MATCH('SCC_Sulfide (SSC)'!$V21,'Tables - Part 2'!$AV$6:$AV$13,0),MATCH('SCC_Sulfide (SSC)'!$S21,'Tables - Part 2'!$AX$5:$BA$5,0)))+(INDEX('Tables - Part 2'!$AX$17:$BA$24,MATCH('SCC_Sulfide (SSC)'!$V21,'Tables - Part 2'!$AV$6:$AV$13,0),MATCH('SCC_Sulfide (SSC)'!$S21,'Tables - Part 2'!$AX$5:$BA$5,0))+INDEX('Tables - Part 2'!$BB$17:$BE$24,MATCH('SCC_Sulfide (SSC)'!$V21,'Tables - Part 2'!$AV$6:$AV$13,0),MATCH('SCC_Sulfide (SSC)'!$S21,'Tables - Part 2'!$AX$5:$BA$5,0)))/2)/2,0)</f>
        <v>0</v>
      </c>
      <c r="BC21" s="248">
        <f>IF($R21=$BC$3,((((INDEX('Tables - Part 2'!$AX$17:$BA$24,MATCH('SCC_Sulfide (SSC)'!$V21,'Tables - Part 2'!$AV$6:$AV$13,0),MATCH('SCC_Sulfide (SSC)'!$S21,'Tables - Part 2'!$AX$5:$BA$5,0)))+(INDEX('Tables - Part 2'!$AX$17:$BA$24,MATCH('SCC_Sulfide (SSC)'!$V21,'Tables - Part 2'!$AV$6:$AV$13,0),MATCH('SCC_Sulfide (SSC)'!$S21,'Tables - Part 2'!$AX$5:$BA$5,0))+INDEX('Tables - Part 2'!$BB$17:$BE$24,MATCH('SCC_Sulfide (SSC)'!$V21,'Tables - Part 2'!$AV$6:$AV$13,0),MATCH('SCC_Sulfide (SSC)'!$S21,'Tables - Part 2'!$AX$5:$BA$5,0)))/2)/2)+((INDEX('Tables - Part 2'!$AX$17:$BA$24,MATCH('SCC_Sulfide (SSC)'!$V21,'Tables - Part 2'!$AV$6:$AV$13,0),MATCH('SCC_Sulfide (SSC)'!$S21,'Tables - Part 2'!$AX$5:$BA$5,0))+INDEX('Tables - Part 2'!$BB$17:$BE$24,MATCH('SCC_Sulfide (SSC)'!$V21,'Tables - Part 2'!$AV$6:$AV$13,0),MATCH('SCC_Sulfide (SSC)'!$S21,'Tables - Part 2'!$AX$5:$BA$5,0)))/2))/2,0)</f>
        <v>0</v>
      </c>
      <c r="BD21" s="248">
        <f>IF($R21=$BD$3,(INDEX('Tables - Part 2'!$AX$17:$BA$24,MATCH('SCC_Sulfide (SSC)'!$V21,'Tables - Part 2'!$AV$6:$AV$13,0),MATCH('SCC_Sulfide (SSC)'!$S21,'Tables - Part 2'!$AX$5:$BA$5,0))+INDEX('Tables - Part 2'!$BB$17:$BE$24,MATCH('SCC_Sulfide (SSC)'!$V21,'Tables - Part 2'!$AV$6:$AV$13,0),MATCH('SCC_Sulfide (SSC)'!$S21,'Tables - Part 2'!$AX$5:$BA$5,0)))/2,0)</f>
        <v>0</v>
      </c>
      <c r="BE21" s="248">
        <f>IF($R21=$BE$3,(((INDEX('Tables - Part 2'!$AX$17:$BA$24,MATCH('SCC_Sulfide (SSC)'!$V21,'Tables - Part 2'!$AV$6:$AV$13,0),MATCH('SCC_Sulfide (SSC)'!$S21,'Tables - Part 2'!$AX$5:$BA$5,0))+INDEX('Tables - Part 2'!$BB$17:$BE$24,MATCH('SCC_Sulfide (SSC)'!$V21,'Tables - Part 2'!$AV$6:$AV$13,0),MATCH('SCC_Sulfide (SSC)'!$S21,'Tables - Part 2'!$AX$5:$BA$5,0)))/2)+((((INDEX('Tables - Part 2'!$AX$17:$BA$24,MATCH('SCC_Sulfide (SSC)'!$V21,'Tables - Part 2'!$AV$6:$AV$13,0),MATCH('SCC_Sulfide (SSC)'!$S21,'Tables - Part 2'!$AX$5:$BA$5,0))+INDEX('Tables - Part 2'!$BB$17:$BE$24,MATCH('SCC_Sulfide (SSC)'!$V21,'Tables - Part 2'!$AV$6:$AV$13,0),MATCH('SCC_Sulfide (SSC)'!$S21,'Tables - Part 2'!$AX$5:$BA$5,0)))/2)+INDEX('Tables - Part 2'!$BB$17:$BE$24,MATCH('SCC_Sulfide (SSC)'!$V21,'Tables - Part 2'!$AV$6:$AV$13,0),MATCH('SCC_Sulfide (SSC)'!$S21,'Tables - Part 2'!$AX$5:$BA$5,0)))/2))/2,0)</f>
        <v>0</v>
      </c>
      <c r="BF21" s="248">
        <f>IF($R21=$BF$3,(((INDEX('Tables - Part 2'!$AX$17:$BA$24,MATCH('SCC_Sulfide (SSC)'!$V21,'Tables - Part 2'!$AV$6:$AV$13,0),MATCH('SCC_Sulfide (SSC)'!$S21,'Tables - Part 2'!$AX$5:$BA$5,0))+INDEX('Tables - Part 2'!$BB$17:$BE$24,MATCH('SCC_Sulfide (SSC)'!$V21,'Tables - Part 2'!$AV$6:$AV$13,0),MATCH('SCC_Sulfide (SSC)'!$S21,'Tables - Part 2'!$AX$5:$BA$5,0)))/2)+INDEX('Tables - Part 2'!$BB$17:$BE$24,MATCH('SCC_Sulfide (SSC)'!$V21,'Tables - Part 2'!$AV$6:$AV$13,0),MATCH('SCC_Sulfide (SSC)'!$S21,'Tables - Part 2'!$AX$5:$BA$5,0)))/2,0)</f>
        <v>0</v>
      </c>
      <c r="BG21" s="248">
        <f>IF($R21=$BG$3,(((((INDEX('Tables - Part 2'!$AX$17:$BA$24,MATCH('SCC_Sulfide (SSC)'!$V21,'Tables - Part 2'!$AV$6:$AV$13,0),MATCH('SCC_Sulfide (SSC)'!$S21,'Tables - Part 2'!$AX$5:$BA$5,0))+INDEX('Tables - Part 2'!$BB$17:$BE$24,MATCH('SCC_Sulfide (SSC)'!$V21,'Tables - Part 2'!$AV$6:$AV$13,0),MATCH('SCC_Sulfide (SSC)'!$S21,'Tables - Part 2'!$AX$5:$BA$5,0)))/2)+INDEX('Tables - Part 2'!$BB$17:$BE$24,MATCH('SCC_Sulfide (SSC)'!$V21,'Tables - Part 2'!$AV$6:$AV$13,0),MATCH('SCC_Sulfide (SSC)'!$S21,'Tables - Part 2'!$AX$5:$BA$5,0)))/2)+(INDEX('Tables - Part 2'!$BB$17:$BE$24,MATCH('SCC_Sulfide (SSC)'!$V21,'Tables - Part 2'!$AV$6:$AV$13,0),MATCH('SCC_Sulfide (SSC)'!$S21,'Tables - Part 2'!$AX$5:$BA$5,0))))/2,0)</f>
        <v>0</v>
      </c>
      <c r="BH21" s="248">
        <f>IF($R21=$BH$3,INDEX('Tables - Part 2'!$BB$17:$BE$24,MATCH('SCC_Sulfide (SSC)'!$V21,'Tables - Part 2'!$AV$6:$AV$13,0),MATCH('SCC_Sulfide (SSC)'!$S21,'Tables - Part 2'!$AX$5:$BA$5,0)),0)</f>
        <v>0</v>
      </c>
      <c r="BI21" s="248">
        <f>IF($R21=$BI$3,((INDEX('Tables - Part 2'!$BB$17:$BE$24,MATCH('SCC_Sulfide (SSC)'!$V21,'Tables - Part 2'!$AV$6:$AV$13,0),MATCH('SCC_Sulfide (SSC)'!$S21,'Tables - Part 2'!$AX$5:$BA$5,0)))+(((INDEX('Tables - Part 2'!$BB$17:$BE$24,MATCH('SCC_Sulfide (SSC)'!$V21,'Tables - Part 2'!$AV$6:$AV$13,0),MATCH('SCC_Sulfide (SSC)'!$S21,'Tables - Part 2'!$AX$5:$BA$5,0)))+(INDEX('Tables - Part 2'!$BB$17:$BE$24,MATCH('SCC_Sulfide (SSC)'!$V21,'Tables - Part 2'!$AV$6:$AV$13,0),MATCH('SCC_Sulfide (SSC)'!$S21,'Tables - Part 2'!$AX$5:$BA$5,0))+INDEX('Tables - Part 2'!$BF$17:$BI$24,MATCH('SCC_Sulfide (SSC)'!$V21,'Tables - Part 2'!$AV$6:$AV$13,0),MATCH('SCC_Sulfide (SSC)'!$S21,'Tables - Part 2'!$AX$5:$BA$5,0)))/2)/2))/2,0)</f>
        <v>0</v>
      </c>
      <c r="BJ21" s="248">
        <f>IF($R21=$BJ$3,((INDEX('Tables - Part 2'!$BB$17:$BE$24,MATCH('SCC_Sulfide (SSC)'!$V21,'Tables - Part 2'!$AV$6:$AV$13,0),MATCH('SCC_Sulfide (SSC)'!$S21,'Tables - Part 2'!$AX$5:$BA$5,0)))+(INDEX('Tables - Part 2'!$BB$17:$BE$24,MATCH('SCC_Sulfide (SSC)'!$V21,'Tables - Part 2'!$AV$6:$AV$13,0),MATCH('SCC_Sulfide (SSC)'!$S21,'Tables - Part 2'!$AX$5:$BA$5,0))+INDEX('Tables - Part 2'!$BF$17:$BI$24,MATCH('SCC_Sulfide (SSC)'!$V21,'Tables - Part 2'!$AV$6:$AV$13,0),MATCH('SCC_Sulfide (SSC)'!$S21,'Tables - Part 2'!$AX$5:$BA$5,0)))/2)/2,0)</f>
        <v>0</v>
      </c>
      <c r="BK21" s="248">
        <f>IF($R21=$BK$3,((((INDEX('Tables - Part 2'!$BB$17:$BE$24,MATCH('SCC_Sulfide (SSC)'!$V21,'Tables - Part 2'!$AV$6:$AV$13,0),MATCH('SCC_Sulfide (SSC)'!$S21,'Tables - Part 2'!$AX$5:$BA$5,0)))+(INDEX('Tables - Part 2'!$BB$17:$BE$24,MATCH('SCC_Sulfide (SSC)'!$V21,'Tables - Part 2'!$AV$6:$AV$13,0),MATCH('SCC_Sulfide (SSC)'!$S21,'Tables - Part 2'!$AX$5:$BA$5,0))+INDEX('Tables - Part 2'!$BF$17:$BI$24,MATCH('SCC_Sulfide (SSC)'!$V21,'Tables - Part 2'!$AV$6:$AV$13,0),MATCH('SCC_Sulfide (SSC)'!$S21,'Tables - Part 2'!$AX$5:$BA$5,0)))/2)/2)+((INDEX('Tables - Part 2'!$BB$17:$BE$24,MATCH('SCC_Sulfide (SSC)'!$V21,'Tables - Part 2'!$AV$6:$AV$13,0),MATCH('SCC_Sulfide (SSC)'!$S21,'Tables - Part 2'!$AX$5:$BA$5,0))+INDEX('Tables - Part 2'!$BF$17:$BI$24,MATCH('SCC_Sulfide (SSC)'!$V21,'Tables - Part 2'!$AV$6:$AV$13,0),MATCH('SCC_Sulfide (SSC)'!$S21,'Tables - Part 2'!$AX$5:$BA$5,0)))/2))/2,0)</f>
        <v>0</v>
      </c>
      <c r="BL21" s="248">
        <f>IF($R21=$BL$3,(INDEX('Tables - Part 2'!$BB$17:$BE$24,MATCH('SCC_Sulfide (SSC)'!$V21,'Tables - Part 2'!$AV$6:$AV$13,0),MATCH('SCC_Sulfide (SSC)'!$S21,'Tables - Part 2'!$AX$5:$BA$5,0))+INDEX('Tables - Part 2'!$BF$17:$BI$24,MATCH('SCC_Sulfide (SSC)'!$V21,'Tables - Part 2'!$AV$6:$AV$13,0),MATCH('SCC_Sulfide (SSC)'!$S21,'Tables - Part 2'!$AX$5:$BA$5,0)))/2,0)</f>
        <v>0</v>
      </c>
      <c r="BM21" s="248">
        <f>IF($R21=$BM$3,(((INDEX('Tables - Part 2'!$BB$17:$BE$24,MATCH('SCC_Sulfide (SSC)'!$V21,'Tables - Part 2'!$AV$6:$AV$13,0),MATCH('SCC_Sulfide (SSC)'!$S21,'Tables - Part 2'!$AX$5:$BA$5,0))+INDEX('Tables - Part 2'!$BF$17:$BI$24,MATCH('SCC_Sulfide (SSC)'!$V21,'Tables - Part 2'!$AV$6:$AV$13,0),MATCH('SCC_Sulfide (SSC)'!$S21,'Tables - Part 2'!$AX$5:$BA$5,0)))/2)+((((INDEX('Tables - Part 2'!$BB$17:$BE$24,MATCH('SCC_Sulfide (SSC)'!$V21,'Tables - Part 2'!$AV$6:$AV$13,0),MATCH('SCC_Sulfide (SSC)'!$S21,'Tables - Part 2'!$AX$5:$BA$5,0))+INDEX('Tables - Part 2'!$BF$17:$BI$24,MATCH('SCC_Sulfide (SSC)'!$V21,'Tables - Part 2'!$AV$6:$AV$13,0),MATCH('SCC_Sulfide (SSC)'!$S21,'Tables - Part 2'!$AX$5:$BA$5,0)))/2)+INDEX('Tables - Part 2'!$BF$17:$BI$24,MATCH('SCC_Sulfide (SSC)'!$V21,'Tables - Part 2'!$AV$6:$AV$13,0),MATCH('SCC_Sulfide (SSC)'!$S21,'Tables - Part 2'!$AX$5:$BA$5,0)))/2))/2,0)</f>
        <v>0</v>
      </c>
      <c r="BN21" s="248">
        <f>IF($R21=$BN$3,(((INDEX('Tables - Part 2'!$BB$17:$BE$24,MATCH('SCC_Sulfide (SSC)'!$V21,'Tables - Part 2'!$AV$6:$AV$13,0),MATCH('SCC_Sulfide (SSC)'!$S21,'Tables - Part 2'!$AX$5:$BA$5,0))+INDEX('Tables - Part 2'!$BF$17:$BI$24,MATCH('SCC_Sulfide (SSC)'!$V21,'Tables - Part 2'!$AV$6:$AV$13,0),MATCH('SCC_Sulfide (SSC)'!$S21,'Tables - Part 2'!$AX$5:$BA$5,0)))/2)+INDEX('Tables - Part 2'!$BF$17:$BI$24,MATCH('SCC_Sulfide (SSC)'!$V21,'Tables - Part 2'!$AV$6:$AV$13,0),MATCH('SCC_Sulfide (SSC)'!$S21,'Tables - Part 2'!$AX$5:$BA$5,0)))/2,0)</f>
        <v>0</v>
      </c>
      <c r="BO21" s="248">
        <f>IF($R21=$BO$3,(((((INDEX('Tables - Part 2'!$BB$17:$BE$24,MATCH('SCC_Sulfide (SSC)'!$V21,'Tables - Part 2'!$AV$6:$AV$13,0),MATCH('SCC_Sulfide (SSC)'!$S21,'Tables - Part 2'!$AX$5:$BA$5,0))+INDEX('Tables - Part 2'!$BF$17:$BI$24,MATCH('SCC_Sulfide (SSC)'!$V21,'Tables - Part 2'!$AV$6:$AV$13,0),MATCH('SCC_Sulfide (SSC)'!$S21,'Tables - Part 2'!$AX$5:$BA$5,0)))/2)+INDEX('Tables - Part 2'!$BF$17:$BI$24,MATCH('SCC_Sulfide (SSC)'!$V21,'Tables - Part 2'!$AV$6:$AV$13,0),MATCH('SCC_Sulfide (SSC)'!$S21,'Tables - Part 2'!$AX$5:$BA$5,0)))/2)+(INDEX('Tables - Part 2'!$BF$17:$BI$24,MATCH('SCC_Sulfide (SSC)'!$V21,'Tables - Part 2'!$AV$6:$AV$13,0),MATCH('SCC_Sulfide (SSC)'!$S21,'Tables - Part 2'!$AX$5:$BA$5,0))))/2,0)</f>
        <v>0</v>
      </c>
      <c r="BP21" s="248">
        <f>IF($R21=$BP$3,INDEX('Tables - Part 2'!$BF$17:$BI$24,MATCH('SCC_Sulfide (SSC)'!$V21,'Tables - Part 2'!$AV$6:$AV$13,0),MATCH('SCC_Sulfide (SSC)'!$S21,'Tables - Part 2'!$AX$5:$BA$5,0)),0)</f>
        <v>0</v>
      </c>
      <c r="BQ21" s="248">
        <f t="shared" si="6"/>
        <v>0</v>
      </c>
      <c r="BR21" s="238">
        <f t="shared" si="8"/>
        <v>1</v>
      </c>
      <c r="BS21" s="238">
        <f t="shared" si="7"/>
        <v>16.77288246840839</v>
      </c>
    </row>
  </sheetData>
  <mergeCells count="1">
    <mergeCell ref="X2:AA2"/>
  </mergeCells>
  <dataValidations count="2">
    <dataValidation type="list" allowBlank="1" showInputMessage="1" showErrorMessage="1" sqref="E4:E21" xr:uid="{00000000-0002-0000-1100-000000000000}">
      <formula1>$BX$2:$BX$4</formula1>
    </dataValidation>
    <dataValidation type="list" allowBlank="1" showInputMessage="1" showErrorMessage="1" sqref="J4:J21 D4:D21" xr:uid="{00000000-0002-0000-1100-000001000000}">
      <formula1>$U$8:$U$9</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3000000}">
          <x14:formula1>
            <xm:f>'Tables - Part 2'!$BN$5:$BN$9</xm:f>
          </x14:formula1>
          <xm:sqref>F4:F21</xm:sqref>
        </x14:dataValidation>
        <x14:dataValidation type="list" allowBlank="1" showInputMessage="1" showErrorMessage="1" xr:uid="{00000000-0002-0000-1100-000004000000}">
          <x14:formula1>
            <xm:f>'Tables - Part 2'!$BO$4:$BR$4</xm:f>
          </x14:formula1>
          <xm:sqref>G4:G21</xm:sqref>
        </x14:dataValidation>
        <x14:dataValidation type="list" allowBlank="1" showInputMessage="1" showErrorMessage="1" xr:uid="{00000000-0002-0000-1100-000005000000}">
          <x14:formula1>
            <xm:f>'Tables - Part 2'!$BU$5:$BW$5</xm:f>
          </x14:formula1>
          <xm:sqref>I4:I21</xm:sqref>
        </x14:dataValidation>
        <x14:dataValidation type="list" allowBlank="1" showInputMessage="1" showErrorMessage="1" xr:uid="{00000000-0002-0000-1100-000006000000}">
          <x14:formula1>
            <xm:f>COF!$TH$10:$TH$11</xm:f>
          </x14:formula1>
          <xm:sqref>H4:H21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0"/>
  <dimension ref="B1:CK26"/>
  <sheetViews>
    <sheetView topLeftCell="C1" zoomScale="70" zoomScaleNormal="70" workbookViewId="0">
      <selection activeCell="I4" sqref="I4"/>
    </sheetView>
  </sheetViews>
  <sheetFormatPr defaultRowHeight="14.5" x14ac:dyDescent="0.35"/>
  <cols>
    <col min="1" max="1" width="1.26953125" customWidth="1"/>
    <col min="2" max="3" width="18.26953125" customWidth="1"/>
    <col min="4" max="4" width="21.26953125" customWidth="1"/>
    <col min="5" max="5" width="10.453125" customWidth="1"/>
    <col min="6" max="6" width="11.54296875" customWidth="1"/>
    <col min="7" max="7" width="21.7265625" customWidth="1"/>
    <col min="8" max="8" width="18.54296875" customWidth="1"/>
    <col min="9" max="9" width="37.26953125" customWidth="1"/>
    <col min="10" max="10" width="7.26953125" customWidth="1"/>
    <col min="11" max="11" width="43.453125" customWidth="1"/>
    <col min="12" max="12" width="23.54296875" customWidth="1"/>
    <col min="13" max="13" width="13.453125" customWidth="1"/>
    <col min="14" max="16" width="12.81640625" customWidth="1"/>
    <col min="17" max="17" width="16.1796875" customWidth="1"/>
    <col min="18" max="18" width="12.81640625" customWidth="1"/>
    <col min="19" max="19" width="16.453125" customWidth="1"/>
    <col min="20" max="20" width="12.1796875" customWidth="1"/>
    <col min="21" max="21" width="22.1796875" customWidth="1"/>
    <col min="22" max="22" width="28.7265625" bestFit="1" customWidth="1"/>
    <col min="23" max="23" width="26.453125" bestFit="1" customWidth="1"/>
    <col min="24" max="24" width="39.54296875" bestFit="1" customWidth="1"/>
    <col min="25" max="25" width="19.1796875" customWidth="1"/>
    <col min="26" max="26" width="11" customWidth="1"/>
    <col min="27" max="32" width="19.81640625" customWidth="1"/>
    <col min="33" max="33" width="5.7265625" bestFit="1" customWidth="1"/>
    <col min="34" max="34" width="6" customWidth="1"/>
    <col min="35" max="35" width="5.54296875" customWidth="1"/>
    <col min="36" max="36" width="6.7265625" customWidth="1"/>
    <col min="37" max="37" width="6" customWidth="1"/>
    <col min="38" max="38" width="6.7265625" customWidth="1"/>
    <col min="39" max="39" width="5.54296875" customWidth="1"/>
    <col min="40" max="40" width="6" customWidth="1"/>
    <col min="41" max="41" width="5.7265625" bestFit="1" customWidth="1"/>
    <col min="42" max="42" width="6.7265625" customWidth="1"/>
    <col min="43" max="43" width="6" customWidth="1"/>
    <col min="44" max="44" width="6.7265625" customWidth="1"/>
    <col min="45" max="45" width="4.81640625" customWidth="1"/>
    <col min="46" max="46" width="6" customWidth="1"/>
    <col min="47" max="47" width="5.54296875" customWidth="1"/>
    <col min="48" max="48" width="6.7265625" customWidth="1"/>
    <col min="49" max="49" width="6" customWidth="1"/>
    <col min="50" max="50" width="6.7265625" customWidth="1"/>
    <col min="51" max="53" width="6" customWidth="1"/>
    <col min="54" max="54" width="6.7265625" customWidth="1"/>
    <col min="55" max="55" width="6" customWidth="1"/>
    <col min="56" max="56" width="6.7265625" customWidth="1"/>
    <col min="57" max="59" width="6" customWidth="1"/>
    <col min="60" max="60" width="6.7265625" customWidth="1"/>
    <col min="61" max="61" width="6" customWidth="1"/>
    <col min="62" max="62" width="6.7265625" customWidth="1"/>
    <col min="63" max="65" width="6" customWidth="1"/>
    <col min="66" max="66" width="6.7265625" customWidth="1"/>
    <col min="67" max="67" width="6" customWidth="1"/>
    <col min="68" max="68" width="6.7265625" customWidth="1"/>
    <col min="69" max="69" width="4.81640625" customWidth="1"/>
    <col min="70" max="70" width="6" customWidth="1"/>
    <col min="71" max="71" width="5.54296875" customWidth="1"/>
    <col min="72" max="72" width="6.7265625" customWidth="1"/>
    <col min="73" max="74" width="4.81640625" customWidth="1"/>
    <col min="75" max="76" width="19.81640625" customWidth="1"/>
    <col min="77" max="78" width="9.1796875" customWidth="1"/>
    <col min="79" max="79" width="26.81640625" customWidth="1"/>
    <col min="80" max="80" width="23.54296875" customWidth="1"/>
    <col min="81" max="81" width="35.54296875" customWidth="1"/>
  </cols>
  <sheetData>
    <row r="1" spans="2:89" ht="3.75" customHeight="1" x14ac:dyDescent="0.35"/>
    <row r="2" spans="2:89" x14ac:dyDescent="0.35">
      <c r="D2" s="696" t="s">
        <v>762</v>
      </c>
      <c r="E2" s="696"/>
      <c r="F2" s="696"/>
      <c r="G2" s="696"/>
      <c r="H2" s="696"/>
      <c r="I2" s="697" t="s">
        <v>856</v>
      </c>
      <c r="J2" s="699"/>
      <c r="K2" s="228" t="s">
        <v>779</v>
      </c>
      <c r="L2" s="229" t="s">
        <v>866</v>
      </c>
      <c r="M2" s="697" t="s">
        <v>870</v>
      </c>
      <c r="N2" s="698"/>
      <c r="O2" s="698"/>
      <c r="P2" s="699"/>
      <c r="Q2" s="697" t="s">
        <v>881</v>
      </c>
      <c r="R2" s="698"/>
      <c r="S2" s="698"/>
      <c r="T2" s="698"/>
      <c r="U2" s="228" t="s">
        <v>761</v>
      </c>
      <c r="V2" s="697" t="s">
        <v>857</v>
      </c>
      <c r="W2" s="698"/>
      <c r="X2" s="698"/>
      <c r="Y2" s="699"/>
      <c r="Z2" s="228" t="s">
        <v>862</v>
      </c>
      <c r="AA2" s="228" t="s">
        <v>868</v>
      </c>
      <c r="AB2" s="228" t="s">
        <v>778</v>
      </c>
      <c r="AC2" s="702" t="s">
        <v>897</v>
      </c>
      <c r="AD2" s="702"/>
      <c r="AE2" s="702"/>
      <c r="AF2" s="702"/>
      <c r="AG2" s="697" t="s">
        <v>892</v>
      </c>
      <c r="AH2" s="698"/>
      <c r="AI2" s="698"/>
      <c r="AJ2" s="698"/>
      <c r="AK2" s="698"/>
      <c r="AL2" s="698"/>
      <c r="AM2" s="698"/>
      <c r="AN2" s="698"/>
      <c r="AO2" s="698"/>
      <c r="AP2" s="698"/>
      <c r="AQ2" s="698"/>
      <c r="AR2" s="698"/>
      <c r="AS2" s="698"/>
      <c r="AT2" s="698"/>
      <c r="AU2" s="698"/>
      <c r="AV2" s="698"/>
      <c r="AW2" s="698"/>
      <c r="AX2" s="698"/>
      <c r="AY2" s="698"/>
      <c r="AZ2" s="698"/>
      <c r="BA2" s="698"/>
      <c r="BB2" s="698"/>
      <c r="BC2" s="698"/>
      <c r="BD2" s="698"/>
      <c r="BE2" s="698"/>
      <c r="BF2" s="698"/>
      <c r="BG2" s="698"/>
      <c r="BH2" s="698"/>
      <c r="BI2" s="698"/>
      <c r="BJ2" s="698"/>
      <c r="BK2" s="698"/>
      <c r="BL2" s="698"/>
      <c r="BM2" s="698"/>
      <c r="BN2" s="698"/>
      <c r="BO2" s="698"/>
      <c r="BP2" s="698"/>
      <c r="BQ2" s="698"/>
      <c r="BR2" s="698"/>
      <c r="BS2" s="698"/>
      <c r="BT2" s="698"/>
      <c r="BU2" s="698"/>
      <c r="BV2" s="698"/>
      <c r="BW2" s="699"/>
      <c r="BX2" s="243" t="s">
        <v>883</v>
      </c>
      <c r="CA2" s="237" t="s">
        <v>839</v>
      </c>
      <c r="CC2" s="158" t="s">
        <v>244</v>
      </c>
      <c r="CH2" s="208"/>
      <c r="CI2" s="208"/>
      <c r="CK2" s="208"/>
    </row>
    <row r="3" spans="2:89" ht="29.25" customHeight="1" x14ac:dyDescent="0.35">
      <c r="B3" s="134" t="s">
        <v>968</v>
      </c>
      <c r="C3" s="134" t="s">
        <v>969</v>
      </c>
      <c r="D3" s="139" t="s">
        <v>843</v>
      </c>
      <c r="E3" s="139" t="s">
        <v>860</v>
      </c>
      <c r="F3" s="139" t="s">
        <v>829</v>
      </c>
      <c r="G3" s="139" t="s">
        <v>844</v>
      </c>
      <c r="H3" s="139" t="s">
        <v>846</v>
      </c>
      <c r="I3" s="134" t="s">
        <v>859</v>
      </c>
      <c r="J3" s="134" t="s">
        <v>858</v>
      </c>
      <c r="K3" s="134" t="s">
        <v>874</v>
      </c>
      <c r="L3" s="139" t="s">
        <v>867</v>
      </c>
      <c r="M3" s="139" t="s">
        <v>893</v>
      </c>
      <c r="N3" s="139" t="s">
        <v>894</v>
      </c>
      <c r="O3" s="139" t="s">
        <v>895</v>
      </c>
      <c r="P3" s="139" t="s">
        <v>896</v>
      </c>
      <c r="Q3" s="139" t="s">
        <v>882</v>
      </c>
      <c r="R3" s="139" t="s">
        <v>880</v>
      </c>
      <c r="S3" s="139" t="s">
        <v>882</v>
      </c>
      <c r="T3" s="139" t="s">
        <v>880</v>
      </c>
      <c r="U3" s="134" t="s">
        <v>847</v>
      </c>
      <c r="V3" s="134" t="s">
        <v>850</v>
      </c>
      <c r="W3" s="134" t="s">
        <v>851</v>
      </c>
      <c r="X3" s="134" t="s">
        <v>852</v>
      </c>
      <c r="Y3" s="134" t="s">
        <v>855</v>
      </c>
      <c r="Z3" s="244" t="s">
        <v>861</v>
      </c>
      <c r="AA3" s="134" t="s">
        <v>869</v>
      </c>
      <c r="AB3" s="134" t="s">
        <v>873</v>
      </c>
      <c r="AC3" s="134" t="s">
        <v>278</v>
      </c>
      <c r="AD3" s="134" t="s">
        <v>279</v>
      </c>
      <c r="AE3" s="134" t="s">
        <v>280</v>
      </c>
      <c r="AF3" s="134" t="s">
        <v>274</v>
      </c>
      <c r="AG3" s="134">
        <v>1</v>
      </c>
      <c r="AH3" s="252">
        <v>1.125</v>
      </c>
      <c r="AI3" s="134">
        <v>1.25</v>
      </c>
      <c r="AJ3" s="134">
        <v>1.375</v>
      </c>
      <c r="AK3" s="254">
        <v>1.5</v>
      </c>
      <c r="AL3" s="134">
        <v>1.625</v>
      </c>
      <c r="AM3" s="134">
        <v>1.75</v>
      </c>
      <c r="AN3" s="252">
        <v>1.875</v>
      </c>
      <c r="AO3" s="134">
        <v>2</v>
      </c>
      <c r="AP3" s="134">
        <v>2.125</v>
      </c>
      <c r="AQ3" s="252">
        <v>2.25</v>
      </c>
      <c r="AR3" s="134">
        <v>2.375</v>
      </c>
      <c r="AS3" s="134">
        <v>2.5</v>
      </c>
      <c r="AT3" s="252">
        <v>2.625</v>
      </c>
      <c r="AU3" s="134">
        <v>2.75</v>
      </c>
      <c r="AV3" s="134">
        <v>2.875</v>
      </c>
      <c r="AW3" s="255">
        <v>3</v>
      </c>
      <c r="AX3" s="134">
        <v>3.125</v>
      </c>
      <c r="AY3" s="134">
        <v>3.25</v>
      </c>
      <c r="AZ3" s="252">
        <v>3.375</v>
      </c>
      <c r="BA3" s="134">
        <v>3.5</v>
      </c>
      <c r="BB3" s="134">
        <v>3.625</v>
      </c>
      <c r="BC3" s="252">
        <v>3.75</v>
      </c>
      <c r="BD3" s="134">
        <v>3.875</v>
      </c>
      <c r="BE3" s="134">
        <v>4</v>
      </c>
      <c r="BF3" s="252">
        <v>4.125</v>
      </c>
      <c r="BG3" s="134">
        <v>4.25</v>
      </c>
      <c r="BH3" s="134">
        <v>4.375</v>
      </c>
      <c r="BI3" s="254">
        <v>4.5</v>
      </c>
      <c r="BJ3" s="134">
        <v>4.625</v>
      </c>
      <c r="BK3" s="134">
        <v>4.75</v>
      </c>
      <c r="BL3" s="252">
        <v>4.875</v>
      </c>
      <c r="BM3" s="134">
        <v>5</v>
      </c>
      <c r="BN3" s="134">
        <v>5.125</v>
      </c>
      <c r="BO3" s="252">
        <v>5.25</v>
      </c>
      <c r="BP3" s="134">
        <v>5.375</v>
      </c>
      <c r="BQ3" s="134">
        <v>5.5</v>
      </c>
      <c r="BR3" s="252">
        <v>5.625</v>
      </c>
      <c r="BS3" s="134">
        <v>5.75</v>
      </c>
      <c r="BT3" s="134">
        <v>5.875</v>
      </c>
      <c r="BU3" s="134">
        <v>6</v>
      </c>
      <c r="BV3" s="134" t="s">
        <v>281</v>
      </c>
      <c r="BW3" s="134" t="s">
        <v>884</v>
      </c>
      <c r="BX3" s="141" t="s">
        <v>872</v>
      </c>
      <c r="CA3" s="237" t="s">
        <v>840</v>
      </c>
      <c r="CC3" s="158" t="s">
        <v>245</v>
      </c>
      <c r="CG3" s="208"/>
    </row>
    <row r="4" spans="2:89" x14ac:dyDescent="0.35">
      <c r="B4" s="161" t="str">
        <f>'Tratamento de Dados'!B12</f>
        <v>V-90</v>
      </c>
      <c r="C4" s="161" t="str">
        <f>'Tratamento de Dados'!D12</f>
        <v>Casco</v>
      </c>
      <c r="D4" s="209">
        <f>'Tratamento de Dados'!CN12</f>
        <v>0</v>
      </c>
      <c r="E4" s="209">
        <f>'Tratamento de Dados'!CO12</f>
        <v>0</v>
      </c>
      <c r="F4" s="209">
        <f>'Tratamento de Dados'!CP12</f>
        <v>0</v>
      </c>
      <c r="G4" s="209">
        <f>'Tratamento de Dados'!CQ12</f>
        <v>0</v>
      </c>
      <c r="H4" s="209">
        <f>'Tratamento de Dados'!CR12</f>
        <v>0</v>
      </c>
      <c r="I4" s="209">
        <f>'Tratamento de Dados'!CS12</f>
        <v>0</v>
      </c>
      <c r="J4" s="209">
        <f>'Tratamento de Dados'!CT12</f>
        <v>0</v>
      </c>
      <c r="K4" s="209">
        <f>'Tratamento de Dados'!CU12</f>
        <v>0</v>
      </c>
      <c r="L4" s="210">
        <f>'Tratamento de Dados'!CV12</f>
        <v>0</v>
      </c>
      <c r="M4" s="209">
        <f>'Tratamento de Dados'!CW12</f>
        <v>0</v>
      </c>
      <c r="N4" s="209">
        <f>'Tratamento de Dados'!CX12</f>
        <v>0</v>
      </c>
      <c r="O4" s="209">
        <v>1</v>
      </c>
      <c r="P4" s="209">
        <v>4</v>
      </c>
      <c r="Q4" s="253">
        <f>'Tratamento de Dados'!DA12</f>
        <v>0</v>
      </c>
      <c r="R4" s="253">
        <f>'Tratamento de Dados'!DB12</f>
        <v>0</v>
      </c>
      <c r="S4" s="256">
        <f t="shared" ref="S4:S21" si="0">IF(Q4=0,IF(AC4&gt;=1,AC4,IF(AD4&gt;=1,AD4,IF(AE4&gt;=1,AE4,IF(AF4&gt;=1,AF4,0)))),Q4)</f>
        <v>3</v>
      </c>
      <c r="T4" s="246" t="str">
        <f>IF(R4=0,IF(AC4&gt;=1,$AC$3,IF(AD4&gt;=1,$AD$3,IF(AE4&gt;=1,$AE$3,IF(AF4&gt;=1,$AF$3,"E")))),R4)</f>
        <v>C</v>
      </c>
      <c r="U4" s="238" t="e">
        <f>IF(D4=$CC$2,$CA$4,IF(AND(H4=$CC$2,OR(F4='Tables - Part 2'!$CE$8,'Tables - Part 2'!$CE$9),OR('HIC-SOHIC-H2S'!G4='Tables - Part 2'!$CH$4,'HIC-SOHIC-H2S'!G4='Tables - Part 2'!$CI$4)),$CA$4,INDEX('Tables - Part 2'!$CF$5:$CI$9,MATCH('HIC-SOHIC-H2S'!F4,'Tables - Part 2'!$CE$5:$CE$9,0),MATCH('HIC-SOHIC-H2S'!G4,'Tables - Part 2'!$CF$4:$CI$4,0))))</f>
        <v>#N/A</v>
      </c>
      <c r="V4" s="238" t="str">
        <f>IF($I4=$V$3,INDEX('Tables - Part 2'!$CL$5:$CM$7,MATCH('HIC-SOHIC-H2S'!$U4,'Tables - Part 2'!$CK$5:$CK$7,0),IF('HIC-SOHIC-H2S'!$J4='HIC-SOHIC-H2S'!$CC$2,2,1)),"")</f>
        <v/>
      </c>
      <c r="W4" s="238" t="str">
        <f>IF($I4=$W$3,INDEX('Tables - Part 2'!$CN$5:$CO$7,MATCH('HIC-SOHIC-H2S'!$U4,'Tables - Part 2'!$CK$5:$CK$7,0),IF('HIC-SOHIC-H2S'!$J4='HIC-SOHIC-H2S'!$CC$2,2,1)),"")</f>
        <v/>
      </c>
      <c r="X4" s="238" t="str">
        <f>IF($I4=$X$3,INDEX('Tables - Part 2'!$CP$5:$CQ$7,MATCH('HIC-SOHIC-H2S'!$U4,'Tables - Part 2'!$CK$5:$CK$7,0),IF('HIC-SOHIC-H2S'!$J4='HIC-SOHIC-H2S'!$CC$2,2,1)),"")</f>
        <v/>
      </c>
      <c r="Y4" s="238" t="str">
        <f t="shared" ref="Y4:Y21" si="1">IF(D4=$CC$2,$CA$4,CONCATENATE(V4,W4,X4))</f>
        <v/>
      </c>
      <c r="Z4" s="238" t="e">
        <f>IF(AND(D4=$CC$2,E4&lt;&gt;$CC$2),"Fitness-For-Service",INDEX('Tables - Part 2'!$CT$4:$CT$6,MATCH('HIC-SOHIC-H2S'!Y4,'Tables - Part 2'!$CS$4:$CS$6,0),))</f>
        <v>#N/A</v>
      </c>
      <c r="AA4" s="238">
        <f>IF(L4=0,(Thinning!G5-Thinning!F5)/365.25,(Thinning!G5-L4)/365.25)</f>
        <v>5.4757015742642025E-3</v>
      </c>
      <c r="AB4" s="238" t="e">
        <f>INDEX('Tables - Part 2'!$CW$4:$CW$7,MATCH('HIC-SOHIC-H2S'!K4,'Tables - Part 2'!$CV$4:$CV$7,0))</f>
        <v>#N/A</v>
      </c>
      <c r="AC4" s="248">
        <f>IF(M4=0,0,_xlfn.FLOOR.MATH((AD4/2)+M4,0.25))</f>
        <v>0</v>
      </c>
      <c r="AD4" s="248">
        <f>IF(AND(M4=0,N4=0),0,_xlfn.FLOOR.MATH((AE4/2)+N4,0.25))</f>
        <v>0</v>
      </c>
      <c r="AE4" s="248">
        <f>_xlfn.FLOOR.MATH((AF4/2)+O4,0.25)</f>
        <v>3</v>
      </c>
      <c r="AF4" s="247">
        <f>P4</f>
        <v>4</v>
      </c>
      <c r="AG4" s="248">
        <f>IF($S4=$AG$3,INDEX('Tables - Part 2'!$AX$6:$BA$13,MATCH('HIC-SOHIC-H2S'!Z4,'Tables - Part 2'!$AV$6:$AV$13,0),MATCH('HIC-SOHIC-H2S'!T4,'Tables - Part 2'!$AX$5:$BA$5,0)),0)</f>
        <v>0</v>
      </c>
      <c r="AH4" s="248">
        <f>IF($S4=$AH$3,(INDEX('Tables - Part 2'!$AX$6:$BA$13,MATCH('HIC-SOHIC-H2S'!Z4,'Tables - Part 2'!$AV$6:$AV$13,0),MATCH('HIC-SOHIC-H2S'!T4,'Tables - Part 2'!$AX$5:$BA$5,0))+(INDEX('Tables - Part 2'!$AX$6:$BA$13,MATCH('HIC-SOHIC-H2S'!Z4,'Tables - Part 2'!$AV$6:$AV$13,0),MATCH('HIC-SOHIC-H2S'!T4,'Tables - Part 2'!$AX$5:$BA$5,0))+((INDEX('Tables - Part 2'!$AX$6:$BA$13,MATCH('HIC-SOHIC-H2S'!Z4,'Tables - Part 2'!$AV$6:$AV$13,0),MATCH('HIC-SOHIC-H2S'!T4,'Tables - Part 2'!$AX$5:$BA$5,0))+INDEX('Tables - Part 2'!$BB$6:$BE$13,MATCH('HIC-SOHIC-H2S'!$Z4,'Tables - Part 2'!$AV$6:$AV$13,0),MATCH('HIC-SOHIC-H2S'!$T4,'Tables - Part 2'!$AX$5:$BA$5,0)))/2))/2)/2,0)</f>
        <v>0</v>
      </c>
      <c r="AI4" s="248">
        <f>IF($S4=$AI$3,(INDEX('Tables - Part 2'!$AX$6:$BA$13,MATCH('HIC-SOHIC-H2S'!Z4,'Tables - Part 2'!$AV$6:$AV$13,0),MATCH('HIC-SOHIC-H2S'!T4,'Tables - Part 2'!$AX$5:$BA$5,0))+((INDEX('Tables - Part 2'!$AX$6:$BA$13,MATCH('HIC-SOHIC-H2S'!Z4,'Tables - Part 2'!$AV$6:$AV$13,0),MATCH('HIC-SOHIC-H2S'!T4,'Tables - Part 2'!$AX$5:$BA$5,0))+INDEX('Tables - Part 2'!$BB$6:$BE$13,MATCH('HIC-SOHIC-H2S'!$Z4,'Tables - Part 2'!$AV$6:$AV$13,0),MATCH('HIC-SOHIC-H2S'!$T4,'Tables - Part 2'!$AX$5:$BA$5,0)))/2))/2,0)</f>
        <v>0</v>
      </c>
      <c r="AJ4" s="248">
        <f>IF($S4=$AJ$3,(((INDEX('Tables - Part 2'!$AX$6:$BA$13,MATCH('HIC-SOHIC-H2S'!Z4,'Tables - Part 2'!$AV$6:$AV$13,0),MATCH('HIC-SOHIC-H2S'!T4,'Tables - Part 2'!$AX$5:$BA$5,0))+((INDEX('Tables - Part 2'!$AX$6:$BA$13,MATCH('HIC-SOHIC-H2S'!Z4,'Tables - Part 2'!$AV$6:$AV$13,0),MATCH('HIC-SOHIC-H2S'!T4,'Tables - Part 2'!$AX$5:$BA$5,0))+INDEX('Tables - Part 2'!$BB$6:$BE$13,MATCH('HIC-SOHIC-H2S'!$Z4,'Tables - Part 2'!$AV$6:$AV$13,0),MATCH('HIC-SOHIC-H2S'!$T4,'Tables - Part 2'!$AX$5:$BA$5,0)))/2))/2)+(INDEX('Tables - Part 2'!$AX$6:$BA$13,MATCH('HIC-SOHIC-H2S'!Z4,'Tables - Part 2'!$AV$6:$AV$13,0),MATCH('HIC-SOHIC-H2S'!T4,'Tables - Part 2'!$AX$5:$BA$5,0))+INDEX('Tables - Part 2'!$BB$6:$BE$13,MATCH('HIC-SOHIC-H2S'!$Z4,'Tables - Part 2'!$AV$6:$AV$13,0),MATCH('HIC-SOHIC-H2S'!$T4,'Tables - Part 2'!$AX$5:$BA$5,0)))/2)/2,0)</f>
        <v>0</v>
      </c>
      <c r="AK4" s="248">
        <f>IF($S4=$AK$3,(INDEX('Tables - Part 2'!$AX$6:$BA$13,MATCH('HIC-SOHIC-H2S'!Z4,'Tables - Part 2'!$AV$6:$AV$13,0),MATCH('HIC-SOHIC-H2S'!T4,'Tables - Part 2'!$AX$5:$BA$5,0))+INDEX('Tables - Part 2'!$BB$6:$BE$13,MATCH('HIC-SOHIC-H2S'!$Z4,'Tables - Part 2'!$AV$6:$AV$13,0),MATCH('HIC-SOHIC-H2S'!$T4,'Tables - Part 2'!$AX$5:$BA$5,0)))/2,0)</f>
        <v>0</v>
      </c>
      <c r="AL4" s="248">
        <f>IF($S4=$AL$3,(((INDEX('Tables - Part 2'!$AX$6:$BA$13,MATCH('HIC-SOHIC-H2S'!Z4,'Tables - Part 2'!$AV$6:$AV$13,0),MATCH('HIC-SOHIC-H2S'!T4,'Tables - Part 2'!$AX$5:$BA$5,0))+INDEX('Tables - Part 2'!$BB$6:$BE$13,MATCH('HIC-SOHIC-H2S'!$Z4,'Tables - Part 2'!$AV$6:$AV$13,0),MATCH('HIC-SOHIC-H2S'!$T4,'Tables - Part 2'!$AX$5:$BA$5,0)))/2)+(((INDEX('Tables - Part 2'!$AX$6:$BA$13,MATCH('HIC-SOHIC-H2S'!Z4,'Tables - Part 2'!$AV$6:$AV$13,0),MATCH('HIC-SOHIC-H2S'!T4,'Tables - Part 2'!$AX$5:$BA$5,0))+INDEX('Tables - Part 2'!$BB$6:$BE$13,MATCH('HIC-SOHIC-H2S'!$Z4,'Tables - Part 2'!$AV$6:$AV$13,0),MATCH('HIC-SOHIC-H2S'!$T4,'Tables - Part 2'!$AX$5:$BA$5,0)))/2)+INDEX('Tables - Part 2'!$BB$6:$BE$13,MATCH('HIC-SOHIC-H2S'!$Z4,'Tables - Part 2'!$AV$6:$AV$13,0),MATCH('HIC-SOHIC-H2S'!$T4,'Tables - Part 2'!$AX$5:$BA$5,0)))/2)/2,0)</f>
        <v>0</v>
      </c>
      <c r="AM4" s="248">
        <f>IF($S4=$AM$3,(((INDEX('Tables - Part 2'!$AX$6:$BA$13,MATCH('HIC-SOHIC-H2S'!Z4,'Tables - Part 2'!$AV$6:$AV$13,0),MATCH('HIC-SOHIC-H2S'!T4,'Tables - Part 2'!$AX$5:$BA$5,0))+INDEX('Tables - Part 2'!$BB$6:$BE$13,MATCH('HIC-SOHIC-H2S'!$Z4,'Tables - Part 2'!$AV$6:$AV$13,0),MATCH('HIC-SOHIC-H2S'!$T4,'Tables - Part 2'!$AX$5:$BA$5,0)))/2)+INDEX('Tables - Part 2'!$BB$6:$BE$13,MATCH('HIC-SOHIC-H2S'!$Z4,'Tables - Part 2'!$AV$6:$AV$13,0),MATCH('HIC-SOHIC-H2S'!$T4,'Tables - Part 2'!$AX$5:$BA$5,0)))/2,0)</f>
        <v>0</v>
      </c>
      <c r="AN4" s="248">
        <f>IF($S4=$AN$3,(((((INDEX('Tables - Part 2'!$AX$6:$BA$13,MATCH('HIC-SOHIC-H2S'!Z4,'Tables - Part 2'!$AV$6:$AV$13,0),MATCH('HIC-SOHIC-H2S'!T4,'Tables - Part 2'!$AX$5:$BA$5,0))+INDEX('Tables - Part 2'!$BB$6:$BE$13,MATCH('HIC-SOHIC-H2S'!$Z4,'Tables - Part 2'!$AV$6:$AV$13,0),MATCH('HIC-SOHIC-H2S'!$T4,'Tables - Part 2'!$AX$5:$BA$5,0)))/2)+INDEX('Tables - Part 2'!$BB$6:$BE$13,MATCH('HIC-SOHIC-H2S'!$Z4,'Tables - Part 2'!$AV$6:$AV$13,0),MATCH('HIC-SOHIC-H2S'!$T4,'Tables - Part 2'!$AX$5:$BA$5,0)))/2)+INDEX('Tables - Part 2'!$BB$6:$BE$13,MATCH('HIC-SOHIC-H2S'!$Z4,'Tables - Part 2'!$AV$6:$AV$13,0),MATCH('HIC-SOHIC-H2S'!$T4,'Tables - Part 2'!$AX$5:$BA$5,0)))/2,0)</f>
        <v>0</v>
      </c>
      <c r="AO4" s="248">
        <f>IF($S4=$AO$3,INDEX('Tables - Part 2'!$BB$6:$BE$13,MATCH('HIC-SOHIC-H2S'!$Z4,'Tables - Part 2'!$AV$6:$AV$13,0),MATCH('HIC-SOHIC-H2S'!$T4,'Tables - Part 2'!$AX$5:$BA$5,0)),0)</f>
        <v>0</v>
      </c>
      <c r="AP4" s="248">
        <f>IF($S4=$AP$3,((INDEX('Tables - Part 2'!$BB$6:$BE$13,MATCH('HIC-SOHIC-H2S'!$Z4,'Tables - Part 2'!$AV$6:$AV$13,0),MATCH('HIC-SOHIC-H2S'!$T4,'Tables - Part 2'!$AX$5:$BA$5,0)))+(INDEX('Tables - Part 2'!$BB$6:$BE$13,MATCH('HIC-SOHIC-H2S'!$Z4,'Tables - Part 2'!$AV$6:$AV$13,0),MATCH('HIC-SOHIC-H2S'!$T4,'Tables - Part 2'!$AX$5:$BA$5,0))+(INDEX('Tables - Part 2'!$BB$6:$BE$13,MATCH('HIC-SOHIC-H2S'!$Z4,'Tables - Part 2'!$AV$6:$AV$13,0),MATCH('HIC-SOHIC-H2S'!$T4,'Tables - Part 2'!$AX$5:$BA$5,0))+INDEX('Tables - Part 2'!$BF$6:$BI$13,MATCH('HIC-SOHIC-H2S'!$Z4,'Tables - Part 2'!$AV$6:$AV$13,0),MATCH('HIC-SOHIC-H2S'!$T4,'Tables - Part 2'!$AX$5:$BA$5,0)))/2)/2)/2,0)</f>
        <v>0</v>
      </c>
      <c r="AQ4" s="248">
        <f>IF($S4=$AQ$3,(INDEX('Tables - Part 2'!$BB$6:$BE$13,MATCH('HIC-SOHIC-H2S'!$Z4,'Tables - Part 2'!$AV$6:$AV$13,0),MATCH('HIC-SOHIC-H2S'!$T4,'Tables - Part 2'!$AX$5:$BA$5,0))+(INDEX('Tables - Part 2'!$BB$6:$BE$13,MATCH('HIC-SOHIC-H2S'!$Z4,'Tables - Part 2'!$AV$6:$AV$13,0),MATCH('HIC-SOHIC-H2S'!$T4,'Tables - Part 2'!$AX$5:$BA$5,0))+INDEX('Tables - Part 2'!$BF$6:$BI$13,MATCH('HIC-SOHIC-H2S'!$Z4,'Tables - Part 2'!$AV$6:$AV$13,0),MATCH('HIC-SOHIC-H2S'!$T4,'Tables - Part 2'!$AX$5:$BA$5,0)))/2)/2,0)</f>
        <v>0</v>
      </c>
      <c r="AR4" s="248">
        <f>IF($S4=$AR$3,(((INDEX('Tables - Part 2'!$BB$6:$BE$13,MATCH('HIC-SOHIC-H2S'!$Z4,'Tables - Part 2'!$AV$6:$AV$13,0),MATCH('HIC-SOHIC-H2S'!$T4,'Tables - Part 2'!$AX$5:$BA$5,0))+(INDEX('Tables - Part 2'!$BB$6:$BE$13,MATCH('HIC-SOHIC-H2S'!$Z4,'Tables - Part 2'!$AV$6:$AV$13,0),MATCH('HIC-SOHIC-H2S'!$T4,'Tables - Part 2'!$AX$5:$BA$5,0))+INDEX('Tables - Part 2'!$BF$6:$BI$13,MATCH('HIC-SOHIC-H2S'!$Z4,'Tables - Part 2'!$AV$6:$AV$13,0),MATCH('HIC-SOHIC-H2S'!$T4,'Tables - Part 2'!$AX$5:$BA$5,0)))/2)/2)+((INDEX('Tables - Part 2'!$BB$6:$BE$13,MATCH('HIC-SOHIC-H2S'!$Z4,'Tables - Part 2'!$AV$6:$AV$13,0),MATCH('HIC-SOHIC-H2S'!$T4,'Tables - Part 2'!$AX$5:$BA$5,0))+INDEX('Tables - Part 2'!$BF$6:$BI$13,MATCH('HIC-SOHIC-H2S'!$Z4,'Tables - Part 2'!$AV$6:$AV$13,0),MATCH('HIC-SOHIC-H2S'!$T4,'Tables - Part 2'!$AX$5:$BA$5,0)))/2))/2,0)</f>
        <v>0</v>
      </c>
      <c r="AS4" s="248">
        <f>IF($S4=$AS$3,(INDEX('Tables - Part 2'!$BB$6:$BE$13,MATCH('HIC-SOHIC-H2S'!$Z4,'Tables - Part 2'!$AV$6:$AV$13,0),MATCH('HIC-SOHIC-H2S'!$T4,'Tables - Part 2'!$AX$5:$BA$5,0))+INDEX('Tables - Part 2'!$BF$6:$BI$13,MATCH('HIC-SOHIC-H2S'!$Z4,'Tables - Part 2'!$AV$6:$AV$13,0),MATCH('HIC-SOHIC-H2S'!$T4,'Tables - Part 2'!$AX$5:$BA$5,0)))/2,0)</f>
        <v>0</v>
      </c>
      <c r="AT4" s="248">
        <f>IF($S4=$AT$3,(((INDEX('Tables - Part 2'!$BB$6:$BE$13,MATCH('HIC-SOHIC-H2S'!$Z4,'Tables - Part 2'!$AV$6:$AV$13,0),MATCH('HIC-SOHIC-H2S'!$T4,'Tables - Part 2'!$AX$5:$BA$5,0))+INDEX('Tables - Part 2'!$BF$6:$BI$13,MATCH('HIC-SOHIC-H2S'!$Z4,'Tables - Part 2'!$AV$6:$AV$13,0),MATCH('HIC-SOHIC-H2S'!$T4,'Tables - Part 2'!$AX$5:$BA$5,0)))/2)+((((INDEX('Tables - Part 2'!$BB$6:$BE$13,MATCH('HIC-SOHIC-H2S'!$Z4,'Tables - Part 2'!$AV$6:$AV$13,0),MATCH('HIC-SOHIC-H2S'!$T4,'Tables - Part 2'!$AX$5:$BA$5,0))+INDEX('Tables - Part 2'!$BF$6:$BI$13,MATCH('HIC-SOHIC-H2S'!$Z4,'Tables - Part 2'!$AV$6:$AV$13,0),MATCH('HIC-SOHIC-H2S'!$T4,'Tables - Part 2'!$AX$5:$BA$5,0)))/2)+INDEX('Tables - Part 2'!$BF$6:$BI$13,MATCH('HIC-SOHIC-H2S'!$Z4,'Tables - Part 2'!$AV$6:$AV$13,0),MATCH('HIC-SOHIC-H2S'!$T4,'Tables - Part 2'!$AX$5:$BA$5,0)))/2))/2,0)</f>
        <v>0</v>
      </c>
      <c r="AU4" s="248">
        <f>IF($S4=$AU$3,(((INDEX('Tables - Part 2'!$BB$6:$BE$13,MATCH('HIC-SOHIC-H2S'!$Z4,'Tables - Part 2'!$AV$6:$AV$13,0),MATCH('HIC-SOHIC-H2S'!$T4,'Tables - Part 2'!$AX$5:$BA$5,0))+INDEX('Tables - Part 2'!$BF$6:$BI$13,MATCH('HIC-SOHIC-H2S'!$Z4,'Tables - Part 2'!$AV$6:$AV$13,0),MATCH('HIC-SOHIC-H2S'!$T4,'Tables - Part 2'!$AX$5:$BA$5,0)))/2)+INDEX('Tables - Part 2'!$BF$6:$BI$13,MATCH('HIC-SOHIC-H2S'!$Z4,'Tables - Part 2'!$AV$6:$AV$13,0),MATCH('HIC-SOHIC-H2S'!$T4,'Tables - Part 2'!$AX$5:$BA$5,0)))/2,0)</f>
        <v>0</v>
      </c>
      <c r="AV4" s="248">
        <f>IF($S4=$AV$3,(((((INDEX('Tables - Part 2'!$BB$6:$BE$13,MATCH('HIC-SOHIC-H2S'!$Z4,'Tables - Part 2'!$AV$6:$AV$13,0),MATCH('HIC-SOHIC-H2S'!$T4,'Tables - Part 2'!$AX$5:$BA$5,0))+INDEX('Tables - Part 2'!$BF$6:$BI$13,MATCH('HIC-SOHIC-H2S'!$Z4,'Tables - Part 2'!$AV$6:$AV$13,0),MATCH('HIC-SOHIC-H2S'!$T4,'Tables - Part 2'!$AX$5:$BA$5,0)))/2)+INDEX('Tables - Part 2'!$BF$6:$BI$13,MATCH('HIC-SOHIC-H2S'!$Z4,'Tables - Part 2'!$AV$6:$AV$13,0),MATCH('HIC-SOHIC-H2S'!$T4,'Tables - Part 2'!$AX$5:$BA$5,0)))/2)+INDEX('Tables - Part 2'!$BF$6:$BI$13,MATCH('HIC-SOHIC-H2S'!$Z4,'Tables - Part 2'!$AV$6:$AV$13,0),MATCH('HIC-SOHIC-H2S'!$T4,'Tables - Part 2'!$AX$5:$BA$5,0)))/2,0)</f>
        <v>0</v>
      </c>
      <c r="AW4" s="248" t="e">
        <f>IF($S4=$AW$3,INDEX('Tables - Part 2'!$BF$6:$BI$13,MATCH('HIC-SOHIC-H2S'!$Z4,'Tables - Part 2'!$AV$6:$AV$13,0),MATCH('HIC-SOHIC-H2S'!$T4,'Tables - Part 2'!$AX$5:$BA$5,0)),0)</f>
        <v>#N/A</v>
      </c>
      <c r="AX4" s="248">
        <f>IF($S4=$AX$3,(INDEX('Tables - Part 2'!$BF$6:$BI$13,MATCH('HIC-SOHIC-H2S'!$Z4,'Tables - Part 2'!$AV$6:$AV$13,0),MATCH('HIC-SOHIC-H2S'!$T4,'Tables - Part 2'!$AX$5:$BA$5,0))+((INDEX('Tables - Part 2'!$BF$6:$BI$13,MATCH('HIC-SOHIC-H2S'!$Z4,'Tables - Part 2'!$AV$6:$AV$13,0),MATCH('HIC-SOHIC-H2S'!$T4,'Tables - Part 2'!$AX$5:$BA$5,0))+(INDEX('Tables - Part 2'!$BF$6:$BI$13,MATCH('HIC-SOHIC-H2S'!$Z4,'Tables - Part 2'!$AV$6:$AV$13,0),MATCH('HIC-SOHIC-H2S'!$T4,'Tables - Part 2'!$AX$5:$BA$5,0))+INDEX('Tables - Part 2'!$AX$17:$BA$24,MATCH('HIC-SOHIC-H2S'!$Z4,'Tables - Part 2'!$AV$6:$AV$13,0),MATCH('HIC-SOHIC-H2S'!$T4,'Tables - Part 2'!$AX$5:$BA$5,0)))/2)/2))/2,0)</f>
        <v>0</v>
      </c>
      <c r="AY4" s="248">
        <f>IF($S4=$AY$3,(INDEX('Tables - Part 2'!$BF$6:$BI$13,MATCH('HIC-SOHIC-H2S'!$Z4,'Tables - Part 2'!$AV$6:$AV$13,0),MATCH('HIC-SOHIC-H2S'!$T4,'Tables - Part 2'!$AX$5:$BA$5,0))+(INDEX('Tables - Part 2'!$BF$6:$BI$13,MATCH('HIC-SOHIC-H2S'!$Z4,'Tables - Part 2'!$AV$6:$AV$13,0),MATCH('HIC-SOHIC-H2S'!$T4,'Tables - Part 2'!$AX$5:$BA$5,0))+INDEX('Tables - Part 2'!$AX$17:$BA$24,MATCH('HIC-SOHIC-H2S'!$Z4,'Tables - Part 2'!$AV$6:$AV$13,0),MATCH('HIC-SOHIC-H2S'!$T4,'Tables - Part 2'!$AX$5:$BA$5,0)))/2)/2,0)</f>
        <v>0</v>
      </c>
      <c r="AZ4" s="248">
        <f>IF($S4=$AZ$3,(((INDEX('Tables - Part 2'!$BF$6:$BI$13,MATCH('HIC-SOHIC-H2S'!$Z4,'Tables - Part 2'!$AV$6:$AV$13,0),MATCH('HIC-SOHIC-H2S'!$T4,'Tables - Part 2'!$AX$5:$BA$5,0))+(INDEX('Tables - Part 2'!$BF$6:$BI$13,MATCH('HIC-SOHIC-H2S'!$Z4,'Tables - Part 2'!$AV$6:$AV$13,0),MATCH('HIC-SOHIC-H2S'!$T4,'Tables - Part 2'!$AX$5:$BA$5,0))+INDEX('Tables - Part 2'!$AX$17:$BA$24,MATCH('HIC-SOHIC-H2S'!$Z4,'Tables - Part 2'!$AV$6:$AV$13,0),MATCH('HIC-SOHIC-H2S'!$T4,'Tables - Part 2'!$AX$5:$BA$5,0)))/2)/2)+((INDEX('Tables - Part 2'!$BF$6:$BI$13,MATCH('HIC-SOHIC-H2S'!$Z4,'Tables - Part 2'!$AV$6:$AV$13,0),MATCH('HIC-SOHIC-H2S'!$T4,'Tables - Part 2'!$AX$5:$BA$5,0))+INDEX('Tables - Part 2'!$AX$17:$BA$24,MATCH('HIC-SOHIC-H2S'!$Z4,'Tables - Part 2'!$AV$6:$AV$13,0),MATCH('HIC-SOHIC-H2S'!$T4,'Tables - Part 2'!$AX$5:$BA$5,0)))/2))/2,0)</f>
        <v>0</v>
      </c>
      <c r="BA4" s="248">
        <f>IF($S4=$BA$3,(INDEX('Tables - Part 2'!$BF$6:$BI$13,MATCH('HIC-SOHIC-H2S'!$Z4,'Tables - Part 2'!$AV$6:$AV$13,0),MATCH('HIC-SOHIC-H2S'!$T4,'Tables - Part 2'!$AX$5:$BA$5,0))+INDEX('Tables - Part 2'!$AX$17:$BA$24,MATCH('HIC-SOHIC-H2S'!$Z4,'Tables - Part 2'!$AV$6:$AV$13,0),MATCH('HIC-SOHIC-H2S'!$T4,'Tables - Part 2'!$AX$5:$BA$5,0)))/2,0)</f>
        <v>0</v>
      </c>
      <c r="BB4" s="248">
        <f>IF($S4=$BB$3,(((INDEX('Tables - Part 2'!$BF$6:$BI$13,MATCH('HIC-SOHIC-H2S'!$Z4,'Tables - Part 2'!$AV$6:$AV$13,0),MATCH('HIC-SOHIC-H2S'!$T4,'Tables - Part 2'!$AX$5:$BA$5,0))+INDEX('Tables - Part 2'!$AX$17:$BA$24,MATCH('HIC-SOHIC-H2S'!$Z4,'Tables - Part 2'!$AV$6:$AV$13,0),MATCH('HIC-SOHIC-H2S'!$T4,'Tables - Part 2'!$AX$5:$BA$5,0)))/2)+((((INDEX('Tables - Part 2'!$BF$6:$BI$13,MATCH('HIC-SOHIC-H2S'!$Z4,'Tables - Part 2'!$AV$6:$AV$13,0),MATCH('HIC-SOHIC-H2S'!$T4,'Tables - Part 2'!$AX$5:$BA$5,0))+INDEX('Tables - Part 2'!$AX$17:$BA$24,MATCH('HIC-SOHIC-H2S'!$Z4,'Tables - Part 2'!$AV$6:$AV$13,0),MATCH('HIC-SOHIC-H2S'!$T4,'Tables - Part 2'!$AX$5:$BA$5,0)))/2)+INDEX('Tables - Part 2'!$AX$17:$BA$24,MATCH('HIC-SOHIC-H2S'!$Z4,'Tables - Part 2'!$AV$6:$AV$13,0),MATCH('HIC-SOHIC-H2S'!$T4,'Tables - Part 2'!$AX$5:$BA$5,0)))/2))/2,0)</f>
        <v>0</v>
      </c>
      <c r="BC4" s="248">
        <f>IF($S4=$BC$3,(((INDEX('Tables - Part 2'!$BF$6:$BI$13,MATCH('HIC-SOHIC-H2S'!$Z4,'Tables - Part 2'!$AV$6:$AV$13,0),MATCH('HIC-SOHIC-H2S'!$T4,'Tables - Part 2'!$AX$5:$BA$5,0))+INDEX('Tables - Part 2'!$AX$17:$BA$24,MATCH('HIC-SOHIC-H2S'!$Z4,'Tables - Part 2'!$AV$6:$AV$13,0),MATCH('HIC-SOHIC-H2S'!$T4,'Tables - Part 2'!$AX$5:$BA$5,0)))/2)+INDEX('Tables - Part 2'!$AX$17:$BA$24,MATCH('HIC-SOHIC-H2S'!$Z4,'Tables - Part 2'!$AV$6:$AV$13,0),MATCH('HIC-SOHIC-H2S'!$T4,'Tables - Part 2'!$AX$5:$BA$5,0)))/2,0)</f>
        <v>0</v>
      </c>
      <c r="BD4" s="248">
        <f>IF($S4=$BD$3,(((((INDEX('Tables - Part 2'!$BF$6:$BI$13,MATCH('HIC-SOHIC-H2S'!$Z4,'Tables - Part 2'!$AV$6:$AV$13,0),MATCH('HIC-SOHIC-H2S'!$T4,'Tables - Part 2'!$AX$5:$BA$5,0))+INDEX('Tables - Part 2'!$AX$17:$BA$24,MATCH('HIC-SOHIC-H2S'!$Z4,'Tables - Part 2'!$AV$6:$AV$13,0),MATCH('HIC-SOHIC-H2S'!$T4,'Tables - Part 2'!$AX$5:$BA$5,0)))/2)+INDEX('Tables - Part 2'!$AX$17:$BA$24,MATCH('HIC-SOHIC-H2S'!$Z4,'Tables - Part 2'!$AV$6:$AV$13,0),MATCH('HIC-SOHIC-H2S'!$T4,'Tables - Part 2'!$AX$5:$BA$5,0)))/2)+(INDEX('Tables - Part 2'!$AX$17:$BA$24,MATCH('HIC-SOHIC-H2S'!$Z4,'Tables - Part 2'!$AV$6:$AV$13,0),MATCH('HIC-SOHIC-H2S'!$T4,'Tables - Part 2'!$AX$5:$BA$5,0))))/2,0)</f>
        <v>0</v>
      </c>
      <c r="BE4" s="248">
        <f>IF($S4=$BE$3,INDEX('Tables - Part 2'!$AX$17:$BA$24,MATCH('HIC-SOHIC-H2S'!$Z4,'Tables - Part 2'!$AV$6:$AV$13,0),MATCH('HIC-SOHIC-H2S'!$T4,'Tables - Part 2'!$AX$5:$BA$5,0)),0)</f>
        <v>0</v>
      </c>
      <c r="BF4" s="248">
        <f>IF($S4=$BF$3,((INDEX('Tables - Part 2'!$AX$17:$BA$24,MATCH('HIC-SOHIC-H2S'!$Z4,'Tables - Part 2'!$AV$6:$AV$13,0),MATCH('HIC-SOHIC-H2S'!$T4,'Tables - Part 2'!$AX$5:$BA$5,0)))+(((INDEX('Tables - Part 2'!$AX$17:$BA$24,MATCH('HIC-SOHIC-H2S'!$Z4,'Tables - Part 2'!$AV$6:$AV$13,0),MATCH('HIC-SOHIC-H2S'!$T4,'Tables - Part 2'!$AX$5:$BA$5,0)))+(INDEX('Tables - Part 2'!$AX$17:$BA$24,MATCH('HIC-SOHIC-H2S'!$Z4,'Tables - Part 2'!$AV$6:$AV$13,0),MATCH('HIC-SOHIC-H2S'!$T4,'Tables - Part 2'!$AX$5:$BA$5,0))+INDEX('Tables - Part 2'!$BB$17:$BE$24,MATCH('HIC-SOHIC-H2S'!$Z4,'Tables - Part 2'!$AV$6:$AV$13,0),MATCH('HIC-SOHIC-H2S'!$T4,'Tables - Part 2'!$AX$5:$BA$5,0)))/2)/2))/2,0)</f>
        <v>0</v>
      </c>
      <c r="BG4" s="248">
        <f>IF($S4=$BG$3,((INDEX('Tables - Part 2'!$AX$17:$BA$24,MATCH('HIC-SOHIC-H2S'!$Z4,'Tables - Part 2'!$AV$6:$AV$13,0),MATCH('HIC-SOHIC-H2S'!$T4,'Tables - Part 2'!$AX$5:$BA$5,0)))+(INDEX('Tables - Part 2'!$AX$17:$BA$24,MATCH('HIC-SOHIC-H2S'!$Z4,'Tables - Part 2'!$AV$6:$AV$13,0),MATCH('HIC-SOHIC-H2S'!$T4,'Tables - Part 2'!$AX$5:$BA$5,0))+INDEX('Tables - Part 2'!$BB$17:$BE$24,MATCH('HIC-SOHIC-H2S'!$Z4,'Tables - Part 2'!$AV$6:$AV$13,0),MATCH('HIC-SOHIC-H2S'!$T4,'Tables - Part 2'!$AX$5:$BA$5,0)))/2)/2,0)</f>
        <v>0</v>
      </c>
      <c r="BH4" s="248">
        <f>IF($S4=$BH$3,((((INDEX('Tables - Part 2'!$AX$17:$BA$24,MATCH('HIC-SOHIC-H2S'!$Z4,'Tables - Part 2'!$AV$6:$AV$13,0),MATCH('HIC-SOHIC-H2S'!$T4,'Tables - Part 2'!$AX$5:$BA$5,0)))+(INDEX('Tables - Part 2'!$AX$17:$BA$24,MATCH('HIC-SOHIC-H2S'!$Z4,'Tables - Part 2'!$AV$6:$AV$13,0),MATCH('HIC-SOHIC-H2S'!$T4,'Tables - Part 2'!$AX$5:$BA$5,0))+INDEX('Tables - Part 2'!$BB$17:$BE$24,MATCH('HIC-SOHIC-H2S'!$Z4,'Tables - Part 2'!$AV$6:$AV$13,0),MATCH('HIC-SOHIC-H2S'!$T4,'Tables - Part 2'!$AX$5:$BA$5,0)))/2)/2)+((INDEX('Tables - Part 2'!$AX$17:$BA$24,MATCH('HIC-SOHIC-H2S'!$Z4,'Tables - Part 2'!$AV$6:$AV$13,0),MATCH('HIC-SOHIC-H2S'!$T4,'Tables - Part 2'!$AX$5:$BA$5,0))+INDEX('Tables - Part 2'!$BB$17:$BE$24,MATCH('HIC-SOHIC-H2S'!$Z4,'Tables - Part 2'!$AV$6:$AV$13,0),MATCH('HIC-SOHIC-H2S'!$T4,'Tables - Part 2'!$AX$5:$BA$5,0)))/2))/2,0)</f>
        <v>0</v>
      </c>
      <c r="BI4" s="248">
        <f>IF($S4=$BI$3,(INDEX('Tables - Part 2'!$AX$17:$BA$24,MATCH('HIC-SOHIC-H2S'!$Z4,'Tables - Part 2'!$AV$6:$AV$13,0),MATCH('HIC-SOHIC-H2S'!$T4,'Tables - Part 2'!$AX$5:$BA$5,0))+INDEX('Tables - Part 2'!$BB$17:$BE$24,MATCH('HIC-SOHIC-H2S'!$Z4,'Tables - Part 2'!$AV$6:$AV$13,0),MATCH('HIC-SOHIC-H2S'!$T4,'Tables - Part 2'!$AX$5:$BA$5,0)))/2,0)</f>
        <v>0</v>
      </c>
      <c r="BJ4" s="248">
        <f>IF($S4=$BJ$3,(((INDEX('Tables - Part 2'!$AX$17:$BA$24,MATCH('HIC-SOHIC-H2S'!$Z4,'Tables - Part 2'!$AV$6:$AV$13,0),MATCH('HIC-SOHIC-H2S'!$T4,'Tables - Part 2'!$AX$5:$BA$5,0))+INDEX('Tables - Part 2'!$BB$17:$BE$24,MATCH('HIC-SOHIC-H2S'!$Z4,'Tables - Part 2'!$AV$6:$AV$13,0),MATCH('HIC-SOHIC-H2S'!$T4,'Tables - Part 2'!$AX$5:$BA$5,0)))/2)+((((INDEX('Tables - Part 2'!$AX$17:$BA$24,MATCH('HIC-SOHIC-H2S'!$Z4,'Tables - Part 2'!$AV$6:$AV$13,0),MATCH('HIC-SOHIC-H2S'!$T4,'Tables - Part 2'!$AX$5:$BA$5,0))+INDEX('Tables - Part 2'!$BB$17:$BE$24,MATCH('HIC-SOHIC-H2S'!$Z4,'Tables - Part 2'!$AV$6:$AV$13,0),MATCH('HIC-SOHIC-H2S'!$T4,'Tables - Part 2'!$AX$5:$BA$5,0)))/2)+INDEX('Tables - Part 2'!$BB$17:$BE$24,MATCH('HIC-SOHIC-H2S'!$Z4,'Tables - Part 2'!$AV$6:$AV$13,0),MATCH('HIC-SOHIC-H2S'!$T4,'Tables - Part 2'!$AX$5:$BA$5,0)))/2))/2,0)</f>
        <v>0</v>
      </c>
      <c r="BK4" s="248">
        <f>IF($S4=$BK$3,(((INDEX('Tables - Part 2'!$AX$17:$BA$24,MATCH('HIC-SOHIC-H2S'!$Z4,'Tables - Part 2'!$AV$6:$AV$13,0),MATCH('HIC-SOHIC-H2S'!$T4,'Tables - Part 2'!$AX$5:$BA$5,0))+INDEX('Tables - Part 2'!$BB$17:$BE$24,MATCH('HIC-SOHIC-H2S'!$Z4,'Tables - Part 2'!$AV$6:$AV$13,0),MATCH('HIC-SOHIC-H2S'!$T4,'Tables - Part 2'!$AX$5:$BA$5,0)))/2)+INDEX('Tables - Part 2'!$BB$17:$BE$24,MATCH('HIC-SOHIC-H2S'!$Z4,'Tables - Part 2'!$AV$6:$AV$13,0),MATCH('HIC-SOHIC-H2S'!$T4,'Tables - Part 2'!$AX$5:$BA$5,0)))/2,0)</f>
        <v>0</v>
      </c>
      <c r="BL4" s="248">
        <f>IF($S4=$BL$3,(((((INDEX('Tables - Part 2'!$AX$17:$BA$24,MATCH('HIC-SOHIC-H2S'!$Z4,'Tables - Part 2'!$AV$6:$AV$13,0),MATCH('HIC-SOHIC-H2S'!$T4,'Tables - Part 2'!$AX$5:$BA$5,0))+INDEX('Tables - Part 2'!$BB$17:$BE$24,MATCH('HIC-SOHIC-H2S'!$Z4,'Tables - Part 2'!$AV$6:$AV$13,0),MATCH('HIC-SOHIC-H2S'!$T4,'Tables - Part 2'!$AX$5:$BA$5,0)))/2)+INDEX('Tables - Part 2'!$BB$17:$BE$24,MATCH('HIC-SOHIC-H2S'!$Z4,'Tables - Part 2'!$AV$6:$AV$13,0),MATCH('HIC-SOHIC-H2S'!$T4,'Tables - Part 2'!$AX$5:$BA$5,0)))/2)+(INDEX('Tables - Part 2'!$BB$17:$BE$24,MATCH('HIC-SOHIC-H2S'!$Z4,'Tables - Part 2'!$AV$6:$AV$13,0),MATCH('HIC-SOHIC-H2S'!$T4,'Tables - Part 2'!$AX$5:$BA$5,0))))/2,0)</f>
        <v>0</v>
      </c>
      <c r="BM4" s="248">
        <f>IF($S4=$BM$3,INDEX('Tables - Part 2'!$BB$17:$BE$24,MATCH('HIC-SOHIC-H2S'!$Z4,'Tables - Part 2'!$AV$6:$AV$13,0),MATCH('HIC-SOHIC-H2S'!$T4,'Tables - Part 2'!$AX$5:$BA$5,0)),0)</f>
        <v>0</v>
      </c>
      <c r="BN4" s="248">
        <f>IF($S4=$BN$3,((INDEX('Tables - Part 2'!$BB$17:$BE$24,MATCH('HIC-SOHIC-H2S'!$Z4,'Tables - Part 2'!$AV$6:$AV$13,0),MATCH('HIC-SOHIC-H2S'!$T4,'Tables - Part 2'!$AX$5:$BA$5,0)))+(((INDEX('Tables - Part 2'!$BB$17:$BE$24,MATCH('HIC-SOHIC-H2S'!$Z4,'Tables - Part 2'!$AV$6:$AV$13,0),MATCH('HIC-SOHIC-H2S'!$T4,'Tables - Part 2'!$AX$5:$BA$5,0)))+(INDEX('Tables - Part 2'!$BB$17:$BE$24,MATCH('HIC-SOHIC-H2S'!$Z4,'Tables - Part 2'!$AV$6:$AV$13,0),MATCH('HIC-SOHIC-H2S'!$T4,'Tables - Part 2'!$AX$5:$BA$5,0))+INDEX('Tables - Part 2'!$BF$17:$BI$24,MATCH('HIC-SOHIC-H2S'!$Z4,'Tables - Part 2'!$AV$6:$AV$13,0),MATCH('HIC-SOHIC-H2S'!$T4,'Tables - Part 2'!$AX$5:$BA$5,0)))/2)/2))/2,0)</f>
        <v>0</v>
      </c>
      <c r="BO4" s="248">
        <f>IF($S4=$BO$3,((INDEX('Tables - Part 2'!$BB$17:$BE$24,MATCH('HIC-SOHIC-H2S'!$Z4,'Tables - Part 2'!$AV$6:$AV$13,0),MATCH('HIC-SOHIC-H2S'!$T4,'Tables - Part 2'!$AX$5:$BA$5,0)))+(INDEX('Tables - Part 2'!$BB$17:$BE$24,MATCH('HIC-SOHIC-H2S'!$Z4,'Tables - Part 2'!$AV$6:$AV$13,0),MATCH('HIC-SOHIC-H2S'!$T4,'Tables - Part 2'!$AX$5:$BA$5,0))+INDEX('Tables - Part 2'!$BF$17:$BI$24,MATCH('HIC-SOHIC-H2S'!$Z4,'Tables - Part 2'!$AV$6:$AV$13,0),MATCH('HIC-SOHIC-H2S'!$T4,'Tables - Part 2'!$AX$5:$BA$5,0)))/2)/2,0)</f>
        <v>0</v>
      </c>
      <c r="BP4" s="248">
        <f>IF($S4=$BP$3,((((INDEX('Tables - Part 2'!$BB$17:$BE$24,MATCH('HIC-SOHIC-H2S'!$Z4,'Tables - Part 2'!$AV$6:$AV$13,0),MATCH('HIC-SOHIC-H2S'!$T4,'Tables - Part 2'!$AX$5:$BA$5,0)))+(INDEX('Tables - Part 2'!$BB$17:$BE$24,MATCH('HIC-SOHIC-H2S'!$Z4,'Tables - Part 2'!$AV$6:$AV$13,0),MATCH('HIC-SOHIC-H2S'!$T4,'Tables - Part 2'!$AX$5:$BA$5,0))+INDEX('Tables - Part 2'!$BF$17:$BI$24,MATCH('HIC-SOHIC-H2S'!$Z4,'Tables - Part 2'!$AV$6:$AV$13,0),MATCH('HIC-SOHIC-H2S'!$T4,'Tables - Part 2'!$AX$5:$BA$5,0)))/2)/2)+((INDEX('Tables - Part 2'!$BB$17:$BE$24,MATCH('HIC-SOHIC-H2S'!$Z4,'Tables - Part 2'!$AV$6:$AV$13,0),MATCH('HIC-SOHIC-H2S'!$T4,'Tables - Part 2'!$AX$5:$BA$5,0))+INDEX('Tables - Part 2'!$BF$17:$BI$24,MATCH('HIC-SOHIC-H2S'!$Z4,'Tables - Part 2'!$AV$6:$AV$13,0),MATCH('HIC-SOHIC-H2S'!$T4,'Tables - Part 2'!$AX$5:$BA$5,0)))/2))/2,0)</f>
        <v>0</v>
      </c>
      <c r="BQ4" s="248">
        <f>IF($S4=$BQ$3,(INDEX('Tables - Part 2'!$BB$17:$BE$24,MATCH('HIC-SOHIC-H2S'!$Z4,'Tables - Part 2'!$AV$6:$AV$13,0),MATCH('HIC-SOHIC-H2S'!$T4,'Tables - Part 2'!$AX$5:$BA$5,0))+INDEX('Tables - Part 2'!$BF$17:$BI$24,MATCH('HIC-SOHIC-H2S'!$Z4,'Tables - Part 2'!$AV$6:$AV$13,0),MATCH('HIC-SOHIC-H2S'!$T4,'Tables - Part 2'!$AX$5:$BA$5,0)))/2,0)</f>
        <v>0</v>
      </c>
      <c r="BR4" s="248">
        <f>IF($S4=$BR$3,(((INDEX('Tables - Part 2'!$BB$17:$BE$24,MATCH('HIC-SOHIC-H2S'!$Z4,'Tables - Part 2'!$AV$6:$AV$13,0),MATCH('HIC-SOHIC-H2S'!$T4,'Tables - Part 2'!$AX$5:$BA$5,0))+INDEX('Tables - Part 2'!$BF$17:$BI$24,MATCH('HIC-SOHIC-H2S'!$Z4,'Tables - Part 2'!$AV$6:$AV$13,0),MATCH('HIC-SOHIC-H2S'!$T4,'Tables - Part 2'!$AX$5:$BA$5,0)))/2)+((((INDEX('Tables - Part 2'!$BB$17:$BE$24,MATCH('HIC-SOHIC-H2S'!$Z4,'Tables - Part 2'!$AV$6:$AV$13,0),MATCH('HIC-SOHIC-H2S'!$T4,'Tables - Part 2'!$AX$5:$BA$5,0))+INDEX('Tables - Part 2'!$BF$17:$BI$24,MATCH('HIC-SOHIC-H2S'!$Z4,'Tables - Part 2'!$AV$6:$AV$13,0),MATCH('HIC-SOHIC-H2S'!$T4,'Tables - Part 2'!$AX$5:$BA$5,0)))/2)+INDEX('Tables - Part 2'!$BF$17:$BI$24,MATCH('HIC-SOHIC-H2S'!$Z4,'Tables - Part 2'!$AV$6:$AV$13,0),MATCH('HIC-SOHIC-H2S'!$T4,'Tables - Part 2'!$AX$5:$BA$5,0)))/2))/2,0)</f>
        <v>0</v>
      </c>
      <c r="BS4" s="248">
        <f>IF($S4=$BS$3,(((INDEX('Tables - Part 2'!$BB$17:$BE$24,MATCH('HIC-SOHIC-H2S'!$Z4,'Tables - Part 2'!$AV$6:$AV$13,0),MATCH('HIC-SOHIC-H2S'!$T4,'Tables - Part 2'!$AX$5:$BA$5,0))+INDEX('Tables - Part 2'!$BF$17:$BI$24,MATCH('HIC-SOHIC-H2S'!$Z4,'Tables - Part 2'!$AV$6:$AV$13,0),MATCH('HIC-SOHIC-H2S'!$T4,'Tables - Part 2'!$AX$5:$BA$5,0)))/2)+INDEX('Tables - Part 2'!$BF$17:$BI$24,MATCH('HIC-SOHIC-H2S'!$Z4,'Tables - Part 2'!$AV$6:$AV$13,0),MATCH('HIC-SOHIC-H2S'!$T4,'Tables - Part 2'!$AX$5:$BA$5,0)))/2,0)</f>
        <v>0</v>
      </c>
      <c r="BT4" s="248">
        <f>IF($S4=$BT$3,(((((INDEX('Tables - Part 2'!$BB$17:$BE$24,MATCH('HIC-SOHIC-H2S'!$Z4,'Tables - Part 2'!$AV$6:$AV$13,0),MATCH('HIC-SOHIC-H2S'!$T4,'Tables - Part 2'!$AX$5:$BA$5,0))+INDEX('Tables - Part 2'!$BF$17:$BI$24,MATCH('HIC-SOHIC-H2S'!$Z4,'Tables - Part 2'!$AV$6:$AV$13,0),MATCH('HIC-SOHIC-H2S'!$T4,'Tables - Part 2'!$AX$5:$BA$5,0)))/2)+INDEX('Tables - Part 2'!$BF$17:$BI$24,MATCH('HIC-SOHIC-H2S'!$Z4,'Tables - Part 2'!$AV$6:$AV$13,0),MATCH('HIC-SOHIC-H2S'!$T4,'Tables - Part 2'!$AX$5:$BA$5,0)))/2)+(INDEX('Tables - Part 2'!$BF$17:$BI$24,MATCH('HIC-SOHIC-H2S'!$Z4,'Tables - Part 2'!$AV$6:$AV$13,0),MATCH('HIC-SOHIC-H2S'!$T4,'Tables - Part 2'!$AX$5:$BA$5,0))))/2,0)</f>
        <v>0</v>
      </c>
      <c r="BU4" s="248">
        <f>IF($S4=$BU$3,INDEX('Tables - Part 2'!$BF$17:$BI$24,MATCH('HIC-SOHIC-H2S'!$Z4,'Tables - Part 2'!$AV$6:$AV$13,0),MATCH('HIC-SOHIC-H2S'!$T4,'Tables - Part 2'!$AX$5:$BA$5,0)),0)</f>
        <v>0</v>
      </c>
      <c r="BV4" s="248">
        <f t="shared" ref="BV4:BV21" si="2">IF(S4=0,Z4,0)</f>
        <v>0</v>
      </c>
      <c r="BW4" s="238" t="e">
        <f>SUM(AG4:BV4)</f>
        <v>#N/A</v>
      </c>
      <c r="BX4" s="238" t="e">
        <f>IF(B4="",0,MIN(BW4*POWER(MAX(AA4,1),1.1)/AB4,5000))</f>
        <v>#N/A</v>
      </c>
      <c r="CA4" s="237" t="s">
        <v>841</v>
      </c>
      <c r="CC4" t="s">
        <v>61</v>
      </c>
      <c r="CG4" s="208"/>
    </row>
    <row r="5" spans="2:89" x14ac:dyDescent="0.35">
      <c r="B5" s="161" t="str">
        <f>'Tratamento de Dados'!B13</f>
        <v>V-07</v>
      </c>
      <c r="C5" s="161" t="str">
        <f>'Tratamento de Dados'!D13</f>
        <v>Tampo_Sul</v>
      </c>
      <c r="D5" s="209" t="str">
        <f>'Tratamento de Dados'!CN13</f>
        <v>Não</v>
      </c>
      <c r="E5" s="209" t="str">
        <f>'Tratamento de Dados'!CO13</f>
        <v>N/A</v>
      </c>
      <c r="F5" s="209" t="str">
        <f>'Tratamento de Dados'!CP13</f>
        <v>&lt; 5,5</v>
      </c>
      <c r="G5" s="209" t="str">
        <f>'Tratamento de Dados'!CQ13</f>
        <v>50 to 1000 ppm</v>
      </c>
      <c r="H5" s="209" t="str">
        <f>'Tratamento de Dados'!CR13</f>
        <v>Não</v>
      </c>
      <c r="I5" s="209" t="str">
        <f>'Tratamento de Dados'!CS13</f>
        <v>Low Sulfur Steel
≤0.01 % S</v>
      </c>
      <c r="J5" s="209" t="str">
        <f>'Tratamento de Dados'!CT13</f>
        <v>Não</v>
      </c>
      <c r="K5" s="209" t="str">
        <f>'Tratamento de Dados'!CU13</f>
        <v>None</v>
      </c>
      <c r="L5" s="210">
        <f>'Tratamento de Dados'!CV13</f>
        <v>39092</v>
      </c>
      <c r="M5" s="209">
        <f>'Tratamento de Dados'!CW13</f>
        <v>0</v>
      </c>
      <c r="N5" s="209">
        <f>'Tratamento de Dados'!CX13</f>
        <v>1</v>
      </c>
      <c r="O5" s="209">
        <f>'Tratamento de Dados'!CY13</f>
        <v>1</v>
      </c>
      <c r="P5" s="209">
        <f>'Tratamento de Dados'!CZ13</f>
        <v>4</v>
      </c>
      <c r="Q5" s="253">
        <f>'Tratamento de Dados'!DA13</f>
        <v>0</v>
      </c>
      <c r="R5" s="253">
        <f>'Tratamento de Dados'!DB13</f>
        <v>0</v>
      </c>
      <c r="S5" s="256">
        <f t="shared" si="0"/>
        <v>2.5</v>
      </c>
      <c r="T5" s="246" t="str">
        <f t="shared" ref="T5:T21" si="3">IF(R5=0,IF(AC5&gt;=1,$AC$3,IF(AD5&gt;=1,$AD$3,IF(AE5&gt;=1,$AE$3,IF(AF5&gt;=1,$AF$3,"E")))),R5)</f>
        <v>B</v>
      </c>
      <c r="U5" s="238" t="str">
        <f>IF(D5=$CC$2,$CA$4,IF(AND(H5=$CC$2,OR(F5='Tables - Part 2'!$CE$8,'Tables - Part 2'!$CE$9),OR('HIC-SOHIC-H2S'!G5='Tables - Part 2'!$CH$4,'HIC-SOHIC-H2S'!G5='Tables - Part 2'!$CI$4)),$CA$4,INDEX('Tables - Part 2'!$CF$5:$CI$9,MATCH('HIC-SOHIC-H2S'!F5,'Tables - Part 2'!$CE$5:$CE$9,0),MATCH('HIC-SOHIC-H2S'!G5,'Tables - Part 2'!$CF$4:$CI$4,0))))</f>
        <v>Moderate</v>
      </c>
      <c r="V5" s="238" t="str">
        <f>IF($I5=$V$3,INDEX('Tables - Part 2'!$CL$5:$CM$7,MATCH('HIC-SOHIC-H2S'!$U5,'Tables - Part 2'!$CK$5:$CK$7,0),IF('HIC-SOHIC-H2S'!$J5='HIC-SOHIC-H2S'!$CC$2,2,1)),"")</f>
        <v/>
      </c>
      <c r="W5" s="238" t="str">
        <f>IF($I5=$W$3,INDEX('Tables - Part 2'!$CN$5:$CO$7,MATCH('HIC-SOHIC-H2S'!$U5,'Tables - Part 2'!$CK$5:$CK$7,0),IF('HIC-SOHIC-H2S'!$J5='HIC-SOHIC-H2S'!$CC$2,2,1)),"")</f>
        <v>Medium</v>
      </c>
      <c r="X5" s="238" t="str">
        <f>IF($I5=$X$3,INDEX('Tables - Part 2'!$CP$5:$CQ$7,MATCH('HIC-SOHIC-H2S'!$U5,'Tables - Part 2'!$CK$5:$CK$7,0),IF('HIC-SOHIC-H2S'!$J5='HIC-SOHIC-H2S'!$CC$2,2,1)),"")</f>
        <v/>
      </c>
      <c r="Y5" s="238" t="str">
        <f t="shared" si="1"/>
        <v>Medium</v>
      </c>
      <c r="Z5" s="238">
        <f>IF(AND(D5=$CC$2,E5&lt;&gt;$CC$2),"Fitness-For-Service",INDEX('Tables - Part 2'!$CT$4:$CT$6,MATCH('HIC-SOHIC-H2S'!Y5,'Tables - Part 2'!$CS$4:$CS$6,0),))</f>
        <v>10</v>
      </c>
      <c r="AA5" s="238">
        <f>IF(L5=0,(Thinning!G6-Thinning!F6)/365.25,(Thinning!G6-L5)/365.25)</f>
        <v>13.390828199863108</v>
      </c>
      <c r="AB5" s="238">
        <f>INDEX('Tables - Part 2'!$CW$4:$CW$7,MATCH('HIC-SOHIC-H2S'!K5,'Tables - Part 2'!$CV$4:$CV$7,0))</f>
        <v>1</v>
      </c>
      <c r="AC5" s="248">
        <f t="shared" ref="AC5:AC21" si="4">IF(M5=0,0,_xlfn.FLOOR.MATH((AD5/2)+M5,0.25))</f>
        <v>0</v>
      </c>
      <c r="AD5" s="248">
        <f t="shared" ref="AD5:AD21" si="5">IF(AND(M5=0,N5=0),0,_xlfn.FLOOR.MATH((AE5/2)+N5,0.25))</f>
        <v>2.5</v>
      </c>
      <c r="AE5" s="247">
        <f t="shared" ref="AE5" si="6">_xlfn.FLOOR.MATH((AF5/2)+O5,0.5)</f>
        <v>3</v>
      </c>
      <c r="AF5" s="247">
        <f t="shared" ref="AF5:AF21" si="7">P5</f>
        <v>4</v>
      </c>
      <c r="AG5" s="248">
        <f>IF($S5=$AG$3,INDEX('Tables - Part 2'!$AX$6:$BA$13,MATCH('HIC-SOHIC-H2S'!Z5,'Tables - Part 2'!$AV$6:$AV$13,0),MATCH('HIC-SOHIC-H2S'!T5,'Tables - Part 2'!$AX$5:$BA$5,0)),0)</f>
        <v>0</v>
      </c>
      <c r="AH5" s="248">
        <f>IF($S5=$AH$3,(INDEX('Tables - Part 2'!$AX$6:$BA$13,MATCH('HIC-SOHIC-H2S'!Z5,'Tables - Part 2'!$AV$6:$AV$13,0),MATCH('HIC-SOHIC-H2S'!T5,'Tables - Part 2'!$AX$5:$BA$5,0))+(INDEX('Tables - Part 2'!$AX$6:$BA$13,MATCH('HIC-SOHIC-H2S'!Z5,'Tables - Part 2'!$AV$6:$AV$13,0),MATCH('HIC-SOHIC-H2S'!T5,'Tables - Part 2'!$AX$5:$BA$5,0))+((INDEX('Tables - Part 2'!$AX$6:$BA$13,MATCH('HIC-SOHIC-H2S'!Z5,'Tables - Part 2'!$AV$6:$AV$13,0),MATCH('HIC-SOHIC-H2S'!T5,'Tables - Part 2'!$AX$5:$BA$5,0))+INDEX('Tables - Part 2'!$BB$6:$BE$13,MATCH('HIC-SOHIC-H2S'!$Z5,'Tables - Part 2'!$AV$6:$AV$13,0),MATCH('HIC-SOHIC-H2S'!$T5,'Tables - Part 2'!$AX$5:$BA$5,0)))/2))/2)/2,0)</f>
        <v>0</v>
      </c>
      <c r="AI5" s="248">
        <f>IF($S5=$AI$3,(INDEX('Tables - Part 2'!$AX$6:$BA$13,MATCH('HIC-SOHIC-H2S'!Z5,'Tables - Part 2'!$AV$6:$AV$13,0),MATCH('HIC-SOHIC-H2S'!T5,'Tables - Part 2'!$AX$5:$BA$5,0))+((INDEX('Tables - Part 2'!$AX$6:$BA$13,MATCH('HIC-SOHIC-H2S'!Z5,'Tables - Part 2'!$AV$6:$AV$13,0),MATCH('HIC-SOHIC-H2S'!T5,'Tables - Part 2'!$AX$5:$BA$5,0))+INDEX('Tables - Part 2'!$BB$6:$BE$13,MATCH('HIC-SOHIC-H2S'!$Z5,'Tables - Part 2'!$AV$6:$AV$13,0),MATCH('HIC-SOHIC-H2S'!$T5,'Tables - Part 2'!$AX$5:$BA$5,0)))/2))/2,0)</f>
        <v>0</v>
      </c>
      <c r="AJ5" s="248">
        <f>IF($S5=$AJ$3,(((INDEX('Tables - Part 2'!$AX$6:$BA$13,MATCH('HIC-SOHIC-H2S'!Z5,'Tables - Part 2'!$AV$6:$AV$13,0),MATCH('HIC-SOHIC-H2S'!T5,'Tables - Part 2'!$AX$5:$BA$5,0))+((INDEX('Tables - Part 2'!$AX$6:$BA$13,MATCH('HIC-SOHIC-H2S'!Z5,'Tables - Part 2'!$AV$6:$AV$13,0),MATCH('HIC-SOHIC-H2S'!T5,'Tables - Part 2'!$AX$5:$BA$5,0))+INDEX('Tables - Part 2'!$BB$6:$BE$13,MATCH('HIC-SOHIC-H2S'!$Z5,'Tables - Part 2'!$AV$6:$AV$13,0),MATCH('HIC-SOHIC-H2S'!$T5,'Tables - Part 2'!$AX$5:$BA$5,0)))/2))/2)+(INDEX('Tables - Part 2'!$AX$6:$BA$13,MATCH('HIC-SOHIC-H2S'!Z5,'Tables - Part 2'!$AV$6:$AV$13,0),MATCH('HIC-SOHIC-H2S'!T5,'Tables - Part 2'!$AX$5:$BA$5,0))+INDEX('Tables - Part 2'!$BB$6:$BE$13,MATCH('HIC-SOHIC-H2S'!$Z5,'Tables - Part 2'!$AV$6:$AV$13,0),MATCH('HIC-SOHIC-H2S'!$T5,'Tables - Part 2'!$AX$5:$BA$5,0)))/2)/2,0)</f>
        <v>0</v>
      </c>
      <c r="AK5" s="248">
        <f>IF($S5=$AK$3,(INDEX('Tables - Part 2'!$AX$6:$BA$13,MATCH('HIC-SOHIC-H2S'!Z5,'Tables - Part 2'!$AV$6:$AV$13,0),MATCH('HIC-SOHIC-H2S'!T5,'Tables - Part 2'!$AX$5:$BA$5,0))+INDEX('Tables - Part 2'!$BB$6:$BE$13,MATCH('HIC-SOHIC-H2S'!$Z5,'Tables - Part 2'!$AV$6:$AV$13,0),MATCH('HIC-SOHIC-H2S'!$T5,'Tables - Part 2'!$AX$5:$BA$5,0)))/2,0)</f>
        <v>0</v>
      </c>
      <c r="AL5" s="248">
        <f>IF($S5=$AL$3,(((INDEX('Tables - Part 2'!$AX$6:$BA$13,MATCH('HIC-SOHIC-H2S'!Z5,'Tables - Part 2'!$AV$6:$AV$13,0),MATCH('HIC-SOHIC-H2S'!T5,'Tables - Part 2'!$AX$5:$BA$5,0))+INDEX('Tables - Part 2'!$BB$6:$BE$13,MATCH('HIC-SOHIC-H2S'!$Z5,'Tables - Part 2'!$AV$6:$AV$13,0),MATCH('HIC-SOHIC-H2S'!$T5,'Tables - Part 2'!$AX$5:$BA$5,0)))/2)+(((INDEX('Tables - Part 2'!$AX$6:$BA$13,MATCH('HIC-SOHIC-H2S'!Z5,'Tables - Part 2'!$AV$6:$AV$13,0),MATCH('HIC-SOHIC-H2S'!T5,'Tables - Part 2'!$AX$5:$BA$5,0))+INDEX('Tables - Part 2'!$BB$6:$BE$13,MATCH('HIC-SOHIC-H2S'!$Z5,'Tables - Part 2'!$AV$6:$AV$13,0),MATCH('HIC-SOHIC-H2S'!$T5,'Tables - Part 2'!$AX$5:$BA$5,0)))/2)+INDEX('Tables - Part 2'!$BB$6:$BE$13,MATCH('HIC-SOHIC-H2S'!$Z5,'Tables - Part 2'!$AV$6:$AV$13,0),MATCH('HIC-SOHIC-H2S'!$T5,'Tables - Part 2'!$AX$5:$BA$5,0)))/2)/2,0)</f>
        <v>0</v>
      </c>
      <c r="AM5" s="248">
        <f>IF($S5=$AM$3,(((INDEX('Tables - Part 2'!$AX$6:$BA$13,MATCH('HIC-SOHIC-H2S'!Z5,'Tables - Part 2'!$AV$6:$AV$13,0),MATCH('HIC-SOHIC-H2S'!T5,'Tables - Part 2'!$AX$5:$BA$5,0))+INDEX('Tables - Part 2'!$BB$6:$BE$13,MATCH('HIC-SOHIC-H2S'!$Z5,'Tables - Part 2'!$AV$6:$AV$13,0),MATCH('HIC-SOHIC-H2S'!$T5,'Tables - Part 2'!$AX$5:$BA$5,0)))/2)+INDEX('Tables - Part 2'!$BB$6:$BE$13,MATCH('HIC-SOHIC-H2S'!$Z5,'Tables - Part 2'!$AV$6:$AV$13,0),MATCH('HIC-SOHIC-H2S'!$T5,'Tables - Part 2'!$AX$5:$BA$5,0)))/2,0)</f>
        <v>0</v>
      </c>
      <c r="AN5" s="248">
        <f>IF($S5=$AN$3,(((((INDEX('Tables - Part 2'!$AX$6:$BA$13,MATCH('HIC-SOHIC-H2S'!Z5,'Tables - Part 2'!$AV$6:$AV$13,0),MATCH('HIC-SOHIC-H2S'!T5,'Tables - Part 2'!$AX$5:$BA$5,0))+INDEX('Tables - Part 2'!$BB$6:$BE$13,MATCH('HIC-SOHIC-H2S'!$Z5,'Tables - Part 2'!$AV$6:$AV$13,0),MATCH('HIC-SOHIC-H2S'!$T5,'Tables - Part 2'!$AX$5:$BA$5,0)))/2)+INDEX('Tables - Part 2'!$BB$6:$BE$13,MATCH('HIC-SOHIC-H2S'!$Z5,'Tables - Part 2'!$AV$6:$AV$13,0),MATCH('HIC-SOHIC-H2S'!$T5,'Tables - Part 2'!$AX$5:$BA$5,0)))/2)+INDEX('Tables - Part 2'!$BB$6:$BE$13,MATCH('HIC-SOHIC-H2S'!$Z5,'Tables - Part 2'!$AV$6:$AV$13,0),MATCH('HIC-SOHIC-H2S'!$T5,'Tables - Part 2'!$AX$5:$BA$5,0)))/2,0)</f>
        <v>0</v>
      </c>
      <c r="AO5" s="248">
        <f>IF($S5=$AO$3,INDEX('Tables - Part 2'!$BB$6:$BE$13,MATCH('HIC-SOHIC-H2S'!$Z5,'Tables - Part 2'!$AV$6:$AV$13,0),MATCH('HIC-SOHIC-H2S'!$T5,'Tables - Part 2'!$AX$5:$BA$5,0)),0)</f>
        <v>0</v>
      </c>
      <c r="AP5" s="248">
        <f>IF($S5=$AP$3,((INDEX('Tables - Part 2'!$BB$6:$BE$13,MATCH('HIC-SOHIC-H2S'!$Z5,'Tables - Part 2'!$AV$6:$AV$13,0),MATCH('HIC-SOHIC-H2S'!$T5,'Tables - Part 2'!$AX$5:$BA$5,0)))+(INDEX('Tables - Part 2'!$BB$6:$BE$13,MATCH('HIC-SOHIC-H2S'!$Z5,'Tables - Part 2'!$AV$6:$AV$13,0),MATCH('HIC-SOHIC-H2S'!$T5,'Tables - Part 2'!$AX$5:$BA$5,0))+(INDEX('Tables - Part 2'!$BB$6:$BE$13,MATCH('HIC-SOHIC-H2S'!$Z5,'Tables - Part 2'!$AV$6:$AV$13,0),MATCH('HIC-SOHIC-H2S'!$T5,'Tables - Part 2'!$AX$5:$BA$5,0))+INDEX('Tables - Part 2'!$BF$6:$BI$13,MATCH('HIC-SOHIC-H2S'!$Z5,'Tables - Part 2'!$AV$6:$AV$13,0),MATCH('HIC-SOHIC-H2S'!$T5,'Tables - Part 2'!$AX$5:$BA$5,0)))/2)/2)/2,0)</f>
        <v>0</v>
      </c>
      <c r="AQ5" s="248">
        <f>IF($S5=$AQ$3,(INDEX('Tables - Part 2'!$BB$6:$BE$13,MATCH('HIC-SOHIC-H2S'!$Z5,'Tables - Part 2'!$AV$6:$AV$13,0),MATCH('HIC-SOHIC-H2S'!$T5,'Tables - Part 2'!$AX$5:$BA$5,0))+(INDEX('Tables - Part 2'!$BB$6:$BE$13,MATCH('HIC-SOHIC-H2S'!$Z5,'Tables - Part 2'!$AV$6:$AV$13,0),MATCH('HIC-SOHIC-H2S'!$T5,'Tables - Part 2'!$AX$5:$BA$5,0))+INDEX('Tables - Part 2'!$BF$6:$BI$13,MATCH('HIC-SOHIC-H2S'!$Z5,'Tables - Part 2'!$AV$6:$AV$13,0),MATCH('HIC-SOHIC-H2S'!$T5,'Tables - Part 2'!$AX$5:$BA$5,0)))/2)/2,0)</f>
        <v>0</v>
      </c>
      <c r="AR5" s="248">
        <f>IF($S5=$AR$3,(((INDEX('Tables - Part 2'!$BB$6:$BE$13,MATCH('HIC-SOHIC-H2S'!$Z5,'Tables - Part 2'!$AV$6:$AV$13,0),MATCH('HIC-SOHIC-H2S'!$T5,'Tables - Part 2'!$AX$5:$BA$5,0))+(INDEX('Tables - Part 2'!$BB$6:$BE$13,MATCH('HIC-SOHIC-H2S'!$Z5,'Tables - Part 2'!$AV$6:$AV$13,0),MATCH('HIC-SOHIC-H2S'!$T5,'Tables - Part 2'!$AX$5:$BA$5,0))+INDEX('Tables - Part 2'!$BF$6:$BI$13,MATCH('HIC-SOHIC-H2S'!$Z5,'Tables - Part 2'!$AV$6:$AV$13,0),MATCH('HIC-SOHIC-H2S'!$T5,'Tables - Part 2'!$AX$5:$BA$5,0)))/2)/2)+((INDEX('Tables - Part 2'!$BB$6:$BE$13,MATCH('HIC-SOHIC-H2S'!$Z5,'Tables - Part 2'!$AV$6:$AV$13,0),MATCH('HIC-SOHIC-H2S'!$T5,'Tables - Part 2'!$AX$5:$BA$5,0))+INDEX('Tables - Part 2'!$BF$6:$BI$13,MATCH('HIC-SOHIC-H2S'!$Z5,'Tables - Part 2'!$AV$6:$AV$13,0),MATCH('HIC-SOHIC-H2S'!$T5,'Tables - Part 2'!$AX$5:$BA$5,0)))/2))/2,0)</f>
        <v>0</v>
      </c>
      <c r="AS5" s="248">
        <f>IF($S5=$AS$3,(INDEX('Tables - Part 2'!$BB$6:$BE$13,MATCH('HIC-SOHIC-H2S'!$Z5,'Tables - Part 2'!$AV$6:$AV$13,0),MATCH('HIC-SOHIC-H2S'!$T5,'Tables - Part 2'!$AX$5:$BA$5,0))+INDEX('Tables - Part 2'!$BF$6:$BI$13,MATCH('HIC-SOHIC-H2S'!$Z5,'Tables - Part 2'!$AV$6:$AV$13,0),MATCH('HIC-SOHIC-H2S'!$T5,'Tables - Part 2'!$AX$5:$BA$5,0)))/2,0)</f>
        <v>1</v>
      </c>
      <c r="AT5" s="248">
        <f>IF($S5=$AT$3,(((INDEX('Tables - Part 2'!$BB$6:$BE$13,MATCH('HIC-SOHIC-H2S'!$Z5,'Tables - Part 2'!$AV$6:$AV$13,0),MATCH('HIC-SOHIC-H2S'!$T5,'Tables - Part 2'!$AX$5:$BA$5,0))+INDEX('Tables - Part 2'!$BF$6:$BI$13,MATCH('HIC-SOHIC-H2S'!$Z5,'Tables - Part 2'!$AV$6:$AV$13,0),MATCH('HIC-SOHIC-H2S'!$T5,'Tables - Part 2'!$AX$5:$BA$5,0)))/2)+((((INDEX('Tables - Part 2'!$BB$6:$BE$13,MATCH('HIC-SOHIC-H2S'!$Z5,'Tables - Part 2'!$AV$6:$AV$13,0),MATCH('HIC-SOHIC-H2S'!$T5,'Tables - Part 2'!$AX$5:$BA$5,0))+INDEX('Tables - Part 2'!$BF$6:$BI$13,MATCH('HIC-SOHIC-H2S'!$Z5,'Tables - Part 2'!$AV$6:$AV$13,0),MATCH('HIC-SOHIC-H2S'!$T5,'Tables - Part 2'!$AX$5:$BA$5,0)))/2)+INDEX('Tables - Part 2'!$BF$6:$BI$13,MATCH('HIC-SOHIC-H2S'!$Z5,'Tables - Part 2'!$AV$6:$AV$13,0),MATCH('HIC-SOHIC-H2S'!$T5,'Tables - Part 2'!$AX$5:$BA$5,0)))/2))/2,0)</f>
        <v>0</v>
      </c>
      <c r="AU5" s="248">
        <f>IF($S5=$AU$3,(((INDEX('Tables - Part 2'!$BB$6:$BE$13,MATCH('HIC-SOHIC-H2S'!$Z5,'Tables - Part 2'!$AV$6:$AV$13,0),MATCH('HIC-SOHIC-H2S'!$T5,'Tables - Part 2'!$AX$5:$BA$5,0))+INDEX('Tables - Part 2'!$BF$6:$BI$13,MATCH('HIC-SOHIC-H2S'!$Z5,'Tables - Part 2'!$AV$6:$AV$13,0),MATCH('HIC-SOHIC-H2S'!$T5,'Tables - Part 2'!$AX$5:$BA$5,0)))/2)+INDEX('Tables - Part 2'!$BF$6:$BI$13,MATCH('HIC-SOHIC-H2S'!$Z5,'Tables - Part 2'!$AV$6:$AV$13,0),MATCH('HIC-SOHIC-H2S'!$T5,'Tables - Part 2'!$AX$5:$BA$5,0)))/2,0)</f>
        <v>0</v>
      </c>
      <c r="AV5" s="248">
        <f>IF($S5=$AV$3,(((((INDEX('Tables - Part 2'!$BB$6:$BE$13,MATCH('HIC-SOHIC-H2S'!$Z5,'Tables - Part 2'!$AV$6:$AV$13,0),MATCH('HIC-SOHIC-H2S'!$T5,'Tables - Part 2'!$AX$5:$BA$5,0))+INDEX('Tables - Part 2'!$BF$6:$BI$13,MATCH('HIC-SOHIC-H2S'!$Z5,'Tables - Part 2'!$AV$6:$AV$13,0),MATCH('HIC-SOHIC-H2S'!$T5,'Tables - Part 2'!$AX$5:$BA$5,0)))/2)+INDEX('Tables - Part 2'!$BF$6:$BI$13,MATCH('HIC-SOHIC-H2S'!$Z5,'Tables - Part 2'!$AV$6:$AV$13,0),MATCH('HIC-SOHIC-H2S'!$T5,'Tables - Part 2'!$AX$5:$BA$5,0)))/2)+INDEX('Tables - Part 2'!$BF$6:$BI$13,MATCH('HIC-SOHIC-H2S'!$Z5,'Tables - Part 2'!$AV$6:$AV$13,0),MATCH('HIC-SOHIC-H2S'!$T5,'Tables - Part 2'!$AX$5:$BA$5,0)))/2,0)</f>
        <v>0</v>
      </c>
      <c r="AW5" s="248">
        <f>IF($S5=$AW$3,INDEX('Tables - Part 2'!$BF$6:$BI$13,MATCH('HIC-SOHIC-H2S'!$Z5,'Tables - Part 2'!$AV$6:$AV$13,0),MATCH('HIC-SOHIC-H2S'!$T5,'Tables - Part 2'!$AX$5:$BA$5,0)),0)</f>
        <v>0</v>
      </c>
      <c r="AX5" s="248">
        <f>IF($S5=$AX$3,(INDEX('Tables - Part 2'!$BF$6:$BI$13,MATCH('HIC-SOHIC-H2S'!$Z5,'Tables - Part 2'!$AV$6:$AV$13,0),MATCH('HIC-SOHIC-H2S'!$T5,'Tables - Part 2'!$AX$5:$BA$5,0))+((INDEX('Tables - Part 2'!$BF$6:$BI$13,MATCH('HIC-SOHIC-H2S'!$Z5,'Tables - Part 2'!$AV$6:$AV$13,0),MATCH('HIC-SOHIC-H2S'!$T5,'Tables - Part 2'!$AX$5:$BA$5,0))+(INDEX('Tables - Part 2'!$BF$6:$BI$13,MATCH('HIC-SOHIC-H2S'!$Z5,'Tables - Part 2'!$AV$6:$AV$13,0),MATCH('HIC-SOHIC-H2S'!$T5,'Tables - Part 2'!$AX$5:$BA$5,0))+INDEX('Tables - Part 2'!$AX$17:$BA$24,MATCH('HIC-SOHIC-H2S'!$Z5,'Tables - Part 2'!$AV$6:$AV$13,0),MATCH('HIC-SOHIC-H2S'!$T5,'Tables - Part 2'!$AX$5:$BA$5,0)))/2)/2))/2,0)</f>
        <v>0</v>
      </c>
      <c r="AY5" s="248">
        <f>IF($S5=$AY$3,(INDEX('Tables - Part 2'!$BF$6:$BI$13,MATCH('HIC-SOHIC-H2S'!$Z5,'Tables - Part 2'!$AV$6:$AV$13,0),MATCH('HIC-SOHIC-H2S'!$T5,'Tables - Part 2'!$AX$5:$BA$5,0))+(INDEX('Tables - Part 2'!$BF$6:$BI$13,MATCH('HIC-SOHIC-H2S'!$Z5,'Tables - Part 2'!$AV$6:$AV$13,0),MATCH('HIC-SOHIC-H2S'!$T5,'Tables - Part 2'!$AX$5:$BA$5,0))+INDEX('Tables - Part 2'!$AX$17:$BA$24,MATCH('HIC-SOHIC-H2S'!$Z5,'Tables - Part 2'!$AV$6:$AV$13,0),MATCH('HIC-SOHIC-H2S'!$T5,'Tables - Part 2'!$AX$5:$BA$5,0)))/2)/2,0)</f>
        <v>0</v>
      </c>
      <c r="AZ5" s="248">
        <f>IF($S5=$AZ$3,(((INDEX('Tables - Part 2'!$BF$6:$BI$13,MATCH('HIC-SOHIC-H2S'!$Z5,'Tables - Part 2'!$AV$6:$AV$13,0),MATCH('HIC-SOHIC-H2S'!$T5,'Tables - Part 2'!$AX$5:$BA$5,0))+(INDEX('Tables - Part 2'!$BF$6:$BI$13,MATCH('HIC-SOHIC-H2S'!$Z5,'Tables - Part 2'!$AV$6:$AV$13,0),MATCH('HIC-SOHIC-H2S'!$T5,'Tables - Part 2'!$AX$5:$BA$5,0))+INDEX('Tables - Part 2'!$AX$17:$BA$24,MATCH('HIC-SOHIC-H2S'!$Z5,'Tables - Part 2'!$AV$6:$AV$13,0),MATCH('HIC-SOHIC-H2S'!$T5,'Tables - Part 2'!$AX$5:$BA$5,0)))/2)/2)+((INDEX('Tables - Part 2'!$BF$6:$BI$13,MATCH('HIC-SOHIC-H2S'!$Z5,'Tables - Part 2'!$AV$6:$AV$13,0),MATCH('HIC-SOHIC-H2S'!$T5,'Tables - Part 2'!$AX$5:$BA$5,0))+INDEX('Tables - Part 2'!$AX$17:$BA$24,MATCH('HIC-SOHIC-H2S'!$Z5,'Tables - Part 2'!$AV$6:$AV$13,0),MATCH('HIC-SOHIC-H2S'!$T5,'Tables - Part 2'!$AX$5:$BA$5,0)))/2))/2,0)</f>
        <v>0</v>
      </c>
      <c r="BA5" s="248">
        <f>IF($S5=$BA$3,(INDEX('Tables - Part 2'!$BF$6:$BI$13,MATCH('HIC-SOHIC-H2S'!$Z5,'Tables - Part 2'!$AV$6:$AV$13,0),MATCH('HIC-SOHIC-H2S'!$T5,'Tables - Part 2'!$AX$5:$BA$5,0))+INDEX('Tables - Part 2'!$AX$17:$BA$24,MATCH('HIC-SOHIC-H2S'!$Z5,'Tables - Part 2'!$AV$6:$AV$13,0),MATCH('HIC-SOHIC-H2S'!$T5,'Tables - Part 2'!$AX$5:$BA$5,0)))/2,0)</f>
        <v>0</v>
      </c>
      <c r="BB5" s="248">
        <f>IF($S5=$BB$3,(((INDEX('Tables - Part 2'!$BF$6:$BI$13,MATCH('HIC-SOHIC-H2S'!$Z5,'Tables - Part 2'!$AV$6:$AV$13,0),MATCH('HIC-SOHIC-H2S'!$T5,'Tables - Part 2'!$AX$5:$BA$5,0))+INDEX('Tables - Part 2'!$AX$17:$BA$24,MATCH('HIC-SOHIC-H2S'!$Z5,'Tables - Part 2'!$AV$6:$AV$13,0),MATCH('HIC-SOHIC-H2S'!$T5,'Tables - Part 2'!$AX$5:$BA$5,0)))/2)+((((INDEX('Tables - Part 2'!$BF$6:$BI$13,MATCH('HIC-SOHIC-H2S'!$Z5,'Tables - Part 2'!$AV$6:$AV$13,0),MATCH('HIC-SOHIC-H2S'!$T5,'Tables - Part 2'!$AX$5:$BA$5,0))+INDEX('Tables - Part 2'!$AX$17:$BA$24,MATCH('HIC-SOHIC-H2S'!$Z5,'Tables - Part 2'!$AV$6:$AV$13,0),MATCH('HIC-SOHIC-H2S'!$T5,'Tables - Part 2'!$AX$5:$BA$5,0)))/2)+INDEX('Tables - Part 2'!$AX$17:$BA$24,MATCH('HIC-SOHIC-H2S'!$Z5,'Tables - Part 2'!$AV$6:$AV$13,0),MATCH('HIC-SOHIC-H2S'!$T5,'Tables - Part 2'!$AX$5:$BA$5,0)))/2))/2,0)</f>
        <v>0</v>
      </c>
      <c r="BC5" s="248">
        <f>IF($S5=$BC$3,(((INDEX('Tables - Part 2'!$BF$6:$BI$13,MATCH('HIC-SOHIC-H2S'!$Z5,'Tables - Part 2'!$AV$6:$AV$13,0),MATCH('HIC-SOHIC-H2S'!$T5,'Tables - Part 2'!$AX$5:$BA$5,0))+INDEX('Tables - Part 2'!$AX$17:$BA$24,MATCH('HIC-SOHIC-H2S'!$Z5,'Tables - Part 2'!$AV$6:$AV$13,0),MATCH('HIC-SOHIC-H2S'!$T5,'Tables - Part 2'!$AX$5:$BA$5,0)))/2)+INDEX('Tables - Part 2'!$AX$17:$BA$24,MATCH('HIC-SOHIC-H2S'!$Z5,'Tables - Part 2'!$AV$6:$AV$13,0),MATCH('HIC-SOHIC-H2S'!$T5,'Tables - Part 2'!$AX$5:$BA$5,0)))/2,0)</f>
        <v>0</v>
      </c>
      <c r="BD5" s="248">
        <f>IF($S5=$BD$3,(((((INDEX('Tables - Part 2'!$BF$6:$BI$13,MATCH('HIC-SOHIC-H2S'!$Z5,'Tables - Part 2'!$AV$6:$AV$13,0),MATCH('HIC-SOHIC-H2S'!$T5,'Tables - Part 2'!$AX$5:$BA$5,0))+INDEX('Tables - Part 2'!$AX$17:$BA$24,MATCH('HIC-SOHIC-H2S'!$Z5,'Tables - Part 2'!$AV$6:$AV$13,0),MATCH('HIC-SOHIC-H2S'!$T5,'Tables - Part 2'!$AX$5:$BA$5,0)))/2)+INDEX('Tables - Part 2'!$AX$17:$BA$24,MATCH('HIC-SOHIC-H2S'!$Z5,'Tables - Part 2'!$AV$6:$AV$13,0),MATCH('HIC-SOHIC-H2S'!$T5,'Tables - Part 2'!$AX$5:$BA$5,0)))/2)+(INDEX('Tables - Part 2'!$AX$17:$BA$24,MATCH('HIC-SOHIC-H2S'!$Z5,'Tables - Part 2'!$AV$6:$AV$13,0),MATCH('HIC-SOHIC-H2S'!$T5,'Tables - Part 2'!$AX$5:$BA$5,0))))/2,0)</f>
        <v>0</v>
      </c>
      <c r="BE5" s="248">
        <f>IF($S5=$BE$3,INDEX('Tables - Part 2'!$AX$17:$BA$24,MATCH('HIC-SOHIC-H2S'!$Z5,'Tables - Part 2'!$AV$6:$AV$13,0),MATCH('HIC-SOHIC-H2S'!$T5,'Tables - Part 2'!$AX$5:$BA$5,0)),0)</f>
        <v>0</v>
      </c>
      <c r="BF5" s="248">
        <f>IF($S5=$BF$3,((INDEX('Tables - Part 2'!$AX$17:$BA$24,MATCH('HIC-SOHIC-H2S'!$Z5,'Tables - Part 2'!$AV$6:$AV$13,0),MATCH('HIC-SOHIC-H2S'!$T5,'Tables - Part 2'!$AX$5:$BA$5,0)))+(((INDEX('Tables - Part 2'!$AX$17:$BA$24,MATCH('HIC-SOHIC-H2S'!$Z5,'Tables - Part 2'!$AV$6:$AV$13,0),MATCH('HIC-SOHIC-H2S'!$T5,'Tables - Part 2'!$AX$5:$BA$5,0)))+(INDEX('Tables - Part 2'!$AX$17:$BA$24,MATCH('HIC-SOHIC-H2S'!$Z5,'Tables - Part 2'!$AV$6:$AV$13,0),MATCH('HIC-SOHIC-H2S'!$T5,'Tables - Part 2'!$AX$5:$BA$5,0))+INDEX('Tables - Part 2'!$BB$17:$BE$24,MATCH('HIC-SOHIC-H2S'!$Z5,'Tables - Part 2'!$AV$6:$AV$13,0),MATCH('HIC-SOHIC-H2S'!$T5,'Tables - Part 2'!$AX$5:$BA$5,0)))/2)/2))/2,0)</f>
        <v>0</v>
      </c>
      <c r="BG5" s="248">
        <f>IF($S5=$BG$3,((INDEX('Tables - Part 2'!$AX$17:$BA$24,MATCH('HIC-SOHIC-H2S'!$Z5,'Tables - Part 2'!$AV$6:$AV$13,0),MATCH('HIC-SOHIC-H2S'!$T5,'Tables - Part 2'!$AX$5:$BA$5,0)))+(INDEX('Tables - Part 2'!$AX$17:$BA$24,MATCH('HIC-SOHIC-H2S'!$Z5,'Tables - Part 2'!$AV$6:$AV$13,0),MATCH('HIC-SOHIC-H2S'!$T5,'Tables - Part 2'!$AX$5:$BA$5,0))+INDEX('Tables - Part 2'!$BB$17:$BE$24,MATCH('HIC-SOHIC-H2S'!$Z5,'Tables - Part 2'!$AV$6:$AV$13,0),MATCH('HIC-SOHIC-H2S'!$T5,'Tables - Part 2'!$AX$5:$BA$5,0)))/2)/2,0)</f>
        <v>0</v>
      </c>
      <c r="BH5" s="248">
        <f>IF($S5=$BH$3,((((INDEX('Tables - Part 2'!$AX$17:$BA$24,MATCH('HIC-SOHIC-H2S'!$Z5,'Tables - Part 2'!$AV$6:$AV$13,0),MATCH('HIC-SOHIC-H2S'!$T5,'Tables - Part 2'!$AX$5:$BA$5,0)))+(INDEX('Tables - Part 2'!$AX$17:$BA$24,MATCH('HIC-SOHIC-H2S'!$Z5,'Tables - Part 2'!$AV$6:$AV$13,0),MATCH('HIC-SOHIC-H2S'!$T5,'Tables - Part 2'!$AX$5:$BA$5,0))+INDEX('Tables - Part 2'!$BB$17:$BE$24,MATCH('HIC-SOHIC-H2S'!$Z5,'Tables - Part 2'!$AV$6:$AV$13,0),MATCH('HIC-SOHIC-H2S'!$T5,'Tables - Part 2'!$AX$5:$BA$5,0)))/2)/2)+((INDEX('Tables - Part 2'!$AX$17:$BA$24,MATCH('HIC-SOHIC-H2S'!$Z5,'Tables - Part 2'!$AV$6:$AV$13,0),MATCH('HIC-SOHIC-H2S'!$T5,'Tables - Part 2'!$AX$5:$BA$5,0))+INDEX('Tables - Part 2'!$BB$17:$BE$24,MATCH('HIC-SOHIC-H2S'!$Z5,'Tables - Part 2'!$AV$6:$AV$13,0),MATCH('HIC-SOHIC-H2S'!$T5,'Tables - Part 2'!$AX$5:$BA$5,0)))/2))/2,0)</f>
        <v>0</v>
      </c>
      <c r="BI5" s="248">
        <f>IF($S5=$BI$3,(INDEX('Tables - Part 2'!$AX$17:$BA$24,MATCH('HIC-SOHIC-H2S'!$Z5,'Tables - Part 2'!$AV$6:$AV$13,0),MATCH('HIC-SOHIC-H2S'!$T5,'Tables - Part 2'!$AX$5:$BA$5,0))+INDEX('Tables - Part 2'!$BB$17:$BE$24,MATCH('HIC-SOHIC-H2S'!$Z5,'Tables - Part 2'!$AV$6:$AV$13,0),MATCH('HIC-SOHIC-H2S'!$T5,'Tables - Part 2'!$AX$5:$BA$5,0)))/2,0)</f>
        <v>0</v>
      </c>
      <c r="BJ5" s="248">
        <f>IF($S5=$BJ$3,(((INDEX('Tables - Part 2'!$AX$17:$BA$24,MATCH('HIC-SOHIC-H2S'!$Z5,'Tables - Part 2'!$AV$6:$AV$13,0),MATCH('HIC-SOHIC-H2S'!$T5,'Tables - Part 2'!$AX$5:$BA$5,0))+INDEX('Tables - Part 2'!$BB$17:$BE$24,MATCH('HIC-SOHIC-H2S'!$Z5,'Tables - Part 2'!$AV$6:$AV$13,0),MATCH('HIC-SOHIC-H2S'!$T5,'Tables - Part 2'!$AX$5:$BA$5,0)))/2)+((((INDEX('Tables - Part 2'!$AX$17:$BA$24,MATCH('HIC-SOHIC-H2S'!$Z5,'Tables - Part 2'!$AV$6:$AV$13,0),MATCH('HIC-SOHIC-H2S'!$T5,'Tables - Part 2'!$AX$5:$BA$5,0))+INDEX('Tables - Part 2'!$BB$17:$BE$24,MATCH('HIC-SOHIC-H2S'!$Z5,'Tables - Part 2'!$AV$6:$AV$13,0),MATCH('HIC-SOHIC-H2S'!$T5,'Tables - Part 2'!$AX$5:$BA$5,0)))/2)+INDEX('Tables - Part 2'!$BB$17:$BE$24,MATCH('HIC-SOHIC-H2S'!$Z5,'Tables - Part 2'!$AV$6:$AV$13,0),MATCH('HIC-SOHIC-H2S'!$T5,'Tables - Part 2'!$AX$5:$BA$5,0)))/2))/2,0)</f>
        <v>0</v>
      </c>
      <c r="BK5" s="248">
        <f>IF($S5=$BK$3,(((INDEX('Tables - Part 2'!$AX$17:$BA$24,MATCH('HIC-SOHIC-H2S'!$Z5,'Tables - Part 2'!$AV$6:$AV$13,0),MATCH('HIC-SOHIC-H2S'!$T5,'Tables - Part 2'!$AX$5:$BA$5,0))+INDEX('Tables - Part 2'!$BB$17:$BE$24,MATCH('HIC-SOHIC-H2S'!$Z5,'Tables - Part 2'!$AV$6:$AV$13,0),MATCH('HIC-SOHIC-H2S'!$T5,'Tables - Part 2'!$AX$5:$BA$5,0)))/2)+INDEX('Tables - Part 2'!$BB$17:$BE$24,MATCH('HIC-SOHIC-H2S'!$Z5,'Tables - Part 2'!$AV$6:$AV$13,0),MATCH('HIC-SOHIC-H2S'!$T5,'Tables - Part 2'!$AX$5:$BA$5,0)))/2,0)</f>
        <v>0</v>
      </c>
      <c r="BL5" s="248">
        <f>IF($S5=$BL$3,(((((INDEX('Tables - Part 2'!$AX$17:$BA$24,MATCH('HIC-SOHIC-H2S'!$Z5,'Tables - Part 2'!$AV$6:$AV$13,0),MATCH('HIC-SOHIC-H2S'!$T5,'Tables - Part 2'!$AX$5:$BA$5,0))+INDEX('Tables - Part 2'!$BB$17:$BE$24,MATCH('HIC-SOHIC-H2S'!$Z5,'Tables - Part 2'!$AV$6:$AV$13,0),MATCH('HIC-SOHIC-H2S'!$T5,'Tables - Part 2'!$AX$5:$BA$5,0)))/2)+INDEX('Tables - Part 2'!$BB$17:$BE$24,MATCH('HIC-SOHIC-H2S'!$Z5,'Tables - Part 2'!$AV$6:$AV$13,0),MATCH('HIC-SOHIC-H2S'!$T5,'Tables - Part 2'!$AX$5:$BA$5,0)))/2)+(INDEX('Tables - Part 2'!$BB$17:$BE$24,MATCH('HIC-SOHIC-H2S'!$Z5,'Tables - Part 2'!$AV$6:$AV$13,0),MATCH('HIC-SOHIC-H2S'!$T5,'Tables - Part 2'!$AX$5:$BA$5,0))))/2,0)</f>
        <v>0</v>
      </c>
      <c r="BM5" s="248">
        <f>IF($S5=$BM$3,INDEX('Tables - Part 2'!$BB$17:$BE$24,MATCH('HIC-SOHIC-H2S'!$Z5,'Tables - Part 2'!$AV$6:$AV$13,0),MATCH('HIC-SOHIC-H2S'!$T5,'Tables - Part 2'!$AX$5:$BA$5,0)),0)</f>
        <v>0</v>
      </c>
      <c r="BN5" s="248">
        <f>IF($S5=$BN$3,((INDEX('Tables - Part 2'!$BB$17:$BE$24,MATCH('HIC-SOHIC-H2S'!$Z5,'Tables - Part 2'!$AV$6:$AV$13,0),MATCH('HIC-SOHIC-H2S'!$T5,'Tables - Part 2'!$AX$5:$BA$5,0)))+(((INDEX('Tables - Part 2'!$BB$17:$BE$24,MATCH('HIC-SOHIC-H2S'!$Z5,'Tables - Part 2'!$AV$6:$AV$13,0),MATCH('HIC-SOHIC-H2S'!$T5,'Tables - Part 2'!$AX$5:$BA$5,0)))+(INDEX('Tables - Part 2'!$BB$17:$BE$24,MATCH('HIC-SOHIC-H2S'!$Z5,'Tables - Part 2'!$AV$6:$AV$13,0),MATCH('HIC-SOHIC-H2S'!$T5,'Tables - Part 2'!$AX$5:$BA$5,0))+INDEX('Tables - Part 2'!$BF$17:$BI$24,MATCH('HIC-SOHIC-H2S'!$Z5,'Tables - Part 2'!$AV$6:$AV$13,0),MATCH('HIC-SOHIC-H2S'!$T5,'Tables - Part 2'!$AX$5:$BA$5,0)))/2)/2))/2,0)</f>
        <v>0</v>
      </c>
      <c r="BO5" s="248">
        <f>IF($S5=$BO$3,((INDEX('Tables - Part 2'!$BB$17:$BE$24,MATCH('HIC-SOHIC-H2S'!$Z5,'Tables - Part 2'!$AV$6:$AV$13,0),MATCH('HIC-SOHIC-H2S'!$T5,'Tables - Part 2'!$AX$5:$BA$5,0)))+(INDEX('Tables - Part 2'!$BB$17:$BE$24,MATCH('HIC-SOHIC-H2S'!$Z5,'Tables - Part 2'!$AV$6:$AV$13,0),MATCH('HIC-SOHIC-H2S'!$T5,'Tables - Part 2'!$AX$5:$BA$5,0))+INDEX('Tables - Part 2'!$BF$17:$BI$24,MATCH('HIC-SOHIC-H2S'!$Z5,'Tables - Part 2'!$AV$6:$AV$13,0),MATCH('HIC-SOHIC-H2S'!$T5,'Tables - Part 2'!$AX$5:$BA$5,0)))/2)/2,0)</f>
        <v>0</v>
      </c>
      <c r="BP5" s="248">
        <f>IF($S5=$BP$3,((((INDEX('Tables - Part 2'!$BB$17:$BE$24,MATCH('HIC-SOHIC-H2S'!$Z5,'Tables - Part 2'!$AV$6:$AV$13,0),MATCH('HIC-SOHIC-H2S'!$T5,'Tables - Part 2'!$AX$5:$BA$5,0)))+(INDEX('Tables - Part 2'!$BB$17:$BE$24,MATCH('HIC-SOHIC-H2S'!$Z5,'Tables - Part 2'!$AV$6:$AV$13,0),MATCH('HIC-SOHIC-H2S'!$T5,'Tables - Part 2'!$AX$5:$BA$5,0))+INDEX('Tables - Part 2'!$BF$17:$BI$24,MATCH('HIC-SOHIC-H2S'!$Z5,'Tables - Part 2'!$AV$6:$AV$13,0),MATCH('HIC-SOHIC-H2S'!$T5,'Tables - Part 2'!$AX$5:$BA$5,0)))/2)/2)+((INDEX('Tables - Part 2'!$BB$17:$BE$24,MATCH('HIC-SOHIC-H2S'!$Z5,'Tables - Part 2'!$AV$6:$AV$13,0),MATCH('HIC-SOHIC-H2S'!$T5,'Tables - Part 2'!$AX$5:$BA$5,0))+INDEX('Tables - Part 2'!$BF$17:$BI$24,MATCH('HIC-SOHIC-H2S'!$Z5,'Tables - Part 2'!$AV$6:$AV$13,0),MATCH('HIC-SOHIC-H2S'!$T5,'Tables - Part 2'!$AX$5:$BA$5,0)))/2))/2,0)</f>
        <v>0</v>
      </c>
      <c r="BQ5" s="248">
        <f>IF($S5=$BQ$3,(INDEX('Tables - Part 2'!$BB$17:$BE$24,MATCH('HIC-SOHIC-H2S'!$Z5,'Tables - Part 2'!$AV$6:$AV$13,0),MATCH('HIC-SOHIC-H2S'!$T5,'Tables - Part 2'!$AX$5:$BA$5,0))+INDEX('Tables - Part 2'!$BF$17:$BI$24,MATCH('HIC-SOHIC-H2S'!$Z5,'Tables - Part 2'!$AV$6:$AV$13,0),MATCH('HIC-SOHIC-H2S'!$T5,'Tables - Part 2'!$AX$5:$BA$5,0)))/2,0)</f>
        <v>0</v>
      </c>
      <c r="BR5" s="248">
        <f>IF($S5=$BR$3,(((INDEX('Tables - Part 2'!$BB$17:$BE$24,MATCH('HIC-SOHIC-H2S'!$Z5,'Tables - Part 2'!$AV$6:$AV$13,0),MATCH('HIC-SOHIC-H2S'!$T5,'Tables - Part 2'!$AX$5:$BA$5,0))+INDEX('Tables - Part 2'!$BF$17:$BI$24,MATCH('HIC-SOHIC-H2S'!$Z5,'Tables - Part 2'!$AV$6:$AV$13,0),MATCH('HIC-SOHIC-H2S'!$T5,'Tables - Part 2'!$AX$5:$BA$5,0)))/2)+((((INDEX('Tables - Part 2'!$BB$17:$BE$24,MATCH('HIC-SOHIC-H2S'!$Z5,'Tables - Part 2'!$AV$6:$AV$13,0),MATCH('HIC-SOHIC-H2S'!$T5,'Tables - Part 2'!$AX$5:$BA$5,0))+INDEX('Tables - Part 2'!$BF$17:$BI$24,MATCH('HIC-SOHIC-H2S'!$Z5,'Tables - Part 2'!$AV$6:$AV$13,0),MATCH('HIC-SOHIC-H2S'!$T5,'Tables - Part 2'!$AX$5:$BA$5,0)))/2)+INDEX('Tables - Part 2'!$BF$17:$BI$24,MATCH('HIC-SOHIC-H2S'!$Z5,'Tables - Part 2'!$AV$6:$AV$13,0),MATCH('HIC-SOHIC-H2S'!$T5,'Tables - Part 2'!$AX$5:$BA$5,0)))/2))/2,0)</f>
        <v>0</v>
      </c>
      <c r="BS5" s="248">
        <f>IF($S5=$BS$3,(((INDEX('Tables - Part 2'!$BB$17:$BE$24,MATCH('HIC-SOHIC-H2S'!$Z5,'Tables - Part 2'!$AV$6:$AV$13,0),MATCH('HIC-SOHIC-H2S'!$T5,'Tables - Part 2'!$AX$5:$BA$5,0))+INDEX('Tables - Part 2'!$BF$17:$BI$24,MATCH('HIC-SOHIC-H2S'!$Z5,'Tables - Part 2'!$AV$6:$AV$13,0),MATCH('HIC-SOHIC-H2S'!$T5,'Tables - Part 2'!$AX$5:$BA$5,0)))/2)+INDEX('Tables - Part 2'!$BF$17:$BI$24,MATCH('HIC-SOHIC-H2S'!$Z5,'Tables - Part 2'!$AV$6:$AV$13,0),MATCH('HIC-SOHIC-H2S'!$T5,'Tables - Part 2'!$AX$5:$BA$5,0)))/2,0)</f>
        <v>0</v>
      </c>
      <c r="BT5" s="248">
        <f>IF($S5=$BT$3,(((((INDEX('Tables - Part 2'!$BB$17:$BE$24,MATCH('HIC-SOHIC-H2S'!$Z5,'Tables - Part 2'!$AV$6:$AV$13,0),MATCH('HIC-SOHIC-H2S'!$T5,'Tables - Part 2'!$AX$5:$BA$5,0))+INDEX('Tables - Part 2'!$BF$17:$BI$24,MATCH('HIC-SOHIC-H2S'!$Z5,'Tables - Part 2'!$AV$6:$AV$13,0),MATCH('HIC-SOHIC-H2S'!$T5,'Tables - Part 2'!$AX$5:$BA$5,0)))/2)+INDEX('Tables - Part 2'!$BF$17:$BI$24,MATCH('HIC-SOHIC-H2S'!$Z5,'Tables - Part 2'!$AV$6:$AV$13,0),MATCH('HIC-SOHIC-H2S'!$T5,'Tables - Part 2'!$AX$5:$BA$5,0)))/2)+(INDEX('Tables - Part 2'!$BF$17:$BI$24,MATCH('HIC-SOHIC-H2S'!$Z5,'Tables - Part 2'!$AV$6:$AV$13,0),MATCH('HIC-SOHIC-H2S'!$T5,'Tables - Part 2'!$AX$5:$BA$5,0))))/2,0)</f>
        <v>0</v>
      </c>
      <c r="BU5" s="248">
        <f>IF($S5=$BU$3,INDEX('Tables - Part 2'!$BF$17:$BI$24,MATCH('HIC-SOHIC-H2S'!$Z5,'Tables - Part 2'!$AV$6:$AV$13,0),MATCH('HIC-SOHIC-H2S'!$T5,'Tables - Part 2'!$AX$5:$BA$5,0)),0)</f>
        <v>0</v>
      </c>
      <c r="BV5" s="248">
        <f t="shared" si="2"/>
        <v>0</v>
      </c>
      <c r="BW5" s="238">
        <f t="shared" ref="BW5:BW21" si="8">SUM(AG5:BV5)</f>
        <v>1</v>
      </c>
      <c r="BX5" s="238">
        <f t="shared" ref="BX5:BX21" si="9">IF(B5="",0,MIN(BW5*POWER(MAX(AA5,1),1.1)/AB5,5000))</f>
        <v>17.357540291215013</v>
      </c>
    </row>
    <row r="6" spans="2:89" x14ac:dyDescent="0.35">
      <c r="B6" s="161" t="str">
        <f>'Tratamento de Dados'!B14</f>
        <v>V-10</v>
      </c>
      <c r="C6" s="161" t="str">
        <f>'Tratamento de Dados'!D14</f>
        <v>Casco</v>
      </c>
      <c r="D6" s="209">
        <f>'Tratamento de Dados'!CN14</f>
        <v>0</v>
      </c>
      <c r="E6" s="209">
        <f>'Tratamento de Dados'!CO14</f>
        <v>0</v>
      </c>
      <c r="F6" s="209">
        <f>'Tratamento de Dados'!CP14</f>
        <v>0</v>
      </c>
      <c r="G6" s="209">
        <f>'Tratamento de Dados'!CQ14</f>
        <v>0</v>
      </c>
      <c r="H6" s="209">
        <f>'Tratamento de Dados'!CR14</f>
        <v>0</v>
      </c>
      <c r="I6" s="209">
        <f>'Tratamento de Dados'!CS14</f>
        <v>0</v>
      </c>
      <c r="J6" s="209">
        <f>'Tratamento de Dados'!CT14</f>
        <v>0</v>
      </c>
      <c r="K6" s="209">
        <f>'Tratamento de Dados'!CU14</f>
        <v>0</v>
      </c>
      <c r="L6" s="210">
        <f>'Tratamento de Dados'!CV14</f>
        <v>0</v>
      </c>
      <c r="M6" s="209">
        <f>'Tratamento de Dados'!CW14</f>
        <v>0</v>
      </c>
      <c r="N6" s="209">
        <f>'Tratamento de Dados'!CX14</f>
        <v>0</v>
      </c>
      <c r="O6" s="209">
        <f>'Tratamento de Dados'!CY14</f>
        <v>0</v>
      </c>
      <c r="P6" s="209">
        <f>'Tratamento de Dados'!CZ14</f>
        <v>0</v>
      </c>
      <c r="Q6" s="253">
        <f>'Tratamento de Dados'!DA14</f>
        <v>0</v>
      </c>
      <c r="R6" s="253">
        <f>'Tratamento de Dados'!DB14</f>
        <v>0</v>
      </c>
      <c r="S6" s="256">
        <f t="shared" si="0"/>
        <v>0</v>
      </c>
      <c r="T6" s="246" t="str">
        <f t="shared" si="3"/>
        <v>E</v>
      </c>
      <c r="U6" s="238" t="e">
        <f>IF(D6=$CC$2,$CA$4,IF(AND(H6=$CC$2,OR(F6='Tables - Part 2'!$CE$8,'Tables - Part 2'!$CE$9),OR('HIC-SOHIC-H2S'!G6='Tables - Part 2'!$CH$4,'HIC-SOHIC-H2S'!G6='Tables - Part 2'!$CI$4)),$CA$4,INDEX('Tables - Part 2'!$CF$5:$CI$9,MATCH('HIC-SOHIC-H2S'!F6,'Tables - Part 2'!$CE$5:$CE$9,0),MATCH('HIC-SOHIC-H2S'!G6,'Tables - Part 2'!$CF$4:$CI$4,0))))</f>
        <v>#N/A</v>
      </c>
      <c r="V6" s="238" t="str">
        <f>IF($I6=$V$3,INDEX('Tables - Part 2'!$CL$5:$CM$7,MATCH('HIC-SOHIC-H2S'!$U6,'Tables - Part 2'!$CK$5:$CK$7,0),IF('HIC-SOHIC-H2S'!$J6='HIC-SOHIC-H2S'!$CC$2,2,1)),"")</f>
        <v/>
      </c>
      <c r="W6" s="238" t="str">
        <f>IF($I6=$W$3,INDEX('Tables - Part 2'!$CN$5:$CO$7,MATCH('HIC-SOHIC-H2S'!$U6,'Tables - Part 2'!$CK$5:$CK$7,0),IF('HIC-SOHIC-H2S'!$J6='HIC-SOHIC-H2S'!$CC$2,2,1)),"")</f>
        <v/>
      </c>
      <c r="X6" s="238" t="str">
        <f>IF($I6=$X$3,INDEX('Tables - Part 2'!$CP$5:$CQ$7,MATCH('HIC-SOHIC-H2S'!$U6,'Tables - Part 2'!$CK$5:$CK$7,0),IF('HIC-SOHIC-H2S'!$J6='HIC-SOHIC-H2S'!$CC$2,2,1)),"")</f>
        <v/>
      </c>
      <c r="Y6" s="238" t="str">
        <f t="shared" si="1"/>
        <v/>
      </c>
      <c r="Z6" s="238" t="e">
        <f>IF(AND(D6=$CC$2,E6&lt;&gt;$CC$2),"Fitness-For-Service",INDEX('Tables - Part 2'!$CT$4:$CT$6,MATCH('HIC-SOHIC-H2S'!Y6,'Tables - Part 2'!$CS$4:$CS$6,0),))</f>
        <v>#N/A</v>
      </c>
      <c r="AA6" s="238">
        <f>IF(L6=0,(Thinning!G7-Thinning!F7)/365.25,(Thinning!G7-L6)/365.25)</f>
        <v>5.4757015742642025E-3</v>
      </c>
      <c r="AB6" s="238" t="e">
        <f>INDEX('Tables - Part 2'!$CW$4:$CW$7,MATCH('HIC-SOHIC-H2S'!K6,'Tables - Part 2'!$CV$4:$CV$7,0))</f>
        <v>#N/A</v>
      </c>
      <c r="AC6" s="248">
        <f t="shared" si="4"/>
        <v>0</v>
      </c>
      <c r="AD6" s="248">
        <f t="shared" si="5"/>
        <v>0</v>
      </c>
      <c r="AE6" s="247">
        <f t="shared" ref="AE6:AE21" si="10">_xlfn.FLOOR.MATH((AF6/2)+O6,0.5)</f>
        <v>0</v>
      </c>
      <c r="AF6" s="247">
        <f t="shared" si="7"/>
        <v>0</v>
      </c>
      <c r="AG6" s="248">
        <f>IF($S6=$AG$3,INDEX('Tables - Part 2'!$AX$6:$BA$13,MATCH('HIC-SOHIC-H2S'!Z6,'Tables - Part 2'!$AV$6:$AV$13,0),MATCH('HIC-SOHIC-H2S'!T6,'Tables - Part 2'!$AX$5:$BA$5,0)),0)</f>
        <v>0</v>
      </c>
      <c r="AH6" s="248">
        <f>IF($S6=$AH$3,(INDEX('Tables - Part 2'!$AX$6:$BA$13,MATCH('HIC-SOHIC-H2S'!Z6,'Tables - Part 2'!$AV$6:$AV$13,0),MATCH('HIC-SOHIC-H2S'!T6,'Tables - Part 2'!$AX$5:$BA$5,0))+(INDEX('Tables - Part 2'!$AX$6:$BA$13,MATCH('HIC-SOHIC-H2S'!Z6,'Tables - Part 2'!$AV$6:$AV$13,0),MATCH('HIC-SOHIC-H2S'!T6,'Tables - Part 2'!$AX$5:$BA$5,0))+((INDEX('Tables - Part 2'!$AX$6:$BA$13,MATCH('HIC-SOHIC-H2S'!Z6,'Tables - Part 2'!$AV$6:$AV$13,0),MATCH('HIC-SOHIC-H2S'!T6,'Tables - Part 2'!$AX$5:$BA$5,0))+INDEX('Tables - Part 2'!$BB$6:$BE$13,MATCH('HIC-SOHIC-H2S'!$Z6,'Tables - Part 2'!$AV$6:$AV$13,0),MATCH('HIC-SOHIC-H2S'!$T6,'Tables - Part 2'!$AX$5:$BA$5,0)))/2))/2)/2,0)</f>
        <v>0</v>
      </c>
      <c r="AI6" s="248">
        <f>IF($S6=$AI$3,(INDEX('Tables - Part 2'!$AX$6:$BA$13,MATCH('HIC-SOHIC-H2S'!Z6,'Tables - Part 2'!$AV$6:$AV$13,0),MATCH('HIC-SOHIC-H2S'!T6,'Tables - Part 2'!$AX$5:$BA$5,0))+((INDEX('Tables - Part 2'!$AX$6:$BA$13,MATCH('HIC-SOHIC-H2S'!Z6,'Tables - Part 2'!$AV$6:$AV$13,0),MATCH('HIC-SOHIC-H2S'!T6,'Tables - Part 2'!$AX$5:$BA$5,0))+INDEX('Tables - Part 2'!$BB$6:$BE$13,MATCH('HIC-SOHIC-H2S'!$Z6,'Tables - Part 2'!$AV$6:$AV$13,0),MATCH('HIC-SOHIC-H2S'!$T6,'Tables - Part 2'!$AX$5:$BA$5,0)))/2))/2,0)</f>
        <v>0</v>
      </c>
      <c r="AJ6" s="248">
        <f>IF($S6=$AJ$3,(((INDEX('Tables - Part 2'!$AX$6:$BA$13,MATCH('HIC-SOHIC-H2S'!Z6,'Tables - Part 2'!$AV$6:$AV$13,0),MATCH('HIC-SOHIC-H2S'!T6,'Tables - Part 2'!$AX$5:$BA$5,0))+((INDEX('Tables - Part 2'!$AX$6:$BA$13,MATCH('HIC-SOHIC-H2S'!Z6,'Tables - Part 2'!$AV$6:$AV$13,0),MATCH('HIC-SOHIC-H2S'!T6,'Tables - Part 2'!$AX$5:$BA$5,0))+INDEX('Tables - Part 2'!$BB$6:$BE$13,MATCH('HIC-SOHIC-H2S'!$Z6,'Tables - Part 2'!$AV$6:$AV$13,0),MATCH('HIC-SOHIC-H2S'!$T6,'Tables - Part 2'!$AX$5:$BA$5,0)))/2))/2)+(INDEX('Tables - Part 2'!$AX$6:$BA$13,MATCH('HIC-SOHIC-H2S'!Z6,'Tables - Part 2'!$AV$6:$AV$13,0),MATCH('HIC-SOHIC-H2S'!T6,'Tables - Part 2'!$AX$5:$BA$5,0))+INDEX('Tables - Part 2'!$BB$6:$BE$13,MATCH('HIC-SOHIC-H2S'!$Z6,'Tables - Part 2'!$AV$6:$AV$13,0),MATCH('HIC-SOHIC-H2S'!$T6,'Tables - Part 2'!$AX$5:$BA$5,0)))/2)/2,0)</f>
        <v>0</v>
      </c>
      <c r="AK6" s="248">
        <f>IF($S6=$AK$3,(INDEX('Tables - Part 2'!$AX$6:$BA$13,MATCH('HIC-SOHIC-H2S'!Z6,'Tables - Part 2'!$AV$6:$AV$13,0),MATCH('HIC-SOHIC-H2S'!T6,'Tables - Part 2'!$AX$5:$BA$5,0))+INDEX('Tables - Part 2'!$BB$6:$BE$13,MATCH('HIC-SOHIC-H2S'!$Z6,'Tables - Part 2'!$AV$6:$AV$13,0),MATCH('HIC-SOHIC-H2S'!$T6,'Tables - Part 2'!$AX$5:$BA$5,0)))/2,0)</f>
        <v>0</v>
      </c>
      <c r="AL6" s="248">
        <f>IF($S6=$AL$3,(((INDEX('Tables - Part 2'!$AX$6:$BA$13,MATCH('HIC-SOHIC-H2S'!Z6,'Tables - Part 2'!$AV$6:$AV$13,0),MATCH('HIC-SOHIC-H2S'!T6,'Tables - Part 2'!$AX$5:$BA$5,0))+INDEX('Tables - Part 2'!$BB$6:$BE$13,MATCH('HIC-SOHIC-H2S'!$Z6,'Tables - Part 2'!$AV$6:$AV$13,0),MATCH('HIC-SOHIC-H2S'!$T6,'Tables - Part 2'!$AX$5:$BA$5,0)))/2)+(((INDEX('Tables - Part 2'!$AX$6:$BA$13,MATCH('HIC-SOHIC-H2S'!Z6,'Tables - Part 2'!$AV$6:$AV$13,0),MATCH('HIC-SOHIC-H2S'!T6,'Tables - Part 2'!$AX$5:$BA$5,0))+INDEX('Tables - Part 2'!$BB$6:$BE$13,MATCH('HIC-SOHIC-H2S'!$Z6,'Tables - Part 2'!$AV$6:$AV$13,0),MATCH('HIC-SOHIC-H2S'!$T6,'Tables - Part 2'!$AX$5:$BA$5,0)))/2)+INDEX('Tables - Part 2'!$BB$6:$BE$13,MATCH('HIC-SOHIC-H2S'!$Z6,'Tables - Part 2'!$AV$6:$AV$13,0),MATCH('HIC-SOHIC-H2S'!$T6,'Tables - Part 2'!$AX$5:$BA$5,0)))/2)/2,0)</f>
        <v>0</v>
      </c>
      <c r="AM6" s="248">
        <f>IF($S6=$AM$3,(((INDEX('Tables - Part 2'!$AX$6:$BA$13,MATCH('HIC-SOHIC-H2S'!Z6,'Tables - Part 2'!$AV$6:$AV$13,0),MATCH('HIC-SOHIC-H2S'!T6,'Tables - Part 2'!$AX$5:$BA$5,0))+INDEX('Tables - Part 2'!$BB$6:$BE$13,MATCH('HIC-SOHIC-H2S'!$Z6,'Tables - Part 2'!$AV$6:$AV$13,0),MATCH('HIC-SOHIC-H2S'!$T6,'Tables - Part 2'!$AX$5:$BA$5,0)))/2)+INDEX('Tables - Part 2'!$BB$6:$BE$13,MATCH('HIC-SOHIC-H2S'!$Z6,'Tables - Part 2'!$AV$6:$AV$13,0),MATCH('HIC-SOHIC-H2S'!$T6,'Tables - Part 2'!$AX$5:$BA$5,0)))/2,0)</f>
        <v>0</v>
      </c>
      <c r="AN6" s="248">
        <f>IF($S6=$AN$3,(((((INDEX('Tables - Part 2'!$AX$6:$BA$13,MATCH('HIC-SOHIC-H2S'!Z6,'Tables - Part 2'!$AV$6:$AV$13,0),MATCH('HIC-SOHIC-H2S'!T6,'Tables - Part 2'!$AX$5:$BA$5,0))+INDEX('Tables - Part 2'!$BB$6:$BE$13,MATCH('HIC-SOHIC-H2S'!$Z6,'Tables - Part 2'!$AV$6:$AV$13,0),MATCH('HIC-SOHIC-H2S'!$T6,'Tables - Part 2'!$AX$5:$BA$5,0)))/2)+INDEX('Tables - Part 2'!$BB$6:$BE$13,MATCH('HIC-SOHIC-H2S'!$Z6,'Tables - Part 2'!$AV$6:$AV$13,0),MATCH('HIC-SOHIC-H2S'!$T6,'Tables - Part 2'!$AX$5:$BA$5,0)))/2)+INDEX('Tables - Part 2'!$BB$6:$BE$13,MATCH('HIC-SOHIC-H2S'!$Z6,'Tables - Part 2'!$AV$6:$AV$13,0),MATCH('HIC-SOHIC-H2S'!$T6,'Tables - Part 2'!$AX$5:$BA$5,0)))/2,0)</f>
        <v>0</v>
      </c>
      <c r="AO6" s="248">
        <f>IF($S6=$AO$3,INDEX('Tables - Part 2'!$BB$6:$BE$13,MATCH('HIC-SOHIC-H2S'!$Z6,'Tables - Part 2'!$AV$6:$AV$13,0),MATCH('HIC-SOHIC-H2S'!$T6,'Tables - Part 2'!$AX$5:$BA$5,0)),0)</f>
        <v>0</v>
      </c>
      <c r="AP6" s="248">
        <f>IF($S6=$AP$3,((INDEX('Tables - Part 2'!$BB$6:$BE$13,MATCH('HIC-SOHIC-H2S'!$Z6,'Tables - Part 2'!$AV$6:$AV$13,0),MATCH('HIC-SOHIC-H2S'!$T6,'Tables - Part 2'!$AX$5:$BA$5,0)))+(INDEX('Tables - Part 2'!$BB$6:$BE$13,MATCH('HIC-SOHIC-H2S'!$Z6,'Tables - Part 2'!$AV$6:$AV$13,0),MATCH('HIC-SOHIC-H2S'!$T6,'Tables - Part 2'!$AX$5:$BA$5,0))+(INDEX('Tables - Part 2'!$BB$6:$BE$13,MATCH('HIC-SOHIC-H2S'!$Z6,'Tables - Part 2'!$AV$6:$AV$13,0),MATCH('HIC-SOHIC-H2S'!$T6,'Tables - Part 2'!$AX$5:$BA$5,0))+INDEX('Tables - Part 2'!$BF$6:$BI$13,MATCH('HIC-SOHIC-H2S'!$Z6,'Tables - Part 2'!$AV$6:$AV$13,0),MATCH('HIC-SOHIC-H2S'!$T6,'Tables - Part 2'!$AX$5:$BA$5,0)))/2)/2)/2,0)</f>
        <v>0</v>
      </c>
      <c r="AQ6" s="248">
        <f>IF($S6=$AQ$3,(INDEX('Tables - Part 2'!$BB$6:$BE$13,MATCH('HIC-SOHIC-H2S'!$Z6,'Tables - Part 2'!$AV$6:$AV$13,0),MATCH('HIC-SOHIC-H2S'!$T6,'Tables - Part 2'!$AX$5:$BA$5,0))+(INDEX('Tables - Part 2'!$BB$6:$BE$13,MATCH('HIC-SOHIC-H2S'!$Z6,'Tables - Part 2'!$AV$6:$AV$13,0),MATCH('HIC-SOHIC-H2S'!$T6,'Tables - Part 2'!$AX$5:$BA$5,0))+INDEX('Tables - Part 2'!$BF$6:$BI$13,MATCH('HIC-SOHIC-H2S'!$Z6,'Tables - Part 2'!$AV$6:$AV$13,0),MATCH('HIC-SOHIC-H2S'!$T6,'Tables - Part 2'!$AX$5:$BA$5,0)))/2)/2,0)</f>
        <v>0</v>
      </c>
      <c r="AR6" s="248">
        <f>IF($S6=$AR$3,(((INDEX('Tables - Part 2'!$BB$6:$BE$13,MATCH('HIC-SOHIC-H2S'!$Z6,'Tables - Part 2'!$AV$6:$AV$13,0),MATCH('HIC-SOHIC-H2S'!$T6,'Tables - Part 2'!$AX$5:$BA$5,0))+(INDEX('Tables - Part 2'!$BB$6:$BE$13,MATCH('HIC-SOHIC-H2S'!$Z6,'Tables - Part 2'!$AV$6:$AV$13,0),MATCH('HIC-SOHIC-H2S'!$T6,'Tables - Part 2'!$AX$5:$BA$5,0))+INDEX('Tables - Part 2'!$BF$6:$BI$13,MATCH('HIC-SOHIC-H2S'!$Z6,'Tables - Part 2'!$AV$6:$AV$13,0),MATCH('HIC-SOHIC-H2S'!$T6,'Tables - Part 2'!$AX$5:$BA$5,0)))/2)/2)+((INDEX('Tables - Part 2'!$BB$6:$BE$13,MATCH('HIC-SOHIC-H2S'!$Z6,'Tables - Part 2'!$AV$6:$AV$13,0),MATCH('HIC-SOHIC-H2S'!$T6,'Tables - Part 2'!$AX$5:$BA$5,0))+INDEX('Tables - Part 2'!$BF$6:$BI$13,MATCH('HIC-SOHIC-H2S'!$Z6,'Tables - Part 2'!$AV$6:$AV$13,0),MATCH('HIC-SOHIC-H2S'!$T6,'Tables - Part 2'!$AX$5:$BA$5,0)))/2))/2,0)</f>
        <v>0</v>
      </c>
      <c r="AS6" s="248">
        <f>IF($S6=$AS$3,(INDEX('Tables - Part 2'!$BB$6:$BE$13,MATCH('HIC-SOHIC-H2S'!$Z6,'Tables - Part 2'!$AV$6:$AV$13,0),MATCH('HIC-SOHIC-H2S'!$T6,'Tables - Part 2'!$AX$5:$BA$5,0))+INDEX('Tables - Part 2'!$BF$6:$BI$13,MATCH('HIC-SOHIC-H2S'!$Z6,'Tables - Part 2'!$AV$6:$AV$13,0),MATCH('HIC-SOHIC-H2S'!$T6,'Tables - Part 2'!$AX$5:$BA$5,0)))/2,0)</f>
        <v>0</v>
      </c>
      <c r="AT6" s="248">
        <f>IF($S6=$AT$3,(((INDEX('Tables - Part 2'!$BB$6:$BE$13,MATCH('HIC-SOHIC-H2S'!$Z6,'Tables - Part 2'!$AV$6:$AV$13,0),MATCH('HIC-SOHIC-H2S'!$T6,'Tables - Part 2'!$AX$5:$BA$5,0))+INDEX('Tables - Part 2'!$BF$6:$BI$13,MATCH('HIC-SOHIC-H2S'!$Z6,'Tables - Part 2'!$AV$6:$AV$13,0),MATCH('HIC-SOHIC-H2S'!$T6,'Tables - Part 2'!$AX$5:$BA$5,0)))/2)+((((INDEX('Tables - Part 2'!$BB$6:$BE$13,MATCH('HIC-SOHIC-H2S'!$Z6,'Tables - Part 2'!$AV$6:$AV$13,0),MATCH('HIC-SOHIC-H2S'!$T6,'Tables - Part 2'!$AX$5:$BA$5,0))+INDEX('Tables - Part 2'!$BF$6:$BI$13,MATCH('HIC-SOHIC-H2S'!$Z6,'Tables - Part 2'!$AV$6:$AV$13,0),MATCH('HIC-SOHIC-H2S'!$T6,'Tables - Part 2'!$AX$5:$BA$5,0)))/2)+INDEX('Tables - Part 2'!$BF$6:$BI$13,MATCH('HIC-SOHIC-H2S'!$Z6,'Tables - Part 2'!$AV$6:$AV$13,0),MATCH('HIC-SOHIC-H2S'!$T6,'Tables - Part 2'!$AX$5:$BA$5,0)))/2))/2,0)</f>
        <v>0</v>
      </c>
      <c r="AU6" s="248">
        <f>IF($S6=$AU$3,(((INDEX('Tables - Part 2'!$BB$6:$BE$13,MATCH('HIC-SOHIC-H2S'!$Z6,'Tables - Part 2'!$AV$6:$AV$13,0),MATCH('HIC-SOHIC-H2S'!$T6,'Tables - Part 2'!$AX$5:$BA$5,0))+INDEX('Tables - Part 2'!$BF$6:$BI$13,MATCH('HIC-SOHIC-H2S'!$Z6,'Tables - Part 2'!$AV$6:$AV$13,0),MATCH('HIC-SOHIC-H2S'!$T6,'Tables - Part 2'!$AX$5:$BA$5,0)))/2)+INDEX('Tables - Part 2'!$BF$6:$BI$13,MATCH('HIC-SOHIC-H2S'!$Z6,'Tables - Part 2'!$AV$6:$AV$13,0),MATCH('HIC-SOHIC-H2S'!$T6,'Tables - Part 2'!$AX$5:$BA$5,0)))/2,0)</f>
        <v>0</v>
      </c>
      <c r="AV6" s="248">
        <f>IF($S6=$AV$3,(((((INDEX('Tables - Part 2'!$BB$6:$BE$13,MATCH('HIC-SOHIC-H2S'!$Z6,'Tables - Part 2'!$AV$6:$AV$13,0),MATCH('HIC-SOHIC-H2S'!$T6,'Tables - Part 2'!$AX$5:$BA$5,0))+INDEX('Tables - Part 2'!$BF$6:$BI$13,MATCH('HIC-SOHIC-H2S'!$Z6,'Tables - Part 2'!$AV$6:$AV$13,0),MATCH('HIC-SOHIC-H2S'!$T6,'Tables - Part 2'!$AX$5:$BA$5,0)))/2)+INDEX('Tables - Part 2'!$BF$6:$BI$13,MATCH('HIC-SOHIC-H2S'!$Z6,'Tables - Part 2'!$AV$6:$AV$13,0),MATCH('HIC-SOHIC-H2S'!$T6,'Tables - Part 2'!$AX$5:$BA$5,0)))/2)+INDEX('Tables - Part 2'!$BF$6:$BI$13,MATCH('HIC-SOHIC-H2S'!$Z6,'Tables - Part 2'!$AV$6:$AV$13,0),MATCH('HIC-SOHIC-H2S'!$T6,'Tables - Part 2'!$AX$5:$BA$5,0)))/2,0)</f>
        <v>0</v>
      </c>
      <c r="AW6" s="248">
        <f>IF($S6=$AW$3,INDEX('Tables - Part 2'!$BF$6:$BI$13,MATCH('HIC-SOHIC-H2S'!$Z6,'Tables - Part 2'!$AV$6:$AV$13,0),MATCH('HIC-SOHIC-H2S'!$T6,'Tables - Part 2'!$AX$5:$BA$5,0)),0)</f>
        <v>0</v>
      </c>
      <c r="AX6" s="248">
        <f>IF($S6=$AX$3,(INDEX('Tables - Part 2'!$BF$6:$BI$13,MATCH('HIC-SOHIC-H2S'!$Z6,'Tables - Part 2'!$AV$6:$AV$13,0),MATCH('HIC-SOHIC-H2S'!$T6,'Tables - Part 2'!$AX$5:$BA$5,0))+((INDEX('Tables - Part 2'!$BF$6:$BI$13,MATCH('HIC-SOHIC-H2S'!$Z6,'Tables - Part 2'!$AV$6:$AV$13,0),MATCH('HIC-SOHIC-H2S'!$T6,'Tables - Part 2'!$AX$5:$BA$5,0))+(INDEX('Tables - Part 2'!$BF$6:$BI$13,MATCH('HIC-SOHIC-H2S'!$Z6,'Tables - Part 2'!$AV$6:$AV$13,0),MATCH('HIC-SOHIC-H2S'!$T6,'Tables - Part 2'!$AX$5:$BA$5,0))+INDEX('Tables - Part 2'!$AX$17:$BA$24,MATCH('HIC-SOHIC-H2S'!$Z6,'Tables - Part 2'!$AV$6:$AV$13,0),MATCH('HIC-SOHIC-H2S'!$T6,'Tables - Part 2'!$AX$5:$BA$5,0)))/2)/2))/2,0)</f>
        <v>0</v>
      </c>
      <c r="AY6" s="248">
        <f>IF($S6=$AY$3,(INDEX('Tables - Part 2'!$BF$6:$BI$13,MATCH('HIC-SOHIC-H2S'!$Z6,'Tables - Part 2'!$AV$6:$AV$13,0),MATCH('HIC-SOHIC-H2S'!$T6,'Tables - Part 2'!$AX$5:$BA$5,0))+(INDEX('Tables - Part 2'!$BF$6:$BI$13,MATCH('HIC-SOHIC-H2S'!$Z6,'Tables - Part 2'!$AV$6:$AV$13,0),MATCH('HIC-SOHIC-H2S'!$T6,'Tables - Part 2'!$AX$5:$BA$5,0))+INDEX('Tables - Part 2'!$AX$17:$BA$24,MATCH('HIC-SOHIC-H2S'!$Z6,'Tables - Part 2'!$AV$6:$AV$13,0),MATCH('HIC-SOHIC-H2S'!$T6,'Tables - Part 2'!$AX$5:$BA$5,0)))/2)/2,0)</f>
        <v>0</v>
      </c>
      <c r="AZ6" s="248">
        <f>IF($S6=$AZ$3,(((INDEX('Tables - Part 2'!$BF$6:$BI$13,MATCH('HIC-SOHIC-H2S'!$Z6,'Tables - Part 2'!$AV$6:$AV$13,0),MATCH('HIC-SOHIC-H2S'!$T6,'Tables - Part 2'!$AX$5:$BA$5,0))+(INDEX('Tables - Part 2'!$BF$6:$BI$13,MATCH('HIC-SOHIC-H2S'!$Z6,'Tables - Part 2'!$AV$6:$AV$13,0),MATCH('HIC-SOHIC-H2S'!$T6,'Tables - Part 2'!$AX$5:$BA$5,0))+INDEX('Tables - Part 2'!$AX$17:$BA$24,MATCH('HIC-SOHIC-H2S'!$Z6,'Tables - Part 2'!$AV$6:$AV$13,0),MATCH('HIC-SOHIC-H2S'!$T6,'Tables - Part 2'!$AX$5:$BA$5,0)))/2)/2)+((INDEX('Tables - Part 2'!$BF$6:$BI$13,MATCH('HIC-SOHIC-H2S'!$Z6,'Tables - Part 2'!$AV$6:$AV$13,0),MATCH('HIC-SOHIC-H2S'!$T6,'Tables - Part 2'!$AX$5:$BA$5,0))+INDEX('Tables - Part 2'!$AX$17:$BA$24,MATCH('HIC-SOHIC-H2S'!$Z6,'Tables - Part 2'!$AV$6:$AV$13,0),MATCH('HIC-SOHIC-H2S'!$T6,'Tables - Part 2'!$AX$5:$BA$5,0)))/2))/2,0)</f>
        <v>0</v>
      </c>
      <c r="BA6" s="248">
        <f>IF($S6=$BA$3,(INDEX('Tables - Part 2'!$BF$6:$BI$13,MATCH('HIC-SOHIC-H2S'!$Z6,'Tables - Part 2'!$AV$6:$AV$13,0),MATCH('HIC-SOHIC-H2S'!$T6,'Tables - Part 2'!$AX$5:$BA$5,0))+INDEX('Tables - Part 2'!$AX$17:$BA$24,MATCH('HIC-SOHIC-H2S'!$Z6,'Tables - Part 2'!$AV$6:$AV$13,0),MATCH('HIC-SOHIC-H2S'!$T6,'Tables - Part 2'!$AX$5:$BA$5,0)))/2,0)</f>
        <v>0</v>
      </c>
      <c r="BB6" s="248">
        <f>IF($S6=$BB$3,(((INDEX('Tables - Part 2'!$BF$6:$BI$13,MATCH('HIC-SOHIC-H2S'!$Z6,'Tables - Part 2'!$AV$6:$AV$13,0),MATCH('HIC-SOHIC-H2S'!$T6,'Tables - Part 2'!$AX$5:$BA$5,0))+INDEX('Tables - Part 2'!$AX$17:$BA$24,MATCH('HIC-SOHIC-H2S'!$Z6,'Tables - Part 2'!$AV$6:$AV$13,0),MATCH('HIC-SOHIC-H2S'!$T6,'Tables - Part 2'!$AX$5:$BA$5,0)))/2)+((((INDEX('Tables - Part 2'!$BF$6:$BI$13,MATCH('HIC-SOHIC-H2S'!$Z6,'Tables - Part 2'!$AV$6:$AV$13,0),MATCH('HIC-SOHIC-H2S'!$T6,'Tables - Part 2'!$AX$5:$BA$5,0))+INDEX('Tables - Part 2'!$AX$17:$BA$24,MATCH('HIC-SOHIC-H2S'!$Z6,'Tables - Part 2'!$AV$6:$AV$13,0),MATCH('HIC-SOHIC-H2S'!$T6,'Tables - Part 2'!$AX$5:$BA$5,0)))/2)+INDEX('Tables - Part 2'!$AX$17:$BA$24,MATCH('HIC-SOHIC-H2S'!$Z6,'Tables - Part 2'!$AV$6:$AV$13,0),MATCH('HIC-SOHIC-H2S'!$T6,'Tables - Part 2'!$AX$5:$BA$5,0)))/2))/2,0)</f>
        <v>0</v>
      </c>
      <c r="BC6" s="248">
        <f>IF($S6=$BC$3,(((INDEX('Tables - Part 2'!$BF$6:$BI$13,MATCH('HIC-SOHIC-H2S'!$Z6,'Tables - Part 2'!$AV$6:$AV$13,0),MATCH('HIC-SOHIC-H2S'!$T6,'Tables - Part 2'!$AX$5:$BA$5,0))+INDEX('Tables - Part 2'!$AX$17:$BA$24,MATCH('HIC-SOHIC-H2S'!$Z6,'Tables - Part 2'!$AV$6:$AV$13,0),MATCH('HIC-SOHIC-H2S'!$T6,'Tables - Part 2'!$AX$5:$BA$5,0)))/2)+INDEX('Tables - Part 2'!$AX$17:$BA$24,MATCH('HIC-SOHIC-H2S'!$Z6,'Tables - Part 2'!$AV$6:$AV$13,0),MATCH('HIC-SOHIC-H2S'!$T6,'Tables - Part 2'!$AX$5:$BA$5,0)))/2,0)</f>
        <v>0</v>
      </c>
      <c r="BD6" s="248">
        <f>IF($S6=$BD$3,(((((INDEX('Tables - Part 2'!$BF$6:$BI$13,MATCH('HIC-SOHIC-H2S'!$Z6,'Tables - Part 2'!$AV$6:$AV$13,0),MATCH('HIC-SOHIC-H2S'!$T6,'Tables - Part 2'!$AX$5:$BA$5,0))+INDEX('Tables - Part 2'!$AX$17:$BA$24,MATCH('HIC-SOHIC-H2S'!$Z6,'Tables - Part 2'!$AV$6:$AV$13,0),MATCH('HIC-SOHIC-H2S'!$T6,'Tables - Part 2'!$AX$5:$BA$5,0)))/2)+INDEX('Tables - Part 2'!$AX$17:$BA$24,MATCH('HIC-SOHIC-H2S'!$Z6,'Tables - Part 2'!$AV$6:$AV$13,0),MATCH('HIC-SOHIC-H2S'!$T6,'Tables - Part 2'!$AX$5:$BA$5,0)))/2)+(INDEX('Tables - Part 2'!$AX$17:$BA$24,MATCH('HIC-SOHIC-H2S'!$Z6,'Tables - Part 2'!$AV$6:$AV$13,0),MATCH('HIC-SOHIC-H2S'!$T6,'Tables - Part 2'!$AX$5:$BA$5,0))))/2,0)</f>
        <v>0</v>
      </c>
      <c r="BE6" s="248">
        <f>IF($S6=$BE$3,INDEX('Tables - Part 2'!$AX$17:$BA$24,MATCH('HIC-SOHIC-H2S'!$Z6,'Tables - Part 2'!$AV$6:$AV$13,0),MATCH('HIC-SOHIC-H2S'!$T6,'Tables - Part 2'!$AX$5:$BA$5,0)),0)</f>
        <v>0</v>
      </c>
      <c r="BF6" s="248">
        <f>IF($S6=$BF$3,((INDEX('Tables - Part 2'!$AX$17:$BA$24,MATCH('HIC-SOHIC-H2S'!$Z6,'Tables - Part 2'!$AV$6:$AV$13,0),MATCH('HIC-SOHIC-H2S'!$T6,'Tables - Part 2'!$AX$5:$BA$5,0)))+(((INDEX('Tables - Part 2'!$AX$17:$BA$24,MATCH('HIC-SOHIC-H2S'!$Z6,'Tables - Part 2'!$AV$6:$AV$13,0),MATCH('HIC-SOHIC-H2S'!$T6,'Tables - Part 2'!$AX$5:$BA$5,0)))+(INDEX('Tables - Part 2'!$AX$17:$BA$24,MATCH('HIC-SOHIC-H2S'!$Z6,'Tables - Part 2'!$AV$6:$AV$13,0),MATCH('HIC-SOHIC-H2S'!$T6,'Tables - Part 2'!$AX$5:$BA$5,0))+INDEX('Tables - Part 2'!$BB$17:$BE$24,MATCH('HIC-SOHIC-H2S'!$Z6,'Tables - Part 2'!$AV$6:$AV$13,0),MATCH('HIC-SOHIC-H2S'!$T6,'Tables - Part 2'!$AX$5:$BA$5,0)))/2)/2))/2,0)</f>
        <v>0</v>
      </c>
      <c r="BG6" s="248">
        <f>IF($S6=$BG$3,((INDEX('Tables - Part 2'!$AX$17:$BA$24,MATCH('HIC-SOHIC-H2S'!$Z6,'Tables - Part 2'!$AV$6:$AV$13,0),MATCH('HIC-SOHIC-H2S'!$T6,'Tables - Part 2'!$AX$5:$BA$5,0)))+(INDEX('Tables - Part 2'!$AX$17:$BA$24,MATCH('HIC-SOHIC-H2S'!$Z6,'Tables - Part 2'!$AV$6:$AV$13,0),MATCH('HIC-SOHIC-H2S'!$T6,'Tables - Part 2'!$AX$5:$BA$5,0))+INDEX('Tables - Part 2'!$BB$17:$BE$24,MATCH('HIC-SOHIC-H2S'!$Z6,'Tables - Part 2'!$AV$6:$AV$13,0),MATCH('HIC-SOHIC-H2S'!$T6,'Tables - Part 2'!$AX$5:$BA$5,0)))/2)/2,0)</f>
        <v>0</v>
      </c>
      <c r="BH6" s="248">
        <f>IF($S6=$BH$3,((((INDEX('Tables - Part 2'!$AX$17:$BA$24,MATCH('HIC-SOHIC-H2S'!$Z6,'Tables - Part 2'!$AV$6:$AV$13,0),MATCH('HIC-SOHIC-H2S'!$T6,'Tables - Part 2'!$AX$5:$BA$5,0)))+(INDEX('Tables - Part 2'!$AX$17:$BA$24,MATCH('HIC-SOHIC-H2S'!$Z6,'Tables - Part 2'!$AV$6:$AV$13,0),MATCH('HIC-SOHIC-H2S'!$T6,'Tables - Part 2'!$AX$5:$BA$5,0))+INDEX('Tables - Part 2'!$BB$17:$BE$24,MATCH('HIC-SOHIC-H2S'!$Z6,'Tables - Part 2'!$AV$6:$AV$13,0),MATCH('HIC-SOHIC-H2S'!$T6,'Tables - Part 2'!$AX$5:$BA$5,0)))/2)/2)+((INDEX('Tables - Part 2'!$AX$17:$BA$24,MATCH('HIC-SOHIC-H2S'!$Z6,'Tables - Part 2'!$AV$6:$AV$13,0),MATCH('HIC-SOHIC-H2S'!$T6,'Tables - Part 2'!$AX$5:$BA$5,0))+INDEX('Tables - Part 2'!$BB$17:$BE$24,MATCH('HIC-SOHIC-H2S'!$Z6,'Tables - Part 2'!$AV$6:$AV$13,0),MATCH('HIC-SOHIC-H2S'!$T6,'Tables - Part 2'!$AX$5:$BA$5,0)))/2))/2,0)</f>
        <v>0</v>
      </c>
      <c r="BI6" s="248">
        <f>IF($S6=$BI$3,(INDEX('Tables - Part 2'!$AX$17:$BA$24,MATCH('HIC-SOHIC-H2S'!$Z6,'Tables - Part 2'!$AV$6:$AV$13,0),MATCH('HIC-SOHIC-H2S'!$T6,'Tables - Part 2'!$AX$5:$BA$5,0))+INDEX('Tables - Part 2'!$BB$17:$BE$24,MATCH('HIC-SOHIC-H2S'!$Z6,'Tables - Part 2'!$AV$6:$AV$13,0),MATCH('HIC-SOHIC-H2S'!$T6,'Tables - Part 2'!$AX$5:$BA$5,0)))/2,0)</f>
        <v>0</v>
      </c>
      <c r="BJ6" s="248">
        <f>IF($S6=$BJ$3,(((INDEX('Tables - Part 2'!$AX$17:$BA$24,MATCH('HIC-SOHIC-H2S'!$Z6,'Tables - Part 2'!$AV$6:$AV$13,0),MATCH('HIC-SOHIC-H2S'!$T6,'Tables - Part 2'!$AX$5:$BA$5,0))+INDEX('Tables - Part 2'!$BB$17:$BE$24,MATCH('HIC-SOHIC-H2S'!$Z6,'Tables - Part 2'!$AV$6:$AV$13,0),MATCH('HIC-SOHIC-H2S'!$T6,'Tables - Part 2'!$AX$5:$BA$5,0)))/2)+((((INDEX('Tables - Part 2'!$AX$17:$BA$24,MATCH('HIC-SOHIC-H2S'!$Z6,'Tables - Part 2'!$AV$6:$AV$13,0),MATCH('HIC-SOHIC-H2S'!$T6,'Tables - Part 2'!$AX$5:$BA$5,0))+INDEX('Tables - Part 2'!$BB$17:$BE$24,MATCH('HIC-SOHIC-H2S'!$Z6,'Tables - Part 2'!$AV$6:$AV$13,0),MATCH('HIC-SOHIC-H2S'!$T6,'Tables - Part 2'!$AX$5:$BA$5,0)))/2)+INDEX('Tables - Part 2'!$BB$17:$BE$24,MATCH('HIC-SOHIC-H2S'!$Z6,'Tables - Part 2'!$AV$6:$AV$13,0),MATCH('HIC-SOHIC-H2S'!$T6,'Tables - Part 2'!$AX$5:$BA$5,0)))/2))/2,0)</f>
        <v>0</v>
      </c>
      <c r="BK6" s="248">
        <f>IF($S6=$BK$3,(((INDEX('Tables - Part 2'!$AX$17:$BA$24,MATCH('HIC-SOHIC-H2S'!$Z6,'Tables - Part 2'!$AV$6:$AV$13,0),MATCH('HIC-SOHIC-H2S'!$T6,'Tables - Part 2'!$AX$5:$BA$5,0))+INDEX('Tables - Part 2'!$BB$17:$BE$24,MATCH('HIC-SOHIC-H2S'!$Z6,'Tables - Part 2'!$AV$6:$AV$13,0),MATCH('HIC-SOHIC-H2S'!$T6,'Tables - Part 2'!$AX$5:$BA$5,0)))/2)+INDEX('Tables - Part 2'!$BB$17:$BE$24,MATCH('HIC-SOHIC-H2S'!$Z6,'Tables - Part 2'!$AV$6:$AV$13,0),MATCH('HIC-SOHIC-H2S'!$T6,'Tables - Part 2'!$AX$5:$BA$5,0)))/2,0)</f>
        <v>0</v>
      </c>
      <c r="BL6" s="248">
        <f>IF($S6=$BL$3,(((((INDEX('Tables - Part 2'!$AX$17:$BA$24,MATCH('HIC-SOHIC-H2S'!$Z6,'Tables - Part 2'!$AV$6:$AV$13,0),MATCH('HIC-SOHIC-H2S'!$T6,'Tables - Part 2'!$AX$5:$BA$5,0))+INDEX('Tables - Part 2'!$BB$17:$BE$24,MATCH('HIC-SOHIC-H2S'!$Z6,'Tables - Part 2'!$AV$6:$AV$13,0),MATCH('HIC-SOHIC-H2S'!$T6,'Tables - Part 2'!$AX$5:$BA$5,0)))/2)+INDEX('Tables - Part 2'!$BB$17:$BE$24,MATCH('HIC-SOHIC-H2S'!$Z6,'Tables - Part 2'!$AV$6:$AV$13,0),MATCH('HIC-SOHIC-H2S'!$T6,'Tables - Part 2'!$AX$5:$BA$5,0)))/2)+(INDEX('Tables - Part 2'!$BB$17:$BE$24,MATCH('HIC-SOHIC-H2S'!$Z6,'Tables - Part 2'!$AV$6:$AV$13,0),MATCH('HIC-SOHIC-H2S'!$T6,'Tables - Part 2'!$AX$5:$BA$5,0))))/2,0)</f>
        <v>0</v>
      </c>
      <c r="BM6" s="248">
        <f>IF($S6=$BM$3,INDEX('Tables - Part 2'!$BB$17:$BE$24,MATCH('HIC-SOHIC-H2S'!$Z6,'Tables - Part 2'!$AV$6:$AV$13,0),MATCH('HIC-SOHIC-H2S'!$T6,'Tables - Part 2'!$AX$5:$BA$5,0)),0)</f>
        <v>0</v>
      </c>
      <c r="BN6" s="248">
        <f>IF($S6=$BN$3,((INDEX('Tables - Part 2'!$BB$17:$BE$24,MATCH('HIC-SOHIC-H2S'!$Z6,'Tables - Part 2'!$AV$6:$AV$13,0),MATCH('HIC-SOHIC-H2S'!$T6,'Tables - Part 2'!$AX$5:$BA$5,0)))+(((INDEX('Tables - Part 2'!$BB$17:$BE$24,MATCH('HIC-SOHIC-H2S'!$Z6,'Tables - Part 2'!$AV$6:$AV$13,0),MATCH('HIC-SOHIC-H2S'!$T6,'Tables - Part 2'!$AX$5:$BA$5,0)))+(INDEX('Tables - Part 2'!$BB$17:$BE$24,MATCH('HIC-SOHIC-H2S'!$Z6,'Tables - Part 2'!$AV$6:$AV$13,0),MATCH('HIC-SOHIC-H2S'!$T6,'Tables - Part 2'!$AX$5:$BA$5,0))+INDEX('Tables - Part 2'!$BF$17:$BI$24,MATCH('HIC-SOHIC-H2S'!$Z6,'Tables - Part 2'!$AV$6:$AV$13,0),MATCH('HIC-SOHIC-H2S'!$T6,'Tables - Part 2'!$AX$5:$BA$5,0)))/2)/2))/2,0)</f>
        <v>0</v>
      </c>
      <c r="BO6" s="248">
        <f>IF($S6=$BO$3,((INDEX('Tables - Part 2'!$BB$17:$BE$24,MATCH('HIC-SOHIC-H2S'!$Z6,'Tables - Part 2'!$AV$6:$AV$13,0),MATCH('HIC-SOHIC-H2S'!$T6,'Tables - Part 2'!$AX$5:$BA$5,0)))+(INDEX('Tables - Part 2'!$BB$17:$BE$24,MATCH('HIC-SOHIC-H2S'!$Z6,'Tables - Part 2'!$AV$6:$AV$13,0),MATCH('HIC-SOHIC-H2S'!$T6,'Tables - Part 2'!$AX$5:$BA$5,0))+INDEX('Tables - Part 2'!$BF$17:$BI$24,MATCH('HIC-SOHIC-H2S'!$Z6,'Tables - Part 2'!$AV$6:$AV$13,0),MATCH('HIC-SOHIC-H2S'!$T6,'Tables - Part 2'!$AX$5:$BA$5,0)))/2)/2,0)</f>
        <v>0</v>
      </c>
      <c r="BP6" s="248">
        <f>IF($S6=$BP$3,((((INDEX('Tables - Part 2'!$BB$17:$BE$24,MATCH('HIC-SOHIC-H2S'!$Z6,'Tables - Part 2'!$AV$6:$AV$13,0),MATCH('HIC-SOHIC-H2S'!$T6,'Tables - Part 2'!$AX$5:$BA$5,0)))+(INDEX('Tables - Part 2'!$BB$17:$BE$24,MATCH('HIC-SOHIC-H2S'!$Z6,'Tables - Part 2'!$AV$6:$AV$13,0),MATCH('HIC-SOHIC-H2S'!$T6,'Tables - Part 2'!$AX$5:$BA$5,0))+INDEX('Tables - Part 2'!$BF$17:$BI$24,MATCH('HIC-SOHIC-H2S'!$Z6,'Tables - Part 2'!$AV$6:$AV$13,0),MATCH('HIC-SOHIC-H2S'!$T6,'Tables - Part 2'!$AX$5:$BA$5,0)))/2)/2)+((INDEX('Tables - Part 2'!$BB$17:$BE$24,MATCH('HIC-SOHIC-H2S'!$Z6,'Tables - Part 2'!$AV$6:$AV$13,0),MATCH('HIC-SOHIC-H2S'!$T6,'Tables - Part 2'!$AX$5:$BA$5,0))+INDEX('Tables - Part 2'!$BF$17:$BI$24,MATCH('HIC-SOHIC-H2S'!$Z6,'Tables - Part 2'!$AV$6:$AV$13,0),MATCH('HIC-SOHIC-H2S'!$T6,'Tables - Part 2'!$AX$5:$BA$5,0)))/2))/2,0)</f>
        <v>0</v>
      </c>
      <c r="BQ6" s="248">
        <f>IF($S6=$BQ$3,(INDEX('Tables - Part 2'!$BB$17:$BE$24,MATCH('HIC-SOHIC-H2S'!$Z6,'Tables - Part 2'!$AV$6:$AV$13,0),MATCH('HIC-SOHIC-H2S'!$T6,'Tables - Part 2'!$AX$5:$BA$5,0))+INDEX('Tables - Part 2'!$BF$17:$BI$24,MATCH('HIC-SOHIC-H2S'!$Z6,'Tables - Part 2'!$AV$6:$AV$13,0),MATCH('HIC-SOHIC-H2S'!$T6,'Tables - Part 2'!$AX$5:$BA$5,0)))/2,0)</f>
        <v>0</v>
      </c>
      <c r="BR6" s="248">
        <f>IF($S6=$BR$3,(((INDEX('Tables - Part 2'!$BB$17:$BE$24,MATCH('HIC-SOHIC-H2S'!$Z6,'Tables - Part 2'!$AV$6:$AV$13,0),MATCH('HIC-SOHIC-H2S'!$T6,'Tables - Part 2'!$AX$5:$BA$5,0))+INDEX('Tables - Part 2'!$BF$17:$BI$24,MATCH('HIC-SOHIC-H2S'!$Z6,'Tables - Part 2'!$AV$6:$AV$13,0),MATCH('HIC-SOHIC-H2S'!$T6,'Tables - Part 2'!$AX$5:$BA$5,0)))/2)+((((INDEX('Tables - Part 2'!$BB$17:$BE$24,MATCH('HIC-SOHIC-H2S'!$Z6,'Tables - Part 2'!$AV$6:$AV$13,0),MATCH('HIC-SOHIC-H2S'!$T6,'Tables - Part 2'!$AX$5:$BA$5,0))+INDEX('Tables - Part 2'!$BF$17:$BI$24,MATCH('HIC-SOHIC-H2S'!$Z6,'Tables - Part 2'!$AV$6:$AV$13,0),MATCH('HIC-SOHIC-H2S'!$T6,'Tables - Part 2'!$AX$5:$BA$5,0)))/2)+INDEX('Tables - Part 2'!$BF$17:$BI$24,MATCH('HIC-SOHIC-H2S'!$Z6,'Tables - Part 2'!$AV$6:$AV$13,0),MATCH('HIC-SOHIC-H2S'!$T6,'Tables - Part 2'!$AX$5:$BA$5,0)))/2))/2,0)</f>
        <v>0</v>
      </c>
      <c r="BS6" s="248">
        <f>IF($S6=$BS$3,(((INDEX('Tables - Part 2'!$BB$17:$BE$24,MATCH('HIC-SOHIC-H2S'!$Z6,'Tables - Part 2'!$AV$6:$AV$13,0),MATCH('HIC-SOHIC-H2S'!$T6,'Tables - Part 2'!$AX$5:$BA$5,0))+INDEX('Tables - Part 2'!$BF$17:$BI$24,MATCH('HIC-SOHIC-H2S'!$Z6,'Tables - Part 2'!$AV$6:$AV$13,0),MATCH('HIC-SOHIC-H2S'!$T6,'Tables - Part 2'!$AX$5:$BA$5,0)))/2)+INDEX('Tables - Part 2'!$BF$17:$BI$24,MATCH('HIC-SOHIC-H2S'!$Z6,'Tables - Part 2'!$AV$6:$AV$13,0),MATCH('HIC-SOHIC-H2S'!$T6,'Tables - Part 2'!$AX$5:$BA$5,0)))/2,0)</f>
        <v>0</v>
      </c>
      <c r="BT6" s="248">
        <f>IF($S6=$BT$3,(((((INDEX('Tables - Part 2'!$BB$17:$BE$24,MATCH('HIC-SOHIC-H2S'!$Z6,'Tables - Part 2'!$AV$6:$AV$13,0),MATCH('HIC-SOHIC-H2S'!$T6,'Tables - Part 2'!$AX$5:$BA$5,0))+INDEX('Tables - Part 2'!$BF$17:$BI$24,MATCH('HIC-SOHIC-H2S'!$Z6,'Tables - Part 2'!$AV$6:$AV$13,0),MATCH('HIC-SOHIC-H2S'!$T6,'Tables - Part 2'!$AX$5:$BA$5,0)))/2)+INDEX('Tables - Part 2'!$BF$17:$BI$24,MATCH('HIC-SOHIC-H2S'!$Z6,'Tables - Part 2'!$AV$6:$AV$13,0),MATCH('HIC-SOHIC-H2S'!$T6,'Tables - Part 2'!$AX$5:$BA$5,0)))/2)+(INDEX('Tables - Part 2'!$BF$17:$BI$24,MATCH('HIC-SOHIC-H2S'!$Z6,'Tables - Part 2'!$AV$6:$AV$13,0),MATCH('HIC-SOHIC-H2S'!$T6,'Tables - Part 2'!$AX$5:$BA$5,0))))/2,0)</f>
        <v>0</v>
      </c>
      <c r="BU6" s="248">
        <f>IF($S6=$BU$3,INDEX('Tables - Part 2'!$BF$17:$BI$24,MATCH('HIC-SOHIC-H2S'!$Z6,'Tables - Part 2'!$AV$6:$AV$13,0),MATCH('HIC-SOHIC-H2S'!$T6,'Tables - Part 2'!$AX$5:$BA$5,0)),0)</f>
        <v>0</v>
      </c>
      <c r="BV6" s="248" t="e">
        <f t="shared" si="2"/>
        <v>#N/A</v>
      </c>
      <c r="BW6" s="238" t="e">
        <f t="shared" si="8"/>
        <v>#N/A</v>
      </c>
      <c r="BX6" s="238" t="e">
        <f t="shared" si="9"/>
        <v>#N/A</v>
      </c>
    </row>
    <row r="7" spans="2:89" x14ac:dyDescent="0.35">
      <c r="B7" s="161" t="str">
        <f>'Tratamento de Dados'!B15</f>
        <v>V-11</v>
      </c>
      <c r="C7" s="161" t="str">
        <f>'Tratamento de Dados'!D15</f>
        <v>Casco</v>
      </c>
      <c r="D7" s="209">
        <f>'Tratamento de Dados'!CN15</f>
        <v>0</v>
      </c>
      <c r="E7" s="209">
        <f>'Tratamento de Dados'!CO15</f>
        <v>0</v>
      </c>
      <c r="F7" s="209">
        <f>'Tratamento de Dados'!CP15</f>
        <v>0</v>
      </c>
      <c r="G7" s="209">
        <f>'Tratamento de Dados'!CQ15</f>
        <v>0</v>
      </c>
      <c r="H7" s="209">
        <f>'Tratamento de Dados'!CR15</f>
        <v>0</v>
      </c>
      <c r="I7" s="209">
        <f>'Tratamento de Dados'!CS15</f>
        <v>0</v>
      </c>
      <c r="J7" s="209">
        <f>'Tratamento de Dados'!CT15</f>
        <v>0</v>
      </c>
      <c r="K7" s="209">
        <f>'Tratamento de Dados'!CU15</f>
        <v>0</v>
      </c>
      <c r="L7" s="210">
        <f>'Tratamento de Dados'!CV15</f>
        <v>0</v>
      </c>
      <c r="M7" s="209">
        <f>'Tratamento de Dados'!CW15</f>
        <v>0</v>
      </c>
      <c r="N7" s="209">
        <f>'Tratamento de Dados'!CX15</f>
        <v>0</v>
      </c>
      <c r="O7" s="209">
        <f>'Tratamento de Dados'!CY15</f>
        <v>0</v>
      </c>
      <c r="P7" s="209">
        <f>'Tratamento de Dados'!CZ15</f>
        <v>0</v>
      </c>
      <c r="Q7" s="253">
        <f>'Tratamento de Dados'!DA15</f>
        <v>0</v>
      </c>
      <c r="R7" s="253">
        <f>'Tratamento de Dados'!DB15</f>
        <v>0</v>
      </c>
      <c r="S7" s="256">
        <f t="shared" si="0"/>
        <v>0</v>
      </c>
      <c r="T7" s="246" t="str">
        <f t="shared" si="3"/>
        <v>E</v>
      </c>
      <c r="U7" s="238" t="e">
        <f>IF(D7=$CC$2,$CA$4,IF(AND(H7=$CC$2,OR(F7='Tables - Part 2'!$CE$8,'Tables - Part 2'!$CE$9),OR('HIC-SOHIC-H2S'!G7='Tables - Part 2'!$CH$4,'HIC-SOHIC-H2S'!G7='Tables - Part 2'!$CI$4)),$CA$4,INDEX('Tables - Part 2'!$CF$5:$CI$9,MATCH('HIC-SOHIC-H2S'!F7,'Tables - Part 2'!$CE$5:$CE$9,0),MATCH('HIC-SOHIC-H2S'!G7,'Tables - Part 2'!$CF$4:$CI$4,0))))</f>
        <v>#N/A</v>
      </c>
      <c r="V7" s="238" t="str">
        <f>IF($I7=$V$3,INDEX('Tables - Part 2'!$CL$5:$CM$7,MATCH('HIC-SOHIC-H2S'!$U7,'Tables - Part 2'!$CK$5:$CK$7,0),IF('HIC-SOHIC-H2S'!$J7='HIC-SOHIC-H2S'!$CC$2,2,1)),"")</f>
        <v/>
      </c>
      <c r="W7" s="238" t="str">
        <f>IF($I7=$W$3,INDEX('Tables - Part 2'!$CN$5:$CO$7,MATCH('HIC-SOHIC-H2S'!$U7,'Tables - Part 2'!$CK$5:$CK$7,0),IF('HIC-SOHIC-H2S'!$J7='HIC-SOHIC-H2S'!$CC$2,2,1)),"")</f>
        <v/>
      </c>
      <c r="X7" s="238" t="str">
        <f>IF($I7=$X$3,INDEX('Tables - Part 2'!$CP$5:$CQ$7,MATCH('HIC-SOHIC-H2S'!$U7,'Tables - Part 2'!$CK$5:$CK$7,0),IF('HIC-SOHIC-H2S'!$J7='HIC-SOHIC-H2S'!$CC$2,2,1)),"")</f>
        <v/>
      </c>
      <c r="Y7" s="238" t="str">
        <f t="shared" si="1"/>
        <v/>
      </c>
      <c r="Z7" s="238" t="e">
        <f>IF(AND(D7=$CC$2,E7&lt;&gt;$CC$2),"Fitness-For-Service",INDEX('Tables - Part 2'!$CT$4:$CT$6,MATCH('HIC-SOHIC-H2S'!Y7,'Tables - Part 2'!$CS$4:$CS$6,0),))</f>
        <v>#N/A</v>
      </c>
      <c r="AA7" s="238">
        <f>IF(L7=0,(Thinning!G8-Thinning!F8)/365.25,(Thinning!G8-L7)/365.25)</f>
        <v>5.4757015742642025E-3</v>
      </c>
      <c r="AB7" s="238" t="e">
        <f>INDEX('Tables - Part 2'!$CW$4:$CW$7,MATCH('HIC-SOHIC-H2S'!K7,'Tables - Part 2'!$CV$4:$CV$7,0))</f>
        <v>#N/A</v>
      </c>
      <c r="AC7" s="248">
        <f t="shared" si="4"/>
        <v>0</v>
      </c>
      <c r="AD7" s="248">
        <f t="shared" si="5"/>
        <v>0</v>
      </c>
      <c r="AE7" s="247">
        <f t="shared" si="10"/>
        <v>0</v>
      </c>
      <c r="AF7" s="247">
        <f t="shared" si="7"/>
        <v>0</v>
      </c>
      <c r="AG7" s="248">
        <f>IF($S7=$AG$3,INDEX('Tables - Part 2'!$AX$6:$BA$13,MATCH('HIC-SOHIC-H2S'!Z7,'Tables - Part 2'!$AV$6:$AV$13,0),MATCH('HIC-SOHIC-H2S'!T7,'Tables - Part 2'!$AX$5:$BA$5,0)),0)</f>
        <v>0</v>
      </c>
      <c r="AH7" s="248">
        <f>IF($S7=$AH$3,(INDEX('Tables - Part 2'!$AX$6:$BA$13,MATCH('HIC-SOHIC-H2S'!Z7,'Tables - Part 2'!$AV$6:$AV$13,0),MATCH('HIC-SOHIC-H2S'!T7,'Tables - Part 2'!$AX$5:$BA$5,0))+(INDEX('Tables - Part 2'!$AX$6:$BA$13,MATCH('HIC-SOHIC-H2S'!Z7,'Tables - Part 2'!$AV$6:$AV$13,0),MATCH('HIC-SOHIC-H2S'!T7,'Tables - Part 2'!$AX$5:$BA$5,0))+((INDEX('Tables - Part 2'!$AX$6:$BA$13,MATCH('HIC-SOHIC-H2S'!Z7,'Tables - Part 2'!$AV$6:$AV$13,0),MATCH('HIC-SOHIC-H2S'!T7,'Tables - Part 2'!$AX$5:$BA$5,0))+INDEX('Tables - Part 2'!$BB$6:$BE$13,MATCH('HIC-SOHIC-H2S'!$Z7,'Tables - Part 2'!$AV$6:$AV$13,0),MATCH('HIC-SOHIC-H2S'!$T7,'Tables - Part 2'!$AX$5:$BA$5,0)))/2))/2)/2,0)</f>
        <v>0</v>
      </c>
      <c r="AI7" s="248">
        <f>IF($S7=$AI$3,(INDEX('Tables - Part 2'!$AX$6:$BA$13,MATCH('HIC-SOHIC-H2S'!Z7,'Tables - Part 2'!$AV$6:$AV$13,0),MATCH('HIC-SOHIC-H2S'!T7,'Tables - Part 2'!$AX$5:$BA$5,0))+((INDEX('Tables - Part 2'!$AX$6:$BA$13,MATCH('HIC-SOHIC-H2S'!Z7,'Tables - Part 2'!$AV$6:$AV$13,0),MATCH('HIC-SOHIC-H2S'!T7,'Tables - Part 2'!$AX$5:$BA$5,0))+INDEX('Tables - Part 2'!$BB$6:$BE$13,MATCH('HIC-SOHIC-H2S'!$Z7,'Tables - Part 2'!$AV$6:$AV$13,0),MATCH('HIC-SOHIC-H2S'!$T7,'Tables - Part 2'!$AX$5:$BA$5,0)))/2))/2,0)</f>
        <v>0</v>
      </c>
      <c r="AJ7" s="248">
        <f>IF($S7=$AJ$3,(((INDEX('Tables - Part 2'!$AX$6:$BA$13,MATCH('HIC-SOHIC-H2S'!Z7,'Tables - Part 2'!$AV$6:$AV$13,0),MATCH('HIC-SOHIC-H2S'!T7,'Tables - Part 2'!$AX$5:$BA$5,0))+((INDEX('Tables - Part 2'!$AX$6:$BA$13,MATCH('HIC-SOHIC-H2S'!Z7,'Tables - Part 2'!$AV$6:$AV$13,0),MATCH('HIC-SOHIC-H2S'!T7,'Tables - Part 2'!$AX$5:$BA$5,0))+INDEX('Tables - Part 2'!$BB$6:$BE$13,MATCH('HIC-SOHIC-H2S'!$Z7,'Tables - Part 2'!$AV$6:$AV$13,0),MATCH('HIC-SOHIC-H2S'!$T7,'Tables - Part 2'!$AX$5:$BA$5,0)))/2))/2)+(INDEX('Tables - Part 2'!$AX$6:$BA$13,MATCH('HIC-SOHIC-H2S'!Z7,'Tables - Part 2'!$AV$6:$AV$13,0),MATCH('HIC-SOHIC-H2S'!T7,'Tables - Part 2'!$AX$5:$BA$5,0))+INDEX('Tables - Part 2'!$BB$6:$BE$13,MATCH('HIC-SOHIC-H2S'!$Z7,'Tables - Part 2'!$AV$6:$AV$13,0),MATCH('HIC-SOHIC-H2S'!$T7,'Tables - Part 2'!$AX$5:$BA$5,0)))/2)/2,0)</f>
        <v>0</v>
      </c>
      <c r="AK7" s="248">
        <f>IF($S7=$AK$3,(INDEX('Tables - Part 2'!$AX$6:$BA$13,MATCH('HIC-SOHIC-H2S'!Z7,'Tables - Part 2'!$AV$6:$AV$13,0),MATCH('HIC-SOHIC-H2S'!T7,'Tables - Part 2'!$AX$5:$BA$5,0))+INDEX('Tables - Part 2'!$BB$6:$BE$13,MATCH('HIC-SOHIC-H2S'!$Z7,'Tables - Part 2'!$AV$6:$AV$13,0),MATCH('HIC-SOHIC-H2S'!$T7,'Tables - Part 2'!$AX$5:$BA$5,0)))/2,0)</f>
        <v>0</v>
      </c>
      <c r="AL7" s="248">
        <f>IF($S7=$AL$3,(((INDEX('Tables - Part 2'!$AX$6:$BA$13,MATCH('HIC-SOHIC-H2S'!Z7,'Tables - Part 2'!$AV$6:$AV$13,0),MATCH('HIC-SOHIC-H2S'!T7,'Tables - Part 2'!$AX$5:$BA$5,0))+INDEX('Tables - Part 2'!$BB$6:$BE$13,MATCH('HIC-SOHIC-H2S'!$Z7,'Tables - Part 2'!$AV$6:$AV$13,0),MATCH('HIC-SOHIC-H2S'!$T7,'Tables - Part 2'!$AX$5:$BA$5,0)))/2)+(((INDEX('Tables - Part 2'!$AX$6:$BA$13,MATCH('HIC-SOHIC-H2S'!Z7,'Tables - Part 2'!$AV$6:$AV$13,0),MATCH('HIC-SOHIC-H2S'!T7,'Tables - Part 2'!$AX$5:$BA$5,0))+INDEX('Tables - Part 2'!$BB$6:$BE$13,MATCH('HIC-SOHIC-H2S'!$Z7,'Tables - Part 2'!$AV$6:$AV$13,0),MATCH('HIC-SOHIC-H2S'!$T7,'Tables - Part 2'!$AX$5:$BA$5,0)))/2)+INDEX('Tables - Part 2'!$BB$6:$BE$13,MATCH('HIC-SOHIC-H2S'!$Z7,'Tables - Part 2'!$AV$6:$AV$13,0),MATCH('HIC-SOHIC-H2S'!$T7,'Tables - Part 2'!$AX$5:$BA$5,0)))/2)/2,0)</f>
        <v>0</v>
      </c>
      <c r="AM7" s="248">
        <f>IF($S7=$AM$3,(((INDEX('Tables - Part 2'!$AX$6:$BA$13,MATCH('HIC-SOHIC-H2S'!Z7,'Tables - Part 2'!$AV$6:$AV$13,0),MATCH('HIC-SOHIC-H2S'!T7,'Tables - Part 2'!$AX$5:$BA$5,0))+INDEX('Tables - Part 2'!$BB$6:$BE$13,MATCH('HIC-SOHIC-H2S'!$Z7,'Tables - Part 2'!$AV$6:$AV$13,0),MATCH('HIC-SOHIC-H2S'!$T7,'Tables - Part 2'!$AX$5:$BA$5,0)))/2)+INDEX('Tables - Part 2'!$BB$6:$BE$13,MATCH('HIC-SOHIC-H2S'!$Z7,'Tables - Part 2'!$AV$6:$AV$13,0),MATCH('HIC-SOHIC-H2S'!$T7,'Tables - Part 2'!$AX$5:$BA$5,0)))/2,0)</f>
        <v>0</v>
      </c>
      <c r="AN7" s="248">
        <f>IF($S7=$AN$3,(((((INDEX('Tables - Part 2'!$AX$6:$BA$13,MATCH('HIC-SOHIC-H2S'!Z7,'Tables - Part 2'!$AV$6:$AV$13,0),MATCH('HIC-SOHIC-H2S'!T7,'Tables - Part 2'!$AX$5:$BA$5,0))+INDEX('Tables - Part 2'!$BB$6:$BE$13,MATCH('HIC-SOHIC-H2S'!$Z7,'Tables - Part 2'!$AV$6:$AV$13,0),MATCH('HIC-SOHIC-H2S'!$T7,'Tables - Part 2'!$AX$5:$BA$5,0)))/2)+INDEX('Tables - Part 2'!$BB$6:$BE$13,MATCH('HIC-SOHIC-H2S'!$Z7,'Tables - Part 2'!$AV$6:$AV$13,0),MATCH('HIC-SOHIC-H2S'!$T7,'Tables - Part 2'!$AX$5:$BA$5,0)))/2)+INDEX('Tables - Part 2'!$BB$6:$BE$13,MATCH('HIC-SOHIC-H2S'!$Z7,'Tables - Part 2'!$AV$6:$AV$13,0),MATCH('HIC-SOHIC-H2S'!$T7,'Tables - Part 2'!$AX$5:$BA$5,0)))/2,0)</f>
        <v>0</v>
      </c>
      <c r="AO7" s="248">
        <f>IF($S7=$AO$3,INDEX('Tables - Part 2'!$BB$6:$BE$13,MATCH('HIC-SOHIC-H2S'!$Z7,'Tables - Part 2'!$AV$6:$AV$13,0),MATCH('HIC-SOHIC-H2S'!$T7,'Tables - Part 2'!$AX$5:$BA$5,0)),0)</f>
        <v>0</v>
      </c>
      <c r="AP7" s="248">
        <f>IF($S7=$AP$3,((INDEX('Tables - Part 2'!$BB$6:$BE$13,MATCH('HIC-SOHIC-H2S'!$Z7,'Tables - Part 2'!$AV$6:$AV$13,0),MATCH('HIC-SOHIC-H2S'!$T7,'Tables - Part 2'!$AX$5:$BA$5,0)))+(INDEX('Tables - Part 2'!$BB$6:$BE$13,MATCH('HIC-SOHIC-H2S'!$Z7,'Tables - Part 2'!$AV$6:$AV$13,0),MATCH('HIC-SOHIC-H2S'!$T7,'Tables - Part 2'!$AX$5:$BA$5,0))+(INDEX('Tables - Part 2'!$BB$6:$BE$13,MATCH('HIC-SOHIC-H2S'!$Z7,'Tables - Part 2'!$AV$6:$AV$13,0),MATCH('HIC-SOHIC-H2S'!$T7,'Tables - Part 2'!$AX$5:$BA$5,0))+INDEX('Tables - Part 2'!$BF$6:$BI$13,MATCH('HIC-SOHIC-H2S'!$Z7,'Tables - Part 2'!$AV$6:$AV$13,0),MATCH('HIC-SOHIC-H2S'!$T7,'Tables - Part 2'!$AX$5:$BA$5,0)))/2)/2)/2,0)</f>
        <v>0</v>
      </c>
      <c r="AQ7" s="248">
        <f>IF($S7=$AQ$3,(INDEX('Tables - Part 2'!$BB$6:$BE$13,MATCH('HIC-SOHIC-H2S'!$Z7,'Tables - Part 2'!$AV$6:$AV$13,0),MATCH('HIC-SOHIC-H2S'!$T7,'Tables - Part 2'!$AX$5:$BA$5,0))+(INDEX('Tables - Part 2'!$BB$6:$BE$13,MATCH('HIC-SOHIC-H2S'!$Z7,'Tables - Part 2'!$AV$6:$AV$13,0),MATCH('HIC-SOHIC-H2S'!$T7,'Tables - Part 2'!$AX$5:$BA$5,0))+INDEX('Tables - Part 2'!$BF$6:$BI$13,MATCH('HIC-SOHIC-H2S'!$Z7,'Tables - Part 2'!$AV$6:$AV$13,0),MATCH('HIC-SOHIC-H2S'!$T7,'Tables - Part 2'!$AX$5:$BA$5,0)))/2)/2,0)</f>
        <v>0</v>
      </c>
      <c r="AR7" s="248">
        <f>IF($S7=$AR$3,(((INDEX('Tables - Part 2'!$BB$6:$BE$13,MATCH('HIC-SOHIC-H2S'!$Z7,'Tables - Part 2'!$AV$6:$AV$13,0),MATCH('HIC-SOHIC-H2S'!$T7,'Tables - Part 2'!$AX$5:$BA$5,0))+(INDEX('Tables - Part 2'!$BB$6:$BE$13,MATCH('HIC-SOHIC-H2S'!$Z7,'Tables - Part 2'!$AV$6:$AV$13,0),MATCH('HIC-SOHIC-H2S'!$T7,'Tables - Part 2'!$AX$5:$BA$5,0))+INDEX('Tables - Part 2'!$BF$6:$BI$13,MATCH('HIC-SOHIC-H2S'!$Z7,'Tables - Part 2'!$AV$6:$AV$13,0),MATCH('HIC-SOHIC-H2S'!$T7,'Tables - Part 2'!$AX$5:$BA$5,0)))/2)/2)+((INDEX('Tables - Part 2'!$BB$6:$BE$13,MATCH('HIC-SOHIC-H2S'!$Z7,'Tables - Part 2'!$AV$6:$AV$13,0),MATCH('HIC-SOHIC-H2S'!$T7,'Tables - Part 2'!$AX$5:$BA$5,0))+INDEX('Tables - Part 2'!$BF$6:$BI$13,MATCH('HIC-SOHIC-H2S'!$Z7,'Tables - Part 2'!$AV$6:$AV$13,0),MATCH('HIC-SOHIC-H2S'!$T7,'Tables - Part 2'!$AX$5:$BA$5,0)))/2))/2,0)</f>
        <v>0</v>
      </c>
      <c r="AS7" s="248">
        <f>IF($S7=$AS$3,(INDEX('Tables - Part 2'!$BB$6:$BE$13,MATCH('HIC-SOHIC-H2S'!$Z7,'Tables - Part 2'!$AV$6:$AV$13,0),MATCH('HIC-SOHIC-H2S'!$T7,'Tables - Part 2'!$AX$5:$BA$5,0))+INDEX('Tables - Part 2'!$BF$6:$BI$13,MATCH('HIC-SOHIC-H2S'!$Z7,'Tables - Part 2'!$AV$6:$AV$13,0),MATCH('HIC-SOHIC-H2S'!$T7,'Tables - Part 2'!$AX$5:$BA$5,0)))/2,0)</f>
        <v>0</v>
      </c>
      <c r="AT7" s="248">
        <f>IF($S7=$AT$3,(((INDEX('Tables - Part 2'!$BB$6:$BE$13,MATCH('HIC-SOHIC-H2S'!$Z7,'Tables - Part 2'!$AV$6:$AV$13,0),MATCH('HIC-SOHIC-H2S'!$T7,'Tables - Part 2'!$AX$5:$BA$5,0))+INDEX('Tables - Part 2'!$BF$6:$BI$13,MATCH('HIC-SOHIC-H2S'!$Z7,'Tables - Part 2'!$AV$6:$AV$13,0),MATCH('HIC-SOHIC-H2S'!$T7,'Tables - Part 2'!$AX$5:$BA$5,0)))/2)+((((INDEX('Tables - Part 2'!$BB$6:$BE$13,MATCH('HIC-SOHIC-H2S'!$Z7,'Tables - Part 2'!$AV$6:$AV$13,0),MATCH('HIC-SOHIC-H2S'!$T7,'Tables - Part 2'!$AX$5:$BA$5,0))+INDEX('Tables - Part 2'!$BF$6:$BI$13,MATCH('HIC-SOHIC-H2S'!$Z7,'Tables - Part 2'!$AV$6:$AV$13,0),MATCH('HIC-SOHIC-H2S'!$T7,'Tables - Part 2'!$AX$5:$BA$5,0)))/2)+INDEX('Tables - Part 2'!$BF$6:$BI$13,MATCH('HIC-SOHIC-H2S'!$Z7,'Tables - Part 2'!$AV$6:$AV$13,0),MATCH('HIC-SOHIC-H2S'!$T7,'Tables - Part 2'!$AX$5:$BA$5,0)))/2))/2,0)</f>
        <v>0</v>
      </c>
      <c r="AU7" s="248">
        <f>IF($S7=$AU$3,(((INDEX('Tables - Part 2'!$BB$6:$BE$13,MATCH('HIC-SOHIC-H2S'!$Z7,'Tables - Part 2'!$AV$6:$AV$13,0),MATCH('HIC-SOHIC-H2S'!$T7,'Tables - Part 2'!$AX$5:$BA$5,0))+INDEX('Tables - Part 2'!$BF$6:$BI$13,MATCH('HIC-SOHIC-H2S'!$Z7,'Tables - Part 2'!$AV$6:$AV$13,0),MATCH('HIC-SOHIC-H2S'!$T7,'Tables - Part 2'!$AX$5:$BA$5,0)))/2)+INDEX('Tables - Part 2'!$BF$6:$BI$13,MATCH('HIC-SOHIC-H2S'!$Z7,'Tables - Part 2'!$AV$6:$AV$13,0),MATCH('HIC-SOHIC-H2S'!$T7,'Tables - Part 2'!$AX$5:$BA$5,0)))/2,0)</f>
        <v>0</v>
      </c>
      <c r="AV7" s="248">
        <f>IF($S7=$AV$3,(((((INDEX('Tables - Part 2'!$BB$6:$BE$13,MATCH('HIC-SOHIC-H2S'!$Z7,'Tables - Part 2'!$AV$6:$AV$13,0),MATCH('HIC-SOHIC-H2S'!$T7,'Tables - Part 2'!$AX$5:$BA$5,0))+INDEX('Tables - Part 2'!$BF$6:$BI$13,MATCH('HIC-SOHIC-H2S'!$Z7,'Tables - Part 2'!$AV$6:$AV$13,0),MATCH('HIC-SOHIC-H2S'!$T7,'Tables - Part 2'!$AX$5:$BA$5,0)))/2)+INDEX('Tables - Part 2'!$BF$6:$BI$13,MATCH('HIC-SOHIC-H2S'!$Z7,'Tables - Part 2'!$AV$6:$AV$13,0),MATCH('HIC-SOHIC-H2S'!$T7,'Tables - Part 2'!$AX$5:$BA$5,0)))/2)+INDEX('Tables - Part 2'!$BF$6:$BI$13,MATCH('HIC-SOHIC-H2S'!$Z7,'Tables - Part 2'!$AV$6:$AV$13,0),MATCH('HIC-SOHIC-H2S'!$T7,'Tables - Part 2'!$AX$5:$BA$5,0)))/2,0)</f>
        <v>0</v>
      </c>
      <c r="AW7" s="248">
        <f>IF($S7=$AW$3,INDEX('Tables - Part 2'!$BF$6:$BI$13,MATCH('HIC-SOHIC-H2S'!$Z7,'Tables - Part 2'!$AV$6:$AV$13,0),MATCH('HIC-SOHIC-H2S'!$T7,'Tables - Part 2'!$AX$5:$BA$5,0)),0)</f>
        <v>0</v>
      </c>
      <c r="AX7" s="248">
        <f>IF($S7=$AX$3,(INDEX('Tables - Part 2'!$BF$6:$BI$13,MATCH('HIC-SOHIC-H2S'!$Z7,'Tables - Part 2'!$AV$6:$AV$13,0),MATCH('HIC-SOHIC-H2S'!$T7,'Tables - Part 2'!$AX$5:$BA$5,0))+((INDEX('Tables - Part 2'!$BF$6:$BI$13,MATCH('HIC-SOHIC-H2S'!$Z7,'Tables - Part 2'!$AV$6:$AV$13,0),MATCH('HIC-SOHIC-H2S'!$T7,'Tables - Part 2'!$AX$5:$BA$5,0))+(INDEX('Tables - Part 2'!$BF$6:$BI$13,MATCH('HIC-SOHIC-H2S'!$Z7,'Tables - Part 2'!$AV$6:$AV$13,0),MATCH('HIC-SOHIC-H2S'!$T7,'Tables - Part 2'!$AX$5:$BA$5,0))+INDEX('Tables - Part 2'!$AX$17:$BA$24,MATCH('HIC-SOHIC-H2S'!$Z7,'Tables - Part 2'!$AV$6:$AV$13,0),MATCH('HIC-SOHIC-H2S'!$T7,'Tables - Part 2'!$AX$5:$BA$5,0)))/2)/2))/2,0)</f>
        <v>0</v>
      </c>
      <c r="AY7" s="248">
        <f>IF($S7=$AY$3,(INDEX('Tables - Part 2'!$BF$6:$BI$13,MATCH('HIC-SOHIC-H2S'!$Z7,'Tables - Part 2'!$AV$6:$AV$13,0),MATCH('HIC-SOHIC-H2S'!$T7,'Tables - Part 2'!$AX$5:$BA$5,0))+(INDEX('Tables - Part 2'!$BF$6:$BI$13,MATCH('HIC-SOHIC-H2S'!$Z7,'Tables - Part 2'!$AV$6:$AV$13,0),MATCH('HIC-SOHIC-H2S'!$T7,'Tables - Part 2'!$AX$5:$BA$5,0))+INDEX('Tables - Part 2'!$AX$17:$BA$24,MATCH('HIC-SOHIC-H2S'!$Z7,'Tables - Part 2'!$AV$6:$AV$13,0),MATCH('HIC-SOHIC-H2S'!$T7,'Tables - Part 2'!$AX$5:$BA$5,0)))/2)/2,0)</f>
        <v>0</v>
      </c>
      <c r="AZ7" s="248">
        <f>IF($S7=$AZ$3,(((INDEX('Tables - Part 2'!$BF$6:$BI$13,MATCH('HIC-SOHIC-H2S'!$Z7,'Tables - Part 2'!$AV$6:$AV$13,0),MATCH('HIC-SOHIC-H2S'!$T7,'Tables - Part 2'!$AX$5:$BA$5,0))+(INDEX('Tables - Part 2'!$BF$6:$BI$13,MATCH('HIC-SOHIC-H2S'!$Z7,'Tables - Part 2'!$AV$6:$AV$13,0),MATCH('HIC-SOHIC-H2S'!$T7,'Tables - Part 2'!$AX$5:$BA$5,0))+INDEX('Tables - Part 2'!$AX$17:$BA$24,MATCH('HIC-SOHIC-H2S'!$Z7,'Tables - Part 2'!$AV$6:$AV$13,0),MATCH('HIC-SOHIC-H2S'!$T7,'Tables - Part 2'!$AX$5:$BA$5,0)))/2)/2)+((INDEX('Tables - Part 2'!$BF$6:$BI$13,MATCH('HIC-SOHIC-H2S'!$Z7,'Tables - Part 2'!$AV$6:$AV$13,0),MATCH('HIC-SOHIC-H2S'!$T7,'Tables - Part 2'!$AX$5:$BA$5,0))+INDEX('Tables - Part 2'!$AX$17:$BA$24,MATCH('HIC-SOHIC-H2S'!$Z7,'Tables - Part 2'!$AV$6:$AV$13,0),MATCH('HIC-SOHIC-H2S'!$T7,'Tables - Part 2'!$AX$5:$BA$5,0)))/2))/2,0)</f>
        <v>0</v>
      </c>
      <c r="BA7" s="248">
        <f>IF($S7=$BA$3,(INDEX('Tables - Part 2'!$BF$6:$BI$13,MATCH('HIC-SOHIC-H2S'!$Z7,'Tables - Part 2'!$AV$6:$AV$13,0),MATCH('HIC-SOHIC-H2S'!$T7,'Tables - Part 2'!$AX$5:$BA$5,0))+INDEX('Tables - Part 2'!$AX$17:$BA$24,MATCH('HIC-SOHIC-H2S'!$Z7,'Tables - Part 2'!$AV$6:$AV$13,0),MATCH('HIC-SOHIC-H2S'!$T7,'Tables - Part 2'!$AX$5:$BA$5,0)))/2,0)</f>
        <v>0</v>
      </c>
      <c r="BB7" s="248">
        <f>IF($S7=$BB$3,(((INDEX('Tables - Part 2'!$BF$6:$BI$13,MATCH('HIC-SOHIC-H2S'!$Z7,'Tables - Part 2'!$AV$6:$AV$13,0),MATCH('HIC-SOHIC-H2S'!$T7,'Tables - Part 2'!$AX$5:$BA$5,0))+INDEX('Tables - Part 2'!$AX$17:$BA$24,MATCH('HIC-SOHIC-H2S'!$Z7,'Tables - Part 2'!$AV$6:$AV$13,0),MATCH('HIC-SOHIC-H2S'!$T7,'Tables - Part 2'!$AX$5:$BA$5,0)))/2)+((((INDEX('Tables - Part 2'!$BF$6:$BI$13,MATCH('HIC-SOHIC-H2S'!$Z7,'Tables - Part 2'!$AV$6:$AV$13,0),MATCH('HIC-SOHIC-H2S'!$T7,'Tables - Part 2'!$AX$5:$BA$5,0))+INDEX('Tables - Part 2'!$AX$17:$BA$24,MATCH('HIC-SOHIC-H2S'!$Z7,'Tables - Part 2'!$AV$6:$AV$13,0),MATCH('HIC-SOHIC-H2S'!$T7,'Tables - Part 2'!$AX$5:$BA$5,0)))/2)+INDEX('Tables - Part 2'!$AX$17:$BA$24,MATCH('HIC-SOHIC-H2S'!$Z7,'Tables - Part 2'!$AV$6:$AV$13,0),MATCH('HIC-SOHIC-H2S'!$T7,'Tables - Part 2'!$AX$5:$BA$5,0)))/2))/2,0)</f>
        <v>0</v>
      </c>
      <c r="BC7" s="248">
        <f>IF($S7=$BC$3,(((INDEX('Tables - Part 2'!$BF$6:$BI$13,MATCH('HIC-SOHIC-H2S'!$Z7,'Tables - Part 2'!$AV$6:$AV$13,0),MATCH('HIC-SOHIC-H2S'!$T7,'Tables - Part 2'!$AX$5:$BA$5,0))+INDEX('Tables - Part 2'!$AX$17:$BA$24,MATCH('HIC-SOHIC-H2S'!$Z7,'Tables - Part 2'!$AV$6:$AV$13,0),MATCH('HIC-SOHIC-H2S'!$T7,'Tables - Part 2'!$AX$5:$BA$5,0)))/2)+INDEX('Tables - Part 2'!$AX$17:$BA$24,MATCH('HIC-SOHIC-H2S'!$Z7,'Tables - Part 2'!$AV$6:$AV$13,0),MATCH('HIC-SOHIC-H2S'!$T7,'Tables - Part 2'!$AX$5:$BA$5,0)))/2,0)</f>
        <v>0</v>
      </c>
      <c r="BD7" s="248">
        <f>IF($S7=$BD$3,(((((INDEX('Tables - Part 2'!$BF$6:$BI$13,MATCH('HIC-SOHIC-H2S'!$Z7,'Tables - Part 2'!$AV$6:$AV$13,0),MATCH('HIC-SOHIC-H2S'!$T7,'Tables - Part 2'!$AX$5:$BA$5,0))+INDEX('Tables - Part 2'!$AX$17:$BA$24,MATCH('HIC-SOHIC-H2S'!$Z7,'Tables - Part 2'!$AV$6:$AV$13,0),MATCH('HIC-SOHIC-H2S'!$T7,'Tables - Part 2'!$AX$5:$BA$5,0)))/2)+INDEX('Tables - Part 2'!$AX$17:$BA$24,MATCH('HIC-SOHIC-H2S'!$Z7,'Tables - Part 2'!$AV$6:$AV$13,0),MATCH('HIC-SOHIC-H2S'!$T7,'Tables - Part 2'!$AX$5:$BA$5,0)))/2)+(INDEX('Tables - Part 2'!$AX$17:$BA$24,MATCH('HIC-SOHIC-H2S'!$Z7,'Tables - Part 2'!$AV$6:$AV$13,0),MATCH('HIC-SOHIC-H2S'!$T7,'Tables - Part 2'!$AX$5:$BA$5,0))))/2,0)</f>
        <v>0</v>
      </c>
      <c r="BE7" s="248">
        <f>IF($S7=$BE$3,INDEX('Tables - Part 2'!$AX$17:$BA$24,MATCH('HIC-SOHIC-H2S'!$Z7,'Tables - Part 2'!$AV$6:$AV$13,0),MATCH('HIC-SOHIC-H2S'!$T7,'Tables - Part 2'!$AX$5:$BA$5,0)),0)</f>
        <v>0</v>
      </c>
      <c r="BF7" s="248">
        <f>IF($S7=$BF$3,((INDEX('Tables - Part 2'!$AX$17:$BA$24,MATCH('HIC-SOHIC-H2S'!$Z7,'Tables - Part 2'!$AV$6:$AV$13,0),MATCH('HIC-SOHIC-H2S'!$T7,'Tables - Part 2'!$AX$5:$BA$5,0)))+(((INDEX('Tables - Part 2'!$AX$17:$BA$24,MATCH('HIC-SOHIC-H2S'!$Z7,'Tables - Part 2'!$AV$6:$AV$13,0),MATCH('HIC-SOHIC-H2S'!$T7,'Tables - Part 2'!$AX$5:$BA$5,0)))+(INDEX('Tables - Part 2'!$AX$17:$BA$24,MATCH('HIC-SOHIC-H2S'!$Z7,'Tables - Part 2'!$AV$6:$AV$13,0),MATCH('HIC-SOHIC-H2S'!$T7,'Tables - Part 2'!$AX$5:$BA$5,0))+INDEX('Tables - Part 2'!$BB$17:$BE$24,MATCH('HIC-SOHIC-H2S'!$Z7,'Tables - Part 2'!$AV$6:$AV$13,0),MATCH('HIC-SOHIC-H2S'!$T7,'Tables - Part 2'!$AX$5:$BA$5,0)))/2)/2))/2,0)</f>
        <v>0</v>
      </c>
      <c r="BG7" s="248">
        <f>IF($S7=$BG$3,((INDEX('Tables - Part 2'!$AX$17:$BA$24,MATCH('HIC-SOHIC-H2S'!$Z7,'Tables - Part 2'!$AV$6:$AV$13,0),MATCH('HIC-SOHIC-H2S'!$T7,'Tables - Part 2'!$AX$5:$BA$5,0)))+(INDEX('Tables - Part 2'!$AX$17:$BA$24,MATCH('HIC-SOHIC-H2S'!$Z7,'Tables - Part 2'!$AV$6:$AV$13,0),MATCH('HIC-SOHIC-H2S'!$T7,'Tables - Part 2'!$AX$5:$BA$5,0))+INDEX('Tables - Part 2'!$BB$17:$BE$24,MATCH('HIC-SOHIC-H2S'!$Z7,'Tables - Part 2'!$AV$6:$AV$13,0),MATCH('HIC-SOHIC-H2S'!$T7,'Tables - Part 2'!$AX$5:$BA$5,0)))/2)/2,0)</f>
        <v>0</v>
      </c>
      <c r="BH7" s="248">
        <f>IF($S7=$BH$3,((((INDEX('Tables - Part 2'!$AX$17:$BA$24,MATCH('HIC-SOHIC-H2S'!$Z7,'Tables - Part 2'!$AV$6:$AV$13,0),MATCH('HIC-SOHIC-H2S'!$T7,'Tables - Part 2'!$AX$5:$BA$5,0)))+(INDEX('Tables - Part 2'!$AX$17:$BA$24,MATCH('HIC-SOHIC-H2S'!$Z7,'Tables - Part 2'!$AV$6:$AV$13,0),MATCH('HIC-SOHIC-H2S'!$T7,'Tables - Part 2'!$AX$5:$BA$5,0))+INDEX('Tables - Part 2'!$BB$17:$BE$24,MATCH('HIC-SOHIC-H2S'!$Z7,'Tables - Part 2'!$AV$6:$AV$13,0),MATCH('HIC-SOHIC-H2S'!$T7,'Tables - Part 2'!$AX$5:$BA$5,0)))/2)/2)+((INDEX('Tables - Part 2'!$AX$17:$BA$24,MATCH('HIC-SOHIC-H2S'!$Z7,'Tables - Part 2'!$AV$6:$AV$13,0),MATCH('HIC-SOHIC-H2S'!$T7,'Tables - Part 2'!$AX$5:$BA$5,0))+INDEX('Tables - Part 2'!$BB$17:$BE$24,MATCH('HIC-SOHIC-H2S'!$Z7,'Tables - Part 2'!$AV$6:$AV$13,0),MATCH('HIC-SOHIC-H2S'!$T7,'Tables - Part 2'!$AX$5:$BA$5,0)))/2))/2,0)</f>
        <v>0</v>
      </c>
      <c r="BI7" s="248">
        <f>IF($S7=$BI$3,(INDEX('Tables - Part 2'!$AX$17:$BA$24,MATCH('HIC-SOHIC-H2S'!$Z7,'Tables - Part 2'!$AV$6:$AV$13,0),MATCH('HIC-SOHIC-H2S'!$T7,'Tables - Part 2'!$AX$5:$BA$5,0))+INDEX('Tables - Part 2'!$BB$17:$BE$24,MATCH('HIC-SOHIC-H2S'!$Z7,'Tables - Part 2'!$AV$6:$AV$13,0),MATCH('HIC-SOHIC-H2S'!$T7,'Tables - Part 2'!$AX$5:$BA$5,0)))/2,0)</f>
        <v>0</v>
      </c>
      <c r="BJ7" s="248">
        <f>IF($S7=$BJ$3,(((INDEX('Tables - Part 2'!$AX$17:$BA$24,MATCH('HIC-SOHIC-H2S'!$Z7,'Tables - Part 2'!$AV$6:$AV$13,0),MATCH('HIC-SOHIC-H2S'!$T7,'Tables - Part 2'!$AX$5:$BA$5,0))+INDEX('Tables - Part 2'!$BB$17:$BE$24,MATCH('HIC-SOHIC-H2S'!$Z7,'Tables - Part 2'!$AV$6:$AV$13,0),MATCH('HIC-SOHIC-H2S'!$T7,'Tables - Part 2'!$AX$5:$BA$5,0)))/2)+((((INDEX('Tables - Part 2'!$AX$17:$BA$24,MATCH('HIC-SOHIC-H2S'!$Z7,'Tables - Part 2'!$AV$6:$AV$13,0),MATCH('HIC-SOHIC-H2S'!$T7,'Tables - Part 2'!$AX$5:$BA$5,0))+INDEX('Tables - Part 2'!$BB$17:$BE$24,MATCH('HIC-SOHIC-H2S'!$Z7,'Tables - Part 2'!$AV$6:$AV$13,0),MATCH('HIC-SOHIC-H2S'!$T7,'Tables - Part 2'!$AX$5:$BA$5,0)))/2)+INDEX('Tables - Part 2'!$BB$17:$BE$24,MATCH('HIC-SOHIC-H2S'!$Z7,'Tables - Part 2'!$AV$6:$AV$13,0),MATCH('HIC-SOHIC-H2S'!$T7,'Tables - Part 2'!$AX$5:$BA$5,0)))/2))/2,0)</f>
        <v>0</v>
      </c>
      <c r="BK7" s="248">
        <f>IF($S7=$BK$3,(((INDEX('Tables - Part 2'!$AX$17:$BA$24,MATCH('HIC-SOHIC-H2S'!$Z7,'Tables - Part 2'!$AV$6:$AV$13,0),MATCH('HIC-SOHIC-H2S'!$T7,'Tables - Part 2'!$AX$5:$BA$5,0))+INDEX('Tables - Part 2'!$BB$17:$BE$24,MATCH('HIC-SOHIC-H2S'!$Z7,'Tables - Part 2'!$AV$6:$AV$13,0),MATCH('HIC-SOHIC-H2S'!$T7,'Tables - Part 2'!$AX$5:$BA$5,0)))/2)+INDEX('Tables - Part 2'!$BB$17:$BE$24,MATCH('HIC-SOHIC-H2S'!$Z7,'Tables - Part 2'!$AV$6:$AV$13,0),MATCH('HIC-SOHIC-H2S'!$T7,'Tables - Part 2'!$AX$5:$BA$5,0)))/2,0)</f>
        <v>0</v>
      </c>
      <c r="BL7" s="248">
        <f>IF($S7=$BL$3,(((((INDEX('Tables - Part 2'!$AX$17:$BA$24,MATCH('HIC-SOHIC-H2S'!$Z7,'Tables - Part 2'!$AV$6:$AV$13,0),MATCH('HIC-SOHIC-H2S'!$T7,'Tables - Part 2'!$AX$5:$BA$5,0))+INDEX('Tables - Part 2'!$BB$17:$BE$24,MATCH('HIC-SOHIC-H2S'!$Z7,'Tables - Part 2'!$AV$6:$AV$13,0),MATCH('HIC-SOHIC-H2S'!$T7,'Tables - Part 2'!$AX$5:$BA$5,0)))/2)+INDEX('Tables - Part 2'!$BB$17:$BE$24,MATCH('HIC-SOHIC-H2S'!$Z7,'Tables - Part 2'!$AV$6:$AV$13,0),MATCH('HIC-SOHIC-H2S'!$T7,'Tables - Part 2'!$AX$5:$BA$5,0)))/2)+(INDEX('Tables - Part 2'!$BB$17:$BE$24,MATCH('HIC-SOHIC-H2S'!$Z7,'Tables - Part 2'!$AV$6:$AV$13,0),MATCH('HIC-SOHIC-H2S'!$T7,'Tables - Part 2'!$AX$5:$BA$5,0))))/2,0)</f>
        <v>0</v>
      </c>
      <c r="BM7" s="248">
        <f>IF($S7=$BM$3,INDEX('Tables - Part 2'!$BB$17:$BE$24,MATCH('HIC-SOHIC-H2S'!$Z7,'Tables - Part 2'!$AV$6:$AV$13,0),MATCH('HIC-SOHIC-H2S'!$T7,'Tables - Part 2'!$AX$5:$BA$5,0)),0)</f>
        <v>0</v>
      </c>
      <c r="BN7" s="248">
        <f>IF($S7=$BN$3,((INDEX('Tables - Part 2'!$BB$17:$BE$24,MATCH('HIC-SOHIC-H2S'!$Z7,'Tables - Part 2'!$AV$6:$AV$13,0),MATCH('HIC-SOHIC-H2S'!$T7,'Tables - Part 2'!$AX$5:$BA$5,0)))+(((INDEX('Tables - Part 2'!$BB$17:$BE$24,MATCH('HIC-SOHIC-H2S'!$Z7,'Tables - Part 2'!$AV$6:$AV$13,0),MATCH('HIC-SOHIC-H2S'!$T7,'Tables - Part 2'!$AX$5:$BA$5,0)))+(INDEX('Tables - Part 2'!$BB$17:$BE$24,MATCH('HIC-SOHIC-H2S'!$Z7,'Tables - Part 2'!$AV$6:$AV$13,0),MATCH('HIC-SOHIC-H2S'!$T7,'Tables - Part 2'!$AX$5:$BA$5,0))+INDEX('Tables - Part 2'!$BF$17:$BI$24,MATCH('HIC-SOHIC-H2S'!$Z7,'Tables - Part 2'!$AV$6:$AV$13,0),MATCH('HIC-SOHIC-H2S'!$T7,'Tables - Part 2'!$AX$5:$BA$5,0)))/2)/2))/2,0)</f>
        <v>0</v>
      </c>
      <c r="BO7" s="248">
        <f>IF($S7=$BO$3,((INDEX('Tables - Part 2'!$BB$17:$BE$24,MATCH('HIC-SOHIC-H2S'!$Z7,'Tables - Part 2'!$AV$6:$AV$13,0),MATCH('HIC-SOHIC-H2S'!$T7,'Tables - Part 2'!$AX$5:$BA$5,0)))+(INDEX('Tables - Part 2'!$BB$17:$BE$24,MATCH('HIC-SOHIC-H2S'!$Z7,'Tables - Part 2'!$AV$6:$AV$13,0),MATCH('HIC-SOHIC-H2S'!$T7,'Tables - Part 2'!$AX$5:$BA$5,0))+INDEX('Tables - Part 2'!$BF$17:$BI$24,MATCH('HIC-SOHIC-H2S'!$Z7,'Tables - Part 2'!$AV$6:$AV$13,0),MATCH('HIC-SOHIC-H2S'!$T7,'Tables - Part 2'!$AX$5:$BA$5,0)))/2)/2,0)</f>
        <v>0</v>
      </c>
      <c r="BP7" s="248">
        <f>IF($S7=$BP$3,((((INDEX('Tables - Part 2'!$BB$17:$BE$24,MATCH('HIC-SOHIC-H2S'!$Z7,'Tables - Part 2'!$AV$6:$AV$13,0),MATCH('HIC-SOHIC-H2S'!$T7,'Tables - Part 2'!$AX$5:$BA$5,0)))+(INDEX('Tables - Part 2'!$BB$17:$BE$24,MATCH('HIC-SOHIC-H2S'!$Z7,'Tables - Part 2'!$AV$6:$AV$13,0),MATCH('HIC-SOHIC-H2S'!$T7,'Tables - Part 2'!$AX$5:$BA$5,0))+INDEX('Tables - Part 2'!$BF$17:$BI$24,MATCH('HIC-SOHIC-H2S'!$Z7,'Tables - Part 2'!$AV$6:$AV$13,0),MATCH('HIC-SOHIC-H2S'!$T7,'Tables - Part 2'!$AX$5:$BA$5,0)))/2)/2)+((INDEX('Tables - Part 2'!$BB$17:$BE$24,MATCH('HIC-SOHIC-H2S'!$Z7,'Tables - Part 2'!$AV$6:$AV$13,0),MATCH('HIC-SOHIC-H2S'!$T7,'Tables - Part 2'!$AX$5:$BA$5,0))+INDEX('Tables - Part 2'!$BF$17:$BI$24,MATCH('HIC-SOHIC-H2S'!$Z7,'Tables - Part 2'!$AV$6:$AV$13,0),MATCH('HIC-SOHIC-H2S'!$T7,'Tables - Part 2'!$AX$5:$BA$5,0)))/2))/2,0)</f>
        <v>0</v>
      </c>
      <c r="BQ7" s="248">
        <f>IF($S7=$BQ$3,(INDEX('Tables - Part 2'!$BB$17:$BE$24,MATCH('HIC-SOHIC-H2S'!$Z7,'Tables - Part 2'!$AV$6:$AV$13,0),MATCH('HIC-SOHIC-H2S'!$T7,'Tables - Part 2'!$AX$5:$BA$5,0))+INDEX('Tables - Part 2'!$BF$17:$BI$24,MATCH('HIC-SOHIC-H2S'!$Z7,'Tables - Part 2'!$AV$6:$AV$13,0),MATCH('HIC-SOHIC-H2S'!$T7,'Tables - Part 2'!$AX$5:$BA$5,0)))/2,0)</f>
        <v>0</v>
      </c>
      <c r="BR7" s="248">
        <f>IF($S7=$BR$3,(((INDEX('Tables - Part 2'!$BB$17:$BE$24,MATCH('HIC-SOHIC-H2S'!$Z7,'Tables - Part 2'!$AV$6:$AV$13,0),MATCH('HIC-SOHIC-H2S'!$T7,'Tables - Part 2'!$AX$5:$BA$5,0))+INDEX('Tables - Part 2'!$BF$17:$BI$24,MATCH('HIC-SOHIC-H2S'!$Z7,'Tables - Part 2'!$AV$6:$AV$13,0),MATCH('HIC-SOHIC-H2S'!$T7,'Tables - Part 2'!$AX$5:$BA$5,0)))/2)+((((INDEX('Tables - Part 2'!$BB$17:$BE$24,MATCH('HIC-SOHIC-H2S'!$Z7,'Tables - Part 2'!$AV$6:$AV$13,0),MATCH('HIC-SOHIC-H2S'!$T7,'Tables - Part 2'!$AX$5:$BA$5,0))+INDEX('Tables - Part 2'!$BF$17:$BI$24,MATCH('HIC-SOHIC-H2S'!$Z7,'Tables - Part 2'!$AV$6:$AV$13,0),MATCH('HIC-SOHIC-H2S'!$T7,'Tables - Part 2'!$AX$5:$BA$5,0)))/2)+INDEX('Tables - Part 2'!$BF$17:$BI$24,MATCH('HIC-SOHIC-H2S'!$Z7,'Tables - Part 2'!$AV$6:$AV$13,0),MATCH('HIC-SOHIC-H2S'!$T7,'Tables - Part 2'!$AX$5:$BA$5,0)))/2))/2,0)</f>
        <v>0</v>
      </c>
      <c r="BS7" s="248">
        <f>IF($S7=$BS$3,(((INDEX('Tables - Part 2'!$BB$17:$BE$24,MATCH('HIC-SOHIC-H2S'!$Z7,'Tables - Part 2'!$AV$6:$AV$13,0),MATCH('HIC-SOHIC-H2S'!$T7,'Tables - Part 2'!$AX$5:$BA$5,0))+INDEX('Tables - Part 2'!$BF$17:$BI$24,MATCH('HIC-SOHIC-H2S'!$Z7,'Tables - Part 2'!$AV$6:$AV$13,0),MATCH('HIC-SOHIC-H2S'!$T7,'Tables - Part 2'!$AX$5:$BA$5,0)))/2)+INDEX('Tables - Part 2'!$BF$17:$BI$24,MATCH('HIC-SOHIC-H2S'!$Z7,'Tables - Part 2'!$AV$6:$AV$13,0),MATCH('HIC-SOHIC-H2S'!$T7,'Tables - Part 2'!$AX$5:$BA$5,0)))/2,0)</f>
        <v>0</v>
      </c>
      <c r="BT7" s="248">
        <f>IF($S7=$BT$3,(((((INDEX('Tables - Part 2'!$BB$17:$BE$24,MATCH('HIC-SOHIC-H2S'!$Z7,'Tables - Part 2'!$AV$6:$AV$13,0),MATCH('HIC-SOHIC-H2S'!$T7,'Tables - Part 2'!$AX$5:$BA$5,0))+INDEX('Tables - Part 2'!$BF$17:$BI$24,MATCH('HIC-SOHIC-H2S'!$Z7,'Tables - Part 2'!$AV$6:$AV$13,0),MATCH('HIC-SOHIC-H2S'!$T7,'Tables - Part 2'!$AX$5:$BA$5,0)))/2)+INDEX('Tables - Part 2'!$BF$17:$BI$24,MATCH('HIC-SOHIC-H2S'!$Z7,'Tables - Part 2'!$AV$6:$AV$13,0),MATCH('HIC-SOHIC-H2S'!$T7,'Tables - Part 2'!$AX$5:$BA$5,0)))/2)+(INDEX('Tables - Part 2'!$BF$17:$BI$24,MATCH('HIC-SOHIC-H2S'!$Z7,'Tables - Part 2'!$AV$6:$AV$13,0),MATCH('HIC-SOHIC-H2S'!$T7,'Tables - Part 2'!$AX$5:$BA$5,0))))/2,0)</f>
        <v>0</v>
      </c>
      <c r="BU7" s="248">
        <f>IF($S7=$BU$3,INDEX('Tables - Part 2'!$BF$17:$BI$24,MATCH('HIC-SOHIC-H2S'!$Z7,'Tables - Part 2'!$AV$6:$AV$13,0),MATCH('HIC-SOHIC-H2S'!$T7,'Tables - Part 2'!$AX$5:$BA$5,0)),0)</f>
        <v>0</v>
      </c>
      <c r="BV7" s="248" t="e">
        <f t="shared" si="2"/>
        <v>#N/A</v>
      </c>
      <c r="BW7" s="238" t="e">
        <f t="shared" si="8"/>
        <v>#N/A</v>
      </c>
      <c r="BX7" s="238" t="e">
        <f t="shared" si="9"/>
        <v>#N/A</v>
      </c>
    </row>
    <row r="8" spans="2:89" x14ac:dyDescent="0.35">
      <c r="B8" s="161" t="str">
        <f>'Tratamento de Dados'!B16</f>
        <v>V-13</v>
      </c>
      <c r="C8" s="161" t="str">
        <f>'Tratamento de Dados'!D16</f>
        <v>Casco</v>
      </c>
      <c r="D8" s="209">
        <f>'Tratamento de Dados'!CN16</f>
        <v>0</v>
      </c>
      <c r="E8" s="209">
        <f>'Tratamento de Dados'!CO16</f>
        <v>0</v>
      </c>
      <c r="F8" s="209">
        <f>'Tratamento de Dados'!CP16</f>
        <v>0</v>
      </c>
      <c r="G8" s="209">
        <f>'Tratamento de Dados'!CQ16</f>
        <v>0</v>
      </c>
      <c r="H8" s="209">
        <f>'Tratamento de Dados'!CR16</f>
        <v>0</v>
      </c>
      <c r="I8" s="209">
        <f>'Tratamento de Dados'!CS16</f>
        <v>0</v>
      </c>
      <c r="J8" s="209">
        <f>'Tratamento de Dados'!CT16</f>
        <v>0</v>
      </c>
      <c r="K8" s="209">
        <f>'Tratamento de Dados'!CU16</f>
        <v>0</v>
      </c>
      <c r="L8" s="210">
        <f>'Tratamento de Dados'!CV16</f>
        <v>0</v>
      </c>
      <c r="M8" s="209">
        <f>'Tratamento de Dados'!CW16</f>
        <v>0</v>
      </c>
      <c r="N8" s="209">
        <f>'Tratamento de Dados'!CX16</f>
        <v>0</v>
      </c>
      <c r="O8" s="209">
        <f>'Tratamento de Dados'!CY16</f>
        <v>0</v>
      </c>
      <c r="P8" s="209">
        <f>'Tratamento de Dados'!CZ16</f>
        <v>0</v>
      </c>
      <c r="Q8" s="253">
        <f>'Tratamento de Dados'!DA16</f>
        <v>0</v>
      </c>
      <c r="R8" s="253">
        <f>'Tratamento de Dados'!DB16</f>
        <v>0</v>
      </c>
      <c r="S8" s="256">
        <f t="shared" si="0"/>
        <v>0</v>
      </c>
      <c r="T8" s="246" t="str">
        <f t="shared" si="3"/>
        <v>E</v>
      </c>
      <c r="U8" s="238" t="e">
        <f>IF(D8=$CC$2,$CA$4,IF(AND(H8=$CC$2,OR(F8='Tables - Part 2'!$CE$8,'Tables - Part 2'!$CE$9),OR('HIC-SOHIC-H2S'!G8='Tables - Part 2'!$CH$4,'HIC-SOHIC-H2S'!G8='Tables - Part 2'!$CI$4)),$CA$4,INDEX('Tables - Part 2'!$CF$5:$CI$9,MATCH('HIC-SOHIC-H2S'!F8,'Tables - Part 2'!$CE$5:$CE$9,0),MATCH('HIC-SOHIC-H2S'!G8,'Tables - Part 2'!$CF$4:$CI$4,0))))</f>
        <v>#N/A</v>
      </c>
      <c r="V8" s="238" t="str">
        <f>IF($I8=$V$3,INDEX('Tables - Part 2'!$CL$5:$CM$7,MATCH('HIC-SOHIC-H2S'!$U8,'Tables - Part 2'!$CK$5:$CK$7,0),IF('HIC-SOHIC-H2S'!$J8='HIC-SOHIC-H2S'!$CC$2,2,1)),"")</f>
        <v/>
      </c>
      <c r="W8" s="238" t="str">
        <f>IF($I8=$W$3,INDEX('Tables - Part 2'!$CN$5:$CO$7,MATCH('HIC-SOHIC-H2S'!$U8,'Tables - Part 2'!$CK$5:$CK$7,0),IF('HIC-SOHIC-H2S'!$J8='HIC-SOHIC-H2S'!$CC$2,2,1)),"")</f>
        <v/>
      </c>
      <c r="X8" s="238" t="str">
        <f>IF($I8=$X$3,INDEX('Tables - Part 2'!$CP$5:$CQ$7,MATCH('HIC-SOHIC-H2S'!$U8,'Tables - Part 2'!$CK$5:$CK$7,0),IF('HIC-SOHIC-H2S'!$J8='HIC-SOHIC-H2S'!$CC$2,2,1)),"")</f>
        <v/>
      </c>
      <c r="Y8" s="238" t="str">
        <f t="shared" si="1"/>
        <v/>
      </c>
      <c r="Z8" s="238" t="e">
        <f>IF(AND(D8=$CC$2,E8&lt;&gt;$CC$2),"Fitness-For-Service",INDEX('Tables - Part 2'!$CT$4:$CT$6,MATCH('HIC-SOHIC-H2S'!Y8,'Tables - Part 2'!$CS$4:$CS$6,0),))</f>
        <v>#N/A</v>
      </c>
      <c r="AA8" s="238">
        <f>IF(L8=0,(Thinning!G9-Thinning!F9)/365.25,(Thinning!G9-L8)/365.25)</f>
        <v>5.4757015742642025E-3</v>
      </c>
      <c r="AB8" s="238" t="e">
        <f>INDEX('Tables - Part 2'!$CW$4:$CW$7,MATCH('HIC-SOHIC-H2S'!K8,'Tables - Part 2'!$CV$4:$CV$7,0))</f>
        <v>#N/A</v>
      </c>
      <c r="AC8" s="248">
        <f t="shared" si="4"/>
        <v>0</v>
      </c>
      <c r="AD8" s="248">
        <f t="shared" si="5"/>
        <v>0</v>
      </c>
      <c r="AE8" s="247">
        <f t="shared" si="10"/>
        <v>0</v>
      </c>
      <c r="AF8" s="247">
        <f t="shared" si="7"/>
        <v>0</v>
      </c>
      <c r="AG8" s="248">
        <f>IF($S8=$AG$3,INDEX('Tables - Part 2'!$AX$6:$BA$13,MATCH('HIC-SOHIC-H2S'!Z8,'Tables - Part 2'!$AV$6:$AV$13,0),MATCH('HIC-SOHIC-H2S'!T8,'Tables - Part 2'!$AX$5:$BA$5,0)),0)</f>
        <v>0</v>
      </c>
      <c r="AH8" s="248">
        <f>IF($S8=$AH$3,(INDEX('Tables - Part 2'!$AX$6:$BA$13,MATCH('HIC-SOHIC-H2S'!Z8,'Tables - Part 2'!$AV$6:$AV$13,0),MATCH('HIC-SOHIC-H2S'!T8,'Tables - Part 2'!$AX$5:$BA$5,0))+(INDEX('Tables - Part 2'!$AX$6:$BA$13,MATCH('HIC-SOHIC-H2S'!Z8,'Tables - Part 2'!$AV$6:$AV$13,0),MATCH('HIC-SOHIC-H2S'!T8,'Tables - Part 2'!$AX$5:$BA$5,0))+((INDEX('Tables - Part 2'!$AX$6:$BA$13,MATCH('HIC-SOHIC-H2S'!Z8,'Tables - Part 2'!$AV$6:$AV$13,0),MATCH('HIC-SOHIC-H2S'!T8,'Tables - Part 2'!$AX$5:$BA$5,0))+INDEX('Tables - Part 2'!$BB$6:$BE$13,MATCH('HIC-SOHIC-H2S'!$Z8,'Tables - Part 2'!$AV$6:$AV$13,0),MATCH('HIC-SOHIC-H2S'!$T8,'Tables - Part 2'!$AX$5:$BA$5,0)))/2))/2)/2,0)</f>
        <v>0</v>
      </c>
      <c r="AI8" s="248">
        <f>IF($S8=$AI$3,(INDEX('Tables - Part 2'!$AX$6:$BA$13,MATCH('HIC-SOHIC-H2S'!Z8,'Tables - Part 2'!$AV$6:$AV$13,0),MATCH('HIC-SOHIC-H2S'!T8,'Tables - Part 2'!$AX$5:$BA$5,0))+((INDEX('Tables - Part 2'!$AX$6:$BA$13,MATCH('HIC-SOHIC-H2S'!Z8,'Tables - Part 2'!$AV$6:$AV$13,0),MATCH('HIC-SOHIC-H2S'!T8,'Tables - Part 2'!$AX$5:$BA$5,0))+INDEX('Tables - Part 2'!$BB$6:$BE$13,MATCH('HIC-SOHIC-H2S'!$Z8,'Tables - Part 2'!$AV$6:$AV$13,0),MATCH('HIC-SOHIC-H2S'!$T8,'Tables - Part 2'!$AX$5:$BA$5,0)))/2))/2,0)</f>
        <v>0</v>
      </c>
      <c r="AJ8" s="248">
        <f>IF($S8=$AJ$3,(((INDEX('Tables - Part 2'!$AX$6:$BA$13,MATCH('HIC-SOHIC-H2S'!Z8,'Tables - Part 2'!$AV$6:$AV$13,0),MATCH('HIC-SOHIC-H2S'!T8,'Tables - Part 2'!$AX$5:$BA$5,0))+((INDEX('Tables - Part 2'!$AX$6:$BA$13,MATCH('HIC-SOHIC-H2S'!Z8,'Tables - Part 2'!$AV$6:$AV$13,0),MATCH('HIC-SOHIC-H2S'!T8,'Tables - Part 2'!$AX$5:$BA$5,0))+INDEX('Tables - Part 2'!$BB$6:$BE$13,MATCH('HIC-SOHIC-H2S'!$Z8,'Tables - Part 2'!$AV$6:$AV$13,0),MATCH('HIC-SOHIC-H2S'!$T8,'Tables - Part 2'!$AX$5:$BA$5,0)))/2))/2)+(INDEX('Tables - Part 2'!$AX$6:$BA$13,MATCH('HIC-SOHIC-H2S'!Z8,'Tables - Part 2'!$AV$6:$AV$13,0),MATCH('HIC-SOHIC-H2S'!T8,'Tables - Part 2'!$AX$5:$BA$5,0))+INDEX('Tables - Part 2'!$BB$6:$BE$13,MATCH('HIC-SOHIC-H2S'!$Z8,'Tables - Part 2'!$AV$6:$AV$13,0),MATCH('HIC-SOHIC-H2S'!$T8,'Tables - Part 2'!$AX$5:$BA$5,0)))/2)/2,0)</f>
        <v>0</v>
      </c>
      <c r="AK8" s="248">
        <f>IF($S8=$AK$3,(INDEX('Tables - Part 2'!$AX$6:$BA$13,MATCH('HIC-SOHIC-H2S'!Z8,'Tables - Part 2'!$AV$6:$AV$13,0),MATCH('HIC-SOHIC-H2S'!T8,'Tables - Part 2'!$AX$5:$BA$5,0))+INDEX('Tables - Part 2'!$BB$6:$BE$13,MATCH('HIC-SOHIC-H2S'!$Z8,'Tables - Part 2'!$AV$6:$AV$13,0),MATCH('HIC-SOHIC-H2S'!$T8,'Tables - Part 2'!$AX$5:$BA$5,0)))/2,0)</f>
        <v>0</v>
      </c>
      <c r="AL8" s="248">
        <f>IF($S8=$AL$3,(((INDEX('Tables - Part 2'!$AX$6:$BA$13,MATCH('HIC-SOHIC-H2S'!Z8,'Tables - Part 2'!$AV$6:$AV$13,0),MATCH('HIC-SOHIC-H2S'!T8,'Tables - Part 2'!$AX$5:$BA$5,0))+INDEX('Tables - Part 2'!$BB$6:$BE$13,MATCH('HIC-SOHIC-H2S'!$Z8,'Tables - Part 2'!$AV$6:$AV$13,0),MATCH('HIC-SOHIC-H2S'!$T8,'Tables - Part 2'!$AX$5:$BA$5,0)))/2)+(((INDEX('Tables - Part 2'!$AX$6:$BA$13,MATCH('HIC-SOHIC-H2S'!Z8,'Tables - Part 2'!$AV$6:$AV$13,0),MATCH('HIC-SOHIC-H2S'!T8,'Tables - Part 2'!$AX$5:$BA$5,0))+INDEX('Tables - Part 2'!$BB$6:$BE$13,MATCH('HIC-SOHIC-H2S'!$Z8,'Tables - Part 2'!$AV$6:$AV$13,0),MATCH('HIC-SOHIC-H2S'!$T8,'Tables - Part 2'!$AX$5:$BA$5,0)))/2)+INDEX('Tables - Part 2'!$BB$6:$BE$13,MATCH('HIC-SOHIC-H2S'!$Z8,'Tables - Part 2'!$AV$6:$AV$13,0),MATCH('HIC-SOHIC-H2S'!$T8,'Tables - Part 2'!$AX$5:$BA$5,0)))/2)/2,0)</f>
        <v>0</v>
      </c>
      <c r="AM8" s="248">
        <f>IF($S8=$AM$3,(((INDEX('Tables - Part 2'!$AX$6:$BA$13,MATCH('HIC-SOHIC-H2S'!Z8,'Tables - Part 2'!$AV$6:$AV$13,0),MATCH('HIC-SOHIC-H2S'!T8,'Tables - Part 2'!$AX$5:$BA$5,0))+INDEX('Tables - Part 2'!$BB$6:$BE$13,MATCH('HIC-SOHIC-H2S'!$Z8,'Tables - Part 2'!$AV$6:$AV$13,0),MATCH('HIC-SOHIC-H2S'!$T8,'Tables - Part 2'!$AX$5:$BA$5,0)))/2)+INDEX('Tables - Part 2'!$BB$6:$BE$13,MATCH('HIC-SOHIC-H2S'!$Z8,'Tables - Part 2'!$AV$6:$AV$13,0),MATCH('HIC-SOHIC-H2S'!$T8,'Tables - Part 2'!$AX$5:$BA$5,0)))/2,0)</f>
        <v>0</v>
      </c>
      <c r="AN8" s="248">
        <f>IF($S8=$AN$3,(((((INDEX('Tables - Part 2'!$AX$6:$BA$13,MATCH('HIC-SOHIC-H2S'!Z8,'Tables - Part 2'!$AV$6:$AV$13,0),MATCH('HIC-SOHIC-H2S'!T8,'Tables - Part 2'!$AX$5:$BA$5,0))+INDEX('Tables - Part 2'!$BB$6:$BE$13,MATCH('HIC-SOHIC-H2S'!$Z8,'Tables - Part 2'!$AV$6:$AV$13,0),MATCH('HIC-SOHIC-H2S'!$T8,'Tables - Part 2'!$AX$5:$BA$5,0)))/2)+INDEX('Tables - Part 2'!$BB$6:$BE$13,MATCH('HIC-SOHIC-H2S'!$Z8,'Tables - Part 2'!$AV$6:$AV$13,0),MATCH('HIC-SOHIC-H2S'!$T8,'Tables - Part 2'!$AX$5:$BA$5,0)))/2)+INDEX('Tables - Part 2'!$BB$6:$BE$13,MATCH('HIC-SOHIC-H2S'!$Z8,'Tables - Part 2'!$AV$6:$AV$13,0),MATCH('HIC-SOHIC-H2S'!$T8,'Tables - Part 2'!$AX$5:$BA$5,0)))/2,0)</f>
        <v>0</v>
      </c>
      <c r="AO8" s="248">
        <f>IF($S8=$AO$3,INDEX('Tables - Part 2'!$BB$6:$BE$13,MATCH('HIC-SOHIC-H2S'!$Z8,'Tables - Part 2'!$AV$6:$AV$13,0),MATCH('HIC-SOHIC-H2S'!$T8,'Tables - Part 2'!$AX$5:$BA$5,0)),0)</f>
        <v>0</v>
      </c>
      <c r="AP8" s="248">
        <f>IF($S8=$AP$3,((INDEX('Tables - Part 2'!$BB$6:$BE$13,MATCH('HIC-SOHIC-H2S'!$Z8,'Tables - Part 2'!$AV$6:$AV$13,0),MATCH('HIC-SOHIC-H2S'!$T8,'Tables - Part 2'!$AX$5:$BA$5,0)))+(INDEX('Tables - Part 2'!$BB$6:$BE$13,MATCH('HIC-SOHIC-H2S'!$Z8,'Tables - Part 2'!$AV$6:$AV$13,0),MATCH('HIC-SOHIC-H2S'!$T8,'Tables - Part 2'!$AX$5:$BA$5,0))+(INDEX('Tables - Part 2'!$BB$6:$BE$13,MATCH('HIC-SOHIC-H2S'!$Z8,'Tables - Part 2'!$AV$6:$AV$13,0),MATCH('HIC-SOHIC-H2S'!$T8,'Tables - Part 2'!$AX$5:$BA$5,0))+INDEX('Tables - Part 2'!$BF$6:$BI$13,MATCH('HIC-SOHIC-H2S'!$Z8,'Tables - Part 2'!$AV$6:$AV$13,0),MATCH('HIC-SOHIC-H2S'!$T8,'Tables - Part 2'!$AX$5:$BA$5,0)))/2)/2)/2,0)</f>
        <v>0</v>
      </c>
      <c r="AQ8" s="248">
        <f>IF($S8=$AQ$3,(INDEX('Tables - Part 2'!$BB$6:$BE$13,MATCH('HIC-SOHIC-H2S'!$Z8,'Tables - Part 2'!$AV$6:$AV$13,0),MATCH('HIC-SOHIC-H2S'!$T8,'Tables - Part 2'!$AX$5:$BA$5,0))+(INDEX('Tables - Part 2'!$BB$6:$BE$13,MATCH('HIC-SOHIC-H2S'!$Z8,'Tables - Part 2'!$AV$6:$AV$13,0),MATCH('HIC-SOHIC-H2S'!$T8,'Tables - Part 2'!$AX$5:$BA$5,0))+INDEX('Tables - Part 2'!$BF$6:$BI$13,MATCH('HIC-SOHIC-H2S'!$Z8,'Tables - Part 2'!$AV$6:$AV$13,0),MATCH('HIC-SOHIC-H2S'!$T8,'Tables - Part 2'!$AX$5:$BA$5,0)))/2)/2,0)</f>
        <v>0</v>
      </c>
      <c r="AR8" s="248">
        <f>IF($S8=$AR$3,(((INDEX('Tables - Part 2'!$BB$6:$BE$13,MATCH('HIC-SOHIC-H2S'!$Z8,'Tables - Part 2'!$AV$6:$AV$13,0),MATCH('HIC-SOHIC-H2S'!$T8,'Tables - Part 2'!$AX$5:$BA$5,0))+(INDEX('Tables - Part 2'!$BB$6:$BE$13,MATCH('HIC-SOHIC-H2S'!$Z8,'Tables - Part 2'!$AV$6:$AV$13,0),MATCH('HIC-SOHIC-H2S'!$T8,'Tables - Part 2'!$AX$5:$BA$5,0))+INDEX('Tables - Part 2'!$BF$6:$BI$13,MATCH('HIC-SOHIC-H2S'!$Z8,'Tables - Part 2'!$AV$6:$AV$13,0),MATCH('HIC-SOHIC-H2S'!$T8,'Tables - Part 2'!$AX$5:$BA$5,0)))/2)/2)+((INDEX('Tables - Part 2'!$BB$6:$BE$13,MATCH('HIC-SOHIC-H2S'!$Z8,'Tables - Part 2'!$AV$6:$AV$13,0),MATCH('HIC-SOHIC-H2S'!$T8,'Tables - Part 2'!$AX$5:$BA$5,0))+INDEX('Tables - Part 2'!$BF$6:$BI$13,MATCH('HIC-SOHIC-H2S'!$Z8,'Tables - Part 2'!$AV$6:$AV$13,0),MATCH('HIC-SOHIC-H2S'!$T8,'Tables - Part 2'!$AX$5:$BA$5,0)))/2))/2,0)</f>
        <v>0</v>
      </c>
      <c r="AS8" s="248">
        <f>IF($S8=$AS$3,(INDEX('Tables - Part 2'!$BB$6:$BE$13,MATCH('HIC-SOHIC-H2S'!$Z8,'Tables - Part 2'!$AV$6:$AV$13,0),MATCH('HIC-SOHIC-H2S'!$T8,'Tables - Part 2'!$AX$5:$BA$5,0))+INDEX('Tables - Part 2'!$BF$6:$BI$13,MATCH('HIC-SOHIC-H2S'!$Z8,'Tables - Part 2'!$AV$6:$AV$13,0),MATCH('HIC-SOHIC-H2S'!$T8,'Tables - Part 2'!$AX$5:$BA$5,0)))/2,0)</f>
        <v>0</v>
      </c>
      <c r="AT8" s="248">
        <f>IF($S8=$AT$3,(((INDEX('Tables - Part 2'!$BB$6:$BE$13,MATCH('HIC-SOHIC-H2S'!$Z8,'Tables - Part 2'!$AV$6:$AV$13,0),MATCH('HIC-SOHIC-H2S'!$T8,'Tables - Part 2'!$AX$5:$BA$5,0))+INDEX('Tables - Part 2'!$BF$6:$BI$13,MATCH('HIC-SOHIC-H2S'!$Z8,'Tables - Part 2'!$AV$6:$AV$13,0),MATCH('HIC-SOHIC-H2S'!$T8,'Tables - Part 2'!$AX$5:$BA$5,0)))/2)+((((INDEX('Tables - Part 2'!$BB$6:$BE$13,MATCH('HIC-SOHIC-H2S'!$Z8,'Tables - Part 2'!$AV$6:$AV$13,0),MATCH('HIC-SOHIC-H2S'!$T8,'Tables - Part 2'!$AX$5:$BA$5,0))+INDEX('Tables - Part 2'!$BF$6:$BI$13,MATCH('HIC-SOHIC-H2S'!$Z8,'Tables - Part 2'!$AV$6:$AV$13,0),MATCH('HIC-SOHIC-H2S'!$T8,'Tables - Part 2'!$AX$5:$BA$5,0)))/2)+INDEX('Tables - Part 2'!$BF$6:$BI$13,MATCH('HIC-SOHIC-H2S'!$Z8,'Tables - Part 2'!$AV$6:$AV$13,0),MATCH('HIC-SOHIC-H2S'!$T8,'Tables - Part 2'!$AX$5:$BA$5,0)))/2))/2,0)</f>
        <v>0</v>
      </c>
      <c r="AU8" s="248">
        <f>IF($S8=$AU$3,(((INDEX('Tables - Part 2'!$BB$6:$BE$13,MATCH('HIC-SOHIC-H2S'!$Z8,'Tables - Part 2'!$AV$6:$AV$13,0),MATCH('HIC-SOHIC-H2S'!$T8,'Tables - Part 2'!$AX$5:$BA$5,0))+INDEX('Tables - Part 2'!$BF$6:$BI$13,MATCH('HIC-SOHIC-H2S'!$Z8,'Tables - Part 2'!$AV$6:$AV$13,0),MATCH('HIC-SOHIC-H2S'!$T8,'Tables - Part 2'!$AX$5:$BA$5,0)))/2)+INDEX('Tables - Part 2'!$BF$6:$BI$13,MATCH('HIC-SOHIC-H2S'!$Z8,'Tables - Part 2'!$AV$6:$AV$13,0),MATCH('HIC-SOHIC-H2S'!$T8,'Tables - Part 2'!$AX$5:$BA$5,0)))/2,0)</f>
        <v>0</v>
      </c>
      <c r="AV8" s="248">
        <f>IF($S8=$AV$3,(((((INDEX('Tables - Part 2'!$BB$6:$BE$13,MATCH('HIC-SOHIC-H2S'!$Z8,'Tables - Part 2'!$AV$6:$AV$13,0),MATCH('HIC-SOHIC-H2S'!$T8,'Tables - Part 2'!$AX$5:$BA$5,0))+INDEX('Tables - Part 2'!$BF$6:$BI$13,MATCH('HIC-SOHIC-H2S'!$Z8,'Tables - Part 2'!$AV$6:$AV$13,0),MATCH('HIC-SOHIC-H2S'!$T8,'Tables - Part 2'!$AX$5:$BA$5,0)))/2)+INDEX('Tables - Part 2'!$BF$6:$BI$13,MATCH('HIC-SOHIC-H2S'!$Z8,'Tables - Part 2'!$AV$6:$AV$13,0),MATCH('HIC-SOHIC-H2S'!$T8,'Tables - Part 2'!$AX$5:$BA$5,0)))/2)+INDEX('Tables - Part 2'!$BF$6:$BI$13,MATCH('HIC-SOHIC-H2S'!$Z8,'Tables - Part 2'!$AV$6:$AV$13,0),MATCH('HIC-SOHIC-H2S'!$T8,'Tables - Part 2'!$AX$5:$BA$5,0)))/2,0)</f>
        <v>0</v>
      </c>
      <c r="AW8" s="248">
        <f>IF($S8=$AW$3,INDEX('Tables - Part 2'!$BF$6:$BI$13,MATCH('HIC-SOHIC-H2S'!$Z8,'Tables - Part 2'!$AV$6:$AV$13,0),MATCH('HIC-SOHIC-H2S'!$T8,'Tables - Part 2'!$AX$5:$BA$5,0)),0)</f>
        <v>0</v>
      </c>
      <c r="AX8" s="248">
        <f>IF($S8=$AX$3,(INDEX('Tables - Part 2'!$BF$6:$BI$13,MATCH('HIC-SOHIC-H2S'!$Z8,'Tables - Part 2'!$AV$6:$AV$13,0),MATCH('HIC-SOHIC-H2S'!$T8,'Tables - Part 2'!$AX$5:$BA$5,0))+((INDEX('Tables - Part 2'!$BF$6:$BI$13,MATCH('HIC-SOHIC-H2S'!$Z8,'Tables - Part 2'!$AV$6:$AV$13,0),MATCH('HIC-SOHIC-H2S'!$T8,'Tables - Part 2'!$AX$5:$BA$5,0))+(INDEX('Tables - Part 2'!$BF$6:$BI$13,MATCH('HIC-SOHIC-H2S'!$Z8,'Tables - Part 2'!$AV$6:$AV$13,0),MATCH('HIC-SOHIC-H2S'!$T8,'Tables - Part 2'!$AX$5:$BA$5,0))+INDEX('Tables - Part 2'!$AX$17:$BA$24,MATCH('HIC-SOHIC-H2S'!$Z8,'Tables - Part 2'!$AV$6:$AV$13,0),MATCH('HIC-SOHIC-H2S'!$T8,'Tables - Part 2'!$AX$5:$BA$5,0)))/2)/2))/2,0)</f>
        <v>0</v>
      </c>
      <c r="AY8" s="248">
        <f>IF($S8=$AY$3,(INDEX('Tables - Part 2'!$BF$6:$BI$13,MATCH('HIC-SOHIC-H2S'!$Z8,'Tables - Part 2'!$AV$6:$AV$13,0),MATCH('HIC-SOHIC-H2S'!$T8,'Tables - Part 2'!$AX$5:$BA$5,0))+(INDEX('Tables - Part 2'!$BF$6:$BI$13,MATCH('HIC-SOHIC-H2S'!$Z8,'Tables - Part 2'!$AV$6:$AV$13,0),MATCH('HIC-SOHIC-H2S'!$T8,'Tables - Part 2'!$AX$5:$BA$5,0))+INDEX('Tables - Part 2'!$AX$17:$BA$24,MATCH('HIC-SOHIC-H2S'!$Z8,'Tables - Part 2'!$AV$6:$AV$13,0),MATCH('HIC-SOHIC-H2S'!$T8,'Tables - Part 2'!$AX$5:$BA$5,0)))/2)/2,0)</f>
        <v>0</v>
      </c>
      <c r="AZ8" s="248">
        <f>IF($S8=$AZ$3,(((INDEX('Tables - Part 2'!$BF$6:$BI$13,MATCH('HIC-SOHIC-H2S'!$Z8,'Tables - Part 2'!$AV$6:$AV$13,0),MATCH('HIC-SOHIC-H2S'!$T8,'Tables - Part 2'!$AX$5:$BA$5,0))+(INDEX('Tables - Part 2'!$BF$6:$BI$13,MATCH('HIC-SOHIC-H2S'!$Z8,'Tables - Part 2'!$AV$6:$AV$13,0),MATCH('HIC-SOHIC-H2S'!$T8,'Tables - Part 2'!$AX$5:$BA$5,0))+INDEX('Tables - Part 2'!$AX$17:$BA$24,MATCH('HIC-SOHIC-H2S'!$Z8,'Tables - Part 2'!$AV$6:$AV$13,0),MATCH('HIC-SOHIC-H2S'!$T8,'Tables - Part 2'!$AX$5:$BA$5,0)))/2)/2)+((INDEX('Tables - Part 2'!$BF$6:$BI$13,MATCH('HIC-SOHIC-H2S'!$Z8,'Tables - Part 2'!$AV$6:$AV$13,0),MATCH('HIC-SOHIC-H2S'!$T8,'Tables - Part 2'!$AX$5:$BA$5,0))+INDEX('Tables - Part 2'!$AX$17:$BA$24,MATCH('HIC-SOHIC-H2S'!$Z8,'Tables - Part 2'!$AV$6:$AV$13,0),MATCH('HIC-SOHIC-H2S'!$T8,'Tables - Part 2'!$AX$5:$BA$5,0)))/2))/2,0)</f>
        <v>0</v>
      </c>
      <c r="BA8" s="248">
        <f>IF($S8=$BA$3,(INDEX('Tables - Part 2'!$BF$6:$BI$13,MATCH('HIC-SOHIC-H2S'!$Z8,'Tables - Part 2'!$AV$6:$AV$13,0),MATCH('HIC-SOHIC-H2S'!$T8,'Tables - Part 2'!$AX$5:$BA$5,0))+INDEX('Tables - Part 2'!$AX$17:$BA$24,MATCH('HIC-SOHIC-H2S'!$Z8,'Tables - Part 2'!$AV$6:$AV$13,0),MATCH('HIC-SOHIC-H2S'!$T8,'Tables - Part 2'!$AX$5:$BA$5,0)))/2,0)</f>
        <v>0</v>
      </c>
      <c r="BB8" s="248">
        <f>IF($S8=$BB$3,(((INDEX('Tables - Part 2'!$BF$6:$BI$13,MATCH('HIC-SOHIC-H2S'!$Z8,'Tables - Part 2'!$AV$6:$AV$13,0),MATCH('HIC-SOHIC-H2S'!$T8,'Tables - Part 2'!$AX$5:$BA$5,0))+INDEX('Tables - Part 2'!$AX$17:$BA$24,MATCH('HIC-SOHIC-H2S'!$Z8,'Tables - Part 2'!$AV$6:$AV$13,0),MATCH('HIC-SOHIC-H2S'!$T8,'Tables - Part 2'!$AX$5:$BA$5,0)))/2)+((((INDEX('Tables - Part 2'!$BF$6:$BI$13,MATCH('HIC-SOHIC-H2S'!$Z8,'Tables - Part 2'!$AV$6:$AV$13,0),MATCH('HIC-SOHIC-H2S'!$T8,'Tables - Part 2'!$AX$5:$BA$5,0))+INDEX('Tables - Part 2'!$AX$17:$BA$24,MATCH('HIC-SOHIC-H2S'!$Z8,'Tables - Part 2'!$AV$6:$AV$13,0),MATCH('HIC-SOHIC-H2S'!$T8,'Tables - Part 2'!$AX$5:$BA$5,0)))/2)+INDEX('Tables - Part 2'!$AX$17:$BA$24,MATCH('HIC-SOHIC-H2S'!$Z8,'Tables - Part 2'!$AV$6:$AV$13,0),MATCH('HIC-SOHIC-H2S'!$T8,'Tables - Part 2'!$AX$5:$BA$5,0)))/2))/2,0)</f>
        <v>0</v>
      </c>
      <c r="BC8" s="248">
        <f>IF($S8=$BC$3,(((INDEX('Tables - Part 2'!$BF$6:$BI$13,MATCH('HIC-SOHIC-H2S'!$Z8,'Tables - Part 2'!$AV$6:$AV$13,0),MATCH('HIC-SOHIC-H2S'!$T8,'Tables - Part 2'!$AX$5:$BA$5,0))+INDEX('Tables - Part 2'!$AX$17:$BA$24,MATCH('HIC-SOHIC-H2S'!$Z8,'Tables - Part 2'!$AV$6:$AV$13,0),MATCH('HIC-SOHIC-H2S'!$T8,'Tables - Part 2'!$AX$5:$BA$5,0)))/2)+INDEX('Tables - Part 2'!$AX$17:$BA$24,MATCH('HIC-SOHIC-H2S'!$Z8,'Tables - Part 2'!$AV$6:$AV$13,0),MATCH('HIC-SOHIC-H2S'!$T8,'Tables - Part 2'!$AX$5:$BA$5,0)))/2,0)</f>
        <v>0</v>
      </c>
      <c r="BD8" s="248">
        <f>IF($S8=$BD$3,(((((INDEX('Tables - Part 2'!$BF$6:$BI$13,MATCH('HIC-SOHIC-H2S'!$Z8,'Tables - Part 2'!$AV$6:$AV$13,0),MATCH('HIC-SOHIC-H2S'!$T8,'Tables - Part 2'!$AX$5:$BA$5,0))+INDEX('Tables - Part 2'!$AX$17:$BA$24,MATCH('HIC-SOHIC-H2S'!$Z8,'Tables - Part 2'!$AV$6:$AV$13,0),MATCH('HIC-SOHIC-H2S'!$T8,'Tables - Part 2'!$AX$5:$BA$5,0)))/2)+INDEX('Tables - Part 2'!$AX$17:$BA$24,MATCH('HIC-SOHIC-H2S'!$Z8,'Tables - Part 2'!$AV$6:$AV$13,0),MATCH('HIC-SOHIC-H2S'!$T8,'Tables - Part 2'!$AX$5:$BA$5,0)))/2)+(INDEX('Tables - Part 2'!$AX$17:$BA$24,MATCH('HIC-SOHIC-H2S'!$Z8,'Tables - Part 2'!$AV$6:$AV$13,0),MATCH('HIC-SOHIC-H2S'!$T8,'Tables - Part 2'!$AX$5:$BA$5,0))))/2,0)</f>
        <v>0</v>
      </c>
      <c r="BE8" s="248">
        <f>IF($S8=$BE$3,INDEX('Tables - Part 2'!$AX$17:$BA$24,MATCH('HIC-SOHIC-H2S'!$Z8,'Tables - Part 2'!$AV$6:$AV$13,0),MATCH('HIC-SOHIC-H2S'!$T8,'Tables - Part 2'!$AX$5:$BA$5,0)),0)</f>
        <v>0</v>
      </c>
      <c r="BF8" s="248">
        <f>IF($S8=$BF$3,((INDEX('Tables - Part 2'!$AX$17:$BA$24,MATCH('HIC-SOHIC-H2S'!$Z8,'Tables - Part 2'!$AV$6:$AV$13,0),MATCH('HIC-SOHIC-H2S'!$T8,'Tables - Part 2'!$AX$5:$BA$5,0)))+(((INDEX('Tables - Part 2'!$AX$17:$BA$24,MATCH('HIC-SOHIC-H2S'!$Z8,'Tables - Part 2'!$AV$6:$AV$13,0),MATCH('HIC-SOHIC-H2S'!$T8,'Tables - Part 2'!$AX$5:$BA$5,0)))+(INDEX('Tables - Part 2'!$AX$17:$BA$24,MATCH('HIC-SOHIC-H2S'!$Z8,'Tables - Part 2'!$AV$6:$AV$13,0),MATCH('HIC-SOHIC-H2S'!$T8,'Tables - Part 2'!$AX$5:$BA$5,0))+INDEX('Tables - Part 2'!$BB$17:$BE$24,MATCH('HIC-SOHIC-H2S'!$Z8,'Tables - Part 2'!$AV$6:$AV$13,0),MATCH('HIC-SOHIC-H2S'!$T8,'Tables - Part 2'!$AX$5:$BA$5,0)))/2)/2))/2,0)</f>
        <v>0</v>
      </c>
      <c r="BG8" s="248">
        <f>IF($S8=$BG$3,((INDEX('Tables - Part 2'!$AX$17:$BA$24,MATCH('HIC-SOHIC-H2S'!$Z8,'Tables - Part 2'!$AV$6:$AV$13,0),MATCH('HIC-SOHIC-H2S'!$T8,'Tables - Part 2'!$AX$5:$BA$5,0)))+(INDEX('Tables - Part 2'!$AX$17:$BA$24,MATCH('HIC-SOHIC-H2S'!$Z8,'Tables - Part 2'!$AV$6:$AV$13,0),MATCH('HIC-SOHIC-H2S'!$T8,'Tables - Part 2'!$AX$5:$BA$5,0))+INDEX('Tables - Part 2'!$BB$17:$BE$24,MATCH('HIC-SOHIC-H2S'!$Z8,'Tables - Part 2'!$AV$6:$AV$13,0),MATCH('HIC-SOHIC-H2S'!$T8,'Tables - Part 2'!$AX$5:$BA$5,0)))/2)/2,0)</f>
        <v>0</v>
      </c>
      <c r="BH8" s="248">
        <f>IF($S8=$BH$3,((((INDEX('Tables - Part 2'!$AX$17:$BA$24,MATCH('HIC-SOHIC-H2S'!$Z8,'Tables - Part 2'!$AV$6:$AV$13,0),MATCH('HIC-SOHIC-H2S'!$T8,'Tables - Part 2'!$AX$5:$BA$5,0)))+(INDEX('Tables - Part 2'!$AX$17:$BA$24,MATCH('HIC-SOHIC-H2S'!$Z8,'Tables - Part 2'!$AV$6:$AV$13,0),MATCH('HIC-SOHIC-H2S'!$T8,'Tables - Part 2'!$AX$5:$BA$5,0))+INDEX('Tables - Part 2'!$BB$17:$BE$24,MATCH('HIC-SOHIC-H2S'!$Z8,'Tables - Part 2'!$AV$6:$AV$13,0),MATCH('HIC-SOHIC-H2S'!$T8,'Tables - Part 2'!$AX$5:$BA$5,0)))/2)/2)+((INDEX('Tables - Part 2'!$AX$17:$BA$24,MATCH('HIC-SOHIC-H2S'!$Z8,'Tables - Part 2'!$AV$6:$AV$13,0),MATCH('HIC-SOHIC-H2S'!$T8,'Tables - Part 2'!$AX$5:$BA$5,0))+INDEX('Tables - Part 2'!$BB$17:$BE$24,MATCH('HIC-SOHIC-H2S'!$Z8,'Tables - Part 2'!$AV$6:$AV$13,0),MATCH('HIC-SOHIC-H2S'!$T8,'Tables - Part 2'!$AX$5:$BA$5,0)))/2))/2,0)</f>
        <v>0</v>
      </c>
      <c r="BI8" s="248">
        <f>IF($S8=$BI$3,(INDEX('Tables - Part 2'!$AX$17:$BA$24,MATCH('HIC-SOHIC-H2S'!$Z8,'Tables - Part 2'!$AV$6:$AV$13,0),MATCH('HIC-SOHIC-H2S'!$T8,'Tables - Part 2'!$AX$5:$BA$5,0))+INDEX('Tables - Part 2'!$BB$17:$BE$24,MATCH('HIC-SOHIC-H2S'!$Z8,'Tables - Part 2'!$AV$6:$AV$13,0),MATCH('HIC-SOHIC-H2S'!$T8,'Tables - Part 2'!$AX$5:$BA$5,0)))/2,0)</f>
        <v>0</v>
      </c>
      <c r="BJ8" s="248">
        <f>IF($S8=$BJ$3,(((INDEX('Tables - Part 2'!$AX$17:$BA$24,MATCH('HIC-SOHIC-H2S'!$Z8,'Tables - Part 2'!$AV$6:$AV$13,0),MATCH('HIC-SOHIC-H2S'!$T8,'Tables - Part 2'!$AX$5:$BA$5,0))+INDEX('Tables - Part 2'!$BB$17:$BE$24,MATCH('HIC-SOHIC-H2S'!$Z8,'Tables - Part 2'!$AV$6:$AV$13,0),MATCH('HIC-SOHIC-H2S'!$T8,'Tables - Part 2'!$AX$5:$BA$5,0)))/2)+((((INDEX('Tables - Part 2'!$AX$17:$BA$24,MATCH('HIC-SOHIC-H2S'!$Z8,'Tables - Part 2'!$AV$6:$AV$13,0),MATCH('HIC-SOHIC-H2S'!$T8,'Tables - Part 2'!$AX$5:$BA$5,0))+INDEX('Tables - Part 2'!$BB$17:$BE$24,MATCH('HIC-SOHIC-H2S'!$Z8,'Tables - Part 2'!$AV$6:$AV$13,0),MATCH('HIC-SOHIC-H2S'!$T8,'Tables - Part 2'!$AX$5:$BA$5,0)))/2)+INDEX('Tables - Part 2'!$BB$17:$BE$24,MATCH('HIC-SOHIC-H2S'!$Z8,'Tables - Part 2'!$AV$6:$AV$13,0),MATCH('HIC-SOHIC-H2S'!$T8,'Tables - Part 2'!$AX$5:$BA$5,0)))/2))/2,0)</f>
        <v>0</v>
      </c>
      <c r="BK8" s="248">
        <f>IF($S8=$BK$3,(((INDEX('Tables - Part 2'!$AX$17:$BA$24,MATCH('HIC-SOHIC-H2S'!$Z8,'Tables - Part 2'!$AV$6:$AV$13,0),MATCH('HIC-SOHIC-H2S'!$T8,'Tables - Part 2'!$AX$5:$BA$5,0))+INDEX('Tables - Part 2'!$BB$17:$BE$24,MATCH('HIC-SOHIC-H2S'!$Z8,'Tables - Part 2'!$AV$6:$AV$13,0),MATCH('HIC-SOHIC-H2S'!$T8,'Tables - Part 2'!$AX$5:$BA$5,0)))/2)+INDEX('Tables - Part 2'!$BB$17:$BE$24,MATCH('HIC-SOHIC-H2S'!$Z8,'Tables - Part 2'!$AV$6:$AV$13,0),MATCH('HIC-SOHIC-H2S'!$T8,'Tables - Part 2'!$AX$5:$BA$5,0)))/2,0)</f>
        <v>0</v>
      </c>
      <c r="BL8" s="248">
        <f>IF($S8=$BL$3,(((((INDEX('Tables - Part 2'!$AX$17:$BA$24,MATCH('HIC-SOHIC-H2S'!$Z8,'Tables - Part 2'!$AV$6:$AV$13,0),MATCH('HIC-SOHIC-H2S'!$T8,'Tables - Part 2'!$AX$5:$BA$5,0))+INDEX('Tables - Part 2'!$BB$17:$BE$24,MATCH('HIC-SOHIC-H2S'!$Z8,'Tables - Part 2'!$AV$6:$AV$13,0),MATCH('HIC-SOHIC-H2S'!$T8,'Tables - Part 2'!$AX$5:$BA$5,0)))/2)+INDEX('Tables - Part 2'!$BB$17:$BE$24,MATCH('HIC-SOHIC-H2S'!$Z8,'Tables - Part 2'!$AV$6:$AV$13,0),MATCH('HIC-SOHIC-H2S'!$T8,'Tables - Part 2'!$AX$5:$BA$5,0)))/2)+(INDEX('Tables - Part 2'!$BB$17:$BE$24,MATCH('HIC-SOHIC-H2S'!$Z8,'Tables - Part 2'!$AV$6:$AV$13,0),MATCH('HIC-SOHIC-H2S'!$T8,'Tables - Part 2'!$AX$5:$BA$5,0))))/2,0)</f>
        <v>0</v>
      </c>
      <c r="BM8" s="248">
        <f>IF($S8=$BM$3,INDEX('Tables - Part 2'!$BB$17:$BE$24,MATCH('HIC-SOHIC-H2S'!$Z8,'Tables - Part 2'!$AV$6:$AV$13,0),MATCH('HIC-SOHIC-H2S'!$T8,'Tables - Part 2'!$AX$5:$BA$5,0)),0)</f>
        <v>0</v>
      </c>
      <c r="BN8" s="248">
        <f>IF($S8=$BN$3,((INDEX('Tables - Part 2'!$BB$17:$BE$24,MATCH('HIC-SOHIC-H2S'!$Z8,'Tables - Part 2'!$AV$6:$AV$13,0),MATCH('HIC-SOHIC-H2S'!$T8,'Tables - Part 2'!$AX$5:$BA$5,0)))+(((INDEX('Tables - Part 2'!$BB$17:$BE$24,MATCH('HIC-SOHIC-H2S'!$Z8,'Tables - Part 2'!$AV$6:$AV$13,0),MATCH('HIC-SOHIC-H2S'!$T8,'Tables - Part 2'!$AX$5:$BA$5,0)))+(INDEX('Tables - Part 2'!$BB$17:$BE$24,MATCH('HIC-SOHIC-H2S'!$Z8,'Tables - Part 2'!$AV$6:$AV$13,0),MATCH('HIC-SOHIC-H2S'!$T8,'Tables - Part 2'!$AX$5:$BA$5,0))+INDEX('Tables - Part 2'!$BF$17:$BI$24,MATCH('HIC-SOHIC-H2S'!$Z8,'Tables - Part 2'!$AV$6:$AV$13,0),MATCH('HIC-SOHIC-H2S'!$T8,'Tables - Part 2'!$AX$5:$BA$5,0)))/2)/2))/2,0)</f>
        <v>0</v>
      </c>
      <c r="BO8" s="248">
        <f>IF($S8=$BO$3,((INDEX('Tables - Part 2'!$BB$17:$BE$24,MATCH('HIC-SOHIC-H2S'!$Z8,'Tables - Part 2'!$AV$6:$AV$13,0),MATCH('HIC-SOHIC-H2S'!$T8,'Tables - Part 2'!$AX$5:$BA$5,0)))+(INDEX('Tables - Part 2'!$BB$17:$BE$24,MATCH('HIC-SOHIC-H2S'!$Z8,'Tables - Part 2'!$AV$6:$AV$13,0),MATCH('HIC-SOHIC-H2S'!$T8,'Tables - Part 2'!$AX$5:$BA$5,0))+INDEX('Tables - Part 2'!$BF$17:$BI$24,MATCH('HIC-SOHIC-H2S'!$Z8,'Tables - Part 2'!$AV$6:$AV$13,0),MATCH('HIC-SOHIC-H2S'!$T8,'Tables - Part 2'!$AX$5:$BA$5,0)))/2)/2,0)</f>
        <v>0</v>
      </c>
      <c r="BP8" s="248">
        <f>IF($S8=$BP$3,((((INDEX('Tables - Part 2'!$BB$17:$BE$24,MATCH('HIC-SOHIC-H2S'!$Z8,'Tables - Part 2'!$AV$6:$AV$13,0),MATCH('HIC-SOHIC-H2S'!$T8,'Tables - Part 2'!$AX$5:$BA$5,0)))+(INDEX('Tables - Part 2'!$BB$17:$BE$24,MATCH('HIC-SOHIC-H2S'!$Z8,'Tables - Part 2'!$AV$6:$AV$13,0),MATCH('HIC-SOHIC-H2S'!$T8,'Tables - Part 2'!$AX$5:$BA$5,0))+INDEX('Tables - Part 2'!$BF$17:$BI$24,MATCH('HIC-SOHIC-H2S'!$Z8,'Tables - Part 2'!$AV$6:$AV$13,0),MATCH('HIC-SOHIC-H2S'!$T8,'Tables - Part 2'!$AX$5:$BA$5,0)))/2)/2)+((INDEX('Tables - Part 2'!$BB$17:$BE$24,MATCH('HIC-SOHIC-H2S'!$Z8,'Tables - Part 2'!$AV$6:$AV$13,0),MATCH('HIC-SOHIC-H2S'!$T8,'Tables - Part 2'!$AX$5:$BA$5,0))+INDEX('Tables - Part 2'!$BF$17:$BI$24,MATCH('HIC-SOHIC-H2S'!$Z8,'Tables - Part 2'!$AV$6:$AV$13,0),MATCH('HIC-SOHIC-H2S'!$T8,'Tables - Part 2'!$AX$5:$BA$5,0)))/2))/2,0)</f>
        <v>0</v>
      </c>
      <c r="BQ8" s="248">
        <f>IF($S8=$BQ$3,(INDEX('Tables - Part 2'!$BB$17:$BE$24,MATCH('HIC-SOHIC-H2S'!$Z8,'Tables - Part 2'!$AV$6:$AV$13,0),MATCH('HIC-SOHIC-H2S'!$T8,'Tables - Part 2'!$AX$5:$BA$5,0))+INDEX('Tables - Part 2'!$BF$17:$BI$24,MATCH('HIC-SOHIC-H2S'!$Z8,'Tables - Part 2'!$AV$6:$AV$13,0),MATCH('HIC-SOHIC-H2S'!$T8,'Tables - Part 2'!$AX$5:$BA$5,0)))/2,0)</f>
        <v>0</v>
      </c>
      <c r="BR8" s="248">
        <f>IF($S8=$BR$3,(((INDEX('Tables - Part 2'!$BB$17:$BE$24,MATCH('HIC-SOHIC-H2S'!$Z8,'Tables - Part 2'!$AV$6:$AV$13,0),MATCH('HIC-SOHIC-H2S'!$T8,'Tables - Part 2'!$AX$5:$BA$5,0))+INDEX('Tables - Part 2'!$BF$17:$BI$24,MATCH('HIC-SOHIC-H2S'!$Z8,'Tables - Part 2'!$AV$6:$AV$13,0),MATCH('HIC-SOHIC-H2S'!$T8,'Tables - Part 2'!$AX$5:$BA$5,0)))/2)+((((INDEX('Tables - Part 2'!$BB$17:$BE$24,MATCH('HIC-SOHIC-H2S'!$Z8,'Tables - Part 2'!$AV$6:$AV$13,0),MATCH('HIC-SOHIC-H2S'!$T8,'Tables - Part 2'!$AX$5:$BA$5,0))+INDEX('Tables - Part 2'!$BF$17:$BI$24,MATCH('HIC-SOHIC-H2S'!$Z8,'Tables - Part 2'!$AV$6:$AV$13,0),MATCH('HIC-SOHIC-H2S'!$T8,'Tables - Part 2'!$AX$5:$BA$5,0)))/2)+INDEX('Tables - Part 2'!$BF$17:$BI$24,MATCH('HIC-SOHIC-H2S'!$Z8,'Tables - Part 2'!$AV$6:$AV$13,0),MATCH('HIC-SOHIC-H2S'!$T8,'Tables - Part 2'!$AX$5:$BA$5,0)))/2))/2,0)</f>
        <v>0</v>
      </c>
      <c r="BS8" s="248">
        <f>IF($S8=$BS$3,(((INDEX('Tables - Part 2'!$BB$17:$BE$24,MATCH('HIC-SOHIC-H2S'!$Z8,'Tables - Part 2'!$AV$6:$AV$13,0),MATCH('HIC-SOHIC-H2S'!$T8,'Tables - Part 2'!$AX$5:$BA$5,0))+INDEX('Tables - Part 2'!$BF$17:$BI$24,MATCH('HIC-SOHIC-H2S'!$Z8,'Tables - Part 2'!$AV$6:$AV$13,0),MATCH('HIC-SOHIC-H2S'!$T8,'Tables - Part 2'!$AX$5:$BA$5,0)))/2)+INDEX('Tables - Part 2'!$BF$17:$BI$24,MATCH('HIC-SOHIC-H2S'!$Z8,'Tables - Part 2'!$AV$6:$AV$13,0),MATCH('HIC-SOHIC-H2S'!$T8,'Tables - Part 2'!$AX$5:$BA$5,0)))/2,0)</f>
        <v>0</v>
      </c>
      <c r="BT8" s="248">
        <f>IF($S8=$BT$3,(((((INDEX('Tables - Part 2'!$BB$17:$BE$24,MATCH('HIC-SOHIC-H2S'!$Z8,'Tables - Part 2'!$AV$6:$AV$13,0),MATCH('HIC-SOHIC-H2S'!$T8,'Tables - Part 2'!$AX$5:$BA$5,0))+INDEX('Tables - Part 2'!$BF$17:$BI$24,MATCH('HIC-SOHIC-H2S'!$Z8,'Tables - Part 2'!$AV$6:$AV$13,0),MATCH('HIC-SOHIC-H2S'!$T8,'Tables - Part 2'!$AX$5:$BA$5,0)))/2)+INDEX('Tables - Part 2'!$BF$17:$BI$24,MATCH('HIC-SOHIC-H2S'!$Z8,'Tables - Part 2'!$AV$6:$AV$13,0),MATCH('HIC-SOHIC-H2S'!$T8,'Tables - Part 2'!$AX$5:$BA$5,0)))/2)+(INDEX('Tables - Part 2'!$BF$17:$BI$24,MATCH('HIC-SOHIC-H2S'!$Z8,'Tables - Part 2'!$AV$6:$AV$13,0),MATCH('HIC-SOHIC-H2S'!$T8,'Tables - Part 2'!$AX$5:$BA$5,0))))/2,0)</f>
        <v>0</v>
      </c>
      <c r="BU8" s="248">
        <f>IF($S8=$BU$3,INDEX('Tables - Part 2'!$BF$17:$BI$24,MATCH('HIC-SOHIC-H2S'!$Z8,'Tables - Part 2'!$AV$6:$AV$13,0),MATCH('HIC-SOHIC-H2S'!$T8,'Tables - Part 2'!$AX$5:$BA$5,0)),0)</f>
        <v>0</v>
      </c>
      <c r="BV8" s="248" t="e">
        <f t="shared" si="2"/>
        <v>#N/A</v>
      </c>
      <c r="BW8" s="238" t="e">
        <f t="shared" si="8"/>
        <v>#N/A</v>
      </c>
      <c r="BX8" s="238" t="e">
        <f t="shared" si="9"/>
        <v>#N/A</v>
      </c>
    </row>
    <row r="9" spans="2:89" x14ac:dyDescent="0.35">
      <c r="B9" s="161" t="str">
        <f>'Tratamento de Dados'!B17</f>
        <v>V-14</v>
      </c>
      <c r="C9" s="161" t="str">
        <f>'Tratamento de Dados'!D17</f>
        <v>Casco</v>
      </c>
      <c r="D9" s="209">
        <f>'Tratamento de Dados'!CN17</f>
        <v>0</v>
      </c>
      <c r="E9" s="209">
        <f>'Tratamento de Dados'!CO17</f>
        <v>0</v>
      </c>
      <c r="F9" s="209">
        <f>'Tratamento de Dados'!CP17</f>
        <v>0</v>
      </c>
      <c r="G9" s="209">
        <f>'Tratamento de Dados'!CQ17</f>
        <v>0</v>
      </c>
      <c r="H9" s="209">
        <f>'Tratamento de Dados'!CR17</f>
        <v>0</v>
      </c>
      <c r="I9" s="209">
        <f>'Tratamento de Dados'!CS17</f>
        <v>0</v>
      </c>
      <c r="J9" s="209">
        <f>'Tratamento de Dados'!CT17</f>
        <v>0</v>
      </c>
      <c r="K9" s="209">
        <f>'Tratamento de Dados'!CU17</f>
        <v>0</v>
      </c>
      <c r="L9" s="210">
        <f>'Tratamento de Dados'!CV17</f>
        <v>0</v>
      </c>
      <c r="M9" s="209">
        <f>'Tratamento de Dados'!CW17</f>
        <v>0</v>
      </c>
      <c r="N9" s="209">
        <f>'Tratamento de Dados'!CX17</f>
        <v>0</v>
      </c>
      <c r="O9" s="209">
        <f>'Tratamento de Dados'!CY17</f>
        <v>0</v>
      </c>
      <c r="P9" s="209">
        <f>'Tratamento de Dados'!CZ17</f>
        <v>0</v>
      </c>
      <c r="Q9" s="253">
        <f>'Tratamento de Dados'!DA17</f>
        <v>0</v>
      </c>
      <c r="R9" s="253">
        <f>'Tratamento de Dados'!DB17</f>
        <v>0</v>
      </c>
      <c r="S9" s="256">
        <f t="shared" si="0"/>
        <v>0</v>
      </c>
      <c r="T9" s="246" t="str">
        <f t="shared" si="3"/>
        <v>E</v>
      </c>
      <c r="U9" s="238" t="e">
        <f>IF(D9=$CC$2,$CA$4,IF(AND(H9=$CC$2,OR(F9='Tables - Part 2'!$CE$8,'Tables - Part 2'!$CE$9),OR('HIC-SOHIC-H2S'!G9='Tables - Part 2'!$CH$4,'HIC-SOHIC-H2S'!G9='Tables - Part 2'!$CI$4)),$CA$4,INDEX('Tables - Part 2'!$CF$5:$CI$9,MATCH('HIC-SOHIC-H2S'!F9,'Tables - Part 2'!$CE$5:$CE$9,0),MATCH('HIC-SOHIC-H2S'!G9,'Tables - Part 2'!$CF$4:$CI$4,0))))</f>
        <v>#N/A</v>
      </c>
      <c r="V9" s="238" t="str">
        <f>IF($I9=$V$3,INDEX('Tables - Part 2'!$CL$5:$CM$7,MATCH('HIC-SOHIC-H2S'!$U9,'Tables - Part 2'!$CK$5:$CK$7,0),IF('HIC-SOHIC-H2S'!$J9='HIC-SOHIC-H2S'!$CC$2,2,1)),"")</f>
        <v/>
      </c>
      <c r="W9" s="238" t="str">
        <f>IF($I9=$W$3,INDEX('Tables - Part 2'!$CN$5:$CO$7,MATCH('HIC-SOHIC-H2S'!$U9,'Tables - Part 2'!$CK$5:$CK$7,0),IF('HIC-SOHIC-H2S'!$J9='HIC-SOHIC-H2S'!$CC$2,2,1)),"")</f>
        <v/>
      </c>
      <c r="X9" s="238" t="str">
        <f>IF($I9=$X$3,INDEX('Tables - Part 2'!$CP$5:$CQ$7,MATCH('HIC-SOHIC-H2S'!$U9,'Tables - Part 2'!$CK$5:$CK$7,0),IF('HIC-SOHIC-H2S'!$J9='HIC-SOHIC-H2S'!$CC$2,2,1)),"")</f>
        <v/>
      </c>
      <c r="Y9" s="238" t="str">
        <f t="shared" si="1"/>
        <v/>
      </c>
      <c r="Z9" s="238" t="e">
        <f>IF(AND(D9=$CC$2,E9&lt;&gt;$CC$2),"Fitness-For-Service",INDEX('Tables - Part 2'!$CT$4:$CT$6,MATCH('HIC-SOHIC-H2S'!Y9,'Tables - Part 2'!$CS$4:$CS$6,0),))</f>
        <v>#N/A</v>
      </c>
      <c r="AA9" s="238">
        <f>IF(L9=0,(Thinning!G10-Thinning!F10)/365.25,(Thinning!G10-L9)/365.25)</f>
        <v>5.4757015742642025E-3</v>
      </c>
      <c r="AB9" s="238" t="e">
        <f>INDEX('Tables - Part 2'!$CW$4:$CW$7,MATCH('HIC-SOHIC-H2S'!K9,'Tables - Part 2'!$CV$4:$CV$7,0))</f>
        <v>#N/A</v>
      </c>
      <c r="AC9" s="248">
        <f t="shared" si="4"/>
        <v>0</v>
      </c>
      <c r="AD9" s="248">
        <f t="shared" si="5"/>
        <v>0</v>
      </c>
      <c r="AE9" s="247">
        <f t="shared" si="10"/>
        <v>0</v>
      </c>
      <c r="AF9" s="247">
        <f t="shared" si="7"/>
        <v>0</v>
      </c>
      <c r="AG9" s="248">
        <f>IF($S9=$AG$3,INDEX('Tables - Part 2'!$AX$6:$BA$13,MATCH('HIC-SOHIC-H2S'!Z9,'Tables - Part 2'!$AV$6:$AV$13,0),MATCH('HIC-SOHIC-H2S'!T9,'Tables - Part 2'!$AX$5:$BA$5,0)),0)</f>
        <v>0</v>
      </c>
      <c r="AH9" s="248">
        <f>IF($S9=$AH$3,(INDEX('Tables - Part 2'!$AX$6:$BA$13,MATCH('HIC-SOHIC-H2S'!Z9,'Tables - Part 2'!$AV$6:$AV$13,0),MATCH('HIC-SOHIC-H2S'!T9,'Tables - Part 2'!$AX$5:$BA$5,0))+(INDEX('Tables - Part 2'!$AX$6:$BA$13,MATCH('HIC-SOHIC-H2S'!Z9,'Tables - Part 2'!$AV$6:$AV$13,0),MATCH('HIC-SOHIC-H2S'!T9,'Tables - Part 2'!$AX$5:$BA$5,0))+((INDEX('Tables - Part 2'!$AX$6:$BA$13,MATCH('HIC-SOHIC-H2S'!Z9,'Tables - Part 2'!$AV$6:$AV$13,0),MATCH('HIC-SOHIC-H2S'!T9,'Tables - Part 2'!$AX$5:$BA$5,0))+INDEX('Tables - Part 2'!$BB$6:$BE$13,MATCH('HIC-SOHIC-H2S'!$Z9,'Tables - Part 2'!$AV$6:$AV$13,0),MATCH('HIC-SOHIC-H2S'!$T9,'Tables - Part 2'!$AX$5:$BA$5,0)))/2))/2)/2,0)</f>
        <v>0</v>
      </c>
      <c r="AI9" s="248">
        <f>IF($S9=$AI$3,(INDEX('Tables - Part 2'!$AX$6:$BA$13,MATCH('HIC-SOHIC-H2S'!Z9,'Tables - Part 2'!$AV$6:$AV$13,0),MATCH('HIC-SOHIC-H2S'!T9,'Tables - Part 2'!$AX$5:$BA$5,0))+((INDEX('Tables - Part 2'!$AX$6:$BA$13,MATCH('HIC-SOHIC-H2S'!Z9,'Tables - Part 2'!$AV$6:$AV$13,0),MATCH('HIC-SOHIC-H2S'!T9,'Tables - Part 2'!$AX$5:$BA$5,0))+INDEX('Tables - Part 2'!$BB$6:$BE$13,MATCH('HIC-SOHIC-H2S'!$Z9,'Tables - Part 2'!$AV$6:$AV$13,0),MATCH('HIC-SOHIC-H2S'!$T9,'Tables - Part 2'!$AX$5:$BA$5,0)))/2))/2,0)</f>
        <v>0</v>
      </c>
      <c r="AJ9" s="248">
        <f>IF($S9=$AJ$3,(((INDEX('Tables - Part 2'!$AX$6:$BA$13,MATCH('HIC-SOHIC-H2S'!Z9,'Tables - Part 2'!$AV$6:$AV$13,0),MATCH('HIC-SOHIC-H2S'!T9,'Tables - Part 2'!$AX$5:$BA$5,0))+((INDEX('Tables - Part 2'!$AX$6:$BA$13,MATCH('HIC-SOHIC-H2S'!Z9,'Tables - Part 2'!$AV$6:$AV$13,0),MATCH('HIC-SOHIC-H2S'!T9,'Tables - Part 2'!$AX$5:$BA$5,0))+INDEX('Tables - Part 2'!$BB$6:$BE$13,MATCH('HIC-SOHIC-H2S'!$Z9,'Tables - Part 2'!$AV$6:$AV$13,0),MATCH('HIC-SOHIC-H2S'!$T9,'Tables - Part 2'!$AX$5:$BA$5,0)))/2))/2)+(INDEX('Tables - Part 2'!$AX$6:$BA$13,MATCH('HIC-SOHIC-H2S'!Z9,'Tables - Part 2'!$AV$6:$AV$13,0),MATCH('HIC-SOHIC-H2S'!T9,'Tables - Part 2'!$AX$5:$BA$5,0))+INDEX('Tables - Part 2'!$BB$6:$BE$13,MATCH('HIC-SOHIC-H2S'!$Z9,'Tables - Part 2'!$AV$6:$AV$13,0),MATCH('HIC-SOHIC-H2S'!$T9,'Tables - Part 2'!$AX$5:$BA$5,0)))/2)/2,0)</f>
        <v>0</v>
      </c>
      <c r="AK9" s="248">
        <f>IF($S9=$AK$3,(INDEX('Tables - Part 2'!$AX$6:$BA$13,MATCH('HIC-SOHIC-H2S'!Z9,'Tables - Part 2'!$AV$6:$AV$13,0),MATCH('HIC-SOHIC-H2S'!T9,'Tables - Part 2'!$AX$5:$BA$5,0))+INDEX('Tables - Part 2'!$BB$6:$BE$13,MATCH('HIC-SOHIC-H2S'!$Z9,'Tables - Part 2'!$AV$6:$AV$13,0),MATCH('HIC-SOHIC-H2S'!$T9,'Tables - Part 2'!$AX$5:$BA$5,0)))/2,0)</f>
        <v>0</v>
      </c>
      <c r="AL9" s="248">
        <f>IF($S9=$AL$3,(((INDEX('Tables - Part 2'!$AX$6:$BA$13,MATCH('HIC-SOHIC-H2S'!Z9,'Tables - Part 2'!$AV$6:$AV$13,0),MATCH('HIC-SOHIC-H2S'!T9,'Tables - Part 2'!$AX$5:$BA$5,0))+INDEX('Tables - Part 2'!$BB$6:$BE$13,MATCH('HIC-SOHIC-H2S'!$Z9,'Tables - Part 2'!$AV$6:$AV$13,0),MATCH('HIC-SOHIC-H2S'!$T9,'Tables - Part 2'!$AX$5:$BA$5,0)))/2)+(((INDEX('Tables - Part 2'!$AX$6:$BA$13,MATCH('HIC-SOHIC-H2S'!Z9,'Tables - Part 2'!$AV$6:$AV$13,0),MATCH('HIC-SOHIC-H2S'!T9,'Tables - Part 2'!$AX$5:$BA$5,0))+INDEX('Tables - Part 2'!$BB$6:$BE$13,MATCH('HIC-SOHIC-H2S'!$Z9,'Tables - Part 2'!$AV$6:$AV$13,0),MATCH('HIC-SOHIC-H2S'!$T9,'Tables - Part 2'!$AX$5:$BA$5,0)))/2)+INDEX('Tables - Part 2'!$BB$6:$BE$13,MATCH('HIC-SOHIC-H2S'!$Z9,'Tables - Part 2'!$AV$6:$AV$13,0),MATCH('HIC-SOHIC-H2S'!$T9,'Tables - Part 2'!$AX$5:$BA$5,0)))/2)/2,0)</f>
        <v>0</v>
      </c>
      <c r="AM9" s="248">
        <f>IF($S9=$AM$3,(((INDEX('Tables - Part 2'!$AX$6:$BA$13,MATCH('HIC-SOHIC-H2S'!Z9,'Tables - Part 2'!$AV$6:$AV$13,0),MATCH('HIC-SOHIC-H2S'!T9,'Tables - Part 2'!$AX$5:$BA$5,0))+INDEX('Tables - Part 2'!$BB$6:$BE$13,MATCH('HIC-SOHIC-H2S'!$Z9,'Tables - Part 2'!$AV$6:$AV$13,0),MATCH('HIC-SOHIC-H2S'!$T9,'Tables - Part 2'!$AX$5:$BA$5,0)))/2)+INDEX('Tables - Part 2'!$BB$6:$BE$13,MATCH('HIC-SOHIC-H2S'!$Z9,'Tables - Part 2'!$AV$6:$AV$13,0),MATCH('HIC-SOHIC-H2S'!$T9,'Tables - Part 2'!$AX$5:$BA$5,0)))/2,0)</f>
        <v>0</v>
      </c>
      <c r="AN9" s="248">
        <f>IF($S9=$AN$3,(((((INDEX('Tables - Part 2'!$AX$6:$BA$13,MATCH('HIC-SOHIC-H2S'!Z9,'Tables - Part 2'!$AV$6:$AV$13,0),MATCH('HIC-SOHIC-H2S'!T9,'Tables - Part 2'!$AX$5:$BA$5,0))+INDEX('Tables - Part 2'!$BB$6:$BE$13,MATCH('HIC-SOHIC-H2S'!$Z9,'Tables - Part 2'!$AV$6:$AV$13,0),MATCH('HIC-SOHIC-H2S'!$T9,'Tables - Part 2'!$AX$5:$BA$5,0)))/2)+INDEX('Tables - Part 2'!$BB$6:$BE$13,MATCH('HIC-SOHIC-H2S'!$Z9,'Tables - Part 2'!$AV$6:$AV$13,0),MATCH('HIC-SOHIC-H2S'!$T9,'Tables - Part 2'!$AX$5:$BA$5,0)))/2)+INDEX('Tables - Part 2'!$BB$6:$BE$13,MATCH('HIC-SOHIC-H2S'!$Z9,'Tables - Part 2'!$AV$6:$AV$13,0),MATCH('HIC-SOHIC-H2S'!$T9,'Tables - Part 2'!$AX$5:$BA$5,0)))/2,0)</f>
        <v>0</v>
      </c>
      <c r="AO9" s="248">
        <f>IF($S9=$AO$3,INDEX('Tables - Part 2'!$BB$6:$BE$13,MATCH('HIC-SOHIC-H2S'!$Z9,'Tables - Part 2'!$AV$6:$AV$13,0),MATCH('HIC-SOHIC-H2S'!$T9,'Tables - Part 2'!$AX$5:$BA$5,0)),0)</f>
        <v>0</v>
      </c>
      <c r="AP9" s="248">
        <f>IF($S9=$AP$3,((INDEX('Tables - Part 2'!$BB$6:$BE$13,MATCH('HIC-SOHIC-H2S'!$Z9,'Tables - Part 2'!$AV$6:$AV$13,0),MATCH('HIC-SOHIC-H2S'!$T9,'Tables - Part 2'!$AX$5:$BA$5,0)))+(INDEX('Tables - Part 2'!$BB$6:$BE$13,MATCH('HIC-SOHIC-H2S'!$Z9,'Tables - Part 2'!$AV$6:$AV$13,0),MATCH('HIC-SOHIC-H2S'!$T9,'Tables - Part 2'!$AX$5:$BA$5,0))+(INDEX('Tables - Part 2'!$BB$6:$BE$13,MATCH('HIC-SOHIC-H2S'!$Z9,'Tables - Part 2'!$AV$6:$AV$13,0),MATCH('HIC-SOHIC-H2S'!$T9,'Tables - Part 2'!$AX$5:$BA$5,0))+INDEX('Tables - Part 2'!$BF$6:$BI$13,MATCH('HIC-SOHIC-H2S'!$Z9,'Tables - Part 2'!$AV$6:$AV$13,0),MATCH('HIC-SOHIC-H2S'!$T9,'Tables - Part 2'!$AX$5:$BA$5,0)))/2)/2)/2,0)</f>
        <v>0</v>
      </c>
      <c r="AQ9" s="248">
        <f>IF($S9=$AQ$3,(INDEX('Tables - Part 2'!$BB$6:$BE$13,MATCH('HIC-SOHIC-H2S'!$Z9,'Tables - Part 2'!$AV$6:$AV$13,0),MATCH('HIC-SOHIC-H2S'!$T9,'Tables - Part 2'!$AX$5:$BA$5,0))+(INDEX('Tables - Part 2'!$BB$6:$BE$13,MATCH('HIC-SOHIC-H2S'!$Z9,'Tables - Part 2'!$AV$6:$AV$13,0),MATCH('HIC-SOHIC-H2S'!$T9,'Tables - Part 2'!$AX$5:$BA$5,0))+INDEX('Tables - Part 2'!$BF$6:$BI$13,MATCH('HIC-SOHIC-H2S'!$Z9,'Tables - Part 2'!$AV$6:$AV$13,0),MATCH('HIC-SOHIC-H2S'!$T9,'Tables - Part 2'!$AX$5:$BA$5,0)))/2)/2,0)</f>
        <v>0</v>
      </c>
      <c r="AR9" s="248">
        <f>IF($S9=$AR$3,(((INDEX('Tables - Part 2'!$BB$6:$BE$13,MATCH('HIC-SOHIC-H2S'!$Z9,'Tables - Part 2'!$AV$6:$AV$13,0),MATCH('HIC-SOHIC-H2S'!$T9,'Tables - Part 2'!$AX$5:$BA$5,0))+(INDEX('Tables - Part 2'!$BB$6:$BE$13,MATCH('HIC-SOHIC-H2S'!$Z9,'Tables - Part 2'!$AV$6:$AV$13,0),MATCH('HIC-SOHIC-H2S'!$T9,'Tables - Part 2'!$AX$5:$BA$5,0))+INDEX('Tables - Part 2'!$BF$6:$BI$13,MATCH('HIC-SOHIC-H2S'!$Z9,'Tables - Part 2'!$AV$6:$AV$13,0),MATCH('HIC-SOHIC-H2S'!$T9,'Tables - Part 2'!$AX$5:$BA$5,0)))/2)/2)+((INDEX('Tables - Part 2'!$BB$6:$BE$13,MATCH('HIC-SOHIC-H2S'!$Z9,'Tables - Part 2'!$AV$6:$AV$13,0),MATCH('HIC-SOHIC-H2S'!$T9,'Tables - Part 2'!$AX$5:$BA$5,0))+INDEX('Tables - Part 2'!$BF$6:$BI$13,MATCH('HIC-SOHIC-H2S'!$Z9,'Tables - Part 2'!$AV$6:$AV$13,0),MATCH('HIC-SOHIC-H2S'!$T9,'Tables - Part 2'!$AX$5:$BA$5,0)))/2))/2,0)</f>
        <v>0</v>
      </c>
      <c r="AS9" s="248">
        <f>IF($S9=$AS$3,(INDEX('Tables - Part 2'!$BB$6:$BE$13,MATCH('HIC-SOHIC-H2S'!$Z9,'Tables - Part 2'!$AV$6:$AV$13,0),MATCH('HIC-SOHIC-H2S'!$T9,'Tables - Part 2'!$AX$5:$BA$5,0))+INDEX('Tables - Part 2'!$BF$6:$BI$13,MATCH('HIC-SOHIC-H2S'!$Z9,'Tables - Part 2'!$AV$6:$AV$13,0),MATCH('HIC-SOHIC-H2S'!$T9,'Tables - Part 2'!$AX$5:$BA$5,0)))/2,0)</f>
        <v>0</v>
      </c>
      <c r="AT9" s="248">
        <f>IF($S9=$AT$3,(((INDEX('Tables - Part 2'!$BB$6:$BE$13,MATCH('HIC-SOHIC-H2S'!$Z9,'Tables - Part 2'!$AV$6:$AV$13,0),MATCH('HIC-SOHIC-H2S'!$T9,'Tables - Part 2'!$AX$5:$BA$5,0))+INDEX('Tables - Part 2'!$BF$6:$BI$13,MATCH('HIC-SOHIC-H2S'!$Z9,'Tables - Part 2'!$AV$6:$AV$13,0),MATCH('HIC-SOHIC-H2S'!$T9,'Tables - Part 2'!$AX$5:$BA$5,0)))/2)+((((INDEX('Tables - Part 2'!$BB$6:$BE$13,MATCH('HIC-SOHIC-H2S'!$Z9,'Tables - Part 2'!$AV$6:$AV$13,0),MATCH('HIC-SOHIC-H2S'!$T9,'Tables - Part 2'!$AX$5:$BA$5,0))+INDEX('Tables - Part 2'!$BF$6:$BI$13,MATCH('HIC-SOHIC-H2S'!$Z9,'Tables - Part 2'!$AV$6:$AV$13,0),MATCH('HIC-SOHIC-H2S'!$T9,'Tables - Part 2'!$AX$5:$BA$5,0)))/2)+INDEX('Tables - Part 2'!$BF$6:$BI$13,MATCH('HIC-SOHIC-H2S'!$Z9,'Tables - Part 2'!$AV$6:$AV$13,0),MATCH('HIC-SOHIC-H2S'!$T9,'Tables - Part 2'!$AX$5:$BA$5,0)))/2))/2,0)</f>
        <v>0</v>
      </c>
      <c r="AU9" s="248">
        <f>IF($S9=$AU$3,(((INDEX('Tables - Part 2'!$BB$6:$BE$13,MATCH('HIC-SOHIC-H2S'!$Z9,'Tables - Part 2'!$AV$6:$AV$13,0),MATCH('HIC-SOHIC-H2S'!$T9,'Tables - Part 2'!$AX$5:$BA$5,0))+INDEX('Tables - Part 2'!$BF$6:$BI$13,MATCH('HIC-SOHIC-H2S'!$Z9,'Tables - Part 2'!$AV$6:$AV$13,0),MATCH('HIC-SOHIC-H2S'!$T9,'Tables - Part 2'!$AX$5:$BA$5,0)))/2)+INDEX('Tables - Part 2'!$BF$6:$BI$13,MATCH('HIC-SOHIC-H2S'!$Z9,'Tables - Part 2'!$AV$6:$AV$13,0),MATCH('HIC-SOHIC-H2S'!$T9,'Tables - Part 2'!$AX$5:$BA$5,0)))/2,0)</f>
        <v>0</v>
      </c>
      <c r="AV9" s="248">
        <f>IF($S9=$AV$3,(((((INDEX('Tables - Part 2'!$BB$6:$BE$13,MATCH('HIC-SOHIC-H2S'!$Z9,'Tables - Part 2'!$AV$6:$AV$13,0),MATCH('HIC-SOHIC-H2S'!$T9,'Tables - Part 2'!$AX$5:$BA$5,0))+INDEX('Tables - Part 2'!$BF$6:$BI$13,MATCH('HIC-SOHIC-H2S'!$Z9,'Tables - Part 2'!$AV$6:$AV$13,0),MATCH('HIC-SOHIC-H2S'!$T9,'Tables - Part 2'!$AX$5:$BA$5,0)))/2)+INDEX('Tables - Part 2'!$BF$6:$BI$13,MATCH('HIC-SOHIC-H2S'!$Z9,'Tables - Part 2'!$AV$6:$AV$13,0),MATCH('HIC-SOHIC-H2S'!$T9,'Tables - Part 2'!$AX$5:$BA$5,0)))/2)+INDEX('Tables - Part 2'!$BF$6:$BI$13,MATCH('HIC-SOHIC-H2S'!$Z9,'Tables - Part 2'!$AV$6:$AV$13,0),MATCH('HIC-SOHIC-H2S'!$T9,'Tables - Part 2'!$AX$5:$BA$5,0)))/2,0)</f>
        <v>0</v>
      </c>
      <c r="AW9" s="248">
        <f>IF($S9=$AW$3,INDEX('Tables - Part 2'!$BF$6:$BI$13,MATCH('HIC-SOHIC-H2S'!$Z9,'Tables - Part 2'!$AV$6:$AV$13,0),MATCH('HIC-SOHIC-H2S'!$T9,'Tables - Part 2'!$AX$5:$BA$5,0)),0)</f>
        <v>0</v>
      </c>
      <c r="AX9" s="248">
        <f>IF($S9=$AX$3,(INDEX('Tables - Part 2'!$BF$6:$BI$13,MATCH('HIC-SOHIC-H2S'!$Z9,'Tables - Part 2'!$AV$6:$AV$13,0),MATCH('HIC-SOHIC-H2S'!$T9,'Tables - Part 2'!$AX$5:$BA$5,0))+((INDEX('Tables - Part 2'!$BF$6:$BI$13,MATCH('HIC-SOHIC-H2S'!$Z9,'Tables - Part 2'!$AV$6:$AV$13,0),MATCH('HIC-SOHIC-H2S'!$T9,'Tables - Part 2'!$AX$5:$BA$5,0))+(INDEX('Tables - Part 2'!$BF$6:$BI$13,MATCH('HIC-SOHIC-H2S'!$Z9,'Tables - Part 2'!$AV$6:$AV$13,0),MATCH('HIC-SOHIC-H2S'!$T9,'Tables - Part 2'!$AX$5:$BA$5,0))+INDEX('Tables - Part 2'!$AX$17:$BA$24,MATCH('HIC-SOHIC-H2S'!$Z9,'Tables - Part 2'!$AV$6:$AV$13,0),MATCH('HIC-SOHIC-H2S'!$T9,'Tables - Part 2'!$AX$5:$BA$5,0)))/2)/2))/2,0)</f>
        <v>0</v>
      </c>
      <c r="AY9" s="248">
        <f>IF($S9=$AY$3,(INDEX('Tables - Part 2'!$BF$6:$BI$13,MATCH('HIC-SOHIC-H2S'!$Z9,'Tables - Part 2'!$AV$6:$AV$13,0),MATCH('HIC-SOHIC-H2S'!$T9,'Tables - Part 2'!$AX$5:$BA$5,0))+(INDEX('Tables - Part 2'!$BF$6:$BI$13,MATCH('HIC-SOHIC-H2S'!$Z9,'Tables - Part 2'!$AV$6:$AV$13,0),MATCH('HIC-SOHIC-H2S'!$T9,'Tables - Part 2'!$AX$5:$BA$5,0))+INDEX('Tables - Part 2'!$AX$17:$BA$24,MATCH('HIC-SOHIC-H2S'!$Z9,'Tables - Part 2'!$AV$6:$AV$13,0),MATCH('HIC-SOHIC-H2S'!$T9,'Tables - Part 2'!$AX$5:$BA$5,0)))/2)/2,0)</f>
        <v>0</v>
      </c>
      <c r="AZ9" s="248">
        <f>IF($S9=$AZ$3,(((INDEX('Tables - Part 2'!$BF$6:$BI$13,MATCH('HIC-SOHIC-H2S'!$Z9,'Tables - Part 2'!$AV$6:$AV$13,0),MATCH('HIC-SOHIC-H2S'!$T9,'Tables - Part 2'!$AX$5:$BA$5,0))+(INDEX('Tables - Part 2'!$BF$6:$BI$13,MATCH('HIC-SOHIC-H2S'!$Z9,'Tables - Part 2'!$AV$6:$AV$13,0),MATCH('HIC-SOHIC-H2S'!$T9,'Tables - Part 2'!$AX$5:$BA$5,0))+INDEX('Tables - Part 2'!$AX$17:$BA$24,MATCH('HIC-SOHIC-H2S'!$Z9,'Tables - Part 2'!$AV$6:$AV$13,0),MATCH('HIC-SOHIC-H2S'!$T9,'Tables - Part 2'!$AX$5:$BA$5,0)))/2)/2)+((INDEX('Tables - Part 2'!$BF$6:$BI$13,MATCH('HIC-SOHIC-H2S'!$Z9,'Tables - Part 2'!$AV$6:$AV$13,0),MATCH('HIC-SOHIC-H2S'!$T9,'Tables - Part 2'!$AX$5:$BA$5,0))+INDEX('Tables - Part 2'!$AX$17:$BA$24,MATCH('HIC-SOHIC-H2S'!$Z9,'Tables - Part 2'!$AV$6:$AV$13,0),MATCH('HIC-SOHIC-H2S'!$T9,'Tables - Part 2'!$AX$5:$BA$5,0)))/2))/2,0)</f>
        <v>0</v>
      </c>
      <c r="BA9" s="248">
        <f>IF($S9=$BA$3,(INDEX('Tables - Part 2'!$BF$6:$BI$13,MATCH('HIC-SOHIC-H2S'!$Z9,'Tables - Part 2'!$AV$6:$AV$13,0),MATCH('HIC-SOHIC-H2S'!$T9,'Tables - Part 2'!$AX$5:$BA$5,0))+INDEX('Tables - Part 2'!$AX$17:$BA$24,MATCH('HIC-SOHIC-H2S'!$Z9,'Tables - Part 2'!$AV$6:$AV$13,0),MATCH('HIC-SOHIC-H2S'!$T9,'Tables - Part 2'!$AX$5:$BA$5,0)))/2,0)</f>
        <v>0</v>
      </c>
      <c r="BB9" s="248">
        <f>IF($S9=$BB$3,(((INDEX('Tables - Part 2'!$BF$6:$BI$13,MATCH('HIC-SOHIC-H2S'!$Z9,'Tables - Part 2'!$AV$6:$AV$13,0),MATCH('HIC-SOHIC-H2S'!$T9,'Tables - Part 2'!$AX$5:$BA$5,0))+INDEX('Tables - Part 2'!$AX$17:$BA$24,MATCH('HIC-SOHIC-H2S'!$Z9,'Tables - Part 2'!$AV$6:$AV$13,0),MATCH('HIC-SOHIC-H2S'!$T9,'Tables - Part 2'!$AX$5:$BA$5,0)))/2)+((((INDEX('Tables - Part 2'!$BF$6:$BI$13,MATCH('HIC-SOHIC-H2S'!$Z9,'Tables - Part 2'!$AV$6:$AV$13,0),MATCH('HIC-SOHIC-H2S'!$T9,'Tables - Part 2'!$AX$5:$BA$5,0))+INDEX('Tables - Part 2'!$AX$17:$BA$24,MATCH('HIC-SOHIC-H2S'!$Z9,'Tables - Part 2'!$AV$6:$AV$13,0),MATCH('HIC-SOHIC-H2S'!$T9,'Tables - Part 2'!$AX$5:$BA$5,0)))/2)+INDEX('Tables - Part 2'!$AX$17:$BA$24,MATCH('HIC-SOHIC-H2S'!$Z9,'Tables - Part 2'!$AV$6:$AV$13,0),MATCH('HIC-SOHIC-H2S'!$T9,'Tables - Part 2'!$AX$5:$BA$5,0)))/2))/2,0)</f>
        <v>0</v>
      </c>
      <c r="BC9" s="248">
        <f>IF($S9=$BC$3,(((INDEX('Tables - Part 2'!$BF$6:$BI$13,MATCH('HIC-SOHIC-H2S'!$Z9,'Tables - Part 2'!$AV$6:$AV$13,0),MATCH('HIC-SOHIC-H2S'!$T9,'Tables - Part 2'!$AX$5:$BA$5,0))+INDEX('Tables - Part 2'!$AX$17:$BA$24,MATCH('HIC-SOHIC-H2S'!$Z9,'Tables - Part 2'!$AV$6:$AV$13,0),MATCH('HIC-SOHIC-H2S'!$T9,'Tables - Part 2'!$AX$5:$BA$5,0)))/2)+INDEX('Tables - Part 2'!$AX$17:$BA$24,MATCH('HIC-SOHIC-H2S'!$Z9,'Tables - Part 2'!$AV$6:$AV$13,0),MATCH('HIC-SOHIC-H2S'!$T9,'Tables - Part 2'!$AX$5:$BA$5,0)))/2,0)</f>
        <v>0</v>
      </c>
      <c r="BD9" s="248">
        <f>IF($S9=$BD$3,(((((INDEX('Tables - Part 2'!$BF$6:$BI$13,MATCH('HIC-SOHIC-H2S'!$Z9,'Tables - Part 2'!$AV$6:$AV$13,0),MATCH('HIC-SOHIC-H2S'!$T9,'Tables - Part 2'!$AX$5:$BA$5,0))+INDEX('Tables - Part 2'!$AX$17:$BA$24,MATCH('HIC-SOHIC-H2S'!$Z9,'Tables - Part 2'!$AV$6:$AV$13,0),MATCH('HIC-SOHIC-H2S'!$T9,'Tables - Part 2'!$AX$5:$BA$5,0)))/2)+INDEX('Tables - Part 2'!$AX$17:$BA$24,MATCH('HIC-SOHIC-H2S'!$Z9,'Tables - Part 2'!$AV$6:$AV$13,0),MATCH('HIC-SOHIC-H2S'!$T9,'Tables - Part 2'!$AX$5:$BA$5,0)))/2)+(INDEX('Tables - Part 2'!$AX$17:$BA$24,MATCH('HIC-SOHIC-H2S'!$Z9,'Tables - Part 2'!$AV$6:$AV$13,0),MATCH('HIC-SOHIC-H2S'!$T9,'Tables - Part 2'!$AX$5:$BA$5,0))))/2,0)</f>
        <v>0</v>
      </c>
      <c r="BE9" s="248">
        <f>IF($S9=$BE$3,INDEX('Tables - Part 2'!$AX$17:$BA$24,MATCH('HIC-SOHIC-H2S'!$Z9,'Tables - Part 2'!$AV$6:$AV$13,0),MATCH('HIC-SOHIC-H2S'!$T9,'Tables - Part 2'!$AX$5:$BA$5,0)),0)</f>
        <v>0</v>
      </c>
      <c r="BF9" s="248">
        <f>IF($S9=$BF$3,((INDEX('Tables - Part 2'!$AX$17:$BA$24,MATCH('HIC-SOHIC-H2S'!$Z9,'Tables - Part 2'!$AV$6:$AV$13,0),MATCH('HIC-SOHIC-H2S'!$T9,'Tables - Part 2'!$AX$5:$BA$5,0)))+(((INDEX('Tables - Part 2'!$AX$17:$BA$24,MATCH('HIC-SOHIC-H2S'!$Z9,'Tables - Part 2'!$AV$6:$AV$13,0),MATCH('HIC-SOHIC-H2S'!$T9,'Tables - Part 2'!$AX$5:$BA$5,0)))+(INDEX('Tables - Part 2'!$AX$17:$BA$24,MATCH('HIC-SOHIC-H2S'!$Z9,'Tables - Part 2'!$AV$6:$AV$13,0),MATCH('HIC-SOHIC-H2S'!$T9,'Tables - Part 2'!$AX$5:$BA$5,0))+INDEX('Tables - Part 2'!$BB$17:$BE$24,MATCH('HIC-SOHIC-H2S'!$Z9,'Tables - Part 2'!$AV$6:$AV$13,0),MATCH('HIC-SOHIC-H2S'!$T9,'Tables - Part 2'!$AX$5:$BA$5,0)))/2)/2))/2,0)</f>
        <v>0</v>
      </c>
      <c r="BG9" s="248">
        <f>IF($S9=$BG$3,((INDEX('Tables - Part 2'!$AX$17:$BA$24,MATCH('HIC-SOHIC-H2S'!$Z9,'Tables - Part 2'!$AV$6:$AV$13,0),MATCH('HIC-SOHIC-H2S'!$T9,'Tables - Part 2'!$AX$5:$BA$5,0)))+(INDEX('Tables - Part 2'!$AX$17:$BA$24,MATCH('HIC-SOHIC-H2S'!$Z9,'Tables - Part 2'!$AV$6:$AV$13,0),MATCH('HIC-SOHIC-H2S'!$T9,'Tables - Part 2'!$AX$5:$BA$5,0))+INDEX('Tables - Part 2'!$BB$17:$BE$24,MATCH('HIC-SOHIC-H2S'!$Z9,'Tables - Part 2'!$AV$6:$AV$13,0),MATCH('HIC-SOHIC-H2S'!$T9,'Tables - Part 2'!$AX$5:$BA$5,0)))/2)/2,0)</f>
        <v>0</v>
      </c>
      <c r="BH9" s="248">
        <f>IF($S9=$BH$3,((((INDEX('Tables - Part 2'!$AX$17:$BA$24,MATCH('HIC-SOHIC-H2S'!$Z9,'Tables - Part 2'!$AV$6:$AV$13,0),MATCH('HIC-SOHIC-H2S'!$T9,'Tables - Part 2'!$AX$5:$BA$5,0)))+(INDEX('Tables - Part 2'!$AX$17:$BA$24,MATCH('HIC-SOHIC-H2S'!$Z9,'Tables - Part 2'!$AV$6:$AV$13,0),MATCH('HIC-SOHIC-H2S'!$T9,'Tables - Part 2'!$AX$5:$BA$5,0))+INDEX('Tables - Part 2'!$BB$17:$BE$24,MATCH('HIC-SOHIC-H2S'!$Z9,'Tables - Part 2'!$AV$6:$AV$13,0),MATCH('HIC-SOHIC-H2S'!$T9,'Tables - Part 2'!$AX$5:$BA$5,0)))/2)/2)+((INDEX('Tables - Part 2'!$AX$17:$BA$24,MATCH('HIC-SOHIC-H2S'!$Z9,'Tables - Part 2'!$AV$6:$AV$13,0),MATCH('HIC-SOHIC-H2S'!$T9,'Tables - Part 2'!$AX$5:$BA$5,0))+INDEX('Tables - Part 2'!$BB$17:$BE$24,MATCH('HIC-SOHIC-H2S'!$Z9,'Tables - Part 2'!$AV$6:$AV$13,0),MATCH('HIC-SOHIC-H2S'!$T9,'Tables - Part 2'!$AX$5:$BA$5,0)))/2))/2,0)</f>
        <v>0</v>
      </c>
      <c r="BI9" s="248">
        <f>IF($S9=$BI$3,(INDEX('Tables - Part 2'!$AX$17:$BA$24,MATCH('HIC-SOHIC-H2S'!$Z9,'Tables - Part 2'!$AV$6:$AV$13,0),MATCH('HIC-SOHIC-H2S'!$T9,'Tables - Part 2'!$AX$5:$BA$5,0))+INDEX('Tables - Part 2'!$BB$17:$BE$24,MATCH('HIC-SOHIC-H2S'!$Z9,'Tables - Part 2'!$AV$6:$AV$13,0),MATCH('HIC-SOHIC-H2S'!$T9,'Tables - Part 2'!$AX$5:$BA$5,0)))/2,0)</f>
        <v>0</v>
      </c>
      <c r="BJ9" s="248">
        <f>IF($S9=$BJ$3,(((INDEX('Tables - Part 2'!$AX$17:$BA$24,MATCH('HIC-SOHIC-H2S'!$Z9,'Tables - Part 2'!$AV$6:$AV$13,0),MATCH('HIC-SOHIC-H2S'!$T9,'Tables - Part 2'!$AX$5:$BA$5,0))+INDEX('Tables - Part 2'!$BB$17:$BE$24,MATCH('HIC-SOHIC-H2S'!$Z9,'Tables - Part 2'!$AV$6:$AV$13,0),MATCH('HIC-SOHIC-H2S'!$T9,'Tables - Part 2'!$AX$5:$BA$5,0)))/2)+((((INDEX('Tables - Part 2'!$AX$17:$BA$24,MATCH('HIC-SOHIC-H2S'!$Z9,'Tables - Part 2'!$AV$6:$AV$13,0),MATCH('HIC-SOHIC-H2S'!$T9,'Tables - Part 2'!$AX$5:$BA$5,0))+INDEX('Tables - Part 2'!$BB$17:$BE$24,MATCH('HIC-SOHIC-H2S'!$Z9,'Tables - Part 2'!$AV$6:$AV$13,0),MATCH('HIC-SOHIC-H2S'!$T9,'Tables - Part 2'!$AX$5:$BA$5,0)))/2)+INDEX('Tables - Part 2'!$BB$17:$BE$24,MATCH('HIC-SOHIC-H2S'!$Z9,'Tables - Part 2'!$AV$6:$AV$13,0),MATCH('HIC-SOHIC-H2S'!$T9,'Tables - Part 2'!$AX$5:$BA$5,0)))/2))/2,0)</f>
        <v>0</v>
      </c>
      <c r="BK9" s="248">
        <f>IF($S9=$BK$3,(((INDEX('Tables - Part 2'!$AX$17:$BA$24,MATCH('HIC-SOHIC-H2S'!$Z9,'Tables - Part 2'!$AV$6:$AV$13,0),MATCH('HIC-SOHIC-H2S'!$T9,'Tables - Part 2'!$AX$5:$BA$5,0))+INDEX('Tables - Part 2'!$BB$17:$BE$24,MATCH('HIC-SOHIC-H2S'!$Z9,'Tables - Part 2'!$AV$6:$AV$13,0),MATCH('HIC-SOHIC-H2S'!$T9,'Tables - Part 2'!$AX$5:$BA$5,0)))/2)+INDEX('Tables - Part 2'!$BB$17:$BE$24,MATCH('HIC-SOHIC-H2S'!$Z9,'Tables - Part 2'!$AV$6:$AV$13,0),MATCH('HIC-SOHIC-H2S'!$T9,'Tables - Part 2'!$AX$5:$BA$5,0)))/2,0)</f>
        <v>0</v>
      </c>
      <c r="BL9" s="248">
        <f>IF($S9=$BL$3,(((((INDEX('Tables - Part 2'!$AX$17:$BA$24,MATCH('HIC-SOHIC-H2S'!$Z9,'Tables - Part 2'!$AV$6:$AV$13,0),MATCH('HIC-SOHIC-H2S'!$T9,'Tables - Part 2'!$AX$5:$BA$5,0))+INDEX('Tables - Part 2'!$BB$17:$BE$24,MATCH('HIC-SOHIC-H2S'!$Z9,'Tables - Part 2'!$AV$6:$AV$13,0),MATCH('HIC-SOHIC-H2S'!$T9,'Tables - Part 2'!$AX$5:$BA$5,0)))/2)+INDEX('Tables - Part 2'!$BB$17:$BE$24,MATCH('HIC-SOHIC-H2S'!$Z9,'Tables - Part 2'!$AV$6:$AV$13,0),MATCH('HIC-SOHIC-H2S'!$T9,'Tables - Part 2'!$AX$5:$BA$5,0)))/2)+(INDEX('Tables - Part 2'!$BB$17:$BE$24,MATCH('HIC-SOHIC-H2S'!$Z9,'Tables - Part 2'!$AV$6:$AV$13,0),MATCH('HIC-SOHIC-H2S'!$T9,'Tables - Part 2'!$AX$5:$BA$5,0))))/2,0)</f>
        <v>0</v>
      </c>
      <c r="BM9" s="248">
        <f>IF($S9=$BM$3,INDEX('Tables - Part 2'!$BB$17:$BE$24,MATCH('HIC-SOHIC-H2S'!$Z9,'Tables - Part 2'!$AV$6:$AV$13,0),MATCH('HIC-SOHIC-H2S'!$T9,'Tables - Part 2'!$AX$5:$BA$5,0)),0)</f>
        <v>0</v>
      </c>
      <c r="BN9" s="248">
        <f>IF($S9=$BN$3,((INDEX('Tables - Part 2'!$BB$17:$BE$24,MATCH('HIC-SOHIC-H2S'!$Z9,'Tables - Part 2'!$AV$6:$AV$13,0),MATCH('HIC-SOHIC-H2S'!$T9,'Tables - Part 2'!$AX$5:$BA$5,0)))+(((INDEX('Tables - Part 2'!$BB$17:$BE$24,MATCH('HIC-SOHIC-H2S'!$Z9,'Tables - Part 2'!$AV$6:$AV$13,0),MATCH('HIC-SOHIC-H2S'!$T9,'Tables - Part 2'!$AX$5:$BA$5,0)))+(INDEX('Tables - Part 2'!$BB$17:$BE$24,MATCH('HIC-SOHIC-H2S'!$Z9,'Tables - Part 2'!$AV$6:$AV$13,0),MATCH('HIC-SOHIC-H2S'!$T9,'Tables - Part 2'!$AX$5:$BA$5,0))+INDEX('Tables - Part 2'!$BF$17:$BI$24,MATCH('HIC-SOHIC-H2S'!$Z9,'Tables - Part 2'!$AV$6:$AV$13,0),MATCH('HIC-SOHIC-H2S'!$T9,'Tables - Part 2'!$AX$5:$BA$5,0)))/2)/2))/2,0)</f>
        <v>0</v>
      </c>
      <c r="BO9" s="248">
        <f>IF($S9=$BO$3,((INDEX('Tables - Part 2'!$BB$17:$BE$24,MATCH('HIC-SOHIC-H2S'!$Z9,'Tables - Part 2'!$AV$6:$AV$13,0),MATCH('HIC-SOHIC-H2S'!$T9,'Tables - Part 2'!$AX$5:$BA$5,0)))+(INDEX('Tables - Part 2'!$BB$17:$BE$24,MATCH('HIC-SOHIC-H2S'!$Z9,'Tables - Part 2'!$AV$6:$AV$13,0),MATCH('HIC-SOHIC-H2S'!$T9,'Tables - Part 2'!$AX$5:$BA$5,0))+INDEX('Tables - Part 2'!$BF$17:$BI$24,MATCH('HIC-SOHIC-H2S'!$Z9,'Tables - Part 2'!$AV$6:$AV$13,0),MATCH('HIC-SOHIC-H2S'!$T9,'Tables - Part 2'!$AX$5:$BA$5,0)))/2)/2,0)</f>
        <v>0</v>
      </c>
      <c r="BP9" s="248">
        <f>IF($S9=$BP$3,((((INDEX('Tables - Part 2'!$BB$17:$BE$24,MATCH('HIC-SOHIC-H2S'!$Z9,'Tables - Part 2'!$AV$6:$AV$13,0),MATCH('HIC-SOHIC-H2S'!$T9,'Tables - Part 2'!$AX$5:$BA$5,0)))+(INDEX('Tables - Part 2'!$BB$17:$BE$24,MATCH('HIC-SOHIC-H2S'!$Z9,'Tables - Part 2'!$AV$6:$AV$13,0),MATCH('HIC-SOHIC-H2S'!$T9,'Tables - Part 2'!$AX$5:$BA$5,0))+INDEX('Tables - Part 2'!$BF$17:$BI$24,MATCH('HIC-SOHIC-H2S'!$Z9,'Tables - Part 2'!$AV$6:$AV$13,0),MATCH('HIC-SOHIC-H2S'!$T9,'Tables - Part 2'!$AX$5:$BA$5,0)))/2)/2)+((INDEX('Tables - Part 2'!$BB$17:$BE$24,MATCH('HIC-SOHIC-H2S'!$Z9,'Tables - Part 2'!$AV$6:$AV$13,0),MATCH('HIC-SOHIC-H2S'!$T9,'Tables - Part 2'!$AX$5:$BA$5,0))+INDEX('Tables - Part 2'!$BF$17:$BI$24,MATCH('HIC-SOHIC-H2S'!$Z9,'Tables - Part 2'!$AV$6:$AV$13,0),MATCH('HIC-SOHIC-H2S'!$T9,'Tables - Part 2'!$AX$5:$BA$5,0)))/2))/2,0)</f>
        <v>0</v>
      </c>
      <c r="BQ9" s="248">
        <f>IF($S9=$BQ$3,(INDEX('Tables - Part 2'!$BB$17:$BE$24,MATCH('HIC-SOHIC-H2S'!$Z9,'Tables - Part 2'!$AV$6:$AV$13,0),MATCH('HIC-SOHIC-H2S'!$T9,'Tables - Part 2'!$AX$5:$BA$5,0))+INDEX('Tables - Part 2'!$BF$17:$BI$24,MATCH('HIC-SOHIC-H2S'!$Z9,'Tables - Part 2'!$AV$6:$AV$13,0),MATCH('HIC-SOHIC-H2S'!$T9,'Tables - Part 2'!$AX$5:$BA$5,0)))/2,0)</f>
        <v>0</v>
      </c>
      <c r="BR9" s="248">
        <f>IF($S9=$BR$3,(((INDEX('Tables - Part 2'!$BB$17:$BE$24,MATCH('HIC-SOHIC-H2S'!$Z9,'Tables - Part 2'!$AV$6:$AV$13,0),MATCH('HIC-SOHIC-H2S'!$T9,'Tables - Part 2'!$AX$5:$BA$5,0))+INDEX('Tables - Part 2'!$BF$17:$BI$24,MATCH('HIC-SOHIC-H2S'!$Z9,'Tables - Part 2'!$AV$6:$AV$13,0),MATCH('HIC-SOHIC-H2S'!$T9,'Tables - Part 2'!$AX$5:$BA$5,0)))/2)+((((INDEX('Tables - Part 2'!$BB$17:$BE$24,MATCH('HIC-SOHIC-H2S'!$Z9,'Tables - Part 2'!$AV$6:$AV$13,0),MATCH('HIC-SOHIC-H2S'!$T9,'Tables - Part 2'!$AX$5:$BA$5,0))+INDEX('Tables - Part 2'!$BF$17:$BI$24,MATCH('HIC-SOHIC-H2S'!$Z9,'Tables - Part 2'!$AV$6:$AV$13,0),MATCH('HIC-SOHIC-H2S'!$T9,'Tables - Part 2'!$AX$5:$BA$5,0)))/2)+INDEX('Tables - Part 2'!$BF$17:$BI$24,MATCH('HIC-SOHIC-H2S'!$Z9,'Tables - Part 2'!$AV$6:$AV$13,0),MATCH('HIC-SOHIC-H2S'!$T9,'Tables - Part 2'!$AX$5:$BA$5,0)))/2))/2,0)</f>
        <v>0</v>
      </c>
      <c r="BS9" s="248">
        <f>IF($S9=$BS$3,(((INDEX('Tables - Part 2'!$BB$17:$BE$24,MATCH('HIC-SOHIC-H2S'!$Z9,'Tables - Part 2'!$AV$6:$AV$13,0),MATCH('HIC-SOHIC-H2S'!$T9,'Tables - Part 2'!$AX$5:$BA$5,0))+INDEX('Tables - Part 2'!$BF$17:$BI$24,MATCH('HIC-SOHIC-H2S'!$Z9,'Tables - Part 2'!$AV$6:$AV$13,0),MATCH('HIC-SOHIC-H2S'!$T9,'Tables - Part 2'!$AX$5:$BA$5,0)))/2)+INDEX('Tables - Part 2'!$BF$17:$BI$24,MATCH('HIC-SOHIC-H2S'!$Z9,'Tables - Part 2'!$AV$6:$AV$13,0),MATCH('HIC-SOHIC-H2S'!$T9,'Tables - Part 2'!$AX$5:$BA$5,0)))/2,0)</f>
        <v>0</v>
      </c>
      <c r="BT9" s="248">
        <f>IF($S9=$BT$3,(((((INDEX('Tables - Part 2'!$BB$17:$BE$24,MATCH('HIC-SOHIC-H2S'!$Z9,'Tables - Part 2'!$AV$6:$AV$13,0),MATCH('HIC-SOHIC-H2S'!$T9,'Tables - Part 2'!$AX$5:$BA$5,0))+INDEX('Tables - Part 2'!$BF$17:$BI$24,MATCH('HIC-SOHIC-H2S'!$Z9,'Tables - Part 2'!$AV$6:$AV$13,0),MATCH('HIC-SOHIC-H2S'!$T9,'Tables - Part 2'!$AX$5:$BA$5,0)))/2)+INDEX('Tables - Part 2'!$BF$17:$BI$24,MATCH('HIC-SOHIC-H2S'!$Z9,'Tables - Part 2'!$AV$6:$AV$13,0),MATCH('HIC-SOHIC-H2S'!$T9,'Tables - Part 2'!$AX$5:$BA$5,0)))/2)+(INDEX('Tables - Part 2'!$BF$17:$BI$24,MATCH('HIC-SOHIC-H2S'!$Z9,'Tables - Part 2'!$AV$6:$AV$13,0),MATCH('HIC-SOHIC-H2S'!$T9,'Tables - Part 2'!$AX$5:$BA$5,0))))/2,0)</f>
        <v>0</v>
      </c>
      <c r="BU9" s="248">
        <f>IF($S9=$BU$3,INDEX('Tables - Part 2'!$BF$17:$BI$24,MATCH('HIC-SOHIC-H2S'!$Z9,'Tables - Part 2'!$AV$6:$AV$13,0),MATCH('HIC-SOHIC-H2S'!$T9,'Tables - Part 2'!$AX$5:$BA$5,0)),0)</f>
        <v>0</v>
      </c>
      <c r="BV9" s="248" t="e">
        <f t="shared" si="2"/>
        <v>#N/A</v>
      </c>
      <c r="BW9" s="238" t="e">
        <f t="shared" si="8"/>
        <v>#N/A</v>
      </c>
      <c r="BX9" s="238" t="e">
        <f t="shared" si="9"/>
        <v>#N/A</v>
      </c>
    </row>
    <row r="10" spans="2:89" x14ac:dyDescent="0.35">
      <c r="B10" s="161" t="str">
        <f>'Tratamento de Dados'!B18</f>
        <v>V-1</v>
      </c>
      <c r="C10" s="161" t="str">
        <f>'Tratamento de Dados'!D18</f>
        <v>Casco</v>
      </c>
      <c r="D10" s="209">
        <f>'Tratamento de Dados'!CN18</f>
        <v>0</v>
      </c>
      <c r="E10" s="209">
        <f>'Tratamento de Dados'!CO18</f>
        <v>0</v>
      </c>
      <c r="F10" s="209">
        <f>'Tratamento de Dados'!CP18</f>
        <v>0</v>
      </c>
      <c r="G10" s="209">
        <f>'Tratamento de Dados'!CQ18</f>
        <v>0</v>
      </c>
      <c r="H10" s="209">
        <f>'Tratamento de Dados'!CR18</f>
        <v>0</v>
      </c>
      <c r="I10" s="209">
        <f>'Tratamento de Dados'!CS18</f>
        <v>0</v>
      </c>
      <c r="J10" s="209">
        <f>'Tratamento de Dados'!CT18</f>
        <v>0</v>
      </c>
      <c r="K10" s="209">
        <f>'Tratamento de Dados'!CU18</f>
        <v>0</v>
      </c>
      <c r="L10" s="210">
        <f>'Tratamento de Dados'!CV18</f>
        <v>0</v>
      </c>
      <c r="M10" s="209">
        <f>'Tratamento de Dados'!CW18</f>
        <v>0</v>
      </c>
      <c r="N10" s="209">
        <f>'Tratamento de Dados'!CX18</f>
        <v>0</v>
      </c>
      <c r="O10" s="209">
        <f>'Tratamento de Dados'!CY18</f>
        <v>0</v>
      </c>
      <c r="P10" s="209">
        <f>'Tratamento de Dados'!CZ18</f>
        <v>0</v>
      </c>
      <c r="Q10" s="253">
        <f>'Tratamento de Dados'!DA18</f>
        <v>0</v>
      </c>
      <c r="R10" s="253">
        <f>'Tratamento de Dados'!DB18</f>
        <v>0</v>
      </c>
      <c r="S10" s="256">
        <f t="shared" si="0"/>
        <v>0</v>
      </c>
      <c r="T10" s="246" t="str">
        <f t="shared" si="3"/>
        <v>E</v>
      </c>
      <c r="U10" s="238" t="e">
        <f>IF(D10=$CC$2,$CA$4,IF(AND(H10=$CC$2,OR(F10='Tables - Part 2'!$CE$8,'Tables - Part 2'!$CE$9),OR('HIC-SOHIC-H2S'!G10='Tables - Part 2'!$CH$4,'HIC-SOHIC-H2S'!G10='Tables - Part 2'!$CI$4)),$CA$4,INDEX('Tables - Part 2'!$CF$5:$CI$9,MATCH('HIC-SOHIC-H2S'!F10,'Tables - Part 2'!$CE$5:$CE$9,0),MATCH('HIC-SOHIC-H2S'!G10,'Tables - Part 2'!$CF$4:$CI$4,0))))</f>
        <v>#N/A</v>
      </c>
      <c r="V10" s="238" t="str">
        <f>IF($I10=$V$3,INDEX('Tables - Part 2'!$CL$5:$CM$7,MATCH('HIC-SOHIC-H2S'!$U10,'Tables - Part 2'!$CK$5:$CK$7,0),IF('HIC-SOHIC-H2S'!$J10='HIC-SOHIC-H2S'!$CC$2,2,1)),"")</f>
        <v/>
      </c>
      <c r="W10" s="238" t="str">
        <f>IF($I10=$W$3,INDEX('Tables - Part 2'!$CN$5:$CO$7,MATCH('HIC-SOHIC-H2S'!$U10,'Tables - Part 2'!$CK$5:$CK$7,0),IF('HIC-SOHIC-H2S'!$J10='HIC-SOHIC-H2S'!$CC$2,2,1)),"")</f>
        <v/>
      </c>
      <c r="X10" s="238" t="str">
        <f>IF($I10=$X$3,INDEX('Tables - Part 2'!$CP$5:$CQ$7,MATCH('HIC-SOHIC-H2S'!$U10,'Tables - Part 2'!$CK$5:$CK$7,0),IF('HIC-SOHIC-H2S'!$J10='HIC-SOHIC-H2S'!$CC$2,2,1)),"")</f>
        <v/>
      </c>
      <c r="Y10" s="238" t="str">
        <f t="shared" si="1"/>
        <v/>
      </c>
      <c r="Z10" s="238" t="e">
        <f>IF(AND(D10=$CC$2,E10&lt;&gt;$CC$2),"Fitness-For-Service",INDEX('Tables - Part 2'!$CT$4:$CT$6,MATCH('HIC-SOHIC-H2S'!Y10,'Tables - Part 2'!$CS$4:$CS$6,0),))</f>
        <v>#N/A</v>
      </c>
      <c r="AA10" s="238">
        <f>IF(L10=0,(Thinning!G11-Thinning!F11)/365.25,(Thinning!G11-L10)/365.25)</f>
        <v>5.4757015742642025E-3</v>
      </c>
      <c r="AB10" s="238" t="e">
        <f>INDEX('Tables - Part 2'!$CW$4:$CW$7,MATCH('HIC-SOHIC-H2S'!K10,'Tables - Part 2'!$CV$4:$CV$7,0))</f>
        <v>#N/A</v>
      </c>
      <c r="AC10" s="248">
        <f t="shared" si="4"/>
        <v>0</v>
      </c>
      <c r="AD10" s="248">
        <f t="shared" si="5"/>
        <v>0</v>
      </c>
      <c r="AE10" s="247">
        <f t="shared" si="10"/>
        <v>0</v>
      </c>
      <c r="AF10" s="247">
        <f t="shared" si="7"/>
        <v>0</v>
      </c>
      <c r="AG10" s="248">
        <f>IF($S10=$AG$3,INDEX('Tables - Part 2'!$AX$6:$BA$13,MATCH('HIC-SOHIC-H2S'!Z10,'Tables - Part 2'!$AV$6:$AV$13,0),MATCH('HIC-SOHIC-H2S'!T10,'Tables - Part 2'!$AX$5:$BA$5,0)),0)</f>
        <v>0</v>
      </c>
      <c r="AH10" s="248">
        <f>IF($S10=$AH$3,(INDEX('Tables - Part 2'!$AX$6:$BA$13,MATCH('HIC-SOHIC-H2S'!Z10,'Tables - Part 2'!$AV$6:$AV$13,0),MATCH('HIC-SOHIC-H2S'!T10,'Tables - Part 2'!$AX$5:$BA$5,0))+(INDEX('Tables - Part 2'!$AX$6:$BA$13,MATCH('HIC-SOHIC-H2S'!Z10,'Tables - Part 2'!$AV$6:$AV$13,0),MATCH('HIC-SOHIC-H2S'!T10,'Tables - Part 2'!$AX$5:$BA$5,0))+((INDEX('Tables - Part 2'!$AX$6:$BA$13,MATCH('HIC-SOHIC-H2S'!Z10,'Tables - Part 2'!$AV$6:$AV$13,0),MATCH('HIC-SOHIC-H2S'!T10,'Tables - Part 2'!$AX$5:$BA$5,0))+INDEX('Tables - Part 2'!$BB$6:$BE$13,MATCH('HIC-SOHIC-H2S'!$Z10,'Tables - Part 2'!$AV$6:$AV$13,0),MATCH('HIC-SOHIC-H2S'!$T10,'Tables - Part 2'!$AX$5:$BA$5,0)))/2))/2)/2,0)</f>
        <v>0</v>
      </c>
      <c r="AI10" s="248">
        <f>IF($S10=$AI$3,(INDEX('Tables - Part 2'!$AX$6:$BA$13,MATCH('HIC-SOHIC-H2S'!Z10,'Tables - Part 2'!$AV$6:$AV$13,0),MATCH('HIC-SOHIC-H2S'!T10,'Tables - Part 2'!$AX$5:$BA$5,0))+((INDEX('Tables - Part 2'!$AX$6:$BA$13,MATCH('HIC-SOHIC-H2S'!Z10,'Tables - Part 2'!$AV$6:$AV$13,0),MATCH('HIC-SOHIC-H2S'!T10,'Tables - Part 2'!$AX$5:$BA$5,0))+INDEX('Tables - Part 2'!$BB$6:$BE$13,MATCH('HIC-SOHIC-H2S'!$Z10,'Tables - Part 2'!$AV$6:$AV$13,0),MATCH('HIC-SOHIC-H2S'!$T10,'Tables - Part 2'!$AX$5:$BA$5,0)))/2))/2,0)</f>
        <v>0</v>
      </c>
      <c r="AJ10" s="248">
        <f>IF($S10=$AJ$3,(((INDEX('Tables - Part 2'!$AX$6:$BA$13,MATCH('HIC-SOHIC-H2S'!Z10,'Tables - Part 2'!$AV$6:$AV$13,0),MATCH('HIC-SOHIC-H2S'!T10,'Tables - Part 2'!$AX$5:$BA$5,0))+((INDEX('Tables - Part 2'!$AX$6:$BA$13,MATCH('HIC-SOHIC-H2S'!Z10,'Tables - Part 2'!$AV$6:$AV$13,0),MATCH('HIC-SOHIC-H2S'!T10,'Tables - Part 2'!$AX$5:$BA$5,0))+INDEX('Tables - Part 2'!$BB$6:$BE$13,MATCH('HIC-SOHIC-H2S'!$Z10,'Tables - Part 2'!$AV$6:$AV$13,0),MATCH('HIC-SOHIC-H2S'!$T10,'Tables - Part 2'!$AX$5:$BA$5,0)))/2))/2)+(INDEX('Tables - Part 2'!$AX$6:$BA$13,MATCH('HIC-SOHIC-H2S'!Z10,'Tables - Part 2'!$AV$6:$AV$13,0),MATCH('HIC-SOHIC-H2S'!T10,'Tables - Part 2'!$AX$5:$BA$5,0))+INDEX('Tables - Part 2'!$BB$6:$BE$13,MATCH('HIC-SOHIC-H2S'!$Z10,'Tables - Part 2'!$AV$6:$AV$13,0),MATCH('HIC-SOHIC-H2S'!$T10,'Tables - Part 2'!$AX$5:$BA$5,0)))/2)/2,0)</f>
        <v>0</v>
      </c>
      <c r="AK10" s="248">
        <f>IF($S10=$AK$3,(INDEX('Tables - Part 2'!$AX$6:$BA$13,MATCH('HIC-SOHIC-H2S'!Z10,'Tables - Part 2'!$AV$6:$AV$13,0),MATCH('HIC-SOHIC-H2S'!T10,'Tables - Part 2'!$AX$5:$BA$5,0))+INDEX('Tables - Part 2'!$BB$6:$BE$13,MATCH('HIC-SOHIC-H2S'!$Z10,'Tables - Part 2'!$AV$6:$AV$13,0),MATCH('HIC-SOHIC-H2S'!$T10,'Tables - Part 2'!$AX$5:$BA$5,0)))/2,0)</f>
        <v>0</v>
      </c>
      <c r="AL10" s="248">
        <f>IF($S10=$AL$3,(((INDEX('Tables - Part 2'!$AX$6:$BA$13,MATCH('HIC-SOHIC-H2S'!Z10,'Tables - Part 2'!$AV$6:$AV$13,0),MATCH('HIC-SOHIC-H2S'!T10,'Tables - Part 2'!$AX$5:$BA$5,0))+INDEX('Tables - Part 2'!$BB$6:$BE$13,MATCH('HIC-SOHIC-H2S'!$Z10,'Tables - Part 2'!$AV$6:$AV$13,0),MATCH('HIC-SOHIC-H2S'!$T10,'Tables - Part 2'!$AX$5:$BA$5,0)))/2)+(((INDEX('Tables - Part 2'!$AX$6:$BA$13,MATCH('HIC-SOHIC-H2S'!Z10,'Tables - Part 2'!$AV$6:$AV$13,0),MATCH('HIC-SOHIC-H2S'!T10,'Tables - Part 2'!$AX$5:$BA$5,0))+INDEX('Tables - Part 2'!$BB$6:$BE$13,MATCH('HIC-SOHIC-H2S'!$Z10,'Tables - Part 2'!$AV$6:$AV$13,0),MATCH('HIC-SOHIC-H2S'!$T10,'Tables - Part 2'!$AX$5:$BA$5,0)))/2)+INDEX('Tables - Part 2'!$BB$6:$BE$13,MATCH('HIC-SOHIC-H2S'!$Z10,'Tables - Part 2'!$AV$6:$AV$13,0),MATCH('HIC-SOHIC-H2S'!$T10,'Tables - Part 2'!$AX$5:$BA$5,0)))/2)/2,0)</f>
        <v>0</v>
      </c>
      <c r="AM10" s="248">
        <f>IF($S10=$AM$3,(((INDEX('Tables - Part 2'!$AX$6:$BA$13,MATCH('HIC-SOHIC-H2S'!Z10,'Tables - Part 2'!$AV$6:$AV$13,0),MATCH('HIC-SOHIC-H2S'!T10,'Tables - Part 2'!$AX$5:$BA$5,0))+INDEX('Tables - Part 2'!$BB$6:$BE$13,MATCH('HIC-SOHIC-H2S'!$Z10,'Tables - Part 2'!$AV$6:$AV$13,0),MATCH('HIC-SOHIC-H2S'!$T10,'Tables - Part 2'!$AX$5:$BA$5,0)))/2)+INDEX('Tables - Part 2'!$BB$6:$BE$13,MATCH('HIC-SOHIC-H2S'!$Z10,'Tables - Part 2'!$AV$6:$AV$13,0),MATCH('HIC-SOHIC-H2S'!$T10,'Tables - Part 2'!$AX$5:$BA$5,0)))/2,0)</f>
        <v>0</v>
      </c>
      <c r="AN10" s="248">
        <f>IF($S10=$AN$3,(((((INDEX('Tables - Part 2'!$AX$6:$BA$13,MATCH('HIC-SOHIC-H2S'!Z10,'Tables - Part 2'!$AV$6:$AV$13,0),MATCH('HIC-SOHIC-H2S'!T10,'Tables - Part 2'!$AX$5:$BA$5,0))+INDEX('Tables - Part 2'!$BB$6:$BE$13,MATCH('HIC-SOHIC-H2S'!$Z10,'Tables - Part 2'!$AV$6:$AV$13,0),MATCH('HIC-SOHIC-H2S'!$T10,'Tables - Part 2'!$AX$5:$BA$5,0)))/2)+INDEX('Tables - Part 2'!$BB$6:$BE$13,MATCH('HIC-SOHIC-H2S'!$Z10,'Tables - Part 2'!$AV$6:$AV$13,0),MATCH('HIC-SOHIC-H2S'!$T10,'Tables - Part 2'!$AX$5:$BA$5,0)))/2)+INDEX('Tables - Part 2'!$BB$6:$BE$13,MATCH('HIC-SOHIC-H2S'!$Z10,'Tables - Part 2'!$AV$6:$AV$13,0),MATCH('HIC-SOHIC-H2S'!$T10,'Tables - Part 2'!$AX$5:$BA$5,0)))/2,0)</f>
        <v>0</v>
      </c>
      <c r="AO10" s="248">
        <f>IF($S10=$AO$3,INDEX('Tables - Part 2'!$BB$6:$BE$13,MATCH('HIC-SOHIC-H2S'!$Z10,'Tables - Part 2'!$AV$6:$AV$13,0),MATCH('HIC-SOHIC-H2S'!$T10,'Tables - Part 2'!$AX$5:$BA$5,0)),0)</f>
        <v>0</v>
      </c>
      <c r="AP10" s="248">
        <f>IF($S10=$AP$3,((INDEX('Tables - Part 2'!$BB$6:$BE$13,MATCH('HIC-SOHIC-H2S'!$Z10,'Tables - Part 2'!$AV$6:$AV$13,0),MATCH('HIC-SOHIC-H2S'!$T10,'Tables - Part 2'!$AX$5:$BA$5,0)))+(INDEX('Tables - Part 2'!$BB$6:$BE$13,MATCH('HIC-SOHIC-H2S'!$Z10,'Tables - Part 2'!$AV$6:$AV$13,0),MATCH('HIC-SOHIC-H2S'!$T10,'Tables - Part 2'!$AX$5:$BA$5,0))+(INDEX('Tables - Part 2'!$BB$6:$BE$13,MATCH('HIC-SOHIC-H2S'!$Z10,'Tables - Part 2'!$AV$6:$AV$13,0),MATCH('HIC-SOHIC-H2S'!$T10,'Tables - Part 2'!$AX$5:$BA$5,0))+INDEX('Tables - Part 2'!$BF$6:$BI$13,MATCH('HIC-SOHIC-H2S'!$Z10,'Tables - Part 2'!$AV$6:$AV$13,0),MATCH('HIC-SOHIC-H2S'!$T10,'Tables - Part 2'!$AX$5:$BA$5,0)))/2)/2)/2,0)</f>
        <v>0</v>
      </c>
      <c r="AQ10" s="248">
        <f>IF($S10=$AQ$3,(INDEX('Tables - Part 2'!$BB$6:$BE$13,MATCH('HIC-SOHIC-H2S'!$Z10,'Tables - Part 2'!$AV$6:$AV$13,0),MATCH('HIC-SOHIC-H2S'!$T10,'Tables - Part 2'!$AX$5:$BA$5,0))+(INDEX('Tables - Part 2'!$BB$6:$BE$13,MATCH('HIC-SOHIC-H2S'!$Z10,'Tables - Part 2'!$AV$6:$AV$13,0),MATCH('HIC-SOHIC-H2S'!$T10,'Tables - Part 2'!$AX$5:$BA$5,0))+INDEX('Tables - Part 2'!$BF$6:$BI$13,MATCH('HIC-SOHIC-H2S'!$Z10,'Tables - Part 2'!$AV$6:$AV$13,0),MATCH('HIC-SOHIC-H2S'!$T10,'Tables - Part 2'!$AX$5:$BA$5,0)))/2)/2,0)</f>
        <v>0</v>
      </c>
      <c r="AR10" s="248">
        <f>IF($S10=$AR$3,(((INDEX('Tables - Part 2'!$BB$6:$BE$13,MATCH('HIC-SOHIC-H2S'!$Z10,'Tables - Part 2'!$AV$6:$AV$13,0),MATCH('HIC-SOHIC-H2S'!$T10,'Tables - Part 2'!$AX$5:$BA$5,0))+(INDEX('Tables - Part 2'!$BB$6:$BE$13,MATCH('HIC-SOHIC-H2S'!$Z10,'Tables - Part 2'!$AV$6:$AV$13,0),MATCH('HIC-SOHIC-H2S'!$T10,'Tables - Part 2'!$AX$5:$BA$5,0))+INDEX('Tables - Part 2'!$BF$6:$BI$13,MATCH('HIC-SOHIC-H2S'!$Z10,'Tables - Part 2'!$AV$6:$AV$13,0),MATCH('HIC-SOHIC-H2S'!$T10,'Tables - Part 2'!$AX$5:$BA$5,0)))/2)/2)+((INDEX('Tables - Part 2'!$BB$6:$BE$13,MATCH('HIC-SOHIC-H2S'!$Z10,'Tables - Part 2'!$AV$6:$AV$13,0),MATCH('HIC-SOHIC-H2S'!$T10,'Tables - Part 2'!$AX$5:$BA$5,0))+INDEX('Tables - Part 2'!$BF$6:$BI$13,MATCH('HIC-SOHIC-H2S'!$Z10,'Tables - Part 2'!$AV$6:$AV$13,0),MATCH('HIC-SOHIC-H2S'!$T10,'Tables - Part 2'!$AX$5:$BA$5,0)))/2))/2,0)</f>
        <v>0</v>
      </c>
      <c r="AS10" s="248">
        <f>IF($S10=$AS$3,(INDEX('Tables - Part 2'!$BB$6:$BE$13,MATCH('HIC-SOHIC-H2S'!$Z10,'Tables - Part 2'!$AV$6:$AV$13,0),MATCH('HIC-SOHIC-H2S'!$T10,'Tables - Part 2'!$AX$5:$BA$5,0))+INDEX('Tables - Part 2'!$BF$6:$BI$13,MATCH('HIC-SOHIC-H2S'!$Z10,'Tables - Part 2'!$AV$6:$AV$13,0),MATCH('HIC-SOHIC-H2S'!$T10,'Tables - Part 2'!$AX$5:$BA$5,0)))/2,0)</f>
        <v>0</v>
      </c>
      <c r="AT10" s="248">
        <f>IF($S10=$AT$3,(((INDEX('Tables - Part 2'!$BB$6:$BE$13,MATCH('HIC-SOHIC-H2S'!$Z10,'Tables - Part 2'!$AV$6:$AV$13,0),MATCH('HIC-SOHIC-H2S'!$T10,'Tables - Part 2'!$AX$5:$BA$5,0))+INDEX('Tables - Part 2'!$BF$6:$BI$13,MATCH('HIC-SOHIC-H2S'!$Z10,'Tables - Part 2'!$AV$6:$AV$13,0),MATCH('HIC-SOHIC-H2S'!$T10,'Tables - Part 2'!$AX$5:$BA$5,0)))/2)+((((INDEX('Tables - Part 2'!$BB$6:$BE$13,MATCH('HIC-SOHIC-H2S'!$Z10,'Tables - Part 2'!$AV$6:$AV$13,0),MATCH('HIC-SOHIC-H2S'!$T10,'Tables - Part 2'!$AX$5:$BA$5,0))+INDEX('Tables - Part 2'!$BF$6:$BI$13,MATCH('HIC-SOHIC-H2S'!$Z10,'Tables - Part 2'!$AV$6:$AV$13,0),MATCH('HIC-SOHIC-H2S'!$T10,'Tables - Part 2'!$AX$5:$BA$5,0)))/2)+INDEX('Tables - Part 2'!$BF$6:$BI$13,MATCH('HIC-SOHIC-H2S'!$Z10,'Tables - Part 2'!$AV$6:$AV$13,0),MATCH('HIC-SOHIC-H2S'!$T10,'Tables - Part 2'!$AX$5:$BA$5,0)))/2))/2,0)</f>
        <v>0</v>
      </c>
      <c r="AU10" s="248">
        <f>IF($S10=$AU$3,(((INDEX('Tables - Part 2'!$BB$6:$BE$13,MATCH('HIC-SOHIC-H2S'!$Z10,'Tables - Part 2'!$AV$6:$AV$13,0),MATCH('HIC-SOHIC-H2S'!$T10,'Tables - Part 2'!$AX$5:$BA$5,0))+INDEX('Tables - Part 2'!$BF$6:$BI$13,MATCH('HIC-SOHIC-H2S'!$Z10,'Tables - Part 2'!$AV$6:$AV$13,0),MATCH('HIC-SOHIC-H2S'!$T10,'Tables - Part 2'!$AX$5:$BA$5,0)))/2)+INDEX('Tables - Part 2'!$BF$6:$BI$13,MATCH('HIC-SOHIC-H2S'!$Z10,'Tables - Part 2'!$AV$6:$AV$13,0),MATCH('HIC-SOHIC-H2S'!$T10,'Tables - Part 2'!$AX$5:$BA$5,0)))/2,0)</f>
        <v>0</v>
      </c>
      <c r="AV10" s="248">
        <f>IF($S10=$AV$3,(((((INDEX('Tables - Part 2'!$BB$6:$BE$13,MATCH('HIC-SOHIC-H2S'!$Z10,'Tables - Part 2'!$AV$6:$AV$13,0),MATCH('HIC-SOHIC-H2S'!$T10,'Tables - Part 2'!$AX$5:$BA$5,0))+INDEX('Tables - Part 2'!$BF$6:$BI$13,MATCH('HIC-SOHIC-H2S'!$Z10,'Tables - Part 2'!$AV$6:$AV$13,0),MATCH('HIC-SOHIC-H2S'!$T10,'Tables - Part 2'!$AX$5:$BA$5,0)))/2)+INDEX('Tables - Part 2'!$BF$6:$BI$13,MATCH('HIC-SOHIC-H2S'!$Z10,'Tables - Part 2'!$AV$6:$AV$13,0),MATCH('HIC-SOHIC-H2S'!$T10,'Tables - Part 2'!$AX$5:$BA$5,0)))/2)+INDEX('Tables - Part 2'!$BF$6:$BI$13,MATCH('HIC-SOHIC-H2S'!$Z10,'Tables - Part 2'!$AV$6:$AV$13,0),MATCH('HIC-SOHIC-H2S'!$T10,'Tables - Part 2'!$AX$5:$BA$5,0)))/2,0)</f>
        <v>0</v>
      </c>
      <c r="AW10" s="248">
        <f>IF($S10=$AW$3,INDEX('Tables - Part 2'!$BF$6:$BI$13,MATCH('HIC-SOHIC-H2S'!$Z10,'Tables - Part 2'!$AV$6:$AV$13,0),MATCH('HIC-SOHIC-H2S'!$T10,'Tables - Part 2'!$AX$5:$BA$5,0)),0)</f>
        <v>0</v>
      </c>
      <c r="AX10" s="248">
        <f>IF($S10=$AX$3,(INDEX('Tables - Part 2'!$BF$6:$BI$13,MATCH('HIC-SOHIC-H2S'!$Z10,'Tables - Part 2'!$AV$6:$AV$13,0),MATCH('HIC-SOHIC-H2S'!$T10,'Tables - Part 2'!$AX$5:$BA$5,0))+((INDEX('Tables - Part 2'!$BF$6:$BI$13,MATCH('HIC-SOHIC-H2S'!$Z10,'Tables - Part 2'!$AV$6:$AV$13,0),MATCH('HIC-SOHIC-H2S'!$T10,'Tables - Part 2'!$AX$5:$BA$5,0))+(INDEX('Tables - Part 2'!$BF$6:$BI$13,MATCH('HIC-SOHIC-H2S'!$Z10,'Tables - Part 2'!$AV$6:$AV$13,0),MATCH('HIC-SOHIC-H2S'!$T10,'Tables - Part 2'!$AX$5:$BA$5,0))+INDEX('Tables - Part 2'!$AX$17:$BA$24,MATCH('HIC-SOHIC-H2S'!$Z10,'Tables - Part 2'!$AV$6:$AV$13,0),MATCH('HIC-SOHIC-H2S'!$T10,'Tables - Part 2'!$AX$5:$BA$5,0)))/2)/2))/2,0)</f>
        <v>0</v>
      </c>
      <c r="AY10" s="248">
        <f>IF($S10=$AY$3,(INDEX('Tables - Part 2'!$BF$6:$BI$13,MATCH('HIC-SOHIC-H2S'!$Z10,'Tables - Part 2'!$AV$6:$AV$13,0),MATCH('HIC-SOHIC-H2S'!$T10,'Tables - Part 2'!$AX$5:$BA$5,0))+(INDEX('Tables - Part 2'!$BF$6:$BI$13,MATCH('HIC-SOHIC-H2S'!$Z10,'Tables - Part 2'!$AV$6:$AV$13,0),MATCH('HIC-SOHIC-H2S'!$T10,'Tables - Part 2'!$AX$5:$BA$5,0))+INDEX('Tables - Part 2'!$AX$17:$BA$24,MATCH('HIC-SOHIC-H2S'!$Z10,'Tables - Part 2'!$AV$6:$AV$13,0),MATCH('HIC-SOHIC-H2S'!$T10,'Tables - Part 2'!$AX$5:$BA$5,0)))/2)/2,0)</f>
        <v>0</v>
      </c>
      <c r="AZ10" s="248">
        <f>IF($S10=$AZ$3,(((INDEX('Tables - Part 2'!$BF$6:$BI$13,MATCH('HIC-SOHIC-H2S'!$Z10,'Tables - Part 2'!$AV$6:$AV$13,0),MATCH('HIC-SOHIC-H2S'!$T10,'Tables - Part 2'!$AX$5:$BA$5,0))+(INDEX('Tables - Part 2'!$BF$6:$BI$13,MATCH('HIC-SOHIC-H2S'!$Z10,'Tables - Part 2'!$AV$6:$AV$13,0),MATCH('HIC-SOHIC-H2S'!$T10,'Tables - Part 2'!$AX$5:$BA$5,0))+INDEX('Tables - Part 2'!$AX$17:$BA$24,MATCH('HIC-SOHIC-H2S'!$Z10,'Tables - Part 2'!$AV$6:$AV$13,0),MATCH('HIC-SOHIC-H2S'!$T10,'Tables - Part 2'!$AX$5:$BA$5,0)))/2)/2)+((INDEX('Tables - Part 2'!$BF$6:$BI$13,MATCH('HIC-SOHIC-H2S'!$Z10,'Tables - Part 2'!$AV$6:$AV$13,0),MATCH('HIC-SOHIC-H2S'!$T10,'Tables - Part 2'!$AX$5:$BA$5,0))+INDEX('Tables - Part 2'!$AX$17:$BA$24,MATCH('HIC-SOHIC-H2S'!$Z10,'Tables - Part 2'!$AV$6:$AV$13,0),MATCH('HIC-SOHIC-H2S'!$T10,'Tables - Part 2'!$AX$5:$BA$5,0)))/2))/2,0)</f>
        <v>0</v>
      </c>
      <c r="BA10" s="248">
        <f>IF($S10=$BA$3,(INDEX('Tables - Part 2'!$BF$6:$BI$13,MATCH('HIC-SOHIC-H2S'!$Z10,'Tables - Part 2'!$AV$6:$AV$13,0),MATCH('HIC-SOHIC-H2S'!$T10,'Tables - Part 2'!$AX$5:$BA$5,0))+INDEX('Tables - Part 2'!$AX$17:$BA$24,MATCH('HIC-SOHIC-H2S'!$Z10,'Tables - Part 2'!$AV$6:$AV$13,0),MATCH('HIC-SOHIC-H2S'!$T10,'Tables - Part 2'!$AX$5:$BA$5,0)))/2,0)</f>
        <v>0</v>
      </c>
      <c r="BB10" s="248">
        <f>IF($S10=$BB$3,(((INDEX('Tables - Part 2'!$BF$6:$BI$13,MATCH('HIC-SOHIC-H2S'!$Z10,'Tables - Part 2'!$AV$6:$AV$13,0),MATCH('HIC-SOHIC-H2S'!$T10,'Tables - Part 2'!$AX$5:$BA$5,0))+INDEX('Tables - Part 2'!$AX$17:$BA$24,MATCH('HIC-SOHIC-H2S'!$Z10,'Tables - Part 2'!$AV$6:$AV$13,0),MATCH('HIC-SOHIC-H2S'!$T10,'Tables - Part 2'!$AX$5:$BA$5,0)))/2)+((((INDEX('Tables - Part 2'!$BF$6:$BI$13,MATCH('HIC-SOHIC-H2S'!$Z10,'Tables - Part 2'!$AV$6:$AV$13,0),MATCH('HIC-SOHIC-H2S'!$T10,'Tables - Part 2'!$AX$5:$BA$5,0))+INDEX('Tables - Part 2'!$AX$17:$BA$24,MATCH('HIC-SOHIC-H2S'!$Z10,'Tables - Part 2'!$AV$6:$AV$13,0),MATCH('HIC-SOHIC-H2S'!$T10,'Tables - Part 2'!$AX$5:$BA$5,0)))/2)+INDEX('Tables - Part 2'!$AX$17:$BA$24,MATCH('HIC-SOHIC-H2S'!$Z10,'Tables - Part 2'!$AV$6:$AV$13,0),MATCH('HIC-SOHIC-H2S'!$T10,'Tables - Part 2'!$AX$5:$BA$5,0)))/2))/2,0)</f>
        <v>0</v>
      </c>
      <c r="BC10" s="248">
        <f>IF($S10=$BC$3,(((INDEX('Tables - Part 2'!$BF$6:$BI$13,MATCH('HIC-SOHIC-H2S'!$Z10,'Tables - Part 2'!$AV$6:$AV$13,0),MATCH('HIC-SOHIC-H2S'!$T10,'Tables - Part 2'!$AX$5:$BA$5,0))+INDEX('Tables - Part 2'!$AX$17:$BA$24,MATCH('HIC-SOHIC-H2S'!$Z10,'Tables - Part 2'!$AV$6:$AV$13,0),MATCH('HIC-SOHIC-H2S'!$T10,'Tables - Part 2'!$AX$5:$BA$5,0)))/2)+INDEX('Tables - Part 2'!$AX$17:$BA$24,MATCH('HIC-SOHIC-H2S'!$Z10,'Tables - Part 2'!$AV$6:$AV$13,0),MATCH('HIC-SOHIC-H2S'!$T10,'Tables - Part 2'!$AX$5:$BA$5,0)))/2,0)</f>
        <v>0</v>
      </c>
      <c r="BD10" s="248">
        <f>IF($S10=$BD$3,(((((INDEX('Tables - Part 2'!$BF$6:$BI$13,MATCH('HIC-SOHIC-H2S'!$Z10,'Tables - Part 2'!$AV$6:$AV$13,0),MATCH('HIC-SOHIC-H2S'!$T10,'Tables - Part 2'!$AX$5:$BA$5,0))+INDEX('Tables - Part 2'!$AX$17:$BA$24,MATCH('HIC-SOHIC-H2S'!$Z10,'Tables - Part 2'!$AV$6:$AV$13,0),MATCH('HIC-SOHIC-H2S'!$T10,'Tables - Part 2'!$AX$5:$BA$5,0)))/2)+INDEX('Tables - Part 2'!$AX$17:$BA$24,MATCH('HIC-SOHIC-H2S'!$Z10,'Tables - Part 2'!$AV$6:$AV$13,0),MATCH('HIC-SOHIC-H2S'!$T10,'Tables - Part 2'!$AX$5:$BA$5,0)))/2)+(INDEX('Tables - Part 2'!$AX$17:$BA$24,MATCH('HIC-SOHIC-H2S'!$Z10,'Tables - Part 2'!$AV$6:$AV$13,0),MATCH('HIC-SOHIC-H2S'!$T10,'Tables - Part 2'!$AX$5:$BA$5,0))))/2,0)</f>
        <v>0</v>
      </c>
      <c r="BE10" s="248">
        <f>IF($S10=$BE$3,INDEX('Tables - Part 2'!$AX$17:$BA$24,MATCH('HIC-SOHIC-H2S'!$Z10,'Tables - Part 2'!$AV$6:$AV$13,0),MATCH('HIC-SOHIC-H2S'!$T10,'Tables - Part 2'!$AX$5:$BA$5,0)),0)</f>
        <v>0</v>
      </c>
      <c r="BF10" s="248">
        <f>IF($S10=$BF$3,((INDEX('Tables - Part 2'!$AX$17:$BA$24,MATCH('HIC-SOHIC-H2S'!$Z10,'Tables - Part 2'!$AV$6:$AV$13,0),MATCH('HIC-SOHIC-H2S'!$T10,'Tables - Part 2'!$AX$5:$BA$5,0)))+(((INDEX('Tables - Part 2'!$AX$17:$BA$24,MATCH('HIC-SOHIC-H2S'!$Z10,'Tables - Part 2'!$AV$6:$AV$13,0),MATCH('HIC-SOHIC-H2S'!$T10,'Tables - Part 2'!$AX$5:$BA$5,0)))+(INDEX('Tables - Part 2'!$AX$17:$BA$24,MATCH('HIC-SOHIC-H2S'!$Z10,'Tables - Part 2'!$AV$6:$AV$13,0),MATCH('HIC-SOHIC-H2S'!$T10,'Tables - Part 2'!$AX$5:$BA$5,0))+INDEX('Tables - Part 2'!$BB$17:$BE$24,MATCH('HIC-SOHIC-H2S'!$Z10,'Tables - Part 2'!$AV$6:$AV$13,0),MATCH('HIC-SOHIC-H2S'!$T10,'Tables - Part 2'!$AX$5:$BA$5,0)))/2)/2))/2,0)</f>
        <v>0</v>
      </c>
      <c r="BG10" s="248">
        <f>IF($S10=$BG$3,((INDEX('Tables - Part 2'!$AX$17:$BA$24,MATCH('HIC-SOHIC-H2S'!$Z10,'Tables - Part 2'!$AV$6:$AV$13,0),MATCH('HIC-SOHIC-H2S'!$T10,'Tables - Part 2'!$AX$5:$BA$5,0)))+(INDEX('Tables - Part 2'!$AX$17:$BA$24,MATCH('HIC-SOHIC-H2S'!$Z10,'Tables - Part 2'!$AV$6:$AV$13,0),MATCH('HIC-SOHIC-H2S'!$T10,'Tables - Part 2'!$AX$5:$BA$5,0))+INDEX('Tables - Part 2'!$BB$17:$BE$24,MATCH('HIC-SOHIC-H2S'!$Z10,'Tables - Part 2'!$AV$6:$AV$13,0),MATCH('HIC-SOHIC-H2S'!$T10,'Tables - Part 2'!$AX$5:$BA$5,0)))/2)/2,0)</f>
        <v>0</v>
      </c>
      <c r="BH10" s="248">
        <f>IF($S10=$BH$3,((((INDEX('Tables - Part 2'!$AX$17:$BA$24,MATCH('HIC-SOHIC-H2S'!$Z10,'Tables - Part 2'!$AV$6:$AV$13,0),MATCH('HIC-SOHIC-H2S'!$T10,'Tables - Part 2'!$AX$5:$BA$5,0)))+(INDEX('Tables - Part 2'!$AX$17:$BA$24,MATCH('HIC-SOHIC-H2S'!$Z10,'Tables - Part 2'!$AV$6:$AV$13,0),MATCH('HIC-SOHIC-H2S'!$T10,'Tables - Part 2'!$AX$5:$BA$5,0))+INDEX('Tables - Part 2'!$BB$17:$BE$24,MATCH('HIC-SOHIC-H2S'!$Z10,'Tables - Part 2'!$AV$6:$AV$13,0),MATCH('HIC-SOHIC-H2S'!$T10,'Tables - Part 2'!$AX$5:$BA$5,0)))/2)/2)+((INDEX('Tables - Part 2'!$AX$17:$BA$24,MATCH('HIC-SOHIC-H2S'!$Z10,'Tables - Part 2'!$AV$6:$AV$13,0),MATCH('HIC-SOHIC-H2S'!$T10,'Tables - Part 2'!$AX$5:$BA$5,0))+INDEX('Tables - Part 2'!$BB$17:$BE$24,MATCH('HIC-SOHIC-H2S'!$Z10,'Tables - Part 2'!$AV$6:$AV$13,0),MATCH('HIC-SOHIC-H2S'!$T10,'Tables - Part 2'!$AX$5:$BA$5,0)))/2))/2,0)</f>
        <v>0</v>
      </c>
      <c r="BI10" s="248">
        <f>IF($S10=$BI$3,(INDEX('Tables - Part 2'!$AX$17:$BA$24,MATCH('HIC-SOHIC-H2S'!$Z10,'Tables - Part 2'!$AV$6:$AV$13,0),MATCH('HIC-SOHIC-H2S'!$T10,'Tables - Part 2'!$AX$5:$BA$5,0))+INDEX('Tables - Part 2'!$BB$17:$BE$24,MATCH('HIC-SOHIC-H2S'!$Z10,'Tables - Part 2'!$AV$6:$AV$13,0),MATCH('HIC-SOHIC-H2S'!$T10,'Tables - Part 2'!$AX$5:$BA$5,0)))/2,0)</f>
        <v>0</v>
      </c>
      <c r="BJ10" s="248">
        <f>IF($S10=$BJ$3,(((INDEX('Tables - Part 2'!$AX$17:$BA$24,MATCH('HIC-SOHIC-H2S'!$Z10,'Tables - Part 2'!$AV$6:$AV$13,0),MATCH('HIC-SOHIC-H2S'!$T10,'Tables - Part 2'!$AX$5:$BA$5,0))+INDEX('Tables - Part 2'!$BB$17:$BE$24,MATCH('HIC-SOHIC-H2S'!$Z10,'Tables - Part 2'!$AV$6:$AV$13,0),MATCH('HIC-SOHIC-H2S'!$T10,'Tables - Part 2'!$AX$5:$BA$5,0)))/2)+((((INDEX('Tables - Part 2'!$AX$17:$BA$24,MATCH('HIC-SOHIC-H2S'!$Z10,'Tables - Part 2'!$AV$6:$AV$13,0),MATCH('HIC-SOHIC-H2S'!$T10,'Tables - Part 2'!$AX$5:$BA$5,0))+INDEX('Tables - Part 2'!$BB$17:$BE$24,MATCH('HIC-SOHIC-H2S'!$Z10,'Tables - Part 2'!$AV$6:$AV$13,0),MATCH('HIC-SOHIC-H2S'!$T10,'Tables - Part 2'!$AX$5:$BA$5,0)))/2)+INDEX('Tables - Part 2'!$BB$17:$BE$24,MATCH('HIC-SOHIC-H2S'!$Z10,'Tables - Part 2'!$AV$6:$AV$13,0),MATCH('HIC-SOHIC-H2S'!$T10,'Tables - Part 2'!$AX$5:$BA$5,0)))/2))/2,0)</f>
        <v>0</v>
      </c>
      <c r="BK10" s="248">
        <f>IF($S10=$BK$3,(((INDEX('Tables - Part 2'!$AX$17:$BA$24,MATCH('HIC-SOHIC-H2S'!$Z10,'Tables - Part 2'!$AV$6:$AV$13,0),MATCH('HIC-SOHIC-H2S'!$T10,'Tables - Part 2'!$AX$5:$BA$5,0))+INDEX('Tables - Part 2'!$BB$17:$BE$24,MATCH('HIC-SOHIC-H2S'!$Z10,'Tables - Part 2'!$AV$6:$AV$13,0),MATCH('HIC-SOHIC-H2S'!$T10,'Tables - Part 2'!$AX$5:$BA$5,0)))/2)+INDEX('Tables - Part 2'!$BB$17:$BE$24,MATCH('HIC-SOHIC-H2S'!$Z10,'Tables - Part 2'!$AV$6:$AV$13,0),MATCH('HIC-SOHIC-H2S'!$T10,'Tables - Part 2'!$AX$5:$BA$5,0)))/2,0)</f>
        <v>0</v>
      </c>
      <c r="BL10" s="248">
        <f>IF($S10=$BL$3,(((((INDEX('Tables - Part 2'!$AX$17:$BA$24,MATCH('HIC-SOHIC-H2S'!$Z10,'Tables - Part 2'!$AV$6:$AV$13,0),MATCH('HIC-SOHIC-H2S'!$T10,'Tables - Part 2'!$AX$5:$BA$5,0))+INDEX('Tables - Part 2'!$BB$17:$BE$24,MATCH('HIC-SOHIC-H2S'!$Z10,'Tables - Part 2'!$AV$6:$AV$13,0),MATCH('HIC-SOHIC-H2S'!$T10,'Tables - Part 2'!$AX$5:$BA$5,0)))/2)+INDEX('Tables - Part 2'!$BB$17:$BE$24,MATCH('HIC-SOHIC-H2S'!$Z10,'Tables - Part 2'!$AV$6:$AV$13,0),MATCH('HIC-SOHIC-H2S'!$T10,'Tables - Part 2'!$AX$5:$BA$5,0)))/2)+(INDEX('Tables - Part 2'!$BB$17:$BE$24,MATCH('HIC-SOHIC-H2S'!$Z10,'Tables - Part 2'!$AV$6:$AV$13,0),MATCH('HIC-SOHIC-H2S'!$T10,'Tables - Part 2'!$AX$5:$BA$5,0))))/2,0)</f>
        <v>0</v>
      </c>
      <c r="BM10" s="248">
        <f>IF($S10=$BM$3,INDEX('Tables - Part 2'!$BB$17:$BE$24,MATCH('HIC-SOHIC-H2S'!$Z10,'Tables - Part 2'!$AV$6:$AV$13,0),MATCH('HIC-SOHIC-H2S'!$T10,'Tables - Part 2'!$AX$5:$BA$5,0)),0)</f>
        <v>0</v>
      </c>
      <c r="BN10" s="248">
        <f>IF($S10=$BN$3,((INDEX('Tables - Part 2'!$BB$17:$BE$24,MATCH('HIC-SOHIC-H2S'!$Z10,'Tables - Part 2'!$AV$6:$AV$13,0),MATCH('HIC-SOHIC-H2S'!$T10,'Tables - Part 2'!$AX$5:$BA$5,0)))+(((INDEX('Tables - Part 2'!$BB$17:$BE$24,MATCH('HIC-SOHIC-H2S'!$Z10,'Tables - Part 2'!$AV$6:$AV$13,0),MATCH('HIC-SOHIC-H2S'!$T10,'Tables - Part 2'!$AX$5:$BA$5,0)))+(INDEX('Tables - Part 2'!$BB$17:$BE$24,MATCH('HIC-SOHIC-H2S'!$Z10,'Tables - Part 2'!$AV$6:$AV$13,0),MATCH('HIC-SOHIC-H2S'!$T10,'Tables - Part 2'!$AX$5:$BA$5,0))+INDEX('Tables - Part 2'!$BF$17:$BI$24,MATCH('HIC-SOHIC-H2S'!$Z10,'Tables - Part 2'!$AV$6:$AV$13,0),MATCH('HIC-SOHIC-H2S'!$T10,'Tables - Part 2'!$AX$5:$BA$5,0)))/2)/2))/2,0)</f>
        <v>0</v>
      </c>
      <c r="BO10" s="248">
        <f>IF($S10=$BO$3,((INDEX('Tables - Part 2'!$BB$17:$BE$24,MATCH('HIC-SOHIC-H2S'!$Z10,'Tables - Part 2'!$AV$6:$AV$13,0),MATCH('HIC-SOHIC-H2S'!$T10,'Tables - Part 2'!$AX$5:$BA$5,0)))+(INDEX('Tables - Part 2'!$BB$17:$BE$24,MATCH('HIC-SOHIC-H2S'!$Z10,'Tables - Part 2'!$AV$6:$AV$13,0),MATCH('HIC-SOHIC-H2S'!$T10,'Tables - Part 2'!$AX$5:$BA$5,0))+INDEX('Tables - Part 2'!$BF$17:$BI$24,MATCH('HIC-SOHIC-H2S'!$Z10,'Tables - Part 2'!$AV$6:$AV$13,0),MATCH('HIC-SOHIC-H2S'!$T10,'Tables - Part 2'!$AX$5:$BA$5,0)))/2)/2,0)</f>
        <v>0</v>
      </c>
      <c r="BP10" s="248">
        <f>IF($S10=$BP$3,((((INDEX('Tables - Part 2'!$BB$17:$BE$24,MATCH('HIC-SOHIC-H2S'!$Z10,'Tables - Part 2'!$AV$6:$AV$13,0),MATCH('HIC-SOHIC-H2S'!$T10,'Tables - Part 2'!$AX$5:$BA$5,0)))+(INDEX('Tables - Part 2'!$BB$17:$BE$24,MATCH('HIC-SOHIC-H2S'!$Z10,'Tables - Part 2'!$AV$6:$AV$13,0),MATCH('HIC-SOHIC-H2S'!$T10,'Tables - Part 2'!$AX$5:$BA$5,0))+INDEX('Tables - Part 2'!$BF$17:$BI$24,MATCH('HIC-SOHIC-H2S'!$Z10,'Tables - Part 2'!$AV$6:$AV$13,0),MATCH('HIC-SOHIC-H2S'!$T10,'Tables - Part 2'!$AX$5:$BA$5,0)))/2)/2)+((INDEX('Tables - Part 2'!$BB$17:$BE$24,MATCH('HIC-SOHIC-H2S'!$Z10,'Tables - Part 2'!$AV$6:$AV$13,0),MATCH('HIC-SOHIC-H2S'!$T10,'Tables - Part 2'!$AX$5:$BA$5,0))+INDEX('Tables - Part 2'!$BF$17:$BI$24,MATCH('HIC-SOHIC-H2S'!$Z10,'Tables - Part 2'!$AV$6:$AV$13,0),MATCH('HIC-SOHIC-H2S'!$T10,'Tables - Part 2'!$AX$5:$BA$5,0)))/2))/2,0)</f>
        <v>0</v>
      </c>
      <c r="BQ10" s="248">
        <f>IF($S10=$BQ$3,(INDEX('Tables - Part 2'!$BB$17:$BE$24,MATCH('HIC-SOHIC-H2S'!$Z10,'Tables - Part 2'!$AV$6:$AV$13,0),MATCH('HIC-SOHIC-H2S'!$T10,'Tables - Part 2'!$AX$5:$BA$5,0))+INDEX('Tables - Part 2'!$BF$17:$BI$24,MATCH('HIC-SOHIC-H2S'!$Z10,'Tables - Part 2'!$AV$6:$AV$13,0),MATCH('HIC-SOHIC-H2S'!$T10,'Tables - Part 2'!$AX$5:$BA$5,0)))/2,0)</f>
        <v>0</v>
      </c>
      <c r="BR10" s="248">
        <f>IF($S10=$BR$3,(((INDEX('Tables - Part 2'!$BB$17:$BE$24,MATCH('HIC-SOHIC-H2S'!$Z10,'Tables - Part 2'!$AV$6:$AV$13,0),MATCH('HIC-SOHIC-H2S'!$T10,'Tables - Part 2'!$AX$5:$BA$5,0))+INDEX('Tables - Part 2'!$BF$17:$BI$24,MATCH('HIC-SOHIC-H2S'!$Z10,'Tables - Part 2'!$AV$6:$AV$13,0),MATCH('HIC-SOHIC-H2S'!$T10,'Tables - Part 2'!$AX$5:$BA$5,0)))/2)+((((INDEX('Tables - Part 2'!$BB$17:$BE$24,MATCH('HIC-SOHIC-H2S'!$Z10,'Tables - Part 2'!$AV$6:$AV$13,0),MATCH('HIC-SOHIC-H2S'!$T10,'Tables - Part 2'!$AX$5:$BA$5,0))+INDEX('Tables - Part 2'!$BF$17:$BI$24,MATCH('HIC-SOHIC-H2S'!$Z10,'Tables - Part 2'!$AV$6:$AV$13,0),MATCH('HIC-SOHIC-H2S'!$T10,'Tables - Part 2'!$AX$5:$BA$5,0)))/2)+INDEX('Tables - Part 2'!$BF$17:$BI$24,MATCH('HIC-SOHIC-H2S'!$Z10,'Tables - Part 2'!$AV$6:$AV$13,0),MATCH('HIC-SOHIC-H2S'!$T10,'Tables - Part 2'!$AX$5:$BA$5,0)))/2))/2,0)</f>
        <v>0</v>
      </c>
      <c r="BS10" s="248">
        <f>IF($S10=$BS$3,(((INDEX('Tables - Part 2'!$BB$17:$BE$24,MATCH('HIC-SOHIC-H2S'!$Z10,'Tables - Part 2'!$AV$6:$AV$13,0),MATCH('HIC-SOHIC-H2S'!$T10,'Tables - Part 2'!$AX$5:$BA$5,0))+INDEX('Tables - Part 2'!$BF$17:$BI$24,MATCH('HIC-SOHIC-H2S'!$Z10,'Tables - Part 2'!$AV$6:$AV$13,0),MATCH('HIC-SOHIC-H2S'!$T10,'Tables - Part 2'!$AX$5:$BA$5,0)))/2)+INDEX('Tables - Part 2'!$BF$17:$BI$24,MATCH('HIC-SOHIC-H2S'!$Z10,'Tables - Part 2'!$AV$6:$AV$13,0),MATCH('HIC-SOHIC-H2S'!$T10,'Tables - Part 2'!$AX$5:$BA$5,0)))/2,0)</f>
        <v>0</v>
      </c>
      <c r="BT10" s="248">
        <f>IF($S10=$BT$3,(((((INDEX('Tables - Part 2'!$BB$17:$BE$24,MATCH('HIC-SOHIC-H2S'!$Z10,'Tables - Part 2'!$AV$6:$AV$13,0),MATCH('HIC-SOHIC-H2S'!$T10,'Tables - Part 2'!$AX$5:$BA$5,0))+INDEX('Tables - Part 2'!$BF$17:$BI$24,MATCH('HIC-SOHIC-H2S'!$Z10,'Tables - Part 2'!$AV$6:$AV$13,0),MATCH('HIC-SOHIC-H2S'!$T10,'Tables - Part 2'!$AX$5:$BA$5,0)))/2)+INDEX('Tables - Part 2'!$BF$17:$BI$24,MATCH('HIC-SOHIC-H2S'!$Z10,'Tables - Part 2'!$AV$6:$AV$13,0),MATCH('HIC-SOHIC-H2S'!$T10,'Tables - Part 2'!$AX$5:$BA$5,0)))/2)+(INDEX('Tables - Part 2'!$BF$17:$BI$24,MATCH('HIC-SOHIC-H2S'!$Z10,'Tables - Part 2'!$AV$6:$AV$13,0),MATCH('HIC-SOHIC-H2S'!$T10,'Tables - Part 2'!$AX$5:$BA$5,0))))/2,0)</f>
        <v>0</v>
      </c>
      <c r="BU10" s="248">
        <f>IF($S10=$BU$3,INDEX('Tables - Part 2'!$BF$17:$BI$24,MATCH('HIC-SOHIC-H2S'!$Z10,'Tables - Part 2'!$AV$6:$AV$13,0),MATCH('HIC-SOHIC-H2S'!$T10,'Tables - Part 2'!$AX$5:$BA$5,0)),0)</f>
        <v>0</v>
      </c>
      <c r="BV10" s="248" t="e">
        <f t="shared" si="2"/>
        <v>#N/A</v>
      </c>
      <c r="BW10" s="238" t="e">
        <f t="shared" si="8"/>
        <v>#N/A</v>
      </c>
      <c r="BX10" s="238" t="e">
        <f t="shared" si="9"/>
        <v>#N/A</v>
      </c>
    </row>
    <row r="11" spans="2:89" x14ac:dyDescent="0.35">
      <c r="B11" s="161" t="str">
        <f>'Tratamento de Dados'!B19</f>
        <v>V-2</v>
      </c>
      <c r="C11" s="161" t="str">
        <f>'Tratamento de Dados'!D19</f>
        <v>Casco</v>
      </c>
      <c r="D11" s="209">
        <f>'Tratamento de Dados'!CN19</f>
        <v>0</v>
      </c>
      <c r="E11" s="209">
        <f>'Tratamento de Dados'!CO19</f>
        <v>0</v>
      </c>
      <c r="F11" s="209">
        <f>'Tratamento de Dados'!CP19</f>
        <v>0</v>
      </c>
      <c r="G11" s="209">
        <f>'Tratamento de Dados'!CQ19</f>
        <v>0</v>
      </c>
      <c r="H11" s="209">
        <f>'Tratamento de Dados'!CR19</f>
        <v>0</v>
      </c>
      <c r="I11" s="209">
        <f>'Tratamento de Dados'!CS19</f>
        <v>0</v>
      </c>
      <c r="J11" s="209">
        <f>'Tratamento de Dados'!CT19</f>
        <v>0</v>
      </c>
      <c r="K11" s="209">
        <f>'Tratamento de Dados'!CU19</f>
        <v>0</v>
      </c>
      <c r="L11" s="210">
        <f>'Tratamento de Dados'!CV19</f>
        <v>0</v>
      </c>
      <c r="M11" s="209">
        <f>'Tratamento de Dados'!CW19</f>
        <v>0</v>
      </c>
      <c r="N11" s="209">
        <f>'Tratamento de Dados'!CX19</f>
        <v>0</v>
      </c>
      <c r="O11" s="209">
        <f>'Tratamento de Dados'!CY19</f>
        <v>0</v>
      </c>
      <c r="P11" s="209">
        <f>'Tratamento de Dados'!CZ19</f>
        <v>0</v>
      </c>
      <c r="Q11" s="253">
        <f>'Tratamento de Dados'!DA19</f>
        <v>0</v>
      </c>
      <c r="R11" s="253">
        <f>'Tratamento de Dados'!DB19</f>
        <v>0</v>
      </c>
      <c r="S11" s="256">
        <f t="shared" si="0"/>
        <v>0</v>
      </c>
      <c r="T11" s="246" t="str">
        <f t="shared" si="3"/>
        <v>E</v>
      </c>
      <c r="U11" s="238" t="e">
        <f>IF(D11=$CC$2,$CA$4,IF(AND(H11=$CC$2,OR(F11='Tables - Part 2'!$CE$8,'Tables - Part 2'!$CE$9),OR('HIC-SOHIC-H2S'!G11='Tables - Part 2'!$CH$4,'HIC-SOHIC-H2S'!G11='Tables - Part 2'!$CI$4)),$CA$4,INDEX('Tables - Part 2'!$CF$5:$CI$9,MATCH('HIC-SOHIC-H2S'!F11,'Tables - Part 2'!$CE$5:$CE$9,0),MATCH('HIC-SOHIC-H2S'!G11,'Tables - Part 2'!$CF$4:$CI$4,0))))</f>
        <v>#N/A</v>
      </c>
      <c r="V11" s="238" t="str">
        <f>IF($I11=$V$3,INDEX('Tables - Part 2'!$CL$5:$CM$7,MATCH('HIC-SOHIC-H2S'!$U11,'Tables - Part 2'!$CK$5:$CK$7,0),IF('HIC-SOHIC-H2S'!$J11='HIC-SOHIC-H2S'!$CC$2,2,1)),"")</f>
        <v/>
      </c>
      <c r="W11" s="238" t="str">
        <f>IF($I11=$W$3,INDEX('Tables - Part 2'!$CN$5:$CO$7,MATCH('HIC-SOHIC-H2S'!$U11,'Tables - Part 2'!$CK$5:$CK$7,0),IF('HIC-SOHIC-H2S'!$J11='HIC-SOHIC-H2S'!$CC$2,2,1)),"")</f>
        <v/>
      </c>
      <c r="X11" s="238" t="str">
        <f>IF($I11=$X$3,INDEX('Tables - Part 2'!$CP$5:$CQ$7,MATCH('HIC-SOHIC-H2S'!$U11,'Tables - Part 2'!$CK$5:$CK$7,0),IF('HIC-SOHIC-H2S'!$J11='HIC-SOHIC-H2S'!$CC$2,2,1)),"")</f>
        <v/>
      </c>
      <c r="Y11" s="238" t="str">
        <f t="shared" si="1"/>
        <v/>
      </c>
      <c r="Z11" s="238" t="e">
        <f>IF(AND(D11=$CC$2,E11&lt;&gt;$CC$2),"Fitness-For-Service",INDEX('Tables - Part 2'!$CT$4:$CT$6,MATCH('HIC-SOHIC-H2S'!Y11,'Tables - Part 2'!$CS$4:$CS$6,0),))</f>
        <v>#N/A</v>
      </c>
      <c r="AA11" s="238">
        <f>IF(L11=0,(Thinning!G12-Thinning!F12)/365.25,(Thinning!G12-L11)/365.25)</f>
        <v>5.4757015742642025E-3</v>
      </c>
      <c r="AB11" s="238" t="e">
        <f>INDEX('Tables - Part 2'!$CW$4:$CW$7,MATCH('HIC-SOHIC-H2S'!K11,'Tables - Part 2'!$CV$4:$CV$7,0))</f>
        <v>#N/A</v>
      </c>
      <c r="AC11" s="248">
        <f t="shared" si="4"/>
        <v>0</v>
      </c>
      <c r="AD11" s="248">
        <f t="shared" si="5"/>
        <v>0</v>
      </c>
      <c r="AE11" s="247">
        <f t="shared" si="10"/>
        <v>0</v>
      </c>
      <c r="AF11" s="247">
        <f t="shared" si="7"/>
        <v>0</v>
      </c>
      <c r="AG11" s="248">
        <f>IF($S11=$AG$3,INDEX('Tables - Part 2'!$AX$6:$BA$13,MATCH('HIC-SOHIC-H2S'!Z11,'Tables - Part 2'!$AV$6:$AV$13,0),MATCH('HIC-SOHIC-H2S'!T11,'Tables - Part 2'!$AX$5:$BA$5,0)),0)</f>
        <v>0</v>
      </c>
      <c r="AH11" s="248">
        <f>IF($S11=$AH$3,(INDEX('Tables - Part 2'!$AX$6:$BA$13,MATCH('HIC-SOHIC-H2S'!Z11,'Tables - Part 2'!$AV$6:$AV$13,0),MATCH('HIC-SOHIC-H2S'!T11,'Tables - Part 2'!$AX$5:$BA$5,0))+(INDEX('Tables - Part 2'!$AX$6:$BA$13,MATCH('HIC-SOHIC-H2S'!Z11,'Tables - Part 2'!$AV$6:$AV$13,0),MATCH('HIC-SOHIC-H2S'!T11,'Tables - Part 2'!$AX$5:$BA$5,0))+((INDEX('Tables - Part 2'!$AX$6:$BA$13,MATCH('HIC-SOHIC-H2S'!Z11,'Tables - Part 2'!$AV$6:$AV$13,0),MATCH('HIC-SOHIC-H2S'!T11,'Tables - Part 2'!$AX$5:$BA$5,0))+INDEX('Tables - Part 2'!$BB$6:$BE$13,MATCH('HIC-SOHIC-H2S'!$Z11,'Tables - Part 2'!$AV$6:$AV$13,0),MATCH('HIC-SOHIC-H2S'!$T11,'Tables - Part 2'!$AX$5:$BA$5,0)))/2))/2)/2,0)</f>
        <v>0</v>
      </c>
      <c r="AI11" s="248">
        <f>IF($S11=$AI$3,(INDEX('Tables - Part 2'!$AX$6:$BA$13,MATCH('HIC-SOHIC-H2S'!Z11,'Tables - Part 2'!$AV$6:$AV$13,0),MATCH('HIC-SOHIC-H2S'!T11,'Tables - Part 2'!$AX$5:$BA$5,0))+((INDEX('Tables - Part 2'!$AX$6:$BA$13,MATCH('HIC-SOHIC-H2S'!Z11,'Tables - Part 2'!$AV$6:$AV$13,0),MATCH('HIC-SOHIC-H2S'!T11,'Tables - Part 2'!$AX$5:$BA$5,0))+INDEX('Tables - Part 2'!$BB$6:$BE$13,MATCH('HIC-SOHIC-H2S'!$Z11,'Tables - Part 2'!$AV$6:$AV$13,0),MATCH('HIC-SOHIC-H2S'!$T11,'Tables - Part 2'!$AX$5:$BA$5,0)))/2))/2,0)</f>
        <v>0</v>
      </c>
      <c r="AJ11" s="248">
        <f>IF($S11=$AJ$3,(((INDEX('Tables - Part 2'!$AX$6:$BA$13,MATCH('HIC-SOHIC-H2S'!Z11,'Tables - Part 2'!$AV$6:$AV$13,0),MATCH('HIC-SOHIC-H2S'!T11,'Tables - Part 2'!$AX$5:$BA$5,0))+((INDEX('Tables - Part 2'!$AX$6:$BA$13,MATCH('HIC-SOHIC-H2S'!Z11,'Tables - Part 2'!$AV$6:$AV$13,0),MATCH('HIC-SOHIC-H2S'!T11,'Tables - Part 2'!$AX$5:$BA$5,0))+INDEX('Tables - Part 2'!$BB$6:$BE$13,MATCH('HIC-SOHIC-H2S'!$Z11,'Tables - Part 2'!$AV$6:$AV$13,0),MATCH('HIC-SOHIC-H2S'!$T11,'Tables - Part 2'!$AX$5:$BA$5,0)))/2))/2)+(INDEX('Tables - Part 2'!$AX$6:$BA$13,MATCH('HIC-SOHIC-H2S'!Z11,'Tables - Part 2'!$AV$6:$AV$13,0),MATCH('HIC-SOHIC-H2S'!T11,'Tables - Part 2'!$AX$5:$BA$5,0))+INDEX('Tables - Part 2'!$BB$6:$BE$13,MATCH('HIC-SOHIC-H2S'!$Z11,'Tables - Part 2'!$AV$6:$AV$13,0),MATCH('HIC-SOHIC-H2S'!$T11,'Tables - Part 2'!$AX$5:$BA$5,0)))/2)/2,0)</f>
        <v>0</v>
      </c>
      <c r="AK11" s="248">
        <f>IF($S11=$AK$3,(INDEX('Tables - Part 2'!$AX$6:$BA$13,MATCH('HIC-SOHIC-H2S'!Z11,'Tables - Part 2'!$AV$6:$AV$13,0),MATCH('HIC-SOHIC-H2S'!T11,'Tables - Part 2'!$AX$5:$BA$5,0))+INDEX('Tables - Part 2'!$BB$6:$BE$13,MATCH('HIC-SOHIC-H2S'!$Z11,'Tables - Part 2'!$AV$6:$AV$13,0),MATCH('HIC-SOHIC-H2S'!$T11,'Tables - Part 2'!$AX$5:$BA$5,0)))/2,0)</f>
        <v>0</v>
      </c>
      <c r="AL11" s="248">
        <f>IF($S11=$AL$3,(((INDEX('Tables - Part 2'!$AX$6:$BA$13,MATCH('HIC-SOHIC-H2S'!Z11,'Tables - Part 2'!$AV$6:$AV$13,0),MATCH('HIC-SOHIC-H2S'!T11,'Tables - Part 2'!$AX$5:$BA$5,0))+INDEX('Tables - Part 2'!$BB$6:$BE$13,MATCH('HIC-SOHIC-H2S'!$Z11,'Tables - Part 2'!$AV$6:$AV$13,0),MATCH('HIC-SOHIC-H2S'!$T11,'Tables - Part 2'!$AX$5:$BA$5,0)))/2)+(((INDEX('Tables - Part 2'!$AX$6:$BA$13,MATCH('HIC-SOHIC-H2S'!Z11,'Tables - Part 2'!$AV$6:$AV$13,0),MATCH('HIC-SOHIC-H2S'!T11,'Tables - Part 2'!$AX$5:$BA$5,0))+INDEX('Tables - Part 2'!$BB$6:$BE$13,MATCH('HIC-SOHIC-H2S'!$Z11,'Tables - Part 2'!$AV$6:$AV$13,0),MATCH('HIC-SOHIC-H2S'!$T11,'Tables - Part 2'!$AX$5:$BA$5,0)))/2)+INDEX('Tables - Part 2'!$BB$6:$BE$13,MATCH('HIC-SOHIC-H2S'!$Z11,'Tables - Part 2'!$AV$6:$AV$13,0),MATCH('HIC-SOHIC-H2S'!$T11,'Tables - Part 2'!$AX$5:$BA$5,0)))/2)/2,0)</f>
        <v>0</v>
      </c>
      <c r="AM11" s="248">
        <f>IF($S11=$AM$3,(((INDEX('Tables - Part 2'!$AX$6:$BA$13,MATCH('HIC-SOHIC-H2S'!Z11,'Tables - Part 2'!$AV$6:$AV$13,0),MATCH('HIC-SOHIC-H2S'!T11,'Tables - Part 2'!$AX$5:$BA$5,0))+INDEX('Tables - Part 2'!$BB$6:$BE$13,MATCH('HIC-SOHIC-H2S'!$Z11,'Tables - Part 2'!$AV$6:$AV$13,0),MATCH('HIC-SOHIC-H2S'!$T11,'Tables - Part 2'!$AX$5:$BA$5,0)))/2)+INDEX('Tables - Part 2'!$BB$6:$BE$13,MATCH('HIC-SOHIC-H2S'!$Z11,'Tables - Part 2'!$AV$6:$AV$13,0),MATCH('HIC-SOHIC-H2S'!$T11,'Tables - Part 2'!$AX$5:$BA$5,0)))/2,0)</f>
        <v>0</v>
      </c>
      <c r="AN11" s="248">
        <f>IF($S11=$AN$3,(((((INDEX('Tables - Part 2'!$AX$6:$BA$13,MATCH('HIC-SOHIC-H2S'!Z11,'Tables - Part 2'!$AV$6:$AV$13,0),MATCH('HIC-SOHIC-H2S'!T11,'Tables - Part 2'!$AX$5:$BA$5,0))+INDEX('Tables - Part 2'!$BB$6:$BE$13,MATCH('HIC-SOHIC-H2S'!$Z11,'Tables - Part 2'!$AV$6:$AV$13,0),MATCH('HIC-SOHIC-H2S'!$T11,'Tables - Part 2'!$AX$5:$BA$5,0)))/2)+INDEX('Tables - Part 2'!$BB$6:$BE$13,MATCH('HIC-SOHIC-H2S'!$Z11,'Tables - Part 2'!$AV$6:$AV$13,0),MATCH('HIC-SOHIC-H2S'!$T11,'Tables - Part 2'!$AX$5:$BA$5,0)))/2)+INDEX('Tables - Part 2'!$BB$6:$BE$13,MATCH('HIC-SOHIC-H2S'!$Z11,'Tables - Part 2'!$AV$6:$AV$13,0),MATCH('HIC-SOHIC-H2S'!$T11,'Tables - Part 2'!$AX$5:$BA$5,0)))/2,0)</f>
        <v>0</v>
      </c>
      <c r="AO11" s="248">
        <f>IF($S11=$AO$3,INDEX('Tables - Part 2'!$BB$6:$BE$13,MATCH('HIC-SOHIC-H2S'!$Z11,'Tables - Part 2'!$AV$6:$AV$13,0),MATCH('HIC-SOHIC-H2S'!$T11,'Tables - Part 2'!$AX$5:$BA$5,0)),0)</f>
        <v>0</v>
      </c>
      <c r="AP11" s="248">
        <f>IF($S11=$AP$3,((INDEX('Tables - Part 2'!$BB$6:$BE$13,MATCH('HIC-SOHIC-H2S'!$Z11,'Tables - Part 2'!$AV$6:$AV$13,0),MATCH('HIC-SOHIC-H2S'!$T11,'Tables - Part 2'!$AX$5:$BA$5,0)))+(INDEX('Tables - Part 2'!$BB$6:$BE$13,MATCH('HIC-SOHIC-H2S'!$Z11,'Tables - Part 2'!$AV$6:$AV$13,0),MATCH('HIC-SOHIC-H2S'!$T11,'Tables - Part 2'!$AX$5:$BA$5,0))+(INDEX('Tables - Part 2'!$BB$6:$BE$13,MATCH('HIC-SOHIC-H2S'!$Z11,'Tables - Part 2'!$AV$6:$AV$13,0),MATCH('HIC-SOHIC-H2S'!$T11,'Tables - Part 2'!$AX$5:$BA$5,0))+INDEX('Tables - Part 2'!$BF$6:$BI$13,MATCH('HIC-SOHIC-H2S'!$Z11,'Tables - Part 2'!$AV$6:$AV$13,0),MATCH('HIC-SOHIC-H2S'!$T11,'Tables - Part 2'!$AX$5:$BA$5,0)))/2)/2)/2,0)</f>
        <v>0</v>
      </c>
      <c r="AQ11" s="248">
        <f>IF($S11=$AQ$3,(INDEX('Tables - Part 2'!$BB$6:$BE$13,MATCH('HIC-SOHIC-H2S'!$Z11,'Tables - Part 2'!$AV$6:$AV$13,0),MATCH('HIC-SOHIC-H2S'!$T11,'Tables - Part 2'!$AX$5:$BA$5,0))+(INDEX('Tables - Part 2'!$BB$6:$BE$13,MATCH('HIC-SOHIC-H2S'!$Z11,'Tables - Part 2'!$AV$6:$AV$13,0),MATCH('HIC-SOHIC-H2S'!$T11,'Tables - Part 2'!$AX$5:$BA$5,0))+INDEX('Tables - Part 2'!$BF$6:$BI$13,MATCH('HIC-SOHIC-H2S'!$Z11,'Tables - Part 2'!$AV$6:$AV$13,0),MATCH('HIC-SOHIC-H2S'!$T11,'Tables - Part 2'!$AX$5:$BA$5,0)))/2)/2,0)</f>
        <v>0</v>
      </c>
      <c r="AR11" s="248">
        <f>IF($S11=$AR$3,(((INDEX('Tables - Part 2'!$BB$6:$BE$13,MATCH('HIC-SOHIC-H2S'!$Z11,'Tables - Part 2'!$AV$6:$AV$13,0),MATCH('HIC-SOHIC-H2S'!$T11,'Tables - Part 2'!$AX$5:$BA$5,0))+(INDEX('Tables - Part 2'!$BB$6:$BE$13,MATCH('HIC-SOHIC-H2S'!$Z11,'Tables - Part 2'!$AV$6:$AV$13,0),MATCH('HIC-SOHIC-H2S'!$T11,'Tables - Part 2'!$AX$5:$BA$5,0))+INDEX('Tables - Part 2'!$BF$6:$BI$13,MATCH('HIC-SOHIC-H2S'!$Z11,'Tables - Part 2'!$AV$6:$AV$13,0),MATCH('HIC-SOHIC-H2S'!$T11,'Tables - Part 2'!$AX$5:$BA$5,0)))/2)/2)+((INDEX('Tables - Part 2'!$BB$6:$BE$13,MATCH('HIC-SOHIC-H2S'!$Z11,'Tables - Part 2'!$AV$6:$AV$13,0),MATCH('HIC-SOHIC-H2S'!$T11,'Tables - Part 2'!$AX$5:$BA$5,0))+INDEX('Tables - Part 2'!$BF$6:$BI$13,MATCH('HIC-SOHIC-H2S'!$Z11,'Tables - Part 2'!$AV$6:$AV$13,0),MATCH('HIC-SOHIC-H2S'!$T11,'Tables - Part 2'!$AX$5:$BA$5,0)))/2))/2,0)</f>
        <v>0</v>
      </c>
      <c r="AS11" s="248">
        <f>IF($S11=$AS$3,(INDEX('Tables - Part 2'!$BB$6:$BE$13,MATCH('HIC-SOHIC-H2S'!$Z11,'Tables - Part 2'!$AV$6:$AV$13,0),MATCH('HIC-SOHIC-H2S'!$T11,'Tables - Part 2'!$AX$5:$BA$5,0))+INDEX('Tables - Part 2'!$BF$6:$BI$13,MATCH('HIC-SOHIC-H2S'!$Z11,'Tables - Part 2'!$AV$6:$AV$13,0),MATCH('HIC-SOHIC-H2S'!$T11,'Tables - Part 2'!$AX$5:$BA$5,0)))/2,0)</f>
        <v>0</v>
      </c>
      <c r="AT11" s="248">
        <f>IF($S11=$AT$3,(((INDEX('Tables - Part 2'!$BB$6:$BE$13,MATCH('HIC-SOHIC-H2S'!$Z11,'Tables - Part 2'!$AV$6:$AV$13,0),MATCH('HIC-SOHIC-H2S'!$T11,'Tables - Part 2'!$AX$5:$BA$5,0))+INDEX('Tables - Part 2'!$BF$6:$BI$13,MATCH('HIC-SOHIC-H2S'!$Z11,'Tables - Part 2'!$AV$6:$AV$13,0),MATCH('HIC-SOHIC-H2S'!$T11,'Tables - Part 2'!$AX$5:$BA$5,0)))/2)+((((INDEX('Tables - Part 2'!$BB$6:$BE$13,MATCH('HIC-SOHIC-H2S'!$Z11,'Tables - Part 2'!$AV$6:$AV$13,0),MATCH('HIC-SOHIC-H2S'!$T11,'Tables - Part 2'!$AX$5:$BA$5,0))+INDEX('Tables - Part 2'!$BF$6:$BI$13,MATCH('HIC-SOHIC-H2S'!$Z11,'Tables - Part 2'!$AV$6:$AV$13,0),MATCH('HIC-SOHIC-H2S'!$T11,'Tables - Part 2'!$AX$5:$BA$5,0)))/2)+INDEX('Tables - Part 2'!$BF$6:$BI$13,MATCH('HIC-SOHIC-H2S'!$Z11,'Tables - Part 2'!$AV$6:$AV$13,0),MATCH('HIC-SOHIC-H2S'!$T11,'Tables - Part 2'!$AX$5:$BA$5,0)))/2))/2,0)</f>
        <v>0</v>
      </c>
      <c r="AU11" s="248">
        <f>IF($S11=$AU$3,(((INDEX('Tables - Part 2'!$BB$6:$BE$13,MATCH('HIC-SOHIC-H2S'!$Z11,'Tables - Part 2'!$AV$6:$AV$13,0),MATCH('HIC-SOHIC-H2S'!$T11,'Tables - Part 2'!$AX$5:$BA$5,0))+INDEX('Tables - Part 2'!$BF$6:$BI$13,MATCH('HIC-SOHIC-H2S'!$Z11,'Tables - Part 2'!$AV$6:$AV$13,0),MATCH('HIC-SOHIC-H2S'!$T11,'Tables - Part 2'!$AX$5:$BA$5,0)))/2)+INDEX('Tables - Part 2'!$BF$6:$BI$13,MATCH('HIC-SOHIC-H2S'!$Z11,'Tables - Part 2'!$AV$6:$AV$13,0),MATCH('HIC-SOHIC-H2S'!$T11,'Tables - Part 2'!$AX$5:$BA$5,0)))/2,0)</f>
        <v>0</v>
      </c>
      <c r="AV11" s="248">
        <f>IF($S11=$AV$3,(((((INDEX('Tables - Part 2'!$BB$6:$BE$13,MATCH('HIC-SOHIC-H2S'!$Z11,'Tables - Part 2'!$AV$6:$AV$13,0),MATCH('HIC-SOHIC-H2S'!$T11,'Tables - Part 2'!$AX$5:$BA$5,0))+INDEX('Tables - Part 2'!$BF$6:$BI$13,MATCH('HIC-SOHIC-H2S'!$Z11,'Tables - Part 2'!$AV$6:$AV$13,0),MATCH('HIC-SOHIC-H2S'!$T11,'Tables - Part 2'!$AX$5:$BA$5,0)))/2)+INDEX('Tables - Part 2'!$BF$6:$BI$13,MATCH('HIC-SOHIC-H2S'!$Z11,'Tables - Part 2'!$AV$6:$AV$13,0),MATCH('HIC-SOHIC-H2S'!$T11,'Tables - Part 2'!$AX$5:$BA$5,0)))/2)+INDEX('Tables - Part 2'!$BF$6:$BI$13,MATCH('HIC-SOHIC-H2S'!$Z11,'Tables - Part 2'!$AV$6:$AV$13,0),MATCH('HIC-SOHIC-H2S'!$T11,'Tables - Part 2'!$AX$5:$BA$5,0)))/2,0)</f>
        <v>0</v>
      </c>
      <c r="AW11" s="248">
        <f>IF($S11=$AW$3,INDEX('Tables - Part 2'!$BF$6:$BI$13,MATCH('HIC-SOHIC-H2S'!$Z11,'Tables - Part 2'!$AV$6:$AV$13,0),MATCH('HIC-SOHIC-H2S'!$T11,'Tables - Part 2'!$AX$5:$BA$5,0)),0)</f>
        <v>0</v>
      </c>
      <c r="AX11" s="248">
        <f>IF($S11=$AX$3,(INDEX('Tables - Part 2'!$BF$6:$BI$13,MATCH('HIC-SOHIC-H2S'!$Z11,'Tables - Part 2'!$AV$6:$AV$13,0),MATCH('HIC-SOHIC-H2S'!$T11,'Tables - Part 2'!$AX$5:$BA$5,0))+((INDEX('Tables - Part 2'!$BF$6:$BI$13,MATCH('HIC-SOHIC-H2S'!$Z11,'Tables - Part 2'!$AV$6:$AV$13,0),MATCH('HIC-SOHIC-H2S'!$T11,'Tables - Part 2'!$AX$5:$BA$5,0))+(INDEX('Tables - Part 2'!$BF$6:$BI$13,MATCH('HIC-SOHIC-H2S'!$Z11,'Tables - Part 2'!$AV$6:$AV$13,0),MATCH('HIC-SOHIC-H2S'!$T11,'Tables - Part 2'!$AX$5:$BA$5,0))+INDEX('Tables - Part 2'!$AX$17:$BA$24,MATCH('HIC-SOHIC-H2S'!$Z11,'Tables - Part 2'!$AV$6:$AV$13,0),MATCH('HIC-SOHIC-H2S'!$T11,'Tables - Part 2'!$AX$5:$BA$5,0)))/2)/2))/2,0)</f>
        <v>0</v>
      </c>
      <c r="AY11" s="248">
        <f>IF($S11=$AY$3,(INDEX('Tables - Part 2'!$BF$6:$BI$13,MATCH('HIC-SOHIC-H2S'!$Z11,'Tables - Part 2'!$AV$6:$AV$13,0),MATCH('HIC-SOHIC-H2S'!$T11,'Tables - Part 2'!$AX$5:$BA$5,0))+(INDEX('Tables - Part 2'!$BF$6:$BI$13,MATCH('HIC-SOHIC-H2S'!$Z11,'Tables - Part 2'!$AV$6:$AV$13,0),MATCH('HIC-SOHIC-H2S'!$T11,'Tables - Part 2'!$AX$5:$BA$5,0))+INDEX('Tables - Part 2'!$AX$17:$BA$24,MATCH('HIC-SOHIC-H2S'!$Z11,'Tables - Part 2'!$AV$6:$AV$13,0),MATCH('HIC-SOHIC-H2S'!$T11,'Tables - Part 2'!$AX$5:$BA$5,0)))/2)/2,0)</f>
        <v>0</v>
      </c>
      <c r="AZ11" s="248">
        <f>IF($S11=$AZ$3,(((INDEX('Tables - Part 2'!$BF$6:$BI$13,MATCH('HIC-SOHIC-H2S'!$Z11,'Tables - Part 2'!$AV$6:$AV$13,0),MATCH('HIC-SOHIC-H2S'!$T11,'Tables - Part 2'!$AX$5:$BA$5,0))+(INDEX('Tables - Part 2'!$BF$6:$BI$13,MATCH('HIC-SOHIC-H2S'!$Z11,'Tables - Part 2'!$AV$6:$AV$13,0),MATCH('HIC-SOHIC-H2S'!$T11,'Tables - Part 2'!$AX$5:$BA$5,0))+INDEX('Tables - Part 2'!$AX$17:$BA$24,MATCH('HIC-SOHIC-H2S'!$Z11,'Tables - Part 2'!$AV$6:$AV$13,0),MATCH('HIC-SOHIC-H2S'!$T11,'Tables - Part 2'!$AX$5:$BA$5,0)))/2)/2)+((INDEX('Tables - Part 2'!$BF$6:$BI$13,MATCH('HIC-SOHIC-H2S'!$Z11,'Tables - Part 2'!$AV$6:$AV$13,0),MATCH('HIC-SOHIC-H2S'!$T11,'Tables - Part 2'!$AX$5:$BA$5,0))+INDEX('Tables - Part 2'!$AX$17:$BA$24,MATCH('HIC-SOHIC-H2S'!$Z11,'Tables - Part 2'!$AV$6:$AV$13,0),MATCH('HIC-SOHIC-H2S'!$T11,'Tables - Part 2'!$AX$5:$BA$5,0)))/2))/2,0)</f>
        <v>0</v>
      </c>
      <c r="BA11" s="248">
        <f>IF($S11=$BA$3,(INDEX('Tables - Part 2'!$BF$6:$BI$13,MATCH('HIC-SOHIC-H2S'!$Z11,'Tables - Part 2'!$AV$6:$AV$13,0),MATCH('HIC-SOHIC-H2S'!$T11,'Tables - Part 2'!$AX$5:$BA$5,0))+INDEX('Tables - Part 2'!$AX$17:$BA$24,MATCH('HIC-SOHIC-H2S'!$Z11,'Tables - Part 2'!$AV$6:$AV$13,0),MATCH('HIC-SOHIC-H2S'!$T11,'Tables - Part 2'!$AX$5:$BA$5,0)))/2,0)</f>
        <v>0</v>
      </c>
      <c r="BB11" s="248">
        <f>IF($S11=$BB$3,(((INDEX('Tables - Part 2'!$BF$6:$BI$13,MATCH('HIC-SOHIC-H2S'!$Z11,'Tables - Part 2'!$AV$6:$AV$13,0),MATCH('HIC-SOHIC-H2S'!$T11,'Tables - Part 2'!$AX$5:$BA$5,0))+INDEX('Tables - Part 2'!$AX$17:$BA$24,MATCH('HIC-SOHIC-H2S'!$Z11,'Tables - Part 2'!$AV$6:$AV$13,0),MATCH('HIC-SOHIC-H2S'!$T11,'Tables - Part 2'!$AX$5:$BA$5,0)))/2)+((((INDEX('Tables - Part 2'!$BF$6:$BI$13,MATCH('HIC-SOHIC-H2S'!$Z11,'Tables - Part 2'!$AV$6:$AV$13,0),MATCH('HIC-SOHIC-H2S'!$T11,'Tables - Part 2'!$AX$5:$BA$5,0))+INDEX('Tables - Part 2'!$AX$17:$BA$24,MATCH('HIC-SOHIC-H2S'!$Z11,'Tables - Part 2'!$AV$6:$AV$13,0),MATCH('HIC-SOHIC-H2S'!$T11,'Tables - Part 2'!$AX$5:$BA$5,0)))/2)+INDEX('Tables - Part 2'!$AX$17:$BA$24,MATCH('HIC-SOHIC-H2S'!$Z11,'Tables - Part 2'!$AV$6:$AV$13,0),MATCH('HIC-SOHIC-H2S'!$T11,'Tables - Part 2'!$AX$5:$BA$5,0)))/2))/2,0)</f>
        <v>0</v>
      </c>
      <c r="BC11" s="248">
        <f>IF($S11=$BC$3,(((INDEX('Tables - Part 2'!$BF$6:$BI$13,MATCH('HIC-SOHIC-H2S'!$Z11,'Tables - Part 2'!$AV$6:$AV$13,0),MATCH('HIC-SOHIC-H2S'!$T11,'Tables - Part 2'!$AX$5:$BA$5,0))+INDEX('Tables - Part 2'!$AX$17:$BA$24,MATCH('HIC-SOHIC-H2S'!$Z11,'Tables - Part 2'!$AV$6:$AV$13,0),MATCH('HIC-SOHIC-H2S'!$T11,'Tables - Part 2'!$AX$5:$BA$5,0)))/2)+INDEX('Tables - Part 2'!$AX$17:$BA$24,MATCH('HIC-SOHIC-H2S'!$Z11,'Tables - Part 2'!$AV$6:$AV$13,0),MATCH('HIC-SOHIC-H2S'!$T11,'Tables - Part 2'!$AX$5:$BA$5,0)))/2,0)</f>
        <v>0</v>
      </c>
      <c r="BD11" s="248">
        <f>IF($S11=$BD$3,(((((INDEX('Tables - Part 2'!$BF$6:$BI$13,MATCH('HIC-SOHIC-H2S'!$Z11,'Tables - Part 2'!$AV$6:$AV$13,0),MATCH('HIC-SOHIC-H2S'!$T11,'Tables - Part 2'!$AX$5:$BA$5,0))+INDEX('Tables - Part 2'!$AX$17:$BA$24,MATCH('HIC-SOHIC-H2S'!$Z11,'Tables - Part 2'!$AV$6:$AV$13,0),MATCH('HIC-SOHIC-H2S'!$T11,'Tables - Part 2'!$AX$5:$BA$5,0)))/2)+INDEX('Tables - Part 2'!$AX$17:$BA$24,MATCH('HIC-SOHIC-H2S'!$Z11,'Tables - Part 2'!$AV$6:$AV$13,0),MATCH('HIC-SOHIC-H2S'!$T11,'Tables - Part 2'!$AX$5:$BA$5,0)))/2)+(INDEX('Tables - Part 2'!$AX$17:$BA$24,MATCH('HIC-SOHIC-H2S'!$Z11,'Tables - Part 2'!$AV$6:$AV$13,0),MATCH('HIC-SOHIC-H2S'!$T11,'Tables - Part 2'!$AX$5:$BA$5,0))))/2,0)</f>
        <v>0</v>
      </c>
      <c r="BE11" s="248">
        <f>IF($S11=$BE$3,INDEX('Tables - Part 2'!$AX$17:$BA$24,MATCH('HIC-SOHIC-H2S'!$Z11,'Tables - Part 2'!$AV$6:$AV$13,0),MATCH('HIC-SOHIC-H2S'!$T11,'Tables - Part 2'!$AX$5:$BA$5,0)),0)</f>
        <v>0</v>
      </c>
      <c r="BF11" s="248">
        <f>IF($S11=$BF$3,((INDEX('Tables - Part 2'!$AX$17:$BA$24,MATCH('HIC-SOHIC-H2S'!$Z11,'Tables - Part 2'!$AV$6:$AV$13,0),MATCH('HIC-SOHIC-H2S'!$T11,'Tables - Part 2'!$AX$5:$BA$5,0)))+(((INDEX('Tables - Part 2'!$AX$17:$BA$24,MATCH('HIC-SOHIC-H2S'!$Z11,'Tables - Part 2'!$AV$6:$AV$13,0),MATCH('HIC-SOHIC-H2S'!$T11,'Tables - Part 2'!$AX$5:$BA$5,0)))+(INDEX('Tables - Part 2'!$AX$17:$BA$24,MATCH('HIC-SOHIC-H2S'!$Z11,'Tables - Part 2'!$AV$6:$AV$13,0),MATCH('HIC-SOHIC-H2S'!$T11,'Tables - Part 2'!$AX$5:$BA$5,0))+INDEX('Tables - Part 2'!$BB$17:$BE$24,MATCH('HIC-SOHIC-H2S'!$Z11,'Tables - Part 2'!$AV$6:$AV$13,0),MATCH('HIC-SOHIC-H2S'!$T11,'Tables - Part 2'!$AX$5:$BA$5,0)))/2)/2))/2,0)</f>
        <v>0</v>
      </c>
      <c r="BG11" s="248">
        <f>IF($S11=$BG$3,((INDEX('Tables - Part 2'!$AX$17:$BA$24,MATCH('HIC-SOHIC-H2S'!$Z11,'Tables - Part 2'!$AV$6:$AV$13,0),MATCH('HIC-SOHIC-H2S'!$T11,'Tables - Part 2'!$AX$5:$BA$5,0)))+(INDEX('Tables - Part 2'!$AX$17:$BA$24,MATCH('HIC-SOHIC-H2S'!$Z11,'Tables - Part 2'!$AV$6:$AV$13,0),MATCH('HIC-SOHIC-H2S'!$T11,'Tables - Part 2'!$AX$5:$BA$5,0))+INDEX('Tables - Part 2'!$BB$17:$BE$24,MATCH('HIC-SOHIC-H2S'!$Z11,'Tables - Part 2'!$AV$6:$AV$13,0),MATCH('HIC-SOHIC-H2S'!$T11,'Tables - Part 2'!$AX$5:$BA$5,0)))/2)/2,0)</f>
        <v>0</v>
      </c>
      <c r="BH11" s="248">
        <f>IF($S11=$BH$3,((((INDEX('Tables - Part 2'!$AX$17:$BA$24,MATCH('HIC-SOHIC-H2S'!$Z11,'Tables - Part 2'!$AV$6:$AV$13,0),MATCH('HIC-SOHIC-H2S'!$T11,'Tables - Part 2'!$AX$5:$BA$5,0)))+(INDEX('Tables - Part 2'!$AX$17:$BA$24,MATCH('HIC-SOHIC-H2S'!$Z11,'Tables - Part 2'!$AV$6:$AV$13,0),MATCH('HIC-SOHIC-H2S'!$T11,'Tables - Part 2'!$AX$5:$BA$5,0))+INDEX('Tables - Part 2'!$BB$17:$BE$24,MATCH('HIC-SOHIC-H2S'!$Z11,'Tables - Part 2'!$AV$6:$AV$13,0),MATCH('HIC-SOHIC-H2S'!$T11,'Tables - Part 2'!$AX$5:$BA$5,0)))/2)/2)+((INDEX('Tables - Part 2'!$AX$17:$BA$24,MATCH('HIC-SOHIC-H2S'!$Z11,'Tables - Part 2'!$AV$6:$AV$13,0),MATCH('HIC-SOHIC-H2S'!$T11,'Tables - Part 2'!$AX$5:$BA$5,0))+INDEX('Tables - Part 2'!$BB$17:$BE$24,MATCH('HIC-SOHIC-H2S'!$Z11,'Tables - Part 2'!$AV$6:$AV$13,0),MATCH('HIC-SOHIC-H2S'!$T11,'Tables - Part 2'!$AX$5:$BA$5,0)))/2))/2,0)</f>
        <v>0</v>
      </c>
      <c r="BI11" s="248">
        <f>IF($S11=$BI$3,(INDEX('Tables - Part 2'!$AX$17:$BA$24,MATCH('HIC-SOHIC-H2S'!$Z11,'Tables - Part 2'!$AV$6:$AV$13,0),MATCH('HIC-SOHIC-H2S'!$T11,'Tables - Part 2'!$AX$5:$BA$5,0))+INDEX('Tables - Part 2'!$BB$17:$BE$24,MATCH('HIC-SOHIC-H2S'!$Z11,'Tables - Part 2'!$AV$6:$AV$13,0),MATCH('HIC-SOHIC-H2S'!$T11,'Tables - Part 2'!$AX$5:$BA$5,0)))/2,0)</f>
        <v>0</v>
      </c>
      <c r="BJ11" s="248">
        <f>IF($S11=$BJ$3,(((INDEX('Tables - Part 2'!$AX$17:$BA$24,MATCH('HIC-SOHIC-H2S'!$Z11,'Tables - Part 2'!$AV$6:$AV$13,0),MATCH('HIC-SOHIC-H2S'!$T11,'Tables - Part 2'!$AX$5:$BA$5,0))+INDEX('Tables - Part 2'!$BB$17:$BE$24,MATCH('HIC-SOHIC-H2S'!$Z11,'Tables - Part 2'!$AV$6:$AV$13,0),MATCH('HIC-SOHIC-H2S'!$T11,'Tables - Part 2'!$AX$5:$BA$5,0)))/2)+((((INDEX('Tables - Part 2'!$AX$17:$BA$24,MATCH('HIC-SOHIC-H2S'!$Z11,'Tables - Part 2'!$AV$6:$AV$13,0),MATCH('HIC-SOHIC-H2S'!$T11,'Tables - Part 2'!$AX$5:$BA$5,0))+INDEX('Tables - Part 2'!$BB$17:$BE$24,MATCH('HIC-SOHIC-H2S'!$Z11,'Tables - Part 2'!$AV$6:$AV$13,0),MATCH('HIC-SOHIC-H2S'!$T11,'Tables - Part 2'!$AX$5:$BA$5,0)))/2)+INDEX('Tables - Part 2'!$BB$17:$BE$24,MATCH('HIC-SOHIC-H2S'!$Z11,'Tables - Part 2'!$AV$6:$AV$13,0),MATCH('HIC-SOHIC-H2S'!$T11,'Tables - Part 2'!$AX$5:$BA$5,0)))/2))/2,0)</f>
        <v>0</v>
      </c>
      <c r="BK11" s="248">
        <f>IF($S11=$BK$3,(((INDEX('Tables - Part 2'!$AX$17:$BA$24,MATCH('HIC-SOHIC-H2S'!$Z11,'Tables - Part 2'!$AV$6:$AV$13,0),MATCH('HIC-SOHIC-H2S'!$T11,'Tables - Part 2'!$AX$5:$BA$5,0))+INDEX('Tables - Part 2'!$BB$17:$BE$24,MATCH('HIC-SOHIC-H2S'!$Z11,'Tables - Part 2'!$AV$6:$AV$13,0),MATCH('HIC-SOHIC-H2S'!$T11,'Tables - Part 2'!$AX$5:$BA$5,0)))/2)+INDEX('Tables - Part 2'!$BB$17:$BE$24,MATCH('HIC-SOHIC-H2S'!$Z11,'Tables - Part 2'!$AV$6:$AV$13,0),MATCH('HIC-SOHIC-H2S'!$T11,'Tables - Part 2'!$AX$5:$BA$5,0)))/2,0)</f>
        <v>0</v>
      </c>
      <c r="BL11" s="248">
        <f>IF($S11=$BL$3,(((((INDEX('Tables - Part 2'!$AX$17:$BA$24,MATCH('HIC-SOHIC-H2S'!$Z11,'Tables - Part 2'!$AV$6:$AV$13,0),MATCH('HIC-SOHIC-H2S'!$T11,'Tables - Part 2'!$AX$5:$BA$5,0))+INDEX('Tables - Part 2'!$BB$17:$BE$24,MATCH('HIC-SOHIC-H2S'!$Z11,'Tables - Part 2'!$AV$6:$AV$13,0),MATCH('HIC-SOHIC-H2S'!$T11,'Tables - Part 2'!$AX$5:$BA$5,0)))/2)+INDEX('Tables - Part 2'!$BB$17:$BE$24,MATCH('HIC-SOHIC-H2S'!$Z11,'Tables - Part 2'!$AV$6:$AV$13,0),MATCH('HIC-SOHIC-H2S'!$T11,'Tables - Part 2'!$AX$5:$BA$5,0)))/2)+(INDEX('Tables - Part 2'!$BB$17:$BE$24,MATCH('HIC-SOHIC-H2S'!$Z11,'Tables - Part 2'!$AV$6:$AV$13,0),MATCH('HIC-SOHIC-H2S'!$T11,'Tables - Part 2'!$AX$5:$BA$5,0))))/2,0)</f>
        <v>0</v>
      </c>
      <c r="BM11" s="248">
        <f>IF($S11=$BM$3,INDEX('Tables - Part 2'!$BB$17:$BE$24,MATCH('HIC-SOHIC-H2S'!$Z11,'Tables - Part 2'!$AV$6:$AV$13,0),MATCH('HIC-SOHIC-H2S'!$T11,'Tables - Part 2'!$AX$5:$BA$5,0)),0)</f>
        <v>0</v>
      </c>
      <c r="BN11" s="248">
        <f>IF($S11=$BN$3,((INDEX('Tables - Part 2'!$BB$17:$BE$24,MATCH('HIC-SOHIC-H2S'!$Z11,'Tables - Part 2'!$AV$6:$AV$13,0),MATCH('HIC-SOHIC-H2S'!$T11,'Tables - Part 2'!$AX$5:$BA$5,0)))+(((INDEX('Tables - Part 2'!$BB$17:$BE$24,MATCH('HIC-SOHIC-H2S'!$Z11,'Tables - Part 2'!$AV$6:$AV$13,0),MATCH('HIC-SOHIC-H2S'!$T11,'Tables - Part 2'!$AX$5:$BA$5,0)))+(INDEX('Tables - Part 2'!$BB$17:$BE$24,MATCH('HIC-SOHIC-H2S'!$Z11,'Tables - Part 2'!$AV$6:$AV$13,0),MATCH('HIC-SOHIC-H2S'!$T11,'Tables - Part 2'!$AX$5:$BA$5,0))+INDEX('Tables - Part 2'!$BF$17:$BI$24,MATCH('HIC-SOHIC-H2S'!$Z11,'Tables - Part 2'!$AV$6:$AV$13,0),MATCH('HIC-SOHIC-H2S'!$T11,'Tables - Part 2'!$AX$5:$BA$5,0)))/2)/2))/2,0)</f>
        <v>0</v>
      </c>
      <c r="BO11" s="248">
        <f>IF($S11=$BO$3,((INDEX('Tables - Part 2'!$BB$17:$BE$24,MATCH('HIC-SOHIC-H2S'!$Z11,'Tables - Part 2'!$AV$6:$AV$13,0),MATCH('HIC-SOHIC-H2S'!$T11,'Tables - Part 2'!$AX$5:$BA$5,0)))+(INDEX('Tables - Part 2'!$BB$17:$BE$24,MATCH('HIC-SOHIC-H2S'!$Z11,'Tables - Part 2'!$AV$6:$AV$13,0),MATCH('HIC-SOHIC-H2S'!$T11,'Tables - Part 2'!$AX$5:$BA$5,0))+INDEX('Tables - Part 2'!$BF$17:$BI$24,MATCH('HIC-SOHIC-H2S'!$Z11,'Tables - Part 2'!$AV$6:$AV$13,0),MATCH('HIC-SOHIC-H2S'!$T11,'Tables - Part 2'!$AX$5:$BA$5,0)))/2)/2,0)</f>
        <v>0</v>
      </c>
      <c r="BP11" s="248">
        <f>IF($S11=$BP$3,((((INDEX('Tables - Part 2'!$BB$17:$BE$24,MATCH('HIC-SOHIC-H2S'!$Z11,'Tables - Part 2'!$AV$6:$AV$13,0),MATCH('HIC-SOHIC-H2S'!$T11,'Tables - Part 2'!$AX$5:$BA$5,0)))+(INDEX('Tables - Part 2'!$BB$17:$BE$24,MATCH('HIC-SOHIC-H2S'!$Z11,'Tables - Part 2'!$AV$6:$AV$13,0),MATCH('HIC-SOHIC-H2S'!$T11,'Tables - Part 2'!$AX$5:$BA$5,0))+INDEX('Tables - Part 2'!$BF$17:$BI$24,MATCH('HIC-SOHIC-H2S'!$Z11,'Tables - Part 2'!$AV$6:$AV$13,0),MATCH('HIC-SOHIC-H2S'!$T11,'Tables - Part 2'!$AX$5:$BA$5,0)))/2)/2)+((INDEX('Tables - Part 2'!$BB$17:$BE$24,MATCH('HIC-SOHIC-H2S'!$Z11,'Tables - Part 2'!$AV$6:$AV$13,0),MATCH('HIC-SOHIC-H2S'!$T11,'Tables - Part 2'!$AX$5:$BA$5,0))+INDEX('Tables - Part 2'!$BF$17:$BI$24,MATCH('HIC-SOHIC-H2S'!$Z11,'Tables - Part 2'!$AV$6:$AV$13,0),MATCH('HIC-SOHIC-H2S'!$T11,'Tables - Part 2'!$AX$5:$BA$5,0)))/2))/2,0)</f>
        <v>0</v>
      </c>
      <c r="BQ11" s="248">
        <f>IF($S11=$BQ$3,(INDEX('Tables - Part 2'!$BB$17:$BE$24,MATCH('HIC-SOHIC-H2S'!$Z11,'Tables - Part 2'!$AV$6:$AV$13,0),MATCH('HIC-SOHIC-H2S'!$T11,'Tables - Part 2'!$AX$5:$BA$5,0))+INDEX('Tables - Part 2'!$BF$17:$BI$24,MATCH('HIC-SOHIC-H2S'!$Z11,'Tables - Part 2'!$AV$6:$AV$13,0),MATCH('HIC-SOHIC-H2S'!$T11,'Tables - Part 2'!$AX$5:$BA$5,0)))/2,0)</f>
        <v>0</v>
      </c>
      <c r="BR11" s="248">
        <f>IF($S11=$BR$3,(((INDEX('Tables - Part 2'!$BB$17:$BE$24,MATCH('HIC-SOHIC-H2S'!$Z11,'Tables - Part 2'!$AV$6:$AV$13,0),MATCH('HIC-SOHIC-H2S'!$T11,'Tables - Part 2'!$AX$5:$BA$5,0))+INDEX('Tables - Part 2'!$BF$17:$BI$24,MATCH('HIC-SOHIC-H2S'!$Z11,'Tables - Part 2'!$AV$6:$AV$13,0),MATCH('HIC-SOHIC-H2S'!$T11,'Tables - Part 2'!$AX$5:$BA$5,0)))/2)+((((INDEX('Tables - Part 2'!$BB$17:$BE$24,MATCH('HIC-SOHIC-H2S'!$Z11,'Tables - Part 2'!$AV$6:$AV$13,0),MATCH('HIC-SOHIC-H2S'!$T11,'Tables - Part 2'!$AX$5:$BA$5,0))+INDEX('Tables - Part 2'!$BF$17:$BI$24,MATCH('HIC-SOHIC-H2S'!$Z11,'Tables - Part 2'!$AV$6:$AV$13,0),MATCH('HIC-SOHIC-H2S'!$T11,'Tables - Part 2'!$AX$5:$BA$5,0)))/2)+INDEX('Tables - Part 2'!$BF$17:$BI$24,MATCH('HIC-SOHIC-H2S'!$Z11,'Tables - Part 2'!$AV$6:$AV$13,0),MATCH('HIC-SOHIC-H2S'!$T11,'Tables - Part 2'!$AX$5:$BA$5,0)))/2))/2,0)</f>
        <v>0</v>
      </c>
      <c r="BS11" s="248">
        <f>IF($S11=$BS$3,(((INDEX('Tables - Part 2'!$BB$17:$BE$24,MATCH('HIC-SOHIC-H2S'!$Z11,'Tables - Part 2'!$AV$6:$AV$13,0),MATCH('HIC-SOHIC-H2S'!$T11,'Tables - Part 2'!$AX$5:$BA$5,0))+INDEX('Tables - Part 2'!$BF$17:$BI$24,MATCH('HIC-SOHIC-H2S'!$Z11,'Tables - Part 2'!$AV$6:$AV$13,0),MATCH('HIC-SOHIC-H2S'!$T11,'Tables - Part 2'!$AX$5:$BA$5,0)))/2)+INDEX('Tables - Part 2'!$BF$17:$BI$24,MATCH('HIC-SOHIC-H2S'!$Z11,'Tables - Part 2'!$AV$6:$AV$13,0),MATCH('HIC-SOHIC-H2S'!$T11,'Tables - Part 2'!$AX$5:$BA$5,0)))/2,0)</f>
        <v>0</v>
      </c>
      <c r="BT11" s="248">
        <f>IF($S11=$BT$3,(((((INDEX('Tables - Part 2'!$BB$17:$BE$24,MATCH('HIC-SOHIC-H2S'!$Z11,'Tables - Part 2'!$AV$6:$AV$13,0),MATCH('HIC-SOHIC-H2S'!$T11,'Tables - Part 2'!$AX$5:$BA$5,0))+INDEX('Tables - Part 2'!$BF$17:$BI$24,MATCH('HIC-SOHIC-H2S'!$Z11,'Tables - Part 2'!$AV$6:$AV$13,0),MATCH('HIC-SOHIC-H2S'!$T11,'Tables - Part 2'!$AX$5:$BA$5,0)))/2)+INDEX('Tables - Part 2'!$BF$17:$BI$24,MATCH('HIC-SOHIC-H2S'!$Z11,'Tables - Part 2'!$AV$6:$AV$13,0),MATCH('HIC-SOHIC-H2S'!$T11,'Tables - Part 2'!$AX$5:$BA$5,0)))/2)+(INDEX('Tables - Part 2'!$BF$17:$BI$24,MATCH('HIC-SOHIC-H2S'!$Z11,'Tables - Part 2'!$AV$6:$AV$13,0),MATCH('HIC-SOHIC-H2S'!$T11,'Tables - Part 2'!$AX$5:$BA$5,0))))/2,0)</f>
        <v>0</v>
      </c>
      <c r="BU11" s="248">
        <f>IF($S11=$BU$3,INDEX('Tables - Part 2'!$BF$17:$BI$24,MATCH('HIC-SOHIC-H2S'!$Z11,'Tables - Part 2'!$AV$6:$AV$13,0),MATCH('HIC-SOHIC-H2S'!$T11,'Tables - Part 2'!$AX$5:$BA$5,0)),0)</f>
        <v>0</v>
      </c>
      <c r="BV11" s="248" t="e">
        <f t="shared" si="2"/>
        <v>#N/A</v>
      </c>
      <c r="BW11" s="238" t="e">
        <f t="shared" si="8"/>
        <v>#N/A</v>
      </c>
      <c r="BX11" s="238" t="e">
        <f t="shared" si="9"/>
        <v>#N/A</v>
      </c>
    </row>
    <row r="12" spans="2:89" x14ac:dyDescent="0.35">
      <c r="B12" s="161" t="str">
        <f>'Tratamento de Dados'!B20</f>
        <v>V-3</v>
      </c>
      <c r="C12" s="161" t="str">
        <f>'Tratamento de Dados'!D20</f>
        <v>Casco</v>
      </c>
      <c r="D12" s="209">
        <f>'Tratamento de Dados'!CN20</f>
        <v>0</v>
      </c>
      <c r="E12" s="209">
        <f>'Tratamento de Dados'!CO20</f>
        <v>0</v>
      </c>
      <c r="F12" s="209">
        <f>'Tratamento de Dados'!CP20</f>
        <v>0</v>
      </c>
      <c r="G12" s="209">
        <f>'Tratamento de Dados'!CQ20</f>
        <v>0</v>
      </c>
      <c r="H12" s="209">
        <f>'Tratamento de Dados'!CR20</f>
        <v>0</v>
      </c>
      <c r="I12" s="209">
        <f>'Tratamento de Dados'!CS20</f>
        <v>0</v>
      </c>
      <c r="J12" s="209">
        <f>'Tratamento de Dados'!CT20</f>
        <v>0</v>
      </c>
      <c r="K12" s="209">
        <f>'Tratamento de Dados'!CU20</f>
        <v>0</v>
      </c>
      <c r="L12" s="210">
        <f>'Tratamento de Dados'!CV20</f>
        <v>0</v>
      </c>
      <c r="M12" s="209">
        <f>'Tratamento de Dados'!CW20</f>
        <v>0</v>
      </c>
      <c r="N12" s="209">
        <f>'Tratamento de Dados'!CX20</f>
        <v>0</v>
      </c>
      <c r="O12" s="209">
        <f>'Tratamento de Dados'!CY20</f>
        <v>0</v>
      </c>
      <c r="P12" s="209">
        <f>'Tratamento de Dados'!CZ20</f>
        <v>0</v>
      </c>
      <c r="Q12" s="253">
        <f>'Tratamento de Dados'!DA20</f>
        <v>0</v>
      </c>
      <c r="R12" s="253">
        <f>'Tratamento de Dados'!DB20</f>
        <v>0</v>
      </c>
      <c r="S12" s="256">
        <f t="shared" si="0"/>
        <v>0</v>
      </c>
      <c r="T12" s="246" t="str">
        <f t="shared" si="3"/>
        <v>E</v>
      </c>
      <c r="U12" s="238" t="e">
        <f>IF(D12=$CC$2,$CA$4,IF(AND(H12=$CC$2,OR(F12='Tables - Part 2'!$CE$8,'Tables - Part 2'!$CE$9),OR('HIC-SOHIC-H2S'!G12='Tables - Part 2'!$CH$4,'HIC-SOHIC-H2S'!G12='Tables - Part 2'!$CI$4)),$CA$4,INDEX('Tables - Part 2'!$CF$5:$CI$9,MATCH('HIC-SOHIC-H2S'!F12,'Tables - Part 2'!$CE$5:$CE$9,0),MATCH('HIC-SOHIC-H2S'!G12,'Tables - Part 2'!$CF$4:$CI$4,0))))</f>
        <v>#N/A</v>
      </c>
      <c r="V12" s="238" t="str">
        <f>IF($I12=$V$3,INDEX('Tables - Part 2'!$CL$5:$CM$7,MATCH('HIC-SOHIC-H2S'!$U12,'Tables - Part 2'!$CK$5:$CK$7,0),IF('HIC-SOHIC-H2S'!$J12='HIC-SOHIC-H2S'!$CC$2,2,1)),"")</f>
        <v/>
      </c>
      <c r="W12" s="238" t="str">
        <f>IF($I12=$W$3,INDEX('Tables - Part 2'!$CN$5:$CO$7,MATCH('HIC-SOHIC-H2S'!$U12,'Tables - Part 2'!$CK$5:$CK$7,0),IF('HIC-SOHIC-H2S'!$J12='HIC-SOHIC-H2S'!$CC$2,2,1)),"")</f>
        <v/>
      </c>
      <c r="X12" s="238" t="str">
        <f>IF($I12=$X$3,INDEX('Tables - Part 2'!$CP$5:$CQ$7,MATCH('HIC-SOHIC-H2S'!$U12,'Tables - Part 2'!$CK$5:$CK$7,0),IF('HIC-SOHIC-H2S'!$J12='HIC-SOHIC-H2S'!$CC$2,2,1)),"")</f>
        <v/>
      </c>
      <c r="Y12" s="238" t="str">
        <f t="shared" si="1"/>
        <v/>
      </c>
      <c r="Z12" s="238" t="e">
        <f>IF(AND(D12=$CC$2,E12&lt;&gt;$CC$2),"Fitness-For-Service",INDEX('Tables - Part 2'!$CT$4:$CT$6,MATCH('HIC-SOHIC-H2S'!Y12,'Tables - Part 2'!$CS$4:$CS$6,0),))</f>
        <v>#N/A</v>
      </c>
      <c r="AA12" s="238">
        <f>IF(L12=0,(Thinning!G13-Thinning!F13)/365.25,(Thinning!G13-L12)/365.25)</f>
        <v>5.4757015742642025E-3</v>
      </c>
      <c r="AB12" s="238" t="e">
        <f>INDEX('Tables - Part 2'!$CW$4:$CW$7,MATCH('HIC-SOHIC-H2S'!K12,'Tables - Part 2'!$CV$4:$CV$7,0))</f>
        <v>#N/A</v>
      </c>
      <c r="AC12" s="248">
        <f t="shared" si="4"/>
        <v>0</v>
      </c>
      <c r="AD12" s="248">
        <f t="shared" si="5"/>
        <v>0</v>
      </c>
      <c r="AE12" s="247">
        <f t="shared" si="10"/>
        <v>0</v>
      </c>
      <c r="AF12" s="247">
        <f t="shared" si="7"/>
        <v>0</v>
      </c>
      <c r="AG12" s="248">
        <f>IF($S12=$AG$3,INDEX('Tables - Part 2'!$AX$6:$BA$13,MATCH('HIC-SOHIC-H2S'!Z12,'Tables - Part 2'!$AV$6:$AV$13,0),MATCH('HIC-SOHIC-H2S'!T12,'Tables - Part 2'!$AX$5:$BA$5,0)),0)</f>
        <v>0</v>
      </c>
      <c r="AH12" s="248">
        <f>IF($S12=$AH$3,(INDEX('Tables - Part 2'!$AX$6:$BA$13,MATCH('HIC-SOHIC-H2S'!Z12,'Tables - Part 2'!$AV$6:$AV$13,0),MATCH('HIC-SOHIC-H2S'!T12,'Tables - Part 2'!$AX$5:$BA$5,0))+(INDEX('Tables - Part 2'!$AX$6:$BA$13,MATCH('HIC-SOHIC-H2S'!Z12,'Tables - Part 2'!$AV$6:$AV$13,0),MATCH('HIC-SOHIC-H2S'!T12,'Tables - Part 2'!$AX$5:$BA$5,0))+((INDEX('Tables - Part 2'!$AX$6:$BA$13,MATCH('HIC-SOHIC-H2S'!Z12,'Tables - Part 2'!$AV$6:$AV$13,0),MATCH('HIC-SOHIC-H2S'!T12,'Tables - Part 2'!$AX$5:$BA$5,0))+INDEX('Tables - Part 2'!$BB$6:$BE$13,MATCH('HIC-SOHIC-H2S'!$Z12,'Tables - Part 2'!$AV$6:$AV$13,0),MATCH('HIC-SOHIC-H2S'!$T12,'Tables - Part 2'!$AX$5:$BA$5,0)))/2))/2)/2,0)</f>
        <v>0</v>
      </c>
      <c r="AI12" s="248">
        <f>IF($S12=$AI$3,(INDEX('Tables - Part 2'!$AX$6:$BA$13,MATCH('HIC-SOHIC-H2S'!Z12,'Tables - Part 2'!$AV$6:$AV$13,0),MATCH('HIC-SOHIC-H2S'!T12,'Tables - Part 2'!$AX$5:$BA$5,0))+((INDEX('Tables - Part 2'!$AX$6:$BA$13,MATCH('HIC-SOHIC-H2S'!Z12,'Tables - Part 2'!$AV$6:$AV$13,0),MATCH('HIC-SOHIC-H2S'!T12,'Tables - Part 2'!$AX$5:$BA$5,0))+INDEX('Tables - Part 2'!$BB$6:$BE$13,MATCH('HIC-SOHIC-H2S'!$Z12,'Tables - Part 2'!$AV$6:$AV$13,0),MATCH('HIC-SOHIC-H2S'!$T12,'Tables - Part 2'!$AX$5:$BA$5,0)))/2))/2,0)</f>
        <v>0</v>
      </c>
      <c r="AJ12" s="248">
        <f>IF($S12=$AJ$3,(((INDEX('Tables - Part 2'!$AX$6:$BA$13,MATCH('HIC-SOHIC-H2S'!Z12,'Tables - Part 2'!$AV$6:$AV$13,0),MATCH('HIC-SOHIC-H2S'!T12,'Tables - Part 2'!$AX$5:$BA$5,0))+((INDEX('Tables - Part 2'!$AX$6:$BA$13,MATCH('HIC-SOHIC-H2S'!Z12,'Tables - Part 2'!$AV$6:$AV$13,0),MATCH('HIC-SOHIC-H2S'!T12,'Tables - Part 2'!$AX$5:$BA$5,0))+INDEX('Tables - Part 2'!$BB$6:$BE$13,MATCH('HIC-SOHIC-H2S'!$Z12,'Tables - Part 2'!$AV$6:$AV$13,0),MATCH('HIC-SOHIC-H2S'!$T12,'Tables - Part 2'!$AX$5:$BA$5,0)))/2))/2)+(INDEX('Tables - Part 2'!$AX$6:$BA$13,MATCH('HIC-SOHIC-H2S'!Z12,'Tables - Part 2'!$AV$6:$AV$13,0),MATCH('HIC-SOHIC-H2S'!T12,'Tables - Part 2'!$AX$5:$BA$5,0))+INDEX('Tables - Part 2'!$BB$6:$BE$13,MATCH('HIC-SOHIC-H2S'!$Z12,'Tables - Part 2'!$AV$6:$AV$13,0),MATCH('HIC-SOHIC-H2S'!$T12,'Tables - Part 2'!$AX$5:$BA$5,0)))/2)/2,0)</f>
        <v>0</v>
      </c>
      <c r="AK12" s="248">
        <f>IF($S12=$AK$3,(INDEX('Tables - Part 2'!$AX$6:$BA$13,MATCH('HIC-SOHIC-H2S'!Z12,'Tables - Part 2'!$AV$6:$AV$13,0),MATCH('HIC-SOHIC-H2S'!T12,'Tables - Part 2'!$AX$5:$BA$5,0))+INDEX('Tables - Part 2'!$BB$6:$BE$13,MATCH('HIC-SOHIC-H2S'!$Z12,'Tables - Part 2'!$AV$6:$AV$13,0),MATCH('HIC-SOHIC-H2S'!$T12,'Tables - Part 2'!$AX$5:$BA$5,0)))/2,0)</f>
        <v>0</v>
      </c>
      <c r="AL12" s="248">
        <f>IF($S12=$AL$3,(((INDEX('Tables - Part 2'!$AX$6:$BA$13,MATCH('HIC-SOHIC-H2S'!Z12,'Tables - Part 2'!$AV$6:$AV$13,0),MATCH('HIC-SOHIC-H2S'!T12,'Tables - Part 2'!$AX$5:$BA$5,0))+INDEX('Tables - Part 2'!$BB$6:$BE$13,MATCH('HIC-SOHIC-H2S'!$Z12,'Tables - Part 2'!$AV$6:$AV$13,0),MATCH('HIC-SOHIC-H2S'!$T12,'Tables - Part 2'!$AX$5:$BA$5,0)))/2)+(((INDEX('Tables - Part 2'!$AX$6:$BA$13,MATCH('HIC-SOHIC-H2S'!Z12,'Tables - Part 2'!$AV$6:$AV$13,0),MATCH('HIC-SOHIC-H2S'!T12,'Tables - Part 2'!$AX$5:$BA$5,0))+INDEX('Tables - Part 2'!$BB$6:$BE$13,MATCH('HIC-SOHIC-H2S'!$Z12,'Tables - Part 2'!$AV$6:$AV$13,0),MATCH('HIC-SOHIC-H2S'!$T12,'Tables - Part 2'!$AX$5:$BA$5,0)))/2)+INDEX('Tables - Part 2'!$BB$6:$BE$13,MATCH('HIC-SOHIC-H2S'!$Z12,'Tables - Part 2'!$AV$6:$AV$13,0),MATCH('HIC-SOHIC-H2S'!$T12,'Tables - Part 2'!$AX$5:$BA$5,0)))/2)/2,0)</f>
        <v>0</v>
      </c>
      <c r="AM12" s="248">
        <f>IF($S12=$AM$3,(((INDEX('Tables - Part 2'!$AX$6:$BA$13,MATCH('HIC-SOHIC-H2S'!Z12,'Tables - Part 2'!$AV$6:$AV$13,0),MATCH('HIC-SOHIC-H2S'!T12,'Tables - Part 2'!$AX$5:$BA$5,0))+INDEX('Tables - Part 2'!$BB$6:$BE$13,MATCH('HIC-SOHIC-H2S'!$Z12,'Tables - Part 2'!$AV$6:$AV$13,0),MATCH('HIC-SOHIC-H2S'!$T12,'Tables - Part 2'!$AX$5:$BA$5,0)))/2)+INDEX('Tables - Part 2'!$BB$6:$BE$13,MATCH('HIC-SOHIC-H2S'!$Z12,'Tables - Part 2'!$AV$6:$AV$13,0),MATCH('HIC-SOHIC-H2S'!$T12,'Tables - Part 2'!$AX$5:$BA$5,0)))/2,0)</f>
        <v>0</v>
      </c>
      <c r="AN12" s="248">
        <f>IF($S12=$AN$3,(((((INDEX('Tables - Part 2'!$AX$6:$BA$13,MATCH('HIC-SOHIC-H2S'!Z12,'Tables - Part 2'!$AV$6:$AV$13,0),MATCH('HIC-SOHIC-H2S'!T12,'Tables - Part 2'!$AX$5:$BA$5,0))+INDEX('Tables - Part 2'!$BB$6:$BE$13,MATCH('HIC-SOHIC-H2S'!$Z12,'Tables - Part 2'!$AV$6:$AV$13,0),MATCH('HIC-SOHIC-H2S'!$T12,'Tables - Part 2'!$AX$5:$BA$5,0)))/2)+INDEX('Tables - Part 2'!$BB$6:$BE$13,MATCH('HIC-SOHIC-H2S'!$Z12,'Tables - Part 2'!$AV$6:$AV$13,0),MATCH('HIC-SOHIC-H2S'!$T12,'Tables - Part 2'!$AX$5:$BA$5,0)))/2)+INDEX('Tables - Part 2'!$BB$6:$BE$13,MATCH('HIC-SOHIC-H2S'!$Z12,'Tables - Part 2'!$AV$6:$AV$13,0),MATCH('HIC-SOHIC-H2S'!$T12,'Tables - Part 2'!$AX$5:$BA$5,0)))/2,0)</f>
        <v>0</v>
      </c>
      <c r="AO12" s="248">
        <f>IF($S12=$AO$3,INDEX('Tables - Part 2'!$BB$6:$BE$13,MATCH('HIC-SOHIC-H2S'!$Z12,'Tables - Part 2'!$AV$6:$AV$13,0),MATCH('HIC-SOHIC-H2S'!$T12,'Tables - Part 2'!$AX$5:$BA$5,0)),0)</f>
        <v>0</v>
      </c>
      <c r="AP12" s="248">
        <f>IF($S12=$AP$3,((INDEX('Tables - Part 2'!$BB$6:$BE$13,MATCH('HIC-SOHIC-H2S'!$Z12,'Tables - Part 2'!$AV$6:$AV$13,0),MATCH('HIC-SOHIC-H2S'!$T12,'Tables - Part 2'!$AX$5:$BA$5,0)))+(INDEX('Tables - Part 2'!$BB$6:$BE$13,MATCH('HIC-SOHIC-H2S'!$Z12,'Tables - Part 2'!$AV$6:$AV$13,0),MATCH('HIC-SOHIC-H2S'!$T12,'Tables - Part 2'!$AX$5:$BA$5,0))+(INDEX('Tables - Part 2'!$BB$6:$BE$13,MATCH('HIC-SOHIC-H2S'!$Z12,'Tables - Part 2'!$AV$6:$AV$13,0),MATCH('HIC-SOHIC-H2S'!$T12,'Tables - Part 2'!$AX$5:$BA$5,0))+INDEX('Tables - Part 2'!$BF$6:$BI$13,MATCH('HIC-SOHIC-H2S'!$Z12,'Tables - Part 2'!$AV$6:$AV$13,0),MATCH('HIC-SOHIC-H2S'!$T12,'Tables - Part 2'!$AX$5:$BA$5,0)))/2)/2)/2,0)</f>
        <v>0</v>
      </c>
      <c r="AQ12" s="248">
        <f>IF($S12=$AQ$3,(INDEX('Tables - Part 2'!$BB$6:$BE$13,MATCH('HIC-SOHIC-H2S'!$Z12,'Tables - Part 2'!$AV$6:$AV$13,0),MATCH('HIC-SOHIC-H2S'!$T12,'Tables - Part 2'!$AX$5:$BA$5,0))+(INDEX('Tables - Part 2'!$BB$6:$BE$13,MATCH('HIC-SOHIC-H2S'!$Z12,'Tables - Part 2'!$AV$6:$AV$13,0),MATCH('HIC-SOHIC-H2S'!$T12,'Tables - Part 2'!$AX$5:$BA$5,0))+INDEX('Tables - Part 2'!$BF$6:$BI$13,MATCH('HIC-SOHIC-H2S'!$Z12,'Tables - Part 2'!$AV$6:$AV$13,0),MATCH('HIC-SOHIC-H2S'!$T12,'Tables - Part 2'!$AX$5:$BA$5,0)))/2)/2,0)</f>
        <v>0</v>
      </c>
      <c r="AR12" s="248">
        <f>IF($S12=$AR$3,(((INDEX('Tables - Part 2'!$BB$6:$BE$13,MATCH('HIC-SOHIC-H2S'!$Z12,'Tables - Part 2'!$AV$6:$AV$13,0),MATCH('HIC-SOHIC-H2S'!$T12,'Tables - Part 2'!$AX$5:$BA$5,0))+(INDEX('Tables - Part 2'!$BB$6:$BE$13,MATCH('HIC-SOHIC-H2S'!$Z12,'Tables - Part 2'!$AV$6:$AV$13,0),MATCH('HIC-SOHIC-H2S'!$T12,'Tables - Part 2'!$AX$5:$BA$5,0))+INDEX('Tables - Part 2'!$BF$6:$BI$13,MATCH('HIC-SOHIC-H2S'!$Z12,'Tables - Part 2'!$AV$6:$AV$13,0),MATCH('HIC-SOHIC-H2S'!$T12,'Tables - Part 2'!$AX$5:$BA$5,0)))/2)/2)+((INDEX('Tables - Part 2'!$BB$6:$BE$13,MATCH('HIC-SOHIC-H2S'!$Z12,'Tables - Part 2'!$AV$6:$AV$13,0),MATCH('HIC-SOHIC-H2S'!$T12,'Tables - Part 2'!$AX$5:$BA$5,0))+INDEX('Tables - Part 2'!$BF$6:$BI$13,MATCH('HIC-SOHIC-H2S'!$Z12,'Tables - Part 2'!$AV$6:$AV$13,0),MATCH('HIC-SOHIC-H2S'!$T12,'Tables - Part 2'!$AX$5:$BA$5,0)))/2))/2,0)</f>
        <v>0</v>
      </c>
      <c r="AS12" s="248">
        <f>IF($S12=$AS$3,(INDEX('Tables - Part 2'!$BB$6:$BE$13,MATCH('HIC-SOHIC-H2S'!$Z12,'Tables - Part 2'!$AV$6:$AV$13,0),MATCH('HIC-SOHIC-H2S'!$T12,'Tables - Part 2'!$AX$5:$BA$5,0))+INDEX('Tables - Part 2'!$BF$6:$BI$13,MATCH('HIC-SOHIC-H2S'!$Z12,'Tables - Part 2'!$AV$6:$AV$13,0),MATCH('HIC-SOHIC-H2S'!$T12,'Tables - Part 2'!$AX$5:$BA$5,0)))/2,0)</f>
        <v>0</v>
      </c>
      <c r="AT12" s="248">
        <f>IF($S12=$AT$3,(((INDEX('Tables - Part 2'!$BB$6:$BE$13,MATCH('HIC-SOHIC-H2S'!$Z12,'Tables - Part 2'!$AV$6:$AV$13,0),MATCH('HIC-SOHIC-H2S'!$T12,'Tables - Part 2'!$AX$5:$BA$5,0))+INDEX('Tables - Part 2'!$BF$6:$BI$13,MATCH('HIC-SOHIC-H2S'!$Z12,'Tables - Part 2'!$AV$6:$AV$13,0),MATCH('HIC-SOHIC-H2S'!$T12,'Tables - Part 2'!$AX$5:$BA$5,0)))/2)+((((INDEX('Tables - Part 2'!$BB$6:$BE$13,MATCH('HIC-SOHIC-H2S'!$Z12,'Tables - Part 2'!$AV$6:$AV$13,0),MATCH('HIC-SOHIC-H2S'!$T12,'Tables - Part 2'!$AX$5:$BA$5,0))+INDEX('Tables - Part 2'!$BF$6:$BI$13,MATCH('HIC-SOHIC-H2S'!$Z12,'Tables - Part 2'!$AV$6:$AV$13,0),MATCH('HIC-SOHIC-H2S'!$T12,'Tables - Part 2'!$AX$5:$BA$5,0)))/2)+INDEX('Tables - Part 2'!$BF$6:$BI$13,MATCH('HIC-SOHIC-H2S'!$Z12,'Tables - Part 2'!$AV$6:$AV$13,0),MATCH('HIC-SOHIC-H2S'!$T12,'Tables - Part 2'!$AX$5:$BA$5,0)))/2))/2,0)</f>
        <v>0</v>
      </c>
      <c r="AU12" s="248">
        <f>IF($S12=$AU$3,(((INDEX('Tables - Part 2'!$BB$6:$BE$13,MATCH('HIC-SOHIC-H2S'!$Z12,'Tables - Part 2'!$AV$6:$AV$13,0),MATCH('HIC-SOHIC-H2S'!$T12,'Tables - Part 2'!$AX$5:$BA$5,0))+INDEX('Tables - Part 2'!$BF$6:$BI$13,MATCH('HIC-SOHIC-H2S'!$Z12,'Tables - Part 2'!$AV$6:$AV$13,0),MATCH('HIC-SOHIC-H2S'!$T12,'Tables - Part 2'!$AX$5:$BA$5,0)))/2)+INDEX('Tables - Part 2'!$BF$6:$BI$13,MATCH('HIC-SOHIC-H2S'!$Z12,'Tables - Part 2'!$AV$6:$AV$13,0),MATCH('HIC-SOHIC-H2S'!$T12,'Tables - Part 2'!$AX$5:$BA$5,0)))/2,0)</f>
        <v>0</v>
      </c>
      <c r="AV12" s="248">
        <f>IF($S12=$AV$3,(((((INDEX('Tables - Part 2'!$BB$6:$BE$13,MATCH('HIC-SOHIC-H2S'!$Z12,'Tables - Part 2'!$AV$6:$AV$13,0),MATCH('HIC-SOHIC-H2S'!$T12,'Tables - Part 2'!$AX$5:$BA$5,0))+INDEX('Tables - Part 2'!$BF$6:$BI$13,MATCH('HIC-SOHIC-H2S'!$Z12,'Tables - Part 2'!$AV$6:$AV$13,0),MATCH('HIC-SOHIC-H2S'!$T12,'Tables - Part 2'!$AX$5:$BA$5,0)))/2)+INDEX('Tables - Part 2'!$BF$6:$BI$13,MATCH('HIC-SOHIC-H2S'!$Z12,'Tables - Part 2'!$AV$6:$AV$13,0),MATCH('HIC-SOHIC-H2S'!$T12,'Tables - Part 2'!$AX$5:$BA$5,0)))/2)+INDEX('Tables - Part 2'!$BF$6:$BI$13,MATCH('HIC-SOHIC-H2S'!$Z12,'Tables - Part 2'!$AV$6:$AV$13,0),MATCH('HIC-SOHIC-H2S'!$T12,'Tables - Part 2'!$AX$5:$BA$5,0)))/2,0)</f>
        <v>0</v>
      </c>
      <c r="AW12" s="248">
        <f>IF($S12=$AW$3,INDEX('Tables - Part 2'!$BF$6:$BI$13,MATCH('HIC-SOHIC-H2S'!$Z12,'Tables - Part 2'!$AV$6:$AV$13,0),MATCH('HIC-SOHIC-H2S'!$T12,'Tables - Part 2'!$AX$5:$BA$5,0)),0)</f>
        <v>0</v>
      </c>
      <c r="AX12" s="248">
        <f>IF($S12=$AX$3,(INDEX('Tables - Part 2'!$BF$6:$BI$13,MATCH('HIC-SOHIC-H2S'!$Z12,'Tables - Part 2'!$AV$6:$AV$13,0),MATCH('HIC-SOHIC-H2S'!$T12,'Tables - Part 2'!$AX$5:$BA$5,0))+((INDEX('Tables - Part 2'!$BF$6:$BI$13,MATCH('HIC-SOHIC-H2S'!$Z12,'Tables - Part 2'!$AV$6:$AV$13,0),MATCH('HIC-SOHIC-H2S'!$T12,'Tables - Part 2'!$AX$5:$BA$5,0))+(INDEX('Tables - Part 2'!$BF$6:$BI$13,MATCH('HIC-SOHIC-H2S'!$Z12,'Tables - Part 2'!$AV$6:$AV$13,0),MATCH('HIC-SOHIC-H2S'!$T12,'Tables - Part 2'!$AX$5:$BA$5,0))+INDEX('Tables - Part 2'!$AX$17:$BA$24,MATCH('HIC-SOHIC-H2S'!$Z12,'Tables - Part 2'!$AV$6:$AV$13,0),MATCH('HIC-SOHIC-H2S'!$T12,'Tables - Part 2'!$AX$5:$BA$5,0)))/2)/2))/2,0)</f>
        <v>0</v>
      </c>
      <c r="AY12" s="248">
        <f>IF($S12=$AY$3,(INDEX('Tables - Part 2'!$BF$6:$BI$13,MATCH('HIC-SOHIC-H2S'!$Z12,'Tables - Part 2'!$AV$6:$AV$13,0),MATCH('HIC-SOHIC-H2S'!$T12,'Tables - Part 2'!$AX$5:$BA$5,0))+(INDEX('Tables - Part 2'!$BF$6:$BI$13,MATCH('HIC-SOHIC-H2S'!$Z12,'Tables - Part 2'!$AV$6:$AV$13,0),MATCH('HIC-SOHIC-H2S'!$T12,'Tables - Part 2'!$AX$5:$BA$5,0))+INDEX('Tables - Part 2'!$AX$17:$BA$24,MATCH('HIC-SOHIC-H2S'!$Z12,'Tables - Part 2'!$AV$6:$AV$13,0),MATCH('HIC-SOHIC-H2S'!$T12,'Tables - Part 2'!$AX$5:$BA$5,0)))/2)/2,0)</f>
        <v>0</v>
      </c>
      <c r="AZ12" s="248">
        <f>IF($S12=$AZ$3,(((INDEX('Tables - Part 2'!$BF$6:$BI$13,MATCH('HIC-SOHIC-H2S'!$Z12,'Tables - Part 2'!$AV$6:$AV$13,0),MATCH('HIC-SOHIC-H2S'!$T12,'Tables - Part 2'!$AX$5:$BA$5,0))+(INDEX('Tables - Part 2'!$BF$6:$BI$13,MATCH('HIC-SOHIC-H2S'!$Z12,'Tables - Part 2'!$AV$6:$AV$13,0),MATCH('HIC-SOHIC-H2S'!$T12,'Tables - Part 2'!$AX$5:$BA$5,0))+INDEX('Tables - Part 2'!$AX$17:$BA$24,MATCH('HIC-SOHIC-H2S'!$Z12,'Tables - Part 2'!$AV$6:$AV$13,0),MATCH('HIC-SOHIC-H2S'!$T12,'Tables - Part 2'!$AX$5:$BA$5,0)))/2)/2)+((INDEX('Tables - Part 2'!$BF$6:$BI$13,MATCH('HIC-SOHIC-H2S'!$Z12,'Tables - Part 2'!$AV$6:$AV$13,0),MATCH('HIC-SOHIC-H2S'!$T12,'Tables - Part 2'!$AX$5:$BA$5,0))+INDEX('Tables - Part 2'!$AX$17:$BA$24,MATCH('HIC-SOHIC-H2S'!$Z12,'Tables - Part 2'!$AV$6:$AV$13,0),MATCH('HIC-SOHIC-H2S'!$T12,'Tables - Part 2'!$AX$5:$BA$5,0)))/2))/2,0)</f>
        <v>0</v>
      </c>
      <c r="BA12" s="248">
        <f>IF($S12=$BA$3,(INDEX('Tables - Part 2'!$BF$6:$BI$13,MATCH('HIC-SOHIC-H2S'!$Z12,'Tables - Part 2'!$AV$6:$AV$13,0),MATCH('HIC-SOHIC-H2S'!$T12,'Tables - Part 2'!$AX$5:$BA$5,0))+INDEX('Tables - Part 2'!$AX$17:$BA$24,MATCH('HIC-SOHIC-H2S'!$Z12,'Tables - Part 2'!$AV$6:$AV$13,0),MATCH('HIC-SOHIC-H2S'!$T12,'Tables - Part 2'!$AX$5:$BA$5,0)))/2,0)</f>
        <v>0</v>
      </c>
      <c r="BB12" s="248">
        <f>IF($S12=$BB$3,(((INDEX('Tables - Part 2'!$BF$6:$BI$13,MATCH('HIC-SOHIC-H2S'!$Z12,'Tables - Part 2'!$AV$6:$AV$13,0),MATCH('HIC-SOHIC-H2S'!$T12,'Tables - Part 2'!$AX$5:$BA$5,0))+INDEX('Tables - Part 2'!$AX$17:$BA$24,MATCH('HIC-SOHIC-H2S'!$Z12,'Tables - Part 2'!$AV$6:$AV$13,0),MATCH('HIC-SOHIC-H2S'!$T12,'Tables - Part 2'!$AX$5:$BA$5,0)))/2)+((((INDEX('Tables - Part 2'!$BF$6:$BI$13,MATCH('HIC-SOHIC-H2S'!$Z12,'Tables - Part 2'!$AV$6:$AV$13,0),MATCH('HIC-SOHIC-H2S'!$T12,'Tables - Part 2'!$AX$5:$BA$5,0))+INDEX('Tables - Part 2'!$AX$17:$BA$24,MATCH('HIC-SOHIC-H2S'!$Z12,'Tables - Part 2'!$AV$6:$AV$13,0),MATCH('HIC-SOHIC-H2S'!$T12,'Tables - Part 2'!$AX$5:$BA$5,0)))/2)+INDEX('Tables - Part 2'!$AX$17:$BA$24,MATCH('HIC-SOHIC-H2S'!$Z12,'Tables - Part 2'!$AV$6:$AV$13,0),MATCH('HIC-SOHIC-H2S'!$T12,'Tables - Part 2'!$AX$5:$BA$5,0)))/2))/2,0)</f>
        <v>0</v>
      </c>
      <c r="BC12" s="248">
        <f>IF($S12=$BC$3,(((INDEX('Tables - Part 2'!$BF$6:$BI$13,MATCH('HIC-SOHIC-H2S'!$Z12,'Tables - Part 2'!$AV$6:$AV$13,0),MATCH('HIC-SOHIC-H2S'!$T12,'Tables - Part 2'!$AX$5:$BA$5,0))+INDEX('Tables - Part 2'!$AX$17:$BA$24,MATCH('HIC-SOHIC-H2S'!$Z12,'Tables - Part 2'!$AV$6:$AV$13,0),MATCH('HIC-SOHIC-H2S'!$T12,'Tables - Part 2'!$AX$5:$BA$5,0)))/2)+INDEX('Tables - Part 2'!$AX$17:$BA$24,MATCH('HIC-SOHIC-H2S'!$Z12,'Tables - Part 2'!$AV$6:$AV$13,0),MATCH('HIC-SOHIC-H2S'!$T12,'Tables - Part 2'!$AX$5:$BA$5,0)))/2,0)</f>
        <v>0</v>
      </c>
      <c r="BD12" s="248">
        <f>IF($S12=$BD$3,(((((INDEX('Tables - Part 2'!$BF$6:$BI$13,MATCH('HIC-SOHIC-H2S'!$Z12,'Tables - Part 2'!$AV$6:$AV$13,0),MATCH('HIC-SOHIC-H2S'!$T12,'Tables - Part 2'!$AX$5:$BA$5,0))+INDEX('Tables - Part 2'!$AX$17:$BA$24,MATCH('HIC-SOHIC-H2S'!$Z12,'Tables - Part 2'!$AV$6:$AV$13,0),MATCH('HIC-SOHIC-H2S'!$T12,'Tables - Part 2'!$AX$5:$BA$5,0)))/2)+INDEX('Tables - Part 2'!$AX$17:$BA$24,MATCH('HIC-SOHIC-H2S'!$Z12,'Tables - Part 2'!$AV$6:$AV$13,0),MATCH('HIC-SOHIC-H2S'!$T12,'Tables - Part 2'!$AX$5:$BA$5,0)))/2)+(INDEX('Tables - Part 2'!$AX$17:$BA$24,MATCH('HIC-SOHIC-H2S'!$Z12,'Tables - Part 2'!$AV$6:$AV$13,0),MATCH('HIC-SOHIC-H2S'!$T12,'Tables - Part 2'!$AX$5:$BA$5,0))))/2,0)</f>
        <v>0</v>
      </c>
      <c r="BE12" s="248">
        <f>IF($S12=$BE$3,INDEX('Tables - Part 2'!$AX$17:$BA$24,MATCH('HIC-SOHIC-H2S'!$Z12,'Tables - Part 2'!$AV$6:$AV$13,0),MATCH('HIC-SOHIC-H2S'!$T12,'Tables - Part 2'!$AX$5:$BA$5,0)),0)</f>
        <v>0</v>
      </c>
      <c r="BF12" s="248">
        <f>IF($S12=$BF$3,((INDEX('Tables - Part 2'!$AX$17:$BA$24,MATCH('HIC-SOHIC-H2S'!$Z12,'Tables - Part 2'!$AV$6:$AV$13,0),MATCH('HIC-SOHIC-H2S'!$T12,'Tables - Part 2'!$AX$5:$BA$5,0)))+(((INDEX('Tables - Part 2'!$AX$17:$BA$24,MATCH('HIC-SOHIC-H2S'!$Z12,'Tables - Part 2'!$AV$6:$AV$13,0),MATCH('HIC-SOHIC-H2S'!$T12,'Tables - Part 2'!$AX$5:$BA$5,0)))+(INDEX('Tables - Part 2'!$AX$17:$BA$24,MATCH('HIC-SOHIC-H2S'!$Z12,'Tables - Part 2'!$AV$6:$AV$13,0),MATCH('HIC-SOHIC-H2S'!$T12,'Tables - Part 2'!$AX$5:$BA$5,0))+INDEX('Tables - Part 2'!$BB$17:$BE$24,MATCH('HIC-SOHIC-H2S'!$Z12,'Tables - Part 2'!$AV$6:$AV$13,0),MATCH('HIC-SOHIC-H2S'!$T12,'Tables - Part 2'!$AX$5:$BA$5,0)))/2)/2))/2,0)</f>
        <v>0</v>
      </c>
      <c r="BG12" s="248">
        <f>IF($S12=$BG$3,((INDEX('Tables - Part 2'!$AX$17:$BA$24,MATCH('HIC-SOHIC-H2S'!$Z12,'Tables - Part 2'!$AV$6:$AV$13,0),MATCH('HIC-SOHIC-H2S'!$T12,'Tables - Part 2'!$AX$5:$BA$5,0)))+(INDEX('Tables - Part 2'!$AX$17:$BA$24,MATCH('HIC-SOHIC-H2S'!$Z12,'Tables - Part 2'!$AV$6:$AV$13,0),MATCH('HIC-SOHIC-H2S'!$T12,'Tables - Part 2'!$AX$5:$BA$5,0))+INDEX('Tables - Part 2'!$BB$17:$BE$24,MATCH('HIC-SOHIC-H2S'!$Z12,'Tables - Part 2'!$AV$6:$AV$13,0),MATCH('HIC-SOHIC-H2S'!$T12,'Tables - Part 2'!$AX$5:$BA$5,0)))/2)/2,0)</f>
        <v>0</v>
      </c>
      <c r="BH12" s="248">
        <f>IF($S12=$BH$3,((((INDEX('Tables - Part 2'!$AX$17:$BA$24,MATCH('HIC-SOHIC-H2S'!$Z12,'Tables - Part 2'!$AV$6:$AV$13,0),MATCH('HIC-SOHIC-H2S'!$T12,'Tables - Part 2'!$AX$5:$BA$5,0)))+(INDEX('Tables - Part 2'!$AX$17:$BA$24,MATCH('HIC-SOHIC-H2S'!$Z12,'Tables - Part 2'!$AV$6:$AV$13,0),MATCH('HIC-SOHIC-H2S'!$T12,'Tables - Part 2'!$AX$5:$BA$5,0))+INDEX('Tables - Part 2'!$BB$17:$BE$24,MATCH('HIC-SOHIC-H2S'!$Z12,'Tables - Part 2'!$AV$6:$AV$13,0),MATCH('HIC-SOHIC-H2S'!$T12,'Tables - Part 2'!$AX$5:$BA$5,0)))/2)/2)+((INDEX('Tables - Part 2'!$AX$17:$BA$24,MATCH('HIC-SOHIC-H2S'!$Z12,'Tables - Part 2'!$AV$6:$AV$13,0),MATCH('HIC-SOHIC-H2S'!$T12,'Tables - Part 2'!$AX$5:$BA$5,0))+INDEX('Tables - Part 2'!$BB$17:$BE$24,MATCH('HIC-SOHIC-H2S'!$Z12,'Tables - Part 2'!$AV$6:$AV$13,0),MATCH('HIC-SOHIC-H2S'!$T12,'Tables - Part 2'!$AX$5:$BA$5,0)))/2))/2,0)</f>
        <v>0</v>
      </c>
      <c r="BI12" s="248">
        <f>IF($S12=$BI$3,(INDEX('Tables - Part 2'!$AX$17:$BA$24,MATCH('HIC-SOHIC-H2S'!$Z12,'Tables - Part 2'!$AV$6:$AV$13,0),MATCH('HIC-SOHIC-H2S'!$T12,'Tables - Part 2'!$AX$5:$BA$5,0))+INDEX('Tables - Part 2'!$BB$17:$BE$24,MATCH('HIC-SOHIC-H2S'!$Z12,'Tables - Part 2'!$AV$6:$AV$13,0),MATCH('HIC-SOHIC-H2S'!$T12,'Tables - Part 2'!$AX$5:$BA$5,0)))/2,0)</f>
        <v>0</v>
      </c>
      <c r="BJ12" s="248">
        <f>IF($S12=$BJ$3,(((INDEX('Tables - Part 2'!$AX$17:$BA$24,MATCH('HIC-SOHIC-H2S'!$Z12,'Tables - Part 2'!$AV$6:$AV$13,0),MATCH('HIC-SOHIC-H2S'!$T12,'Tables - Part 2'!$AX$5:$BA$5,0))+INDEX('Tables - Part 2'!$BB$17:$BE$24,MATCH('HIC-SOHIC-H2S'!$Z12,'Tables - Part 2'!$AV$6:$AV$13,0),MATCH('HIC-SOHIC-H2S'!$T12,'Tables - Part 2'!$AX$5:$BA$5,0)))/2)+((((INDEX('Tables - Part 2'!$AX$17:$BA$24,MATCH('HIC-SOHIC-H2S'!$Z12,'Tables - Part 2'!$AV$6:$AV$13,0),MATCH('HIC-SOHIC-H2S'!$T12,'Tables - Part 2'!$AX$5:$BA$5,0))+INDEX('Tables - Part 2'!$BB$17:$BE$24,MATCH('HIC-SOHIC-H2S'!$Z12,'Tables - Part 2'!$AV$6:$AV$13,0),MATCH('HIC-SOHIC-H2S'!$T12,'Tables - Part 2'!$AX$5:$BA$5,0)))/2)+INDEX('Tables - Part 2'!$BB$17:$BE$24,MATCH('HIC-SOHIC-H2S'!$Z12,'Tables - Part 2'!$AV$6:$AV$13,0),MATCH('HIC-SOHIC-H2S'!$T12,'Tables - Part 2'!$AX$5:$BA$5,0)))/2))/2,0)</f>
        <v>0</v>
      </c>
      <c r="BK12" s="248">
        <f>IF($S12=$BK$3,(((INDEX('Tables - Part 2'!$AX$17:$BA$24,MATCH('HIC-SOHIC-H2S'!$Z12,'Tables - Part 2'!$AV$6:$AV$13,0),MATCH('HIC-SOHIC-H2S'!$T12,'Tables - Part 2'!$AX$5:$BA$5,0))+INDEX('Tables - Part 2'!$BB$17:$BE$24,MATCH('HIC-SOHIC-H2S'!$Z12,'Tables - Part 2'!$AV$6:$AV$13,0),MATCH('HIC-SOHIC-H2S'!$T12,'Tables - Part 2'!$AX$5:$BA$5,0)))/2)+INDEX('Tables - Part 2'!$BB$17:$BE$24,MATCH('HIC-SOHIC-H2S'!$Z12,'Tables - Part 2'!$AV$6:$AV$13,0),MATCH('HIC-SOHIC-H2S'!$T12,'Tables - Part 2'!$AX$5:$BA$5,0)))/2,0)</f>
        <v>0</v>
      </c>
      <c r="BL12" s="248">
        <f>IF($S12=$BL$3,(((((INDEX('Tables - Part 2'!$AX$17:$BA$24,MATCH('HIC-SOHIC-H2S'!$Z12,'Tables - Part 2'!$AV$6:$AV$13,0),MATCH('HIC-SOHIC-H2S'!$T12,'Tables - Part 2'!$AX$5:$BA$5,0))+INDEX('Tables - Part 2'!$BB$17:$BE$24,MATCH('HIC-SOHIC-H2S'!$Z12,'Tables - Part 2'!$AV$6:$AV$13,0),MATCH('HIC-SOHIC-H2S'!$T12,'Tables - Part 2'!$AX$5:$BA$5,0)))/2)+INDEX('Tables - Part 2'!$BB$17:$BE$24,MATCH('HIC-SOHIC-H2S'!$Z12,'Tables - Part 2'!$AV$6:$AV$13,0),MATCH('HIC-SOHIC-H2S'!$T12,'Tables - Part 2'!$AX$5:$BA$5,0)))/2)+(INDEX('Tables - Part 2'!$BB$17:$BE$24,MATCH('HIC-SOHIC-H2S'!$Z12,'Tables - Part 2'!$AV$6:$AV$13,0),MATCH('HIC-SOHIC-H2S'!$T12,'Tables - Part 2'!$AX$5:$BA$5,0))))/2,0)</f>
        <v>0</v>
      </c>
      <c r="BM12" s="248">
        <f>IF($S12=$BM$3,INDEX('Tables - Part 2'!$BB$17:$BE$24,MATCH('HIC-SOHIC-H2S'!$Z12,'Tables - Part 2'!$AV$6:$AV$13,0),MATCH('HIC-SOHIC-H2S'!$T12,'Tables - Part 2'!$AX$5:$BA$5,0)),0)</f>
        <v>0</v>
      </c>
      <c r="BN12" s="248">
        <f>IF($S12=$BN$3,((INDEX('Tables - Part 2'!$BB$17:$BE$24,MATCH('HIC-SOHIC-H2S'!$Z12,'Tables - Part 2'!$AV$6:$AV$13,0),MATCH('HIC-SOHIC-H2S'!$T12,'Tables - Part 2'!$AX$5:$BA$5,0)))+(((INDEX('Tables - Part 2'!$BB$17:$BE$24,MATCH('HIC-SOHIC-H2S'!$Z12,'Tables - Part 2'!$AV$6:$AV$13,0),MATCH('HIC-SOHIC-H2S'!$T12,'Tables - Part 2'!$AX$5:$BA$5,0)))+(INDEX('Tables - Part 2'!$BB$17:$BE$24,MATCH('HIC-SOHIC-H2S'!$Z12,'Tables - Part 2'!$AV$6:$AV$13,0),MATCH('HIC-SOHIC-H2S'!$T12,'Tables - Part 2'!$AX$5:$BA$5,0))+INDEX('Tables - Part 2'!$BF$17:$BI$24,MATCH('HIC-SOHIC-H2S'!$Z12,'Tables - Part 2'!$AV$6:$AV$13,0),MATCH('HIC-SOHIC-H2S'!$T12,'Tables - Part 2'!$AX$5:$BA$5,0)))/2)/2))/2,0)</f>
        <v>0</v>
      </c>
      <c r="BO12" s="248">
        <f>IF($S12=$BO$3,((INDEX('Tables - Part 2'!$BB$17:$BE$24,MATCH('HIC-SOHIC-H2S'!$Z12,'Tables - Part 2'!$AV$6:$AV$13,0),MATCH('HIC-SOHIC-H2S'!$T12,'Tables - Part 2'!$AX$5:$BA$5,0)))+(INDEX('Tables - Part 2'!$BB$17:$BE$24,MATCH('HIC-SOHIC-H2S'!$Z12,'Tables - Part 2'!$AV$6:$AV$13,0),MATCH('HIC-SOHIC-H2S'!$T12,'Tables - Part 2'!$AX$5:$BA$5,0))+INDEX('Tables - Part 2'!$BF$17:$BI$24,MATCH('HIC-SOHIC-H2S'!$Z12,'Tables - Part 2'!$AV$6:$AV$13,0),MATCH('HIC-SOHIC-H2S'!$T12,'Tables - Part 2'!$AX$5:$BA$5,0)))/2)/2,0)</f>
        <v>0</v>
      </c>
      <c r="BP12" s="248">
        <f>IF($S12=$BP$3,((((INDEX('Tables - Part 2'!$BB$17:$BE$24,MATCH('HIC-SOHIC-H2S'!$Z12,'Tables - Part 2'!$AV$6:$AV$13,0),MATCH('HIC-SOHIC-H2S'!$T12,'Tables - Part 2'!$AX$5:$BA$5,0)))+(INDEX('Tables - Part 2'!$BB$17:$BE$24,MATCH('HIC-SOHIC-H2S'!$Z12,'Tables - Part 2'!$AV$6:$AV$13,0),MATCH('HIC-SOHIC-H2S'!$T12,'Tables - Part 2'!$AX$5:$BA$5,0))+INDEX('Tables - Part 2'!$BF$17:$BI$24,MATCH('HIC-SOHIC-H2S'!$Z12,'Tables - Part 2'!$AV$6:$AV$13,0),MATCH('HIC-SOHIC-H2S'!$T12,'Tables - Part 2'!$AX$5:$BA$5,0)))/2)/2)+((INDEX('Tables - Part 2'!$BB$17:$BE$24,MATCH('HIC-SOHIC-H2S'!$Z12,'Tables - Part 2'!$AV$6:$AV$13,0),MATCH('HIC-SOHIC-H2S'!$T12,'Tables - Part 2'!$AX$5:$BA$5,0))+INDEX('Tables - Part 2'!$BF$17:$BI$24,MATCH('HIC-SOHIC-H2S'!$Z12,'Tables - Part 2'!$AV$6:$AV$13,0),MATCH('HIC-SOHIC-H2S'!$T12,'Tables - Part 2'!$AX$5:$BA$5,0)))/2))/2,0)</f>
        <v>0</v>
      </c>
      <c r="BQ12" s="248">
        <f>IF($S12=$BQ$3,(INDEX('Tables - Part 2'!$BB$17:$BE$24,MATCH('HIC-SOHIC-H2S'!$Z12,'Tables - Part 2'!$AV$6:$AV$13,0),MATCH('HIC-SOHIC-H2S'!$T12,'Tables - Part 2'!$AX$5:$BA$5,0))+INDEX('Tables - Part 2'!$BF$17:$BI$24,MATCH('HIC-SOHIC-H2S'!$Z12,'Tables - Part 2'!$AV$6:$AV$13,0),MATCH('HIC-SOHIC-H2S'!$T12,'Tables - Part 2'!$AX$5:$BA$5,0)))/2,0)</f>
        <v>0</v>
      </c>
      <c r="BR12" s="248">
        <f>IF($S12=$BR$3,(((INDEX('Tables - Part 2'!$BB$17:$BE$24,MATCH('HIC-SOHIC-H2S'!$Z12,'Tables - Part 2'!$AV$6:$AV$13,0),MATCH('HIC-SOHIC-H2S'!$T12,'Tables - Part 2'!$AX$5:$BA$5,0))+INDEX('Tables - Part 2'!$BF$17:$BI$24,MATCH('HIC-SOHIC-H2S'!$Z12,'Tables - Part 2'!$AV$6:$AV$13,0),MATCH('HIC-SOHIC-H2S'!$T12,'Tables - Part 2'!$AX$5:$BA$5,0)))/2)+((((INDEX('Tables - Part 2'!$BB$17:$BE$24,MATCH('HIC-SOHIC-H2S'!$Z12,'Tables - Part 2'!$AV$6:$AV$13,0),MATCH('HIC-SOHIC-H2S'!$T12,'Tables - Part 2'!$AX$5:$BA$5,0))+INDEX('Tables - Part 2'!$BF$17:$BI$24,MATCH('HIC-SOHIC-H2S'!$Z12,'Tables - Part 2'!$AV$6:$AV$13,0),MATCH('HIC-SOHIC-H2S'!$T12,'Tables - Part 2'!$AX$5:$BA$5,0)))/2)+INDEX('Tables - Part 2'!$BF$17:$BI$24,MATCH('HIC-SOHIC-H2S'!$Z12,'Tables - Part 2'!$AV$6:$AV$13,0),MATCH('HIC-SOHIC-H2S'!$T12,'Tables - Part 2'!$AX$5:$BA$5,0)))/2))/2,0)</f>
        <v>0</v>
      </c>
      <c r="BS12" s="248">
        <f>IF($S12=$BS$3,(((INDEX('Tables - Part 2'!$BB$17:$BE$24,MATCH('HIC-SOHIC-H2S'!$Z12,'Tables - Part 2'!$AV$6:$AV$13,0),MATCH('HIC-SOHIC-H2S'!$T12,'Tables - Part 2'!$AX$5:$BA$5,0))+INDEX('Tables - Part 2'!$BF$17:$BI$24,MATCH('HIC-SOHIC-H2S'!$Z12,'Tables - Part 2'!$AV$6:$AV$13,0),MATCH('HIC-SOHIC-H2S'!$T12,'Tables - Part 2'!$AX$5:$BA$5,0)))/2)+INDEX('Tables - Part 2'!$BF$17:$BI$24,MATCH('HIC-SOHIC-H2S'!$Z12,'Tables - Part 2'!$AV$6:$AV$13,0),MATCH('HIC-SOHIC-H2S'!$T12,'Tables - Part 2'!$AX$5:$BA$5,0)))/2,0)</f>
        <v>0</v>
      </c>
      <c r="BT12" s="248">
        <f>IF($S12=$BT$3,(((((INDEX('Tables - Part 2'!$BB$17:$BE$24,MATCH('HIC-SOHIC-H2S'!$Z12,'Tables - Part 2'!$AV$6:$AV$13,0),MATCH('HIC-SOHIC-H2S'!$T12,'Tables - Part 2'!$AX$5:$BA$5,0))+INDEX('Tables - Part 2'!$BF$17:$BI$24,MATCH('HIC-SOHIC-H2S'!$Z12,'Tables - Part 2'!$AV$6:$AV$13,0),MATCH('HIC-SOHIC-H2S'!$T12,'Tables - Part 2'!$AX$5:$BA$5,0)))/2)+INDEX('Tables - Part 2'!$BF$17:$BI$24,MATCH('HIC-SOHIC-H2S'!$Z12,'Tables - Part 2'!$AV$6:$AV$13,0),MATCH('HIC-SOHIC-H2S'!$T12,'Tables - Part 2'!$AX$5:$BA$5,0)))/2)+(INDEX('Tables - Part 2'!$BF$17:$BI$24,MATCH('HIC-SOHIC-H2S'!$Z12,'Tables - Part 2'!$AV$6:$AV$13,0),MATCH('HIC-SOHIC-H2S'!$T12,'Tables - Part 2'!$AX$5:$BA$5,0))))/2,0)</f>
        <v>0</v>
      </c>
      <c r="BU12" s="248">
        <f>IF($S12=$BU$3,INDEX('Tables - Part 2'!$BF$17:$BI$24,MATCH('HIC-SOHIC-H2S'!$Z12,'Tables - Part 2'!$AV$6:$AV$13,0),MATCH('HIC-SOHIC-H2S'!$T12,'Tables - Part 2'!$AX$5:$BA$5,0)),0)</f>
        <v>0</v>
      </c>
      <c r="BV12" s="248" t="e">
        <f t="shared" si="2"/>
        <v>#N/A</v>
      </c>
      <c r="BW12" s="238" t="e">
        <f t="shared" si="8"/>
        <v>#N/A</v>
      </c>
      <c r="BX12" s="238" t="e">
        <f t="shared" si="9"/>
        <v>#N/A</v>
      </c>
    </row>
    <row r="13" spans="2:89" x14ac:dyDescent="0.35">
      <c r="B13" s="161" t="str">
        <f>'Tratamento de Dados'!B21</f>
        <v>V-4</v>
      </c>
      <c r="C13" s="161" t="str">
        <f>'Tratamento de Dados'!D21</f>
        <v>Casco</v>
      </c>
      <c r="D13" s="209">
        <f>'Tratamento de Dados'!CN21</f>
        <v>0</v>
      </c>
      <c r="E13" s="209">
        <f>'Tratamento de Dados'!CO21</f>
        <v>0</v>
      </c>
      <c r="F13" s="209">
        <f>'Tratamento de Dados'!CP21</f>
        <v>0</v>
      </c>
      <c r="G13" s="209">
        <f>'Tratamento de Dados'!CQ21</f>
        <v>0</v>
      </c>
      <c r="H13" s="209">
        <f>'Tratamento de Dados'!CR21</f>
        <v>0</v>
      </c>
      <c r="I13" s="209">
        <f>'Tratamento de Dados'!CS21</f>
        <v>0</v>
      </c>
      <c r="J13" s="209">
        <f>'Tratamento de Dados'!CT21</f>
        <v>0</v>
      </c>
      <c r="K13" s="209">
        <f>'Tratamento de Dados'!CU21</f>
        <v>0</v>
      </c>
      <c r="L13" s="210">
        <f>'Tratamento de Dados'!CV21</f>
        <v>0</v>
      </c>
      <c r="M13" s="209">
        <f>'Tratamento de Dados'!CW21</f>
        <v>0</v>
      </c>
      <c r="N13" s="209">
        <f>'Tratamento de Dados'!CX21</f>
        <v>0</v>
      </c>
      <c r="O13" s="209">
        <f>'Tratamento de Dados'!CY21</f>
        <v>0</v>
      </c>
      <c r="P13" s="209">
        <f>'Tratamento de Dados'!CZ21</f>
        <v>0</v>
      </c>
      <c r="Q13" s="253">
        <f>'Tratamento de Dados'!DA21</f>
        <v>0</v>
      </c>
      <c r="R13" s="253">
        <f>'Tratamento de Dados'!DB21</f>
        <v>0</v>
      </c>
      <c r="S13" s="256">
        <f t="shared" si="0"/>
        <v>0</v>
      </c>
      <c r="T13" s="246" t="str">
        <f t="shared" si="3"/>
        <v>E</v>
      </c>
      <c r="U13" s="238" t="e">
        <f>IF(D13=$CC$2,$CA$4,IF(AND(H13=$CC$2,OR(F13='Tables - Part 2'!$CE$8,'Tables - Part 2'!$CE$9),OR('HIC-SOHIC-H2S'!G13='Tables - Part 2'!$CH$4,'HIC-SOHIC-H2S'!G13='Tables - Part 2'!$CI$4)),$CA$4,INDEX('Tables - Part 2'!$CF$5:$CI$9,MATCH('HIC-SOHIC-H2S'!F13,'Tables - Part 2'!$CE$5:$CE$9,0),MATCH('HIC-SOHIC-H2S'!G13,'Tables - Part 2'!$CF$4:$CI$4,0))))</f>
        <v>#N/A</v>
      </c>
      <c r="V13" s="238" t="str">
        <f>IF($I13=$V$3,INDEX('Tables - Part 2'!$CL$5:$CM$7,MATCH('HIC-SOHIC-H2S'!$U13,'Tables - Part 2'!$CK$5:$CK$7,0),IF('HIC-SOHIC-H2S'!$J13='HIC-SOHIC-H2S'!$CC$2,2,1)),"")</f>
        <v/>
      </c>
      <c r="W13" s="238" t="str">
        <f>IF($I13=$W$3,INDEX('Tables - Part 2'!$CN$5:$CO$7,MATCH('HIC-SOHIC-H2S'!$U13,'Tables - Part 2'!$CK$5:$CK$7,0),IF('HIC-SOHIC-H2S'!$J13='HIC-SOHIC-H2S'!$CC$2,2,1)),"")</f>
        <v/>
      </c>
      <c r="X13" s="238" t="str">
        <f>IF($I13=$X$3,INDEX('Tables - Part 2'!$CP$5:$CQ$7,MATCH('HIC-SOHIC-H2S'!$U13,'Tables - Part 2'!$CK$5:$CK$7,0),IF('HIC-SOHIC-H2S'!$J13='HIC-SOHIC-H2S'!$CC$2,2,1)),"")</f>
        <v/>
      </c>
      <c r="Y13" s="238" t="str">
        <f t="shared" si="1"/>
        <v/>
      </c>
      <c r="Z13" s="238" t="e">
        <f>IF(AND(D13=$CC$2,E13&lt;&gt;$CC$2),"Fitness-For-Service",INDEX('Tables - Part 2'!$CT$4:$CT$6,MATCH('HIC-SOHIC-H2S'!Y13,'Tables - Part 2'!$CS$4:$CS$6,0),))</f>
        <v>#N/A</v>
      </c>
      <c r="AA13" s="238">
        <f>IF(L13=0,(Thinning!G14-Thinning!F14)/365.25,(Thinning!G14-L13)/365.25)</f>
        <v>5.4757015742642025E-3</v>
      </c>
      <c r="AB13" s="238" t="e">
        <f>INDEX('Tables - Part 2'!$CW$4:$CW$7,MATCH('HIC-SOHIC-H2S'!K13,'Tables - Part 2'!$CV$4:$CV$7,0))</f>
        <v>#N/A</v>
      </c>
      <c r="AC13" s="248">
        <f t="shared" si="4"/>
        <v>0</v>
      </c>
      <c r="AD13" s="248">
        <f t="shared" si="5"/>
        <v>0</v>
      </c>
      <c r="AE13" s="247">
        <f t="shared" si="10"/>
        <v>0</v>
      </c>
      <c r="AF13" s="247">
        <f t="shared" si="7"/>
        <v>0</v>
      </c>
      <c r="AG13" s="248">
        <f>IF($S13=$AG$3,INDEX('Tables - Part 2'!$AX$6:$BA$13,MATCH('HIC-SOHIC-H2S'!Z13,'Tables - Part 2'!$AV$6:$AV$13,0),MATCH('HIC-SOHIC-H2S'!T13,'Tables - Part 2'!$AX$5:$BA$5,0)),0)</f>
        <v>0</v>
      </c>
      <c r="AH13" s="248">
        <f>IF($S13=$AH$3,(INDEX('Tables - Part 2'!$AX$6:$BA$13,MATCH('HIC-SOHIC-H2S'!Z13,'Tables - Part 2'!$AV$6:$AV$13,0),MATCH('HIC-SOHIC-H2S'!T13,'Tables - Part 2'!$AX$5:$BA$5,0))+(INDEX('Tables - Part 2'!$AX$6:$BA$13,MATCH('HIC-SOHIC-H2S'!Z13,'Tables - Part 2'!$AV$6:$AV$13,0),MATCH('HIC-SOHIC-H2S'!T13,'Tables - Part 2'!$AX$5:$BA$5,0))+((INDEX('Tables - Part 2'!$AX$6:$BA$13,MATCH('HIC-SOHIC-H2S'!Z13,'Tables - Part 2'!$AV$6:$AV$13,0),MATCH('HIC-SOHIC-H2S'!T13,'Tables - Part 2'!$AX$5:$BA$5,0))+INDEX('Tables - Part 2'!$BB$6:$BE$13,MATCH('HIC-SOHIC-H2S'!$Z13,'Tables - Part 2'!$AV$6:$AV$13,0),MATCH('HIC-SOHIC-H2S'!$T13,'Tables - Part 2'!$AX$5:$BA$5,0)))/2))/2)/2,0)</f>
        <v>0</v>
      </c>
      <c r="AI13" s="248">
        <f>IF($S13=$AI$3,(INDEX('Tables - Part 2'!$AX$6:$BA$13,MATCH('HIC-SOHIC-H2S'!Z13,'Tables - Part 2'!$AV$6:$AV$13,0),MATCH('HIC-SOHIC-H2S'!T13,'Tables - Part 2'!$AX$5:$BA$5,0))+((INDEX('Tables - Part 2'!$AX$6:$BA$13,MATCH('HIC-SOHIC-H2S'!Z13,'Tables - Part 2'!$AV$6:$AV$13,0),MATCH('HIC-SOHIC-H2S'!T13,'Tables - Part 2'!$AX$5:$BA$5,0))+INDEX('Tables - Part 2'!$BB$6:$BE$13,MATCH('HIC-SOHIC-H2S'!$Z13,'Tables - Part 2'!$AV$6:$AV$13,0),MATCH('HIC-SOHIC-H2S'!$T13,'Tables - Part 2'!$AX$5:$BA$5,0)))/2))/2,0)</f>
        <v>0</v>
      </c>
      <c r="AJ13" s="248">
        <f>IF($S13=$AJ$3,(((INDEX('Tables - Part 2'!$AX$6:$BA$13,MATCH('HIC-SOHIC-H2S'!Z13,'Tables - Part 2'!$AV$6:$AV$13,0),MATCH('HIC-SOHIC-H2S'!T13,'Tables - Part 2'!$AX$5:$BA$5,0))+((INDEX('Tables - Part 2'!$AX$6:$BA$13,MATCH('HIC-SOHIC-H2S'!Z13,'Tables - Part 2'!$AV$6:$AV$13,0),MATCH('HIC-SOHIC-H2S'!T13,'Tables - Part 2'!$AX$5:$BA$5,0))+INDEX('Tables - Part 2'!$BB$6:$BE$13,MATCH('HIC-SOHIC-H2S'!$Z13,'Tables - Part 2'!$AV$6:$AV$13,0),MATCH('HIC-SOHIC-H2S'!$T13,'Tables - Part 2'!$AX$5:$BA$5,0)))/2))/2)+(INDEX('Tables - Part 2'!$AX$6:$BA$13,MATCH('HIC-SOHIC-H2S'!Z13,'Tables - Part 2'!$AV$6:$AV$13,0),MATCH('HIC-SOHIC-H2S'!T13,'Tables - Part 2'!$AX$5:$BA$5,0))+INDEX('Tables - Part 2'!$BB$6:$BE$13,MATCH('HIC-SOHIC-H2S'!$Z13,'Tables - Part 2'!$AV$6:$AV$13,0),MATCH('HIC-SOHIC-H2S'!$T13,'Tables - Part 2'!$AX$5:$BA$5,0)))/2)/2,0)</f>
        <v>0</v>
      </c>
      <c r="AK13" s="248">
        <f>IF($S13=$AK$3,(INDEX('Tables - Part 2'!$AX$6:$BA$13,MATCH('HIC-SOHIC-H2S'!Z13,'Tables - Part 2'!$AV$6:$AV$13,0),MATCH('HIC-SOHIC-H2S'!T13,'Tables - Part 2'!$AX$5:$BA$5,0))+INDEX('Tables - Part 2'!$BB$6:$BE$13,MATCH('HIC-SOHIC-H2S'!$Z13,'Tables - Part 2'!$AV$6:$AV$13,0),MATCH('HIC-SOHIC-H2S'!$T13,'Tables - Part 2'!$AX$5:$BA$5,0)))/2,0)</f>
        <v>0</v>
      </c>
      <c r="AL13" s="248">
        <f>IF($S13=$AL$3,(((INDEX('Tables - Part 2'!$AX$6:$BA$13,MATCH('HIC-SOHIC-H2S'!Z13,'Tables - Part 2'!$AV$6:$AV$13,0),MATCH('HIC-SOHIC-H2S'!T13,'Tables - Part 2'!$AX$5:$BA$5,0))+INDEX('Tables - Part 2'!$BB$6:$BE$13,MATCH('HIC-SOHIC-H2S'!$Z13,'Tables - Part 2'!$AV$6:$AV$13,0),MATCH('HIC-SOHIC-H2S'!$T13,'Tables - Part 2'!$AX$5:$BA$5,0)))/2)+(((INDEX('Tables - Part 2'!$AX$6:$BA$13,MATCH('HIC-SOHIC-H2S'!Z13,'Tables - Part 2'!$AV$6:$AV$13,0),MATCH('HIC-SOHIC-H2S'!T13,'Tables - Part 2'!$AX$5:$BA$5,0))+INDEX('Tables - Part 2'!$BB$6:$BE$13,MATCH('HIC-SOHIC-H2S'!$Z13,'Tables - Part 2'!$AV$6:$AV$13,0),MATCH('HIC-SOHIC-H2S'!$T13,'Tables - Part 2'!$AX$5:$BA$5,0)))/2)+INDEX('Tables - Part 2'!$BB$6:$BE$13,MATCH('HIC-SOHIC-H2S'!$Z13,'Tables - Part 2'!$AV$6:$AV$13,0),MATCH('HIC-SOHIC-H2S'!$T13,'Tables - Part 2'!$AX$5:$BA$5,0)))/2)/2,0)</f>
        <v>0</v>
      </c>
      <c r="AM13" s="248">
        <f>IF($S13=$AM$3,(((INDEX('Tables - Part 2'!$AX$6:$BA$13,MATCH('HIC-SOHIC-H2S'!Z13,'Tables - Part 2'!$AV$6:$AV$13,0),MATCH('HIC-SOHIC-H2S'!T13,'Tables - Part 2'!$AX$5:$BA$5,0))+INDEX('Tables - Part 2'!$BB$6:$BE$13,MATCH('HIC-SOHIC-H2S'!$Z13,'Tables - Part 2'!$AV$6:$AV$13,0),MATCH('HIC-SOHIC-H2S'!$T13,'Tables - Part 2'!$AX$5:$BA$5,0)))/2)+INDEX('Tables - Part 2'!$BB$6:$BE$13,MATCH('HIC-SOHIC-H2S'!$Z13,'Tables - Part 2'!$AV$6:$AV$13,0),MATCH('HIC-SOHIC-H2S'!$T13,'Tables - Part 2'!$AX$5:$BA$5,0)))/2,0)</f>
        <v>0</v>
      </c>
      <c r="AN13" s="248">
        <f>IF($S13=$AN$3,(((((INDEX('Tables - Part 2'!$AX$6:$BA$13,MATCH('HIC-SOHIC-H2S'!Z13,'Tables - Part 2'!$AV$6:$AV$13,0),MATCH('HIC-SOHIC-H2S'!T13,'Tables - Part 2'!$AX$5:$BA$5,0))+INDEX('Tables - Part 2'!$BB$6:$BE$13,MATCH('HIC-SOHIC-H2S'!$Z13,'Tables - Part 2'!$AV$6:$AV$13,0),MATCH('HIC-SOHIC-H2S'!$T13,'Tables - Part 2'!$AX$5:$BA$5,0)))/2)+INDEX('Tables - Part 2'!$BB$6:$BE$13,MATCH('HIC-SOHIC-H2S'!$Z13,'Tables - Part 2'!$AV$6:$AV$13,0),MATCH('HIC-SOHIC-H2S'!$T13,'Tables - Part 2'!$AX$5:$BA$5,0)))/2)+INDEX('Tables - Part 2'!$BB$6:$BE$13,MATCH('HIC-SOHIC-H2S'!$Z13,'Tables - Part 2'!$AV$6:$AV$13,0),MATCH('HIC-SOHIC-H2S'!$T13,'Tables - Part 2'!$AX$5:$BA$5,0)))/2,0)</f>
        <v>0</v>
      </c>
      <c r="AO13" s="248">
        <f>IF($S13=$AO$3,INDEX('Tables - Part 2'!$BB$6:$BE$13,MATCH('HIC-SOHIC-H2S'!$Z13,'Tables - Part 2'!$AV$6:$AV$13,0),MATCH('HIC-SOHIC-H2S'!$T13,'Tables - Part 2'!$AX$5:$BA$5,0)),0)</f>
        <v>0</v>
      </c>
      <c r="AP13" s="248">
        <f>IF($S13=$AP$3,((INDEX('Tables - Part 2'!$BB$6:$BE$13,MATCH('HIC-SOHIC-H2S'!$Z13,'Tables - Part 2'!$AV$6:$AV$13,0),MATCH('HIC-SOHIC-H2S'!$T13,'Tables - Part 2'!$AX$5:$BA$5,0)))+(INDEX('Tables - Part 2'!$BB$6:$BE$13,MATCH('HIC-SOHIC-H2S'!$Z13,'Tables - Part 2'!$AV$6:$AV$13,0),MATCH('HIC-SOHIC-H2S'!$T13,'Tables - Part 2'!$AX$5:$BA$5,0))+(INDEX('Tables - Part 2'!$BB$6:$BE$13,MATCH('HIC-SOHIC-H2S'!$Z13,'Tables - Part 2'!$AV$6:$AV$13,0),MATCH('HIC-SOHIC-H2S'!$T13,'Tables - Part 2'!$AX$5:$BA$5,0))+INDEX('Tables - Part 2'!$BF$6:$BI$13,MATCH('HIC-SOHIC-H2S'!$Z13,'Tables - Part 2'!$AV$6:$AV$13,0),MATCH('HIC-SOHIC-H2S'!$T13,'Tables - Part 2'!$AX$5:$BA$5,0)))/2)/2)/2,0)</f>
        <v>0</v>
      </c>
      <c r="AQ13" s="248">
        <f>IF($S13=$AQ$3,(INDEX('Tables - Part 2'!$BB$6:$BE$13,MATCH('HIC-SOHIC-H2S'!$Z13,'Tables - Part 2'!$AV$6:$AV$13,0),MATCH('HIC-SOHIC-H2S'!$T13,'Tables - Part 2'!$AX$5:$BA$5,0))+(INDEX('Tables - Part 2'!$BB$6:$BE$13,MATCH('HIC-SOHIC-H2S'!$Z13,'Tables - Part 2'!$AV$6:$AV$13,0),MATCH('HIC-SOHIC-H2S'!$T13,'Tables - Part 2'!$AX$5:$BA$5,0))+INDEX('Tables - Part 2'!$BF$6:$BI$13,MATCH('HIC-SOHIC-H2S'!$Z13,'Tables - Part 2'!$AV$6:$AV$13,0),MATCH('HIC-SOHIC-H2S'!$T13,'Tables - Part 2'!$AX$5:$BA$5,0)))/2)/2,0)</f>
        <v>0</v>
      </c>
      <c r="AR13" s="248">
        <f>IF($S13=$AR$3,(((INDEX('Tables - Part 2'!$BB$6:$BE$13,MATCH('HIC-SOHIC-H2S'!$Z13,'Tables - Part 2'!$AV$6:$AV$13,0),MATCH('HIC-SOHIC-H2S'!$T13,'Tables - Part 2'!$AX$5:$BA$5,0))+(INDEX('Tables - Part 2'!$BB$6:$BE$13,MATCH('HIC-SOHIC-H2S'!$Z13,'Tables - Part 2'!$AV$6:$AV$13,0),MATCH('HIC-SOHIC-H2S'!$T13,'Tables - Part 2'!$AX$5:$BA$5,0))+INDEX('Tables - Part 2'!$BF$6:$BI$13,MATCH('HIC-SOHIC-H2S'!$Z13,'Tables - Part 2'!$AV$6:$AV$13,0),MATCH('HIC-SOHIC-H2S'!$T13,'Tables - Part 2'!$AX$5:$BA$5,0)))/2)/2)+((INDEX('Tables - Part 2'!$BB$6:$BE$13,MATCH('HIC-SOHIC-H2S'!$Z13,'Tables - Part 2'!$AV$6:$AV$13,0),MATCH('HIC-SOHIC-H2S'!$T13,'Tables - Part 2'!$AX$5:$BA$5,0))+INDEX('Tables - Part 2'!$BF$6:$BI$13,MATCH('HIC-SOHIC-H2S'!$Z13,'Tables - Part 2'!$AV$6:$AV$13,0),MATCH('HIC-SOHIC-H2S'!$T13,'Tables - Part 2'!$AX$5:$BA$5,0)))/2))/2,0)</f>
        <v>0</v>
      </c>
      <c r="AS13" s="248">
        <f>IF($S13=$AS$3,(INDEX('Tables - Part 2'!$BB$6:$BE$13,MATCH('HIC-SOHIC-H2S'!$Z13,'Tables - Part 2'!$AV$6:$AV$13,0),MATCH('HIC-SOHIC-H2S'!$T13,'Tables - Part 2'!$AX$5:$BA$5,0))+INDEX('Tables - Part 2'!$BF$6:$BI$13,MATCH('HIC-SOHIC-H2S'!$Z13,'Tables - Part 2'!$AV$6:$AV$13,0),MATCH('HIC-SOHIC-H2S'!$T13,'Tables - Part 2'!$AX$5:$BA$5,0)))/2,0)</f>
        <v>0</v>
      </c>
      <c r="AT13" s="248">
        <f>IF($S13=$AT$3,(((INDEX('Tables - Part 2'!$BB$6:$BE$13,MATCH('HIC-SOHIC-H2S'!$Z13,'Tables - Part 2'!$AV$6:$AV$13,0),MATCH('HIC-SOHIC-H2S'!$T13,'Tables - Part 2'!$AX$5:$BA$5,0))+INDEX('Tables - Part 2'!$BF$6:$BI$13,MATCH('HIC-SOHIC-H2S'!$Z13,'Tables - Part 2'!$AV$6:$AV$13,0),MATCH('HIC-SOHIC-H2S'!$T13,'Tables - Part 2'!$AX$5:$BA$5,0)))/2)+((((INDEX('Tables - Part 2'!$BB$6:$BE$13,MATCH('HIC-SOHIC-H2S'!$Z13,'Tables - Part 2'!$AV$6:$AV$13,0),MATCH('HIC-SOHIC-H2S'!$T13,'Tables - Part 2'!$AX$5:$BA$5,0))+INDEX('Tables - Part 2'!$BF$6:$BI$13,MATCH('HIC-SOHIC-H2S'!$Z13,'Tables - Part 2'!$AV$6:$AV$13,0),MATCH('HIC-SOHIC-H2S'!$T13,'Tables - Part 2'!$AX$5:$BA$5,0)))/2)+INDEX('Tables - Part 2'!$BF$6:$BI$13,MATCH('HIC-SOHIC-H2S'!$Z13,'Tables - Part 2'!$AV$6:$AV$13,0),MATCH('HIC-SOHIC-H2S'!$T13,'Tables - Part 2'!$AX$5:$BA$5,0)))/2))/2,0)</f>
        <v>0</v>
      </c>
      <c r="AU13" s="248">
        <f>IF($S13=$AU$3,(((INDEX('Tables - Part 2'!$BB$6:$BE$13,MATCH('HIC-SOHIC-H2S'!$Z13,'Tables - Part 2'!$AV$6:$AV$13,0),MATCH('HIC-SOHIC-H2S'!$T13,'Tables - Part 2'!$AX$5:$BA$5,0))+INDEX('Tables - Part 2'!$BF$6:$BI$13,MATCH('HIC-SOHIC-H2S'!$Z13,'Tables - Part 2'!$AV$6:$AV$13,0),MATCH('HIC-SOHIC-H2S'!$T13,'Tables - Part 2'!$AX$5:$BA$5,0)))/2)+INDEX('Tables - Part 2'!$BF$6:$BI$13,MATCH('HIC-SOHIC-H2S'!$Z13,'Tables - Part 2'!$AV$6:$AV$13,0),MATCH('HIC-SOHIC-H2S'!$T13,'Tables - Part 2'!$AX$5:$BA$5,0)))/2,0)</f>
        <v>0</v>
      </c>
      <c r="AV13" s="248">
        <f>IF($S13=$AV$3,(((((INDEX('Tables - Part 2'!$BB$6:$BE$13,MATCH('HIC-SOHIC-H2S'!$Z13,'Tables - Part 2'!$AV$6:$AV$13,0),MATCH('HIC-SOHIC-H2S'!$T13,'Tables - Part 2'!$AX$5:$BA$5,0))+INDEX('Tables - Part 2'!$BF$6:$BI$13,MATCH('HIC-SOHIC-H2S'!$Z13,'Tables - Part 2'!$AV$6:$AV$13,0),MATCH('HIC-SOHIC-H2S'!$T13,'Tables - Part 2'!$AX$5:$BA$5,0)))/2)+INDEX('Tables - Part 2'!$BF$6:$BI$13,MATCH('HIC-SOHIC-H2S'!$Z13,'Tables - Part 2'!$AV$6:$AV$13,0),MATCH('HIC-SOHIC-H2S'!$T13,'Tables - Part 2'!$AX$5:$BA$5,0)))/2)+INDEX('Tables - Part 2'!$BF$6:$BI$13,MATCH('HIC-SOHIC-H2S'!$Z13,'Tables - Part 2'!$AV$6:$AV$13,0),MATCH('HIC-SOHIC-H2S'!$T13,'Tables - Part 2'!$AX$5:$BA$5,0)))/2,0)</f>
        <v>0</v>
      </c>
      <c r="AW13" s="248">
        <f>IF($S13=$AW$3,INDEX('Tables - Part 2'!$BF$6:$BI$13,MATCH('HIC-SOHIC-H2S'!$Z13,'Tables - Part 2'!$AV$6:$AV$13,0),MATCH('HIC-SOHIC-H2S'!$T13,'Tables - Part 2'!$AX$5:$BA$5,0)),0)</f>
        <v>0</v>
      </c>
      <c r="AX13" s="248">
        <f>IF($S13=$AX$3,(INDEX('Tables - Part 2'!$BF$6:$BI$13,MATCH('HIC-SOHIC-H2S'!$Z13,'Tables - Part 2'!$AV$6:$AV$13,0),MATCH('HIC-SOHIC-H2S'!$T13,'Tables - Part 2'!$AX$5:$BA$5,0))+((INDEX('Tables - Part 2'!$BF$6:$BI$13,MATCH('HIC-SOHIC-H2S'!$Z13,'Tables - Part 2'!$AV$6:$AV$13,0),MATCH('HIC-SOHIC-H2S'!$T13,'Tables - Part 2'!$AX$5:$BA$5,0))+(INDEX('Tables - Part 2'!$BF$6:$BI$13,MATCH('HIC-SOHIC-H2S'!$Z13,'Tables - Part 2'!$AV$6:$AV$13,0),MATCH('HIC-SOHIC-H2S'!$T13,'Tables - Part 2'!$AX$5:$BA$5,0))+INDEX('Tables - Part 2'!$AX$17:$BA$24,MATCH('HIC-SOHIC-H2S'!$Z13,'Tables - Part 2'!$AV$6:$AV$13,0),MATCH('HIC-SOHIC-H2S'!$T13,'Tables - Part 2'!$AX$5:$BA$5,0)))/2)/2))/2,0)</f>
        <v>0</v>
      </c>
      <c r="AY13" s="248">
        <f>IF($S13=$AY$3,(INDEX('Tables - Part 2'!$BF$6:$BI$13,MATCH('HIC-SOHIC-H2S'!$Z13,'Tables - Part 2'!$AV$6:$AV$13,0),MATCH('HIC-SOHIC-H2S'!$T13,'Tables - Part 2'!$AX$5:$BA$5,0))+(INDEX('Tables - Part 2'!$BF$6:$BI$13,MATCH('HIC-SOHIC-H2S'!$Z13,'Tables - Part 2'!$AV$6:$AV$13,0),MATCH('HIC-SOHIC-H2S'!$T13,'Tables - Part 2'!$AX$5:$BA$5,0))+INDEX('Tables - Part 2'!$AX$17:$BA$24,MATCH('HIC-SOHIC-H2S'!$Z13,'Tables - Part 2'!$AV$6:$AV$13,0),MATCH('HIC-SOHIC-H2S'!$T13,'Tables - Part 2'!$AX$5:$BA$5,0)))/2)/2,0)</f>
        <v>0</v>
      </c>
      <c r="AZ13" s="248">
        <f>IF($S13=$AZ$3,(((INDEX('Tables - Part 2'!$BF$6:$BI$13,MATCH('HIC-SOHIC-H2S'!$Z13,'Tables - Part 2'!$AV$6:$AV$13,0),MATCH('HIC-SOHIC-H2S'!$T13,'Tables - Part 2'!$AX$5:$BA$5,0))+(INDEX('Tables - Part 2'!$BF$6:$BI$13,MATCH('HIC-SOHIC-H2S'!$Z13,'Tables - Part 2'!$AV$6:$AV$13,0),MATCH('HIC-SOHIC-H2S'!$T13,'Tables - Part 2'!$AX$5:$BA$5,0))+INDEX('Tables - Part 2'!$AX$17:$BA$24,MATCH('HIC-SOHIC-H2S'!$Z13,'Tables - Part 2'!$AV$6:$AV$13,0),MATCH('HIC-SOHIC-H2S'!$T13,'Tables - Part 2'!$AX$5:$BA$5,0)))/2)/2)+((INDEX('Tables - Part 2'!$BF$6:$BI$13,MATCH('HIC-SOHIC-H2S'!$Z13,'Tables - Part 2'!$AV$6:$AV$13,0),MATCH('HIC-SOHIC-H2S'!$T13,'Tables - Part 2'!$AX$5:$BA$5,0))+INDEX('Tables - Part 2'!$AX$17:$BA$24,MATCH('HIC-SOHIC-H2S'!$Z13,'Tables - Part 2'!$AV$6:$AV$13,0),MATCH('HIC-SOHIC-H2S'!$T13,'Tables - Part 2'!$AX$5:$BA$5,0)))/2))/2,0)</f>
        <v>0</v>
      </c>
      <c r="BA13" s="248">
        <f>IF($S13=$BA$3,(INDEX('Tables - Part 2'!$BF$6:$BI$13,MATCH('HIC-SOHIC-H2S'!$Z13,'Tables - Part 2'!$AV$6:$AV$13,0),MATCH('HIC-SOHIC-H2S'!$T13,'Tables - Part 2'!$AX$5:$BA$5,0))+INDEX('Tables - Part 2'!$AX$17:$BA$24,MATCH('HIC-SOHIC-H2S'!$Z13,'Tables - Part 2'!$AV$6:$AV$13,0),MATCH('HIC-SOHIC-H2S'!$T13,'Tables - Part 2'!$AX$5:$BA$5,0)))/2,0)</f>
        <v>0</v>
      </c>
      <c r="BB13" s="248">
        <f>IF($S13=$BB$3,(((INDEX('Tables - Part 2'!$BF$6:$BI$13,MATCH('HIC-SOHIC-H2S'!$Z13,'Tables - Part 2'!$AV$6:$AV$13,0),MATCH('HIC-SOHIC-H2S'!$T13,'Tables - Part 2'!$AX$5:$BA$5,0))+INDEX('Tables - Part 2'!$AX$17:$BA$24,MATCH('HIC-SOHIC-H2S'!$Z13,'Tables - Part 2'!$AV$6:$AV$13,0),MATCH('HIC-SOHIC-H2S'!$T13,'Tables - Part 2'!$AX$5:$BA$5,0)))/2)+((((INDEX('Tables - Part 2'!$BF$6:$BI$13,MATCH('HIC-SOHIC-H2S'!$Z13,'Tables - Part 2'!$AV$6:$AV$13,0),MATCH('HIC-SOHIC-H2S'!$T13,'Tables - Part 2'!$AX$5:$BA$5,0))+INDEX('Tables - Part 2'!$AX$17:$BA$24,MATCH('HIC-SOHIC-H2S'!$Z13,'Tables - Part 2'!$AV$6:$AV$13,0),MATCH('HIC-SOHIC-H2S'!$T13,'Tables - Part 2'!$AX$5:$BA$5,0)))/2)+INDEX('Tables - Part 2'!$AX$17:$BA$24,MATCH('HIC-SOHIC-H2S'!$Z13,'Tables - Part 2'!$AV$6:$AV$13,0),MATCH('HIC-SOHIC-H2S'!$T13,'Tables - Part 2'!$AX$5:$BA$5,0)))/2))/2,0)</f>
        <v>0</v>
      </c>
      <c r="BC13" s="248">
        <f>IF($S13=$BC$3,(((INDEX('Tables - Part 2'!$BF$6:$BI$13,MATCH('HIC-SOHIC-H2S'!$Z13,'Tables - Part 2'!$AV$6:$AV$13,0),MATCH('HIC-SOHIC-H2S'!$T13,'Tables - Part 2'!$AX$5:$BA$5,0))+INDEX('Tables - Part 2'!$AX$17:$BA$24,MATCH('HIC-SOHIC-H2S'!$Z13,'Tables - Part 2'!$AV$6:$AV$13,0),MATCH('HIC-SOHIC-H2S'!$T13,'Tables - Part 2'!$AX$5:$BA$5,0)))/2)+INDEX('Tables - Part 2'!$AX$17:$BA$24,MATCH('HIC-SOHIC-H2S'!$Z13,'Tables - Part 2'!$AV$6:$AV$13,0),MATCH('HIC-SOHIC-H2S'!$T13,'Tables - Part 2'!$AX$5:$BA$5,0)))/2,0)</f>
        <v>0</v>
      </c>
      <c r="BD13" s="248">
        <f>IF($S13=$BD$3,(((((INDEX('Tables - Part 2'!$BF$6:$BI$13,MATCH('HIC-SOHIC-H2S'!$Z13,'Tables - Part 2'!$AV$6:$AV$13,0),MATCH('HIC-SOHIC-H2S'!$T13,'Tables - Part 2'!$AX$5:$BA$5,0))+INDEX('Tables - Part 2'!$AX$17:$BA$24,MATCH('HIC-SOHIC-H2S'!$Z13,'Tables - Part 2'!$AV$6:$AV$13,0),MATCH('HIC-SOHIC-H2S'!$T13,'Tables - Part 2'!$AX$5:$BA$5,0)))/2)+INDEX('Tables - Part 2'!$AX$17:$BA$24,MATCH('HIC-SOHIC-H2S'!$Z13,'Tables - Part 2'!$AV$6:$AV$13,0),MATCH('HIC-SOHIC-H2S'!$T13,'Tables - Part 2'!$AX$5:$BA$5,0)))/2)+(INDEX('Tables - Part 2'!$AX$17:$BA$24,MATCH('HIC-SOHIC-H2S'!$Z13,'Tables - Part 2'!$AV$6:$AV$13,0),MATCH('HIC-SOHIC-H2S'!$T13,'Tables - Part 2'!$AX$5:$BA$5,0))))/2,0)</f>
        <v>0</v>
      </c>
      <c r="BE13" s="248">
        <f>IF($S13=$BE$3,INDEX('Tables - Part 2'!$AX$17:$BA$24,MATCH('HIC-SOHIC-H2S'!$Z13,'Tables - Part 2'!$AV$6:$AV$13,0),MATCH('HIC-SOHIC-H2S'!$T13,'Tables - Part 2'!$AX$5:$BA$5,0)),0)</f>
        <v>0</v>
      </c>
      <c r="BF13" s="248">
        <f>IF($S13=$BF$3,((INDEX('Tables - Part 2'!$AX$17:$BA$24,MATCH('HIC-SOHIC-H2S'!$Z13,'Tables - Part 2'!$AV$6:$AV$13,0),MATCH('HIC-SOHIC-H2S'!$T13,'Tables - Part 2'!$AX$5:$BA$5,0)))+(((INDEX('Tables - Part 2'!$AX$17:$BA$24,MATCH('HIC-SOHIC-H2S'!$Z13,'Tables - Part 2'!$AV$6:$AV$13,0),MATCH('HIC-SOHIC-H2S'!$T13,'Tables - Part 2'!$AX$5:$BA$5,0)))+(INDEX('Tables - Part 2'!$AX$17:$BA$24,MATCH('HIC-SOHIC-H2S'!$Z13,'Tables - Part 2'!$AV$6:$AV$13,0),MATCH('HIC-SOHIC-H2S'!$T13,'Tables - Part 2'!$AX$5:$BA$5,0))+INDEX('Tables - Part 2'!$BB$17:$BE$24,MATCH('HIC-SOHIC-H2S'!$Z13,'Tables - Part 2'!$AV$6:$AV$13,0),MATCH('HIC-SOHIC-H2S'!$T13,'Tables - Part 2'!$AX$5:$BA$5,0)))/2)/2))/2,0)</f>
        <v>0</v>
      </c>
      <c r="BG13" s="248">
        <f>IF($S13=$BG$3,((INDEX('Tables - Part 2'!$AX$17:$BA$24,MATCH('HIC-SOHIC-H2S'!$Z13,'Tables - Part 2'!$AV$6:$AV$13,0),MATCH('HIC-SOHIC-H2S'!$T13,'Tables - Part 2'!$AX$5:$BA$5,0)))+(INDEX('Tables - Part 2'!$AX$17:$BA$24,MATCH('HIC-SOHIC-H2S'!$Z13,'Tables - Part 2'!$AV$6:$AV$13,0),MATCH('HIC-SOHIC-H2S'!$T13,'Tables - Part 2'!$AX$5:$BA$5,0))+INDEX('Tables - Part 2'!$BB$17:$BE$24,MATCH('HIC-SOHIC-H2S'!$Z13,'Tables - Part 2'!$AV$6:$AV$13,0),MATCH('HIC-SOHIC-H2S'!$T13,'Tables - Part 2'!$AX$5:$BA$5,0)))/2)/2,0)</f>
        <v>0</v>
      </c>
      <c r="BH13" s="248">
        <f>IF($S13=$BH$3,((((INDEX('Tables - Part 2'!$AX$17:$BA$24,MATCH('HIC-SOHIC-H2S'!$Z13,'Tables - Part 2'!$AV$6:$AV$13,0),MATCH('HIC-SOHIC-H2S'!$T13,'Tables - Part 2'!$AX$5:$BA$5,0)))+(INDEX('Tables - Part 2'!$AX$17:$BA$24,MATCH('HIC-SOHIC-H2S'!$Z13,'Tables - Part 2'!$AV$6:$AV$13,0),MATCH('HIC-SOHIC-H2S'!$T13,'Tables - Part 2'!$AX$5:$BA$5,0))+INDEX('Tables - Part 2'!$BB$17:$BE$24,MATCH('HIC-SOHIC-H2S'!$Z13,'Tables - Part 2'!$AV$6:$AV$13,0),MATCH('HIC-SOHIC-H2S'!$T13,'Tables - Part 2'!$AX$5:$BA$5,0)))/2)/2)+((INDEX('Tables - Part 2'!$AX$17:$BA$24,MATCH('HIC-SOHIC-H2S'!$Z13,'Tables - Part 2'!$AV$6:$AV$13,0),MATCH('HIC-SOHIC-H2S'!$T13,'Tables - Part 2'!$AX$5:$BA$5,0))+INDEX('Tables - Part 2'!$BB$17:$BE$24,MATCH('HIC-SOHIC-H2S'!$Z13,'Tables - Part 2'!$AV$6:$AV$13,0),MATCH('HIC-SOHIC-H2S'!$T13,'Tables - Part 2'!$AX$5:$BA$5,0)))/2))/2,0)</f>
        <v>0</v>
      </c>
      <c r="BI13" s="248">
        <f>IF($S13=$BI$3,(INDEX('Tables - Part 2'!$AX$17:$BA$24,MATCH('HIC-SOHIC-H2S'!$Z13,'Tables - Part 2'!$AV$6:$AV$13,0),MATCH('HIC-SOHIC-H2S'!$T13,'Tables - Part 2'!$AX$5:$BA$5,0))+INDEX('Tables - Part 2'!$BB$17:$BE$24,MATCH('HIC-SOHIC-H2S'!$Z13,'Tables - Part 2'!$AV$6:$AV$13,0),MATCH('HIC-SOHIC-H2S'!$T13,'Tables - Part 2'!$AX$5:$BA$5,0)))/2,0)</f>
        <v>0</v>
      </c>
      <c r="BJ13" s="248">
        <f>IF($S13=$BJ$3,(((INDEX('Tables - Part 2'!$AX$17:$BA$24,MATCH('HIC-SOHIC-H2S'!$Z13,'Tables - Part 2'!$AV$6:$AV$13,0),MATCH('HIC-SOHIC-H2S'!$T13,'Tables - Part 2'!$AX$5:$BA$5,0))+INDEX('Tables - Part 2'!$BB$17:$BE$24,MATCH('HIC-SOHIC-H2S'!$Z13,'Tables - Part 2'!$AV$6:$AV$13,0),MATCH('HIC-SOHIC-H2S'!$T13,'Tables - Part 2'!$AX$5:$BA$5,0)))/2)+((((INDEX('Tables - Part 2'!$AX$17:$BA$24,MATCH('HIC-SOHIC-H2S'!$Z13,'Tables - Part 2'!$AV$6:$AV$13,0),MATCH('HIC-SOHIC-H2S'!$T13,'Tables - Part 2'!$AX$5:$BA$5,0))+INDEX('Tables - Part 2'!$BB$17:$BE$24,MATCH('HIC-SOHIC-H2S'!$Z13,'Tables - Part 2'!$AV$6:$AV$13,0),MATCH('HIC-SOHIC-H2S'!$T13,'Tables - Part 2'!$AX$5:$BA$5,0)))/2)+INDEX('Tables - Part 2'!$BB$17:$BE$24,MATCH('HIC-SOHIC-H2S'!$Z13,'Tables - Part 2'!$AV$6:$AV$13,0),MATCH('HIC-SOHIC-H2S'!$T13,'Tables - Part 2'!$AX$5:$BA$5,0)))/2))/2,0)</f>
        <v>0</v>
      </c>
      <c r="BK13" s="248">
        <f>IF($S13=$BK$3,(((INDEX('Tables - Part 2'!$AX$17:$BA$24,MATCH('HIC-SOHIC-H2S'!$Z13,'Tables - Part 2'!$AV$6:$AV$13,0),MATCH('HIC-SOHIC-H2S'!$T13,'Tables - Part 2'!$AX$5:$BA$5,0))+INDEX('Tables - Part 2'!$BB$17:$BE$24,MATCH('HIC-SOHIC-H2S'!$Z13,'Tables - Part 2'!$AV$6:$AV$13,0),MATCH('HIC-SOHIC-H2S'!$T13,'Tables - Part 2'!$AX$5:$BA$5,0)))/2)+INDEX('Tables - Part 2'!$BB$17:$BE$24,MATCH('HIC-SOHIC-H2S'!$Z13,'Tables - Part 2'!$AV$6:$AV$13,0),MATCH('HIC-SOHIC-H2S'!$T13,'Tables - Part 2'!$AX$5:$BA$5,0)))/2,0)</f>
        <v>0</v>
      </c>
      <c r="BL13" s="248">
        <f>IF($S13=$BL$3,(((((INDEX('Tables - Part 2'!$AX$17:$BA$24,MATCH('HIC-SOHIC-H2S'!$Z13,'Tables - Part 2'!$AV$6:$AV$13,0),MATCH('HIC-SOHIC-H2S'!$T13,'Tables - Part 2'!$AX$5:$BA$5,0))+INDEX('Tables - Part 2'!$BB$17:$BE$24,MATCH('HIC-SOHIC-H2S'!$Z13,'Tables - Part 2'!$AV$6:$AV$13,0),MATCH('HIC-SOHIC-H2S'!$T13,'Tables - Part 2'!$AX$5:$BA$5,0)))/2)+INDEX('Tables - Part 2'!$BB$17:$BE$24,MATCH('HIC-SOHIC-H2S'!$Z13,'Tables - Part 2'!$AV$6:$AV$13,0),MATCH('HIC-SOHIC-H2S'!$T13,'Tables - Part 2'!$AX$5:$BA$5,0)))/2)+(INDEX('Tables - Part 2'!$BB$17:$BE$24,MATCH('HIC-SOHIC-H2S'!$Z13,'Tables - Part 2'!$AV$6:$AV$13,0),MATCH('HIC-SOHIC-H2S'!$T13,'Tables - Part 2'!$AX$5:$BA$5,0))))/2,0)</f>
        <v>0</v>
      </c>
      <c r="BM13" s="248">
        <f>IF($S13=$BM$3,INDEX('Tables - Part 2'!$BB$17:$BE$24,MATCH('HIC-SOHIC-H2S'!$Z13,'Tables - Part 2'!$AV$6:$AV$13,0),MATCH('HIC-SOHIC-H2S'!$T13,'Tables - Part 2'!$AX$5:$BA$5,0)),0)</f>
        <v>0</v>
      </c>
      <c r="BN13" s="248">
        <f>IF($S13=$BN$3,((INDEX('Tables - Part 2'!$BB$17:$BE$24,MATCH('HIC-SOHIC-H2S'!$Z13,'Tables - Part 2'!$AV$6:$AV$13,0),MATCH('HIC-SOHIC-H2S'!$T13,'Tables - Part 2'!$AX$5:$BA$5,0)))+(((INDEX('Tables - Part 2'!$BB$17:$BE$24,MATCH('HIC-SOHIC-H2S'!$Z13,'Tables - Part 2'!$AV$6:$AV$13,0),MATCH('HIC-SOHIC-H2S'!$T13,'Tables - Part 2'!$AX$5:$BA$5,0)))+(INDEX('Tables - Part 2'!$BB$17:$BE$24,MATCH('HIC-SOHIC-H2S'!$Z13,'Tables - Part 2'!$AV$6:$AV$13,0),MATCH('HIC-SOHIC-H2S'!$T13,'Tables - Part 2'!$AX$5:$BA$5,0))+INDEX('Tables - Part 2'!$BF$17:$BI$24,MATCH('HIC-SOHIC-H2S'!$Z13,'Tables - Part 2'!$AV$6:$AV$13,0),MATCH('HIC-SOHIC-H2S'!$T13,'Tables - Part 2'!$AX$5:$BA$5,0)))/2)/2))/2,0)</f>
        <v>0</v>
      </c>
      <c r="BO13" s="248">
        <f>IF($S13=$BO$3,((INDEX('Tables - Part 2'!$BB$17:$BE$24,MATCH('HIC-SOHIC-H2S'!$Z13,'Tables - Part 2'!$AV$6:$AV$13,0),MATCH('HIC-SOHIC-H2S'!$T13,'Tables - Part 2'!$AX$5:$BA$5,0)))+(INDEX('Tables - Part 2'!$BB$17:$BE$24,MATCH('HIC-SOHIC-H2S'!$Z13,'Tables - Part 2'!$AV$6:$AV$13,0),MATCH('HIC-SOHIC-H2S'!$T13,'Tables - Part 2'!$AX$5:$BA$5,0))+INDEX('Tables - Part 2'!$BF$17:$BI$24,MATCH('HIC-SOHIC-H2S'!$Z13,'Tables - Part 2'!$AV$6:$AV$13,0),MATCH('HIC-SOHIC-H2S'!$T13,'Tables - Part 2'!$AX$5:$BA$5,0)))/2)/2,0)</f>
        <v>0</v>
      </c>
      <c r="BP13" s="248">
        <f>IF($S13=$BP$3,((((INDEX('Tables - Part 2'!$BB$17:$BE$24,MATCH('HIC-SOHIC-H2S'!$Z13,'Tables - Part 2'!$AV$6:$AV$13,0),MATCH('HIC-SOHIC-H2S'!$T13,'Tables - Part 2'!$AX$5:$BA$5,0)))+(INDEX('Tables - Part 2'!$BB$17:$BE$24,MATCH('HIC-SOHIC-H2S'!$Z13,'Tables - Part 2'!$AV$6:$AV$13,0),MATCH('HIC-SOHIC-H2S'!$T13,'Tables - Part 2'!$AX$5:$BA$5,0))+INDEX('Tables - Part 2'!$BF$17:$BI$24,MATCH('HIC-SOHIC-H2S'!$Z13,'Tables - Part 2'!$AV$6:$AV$13,0),MATCH('HIC-SOHIC-H2S'!$T13,'Tables - Part 2'!$AX$5:$BA$5,0)))/2)/2)+((INDEX('Tables - Part 2'!$BB$17:$BE$24,MATCH('HIC-SOHIC-H2S'!$Z13,'Tables - Part 2'!$AV$6:$AV$13,0),MATCH('HIC-SOHIC-H2S'!$T13,'Tables - Part 2'!$AX$5:$BA$5,0))+INDEX('Tables - Part 2'!$BF$17:$BI$24,MATCH('HIC-SOHIC-H2S'!$Z13,'Tables - Part 2'!$AV$6:$AV$13,0),MATCH('HIC-SOHIC-H2S'!$T13,'Tables - Part 2'!$AX$5:$BA$5,0)))/2))/2,0)</f>
        <v>0</v>
      </c>
      <c r="BQ13" s="248">
        <f>IF($S13=$BQ$3,(INDEX('Tables - Part 2'!$BB$17:$BE$24,MATCH('HIC-SOHIC-H2S'!$Z13,'Tables - Part 2'!$AV$6:$AV$13,0),MATCH('HIC-SOHIC-H2S'!$T13,'Tables - Part 2'!$AX$5:$BA$5,0))+INDEX('Tables - Part 2'!$BF$17:$BI$24,MATCH('HIC-SOHIC-H2S'!$Z13,'Tables - Part 2'!$AV$6:$AV$13,0),MATCH('HIC-SOHIC-H2S'!$T13,'Tables - Part 2'!$AX$5:$BA$5,0)))/2,0)</f>
        <v>0</v>
      </c>
      <c r="BR13" s="248">
        <f>IF($S13=$BR$3,(((INDEX('Tables - Part 2'!$BB$17:$BE$24,MATCH('HIC-SOHIC-H2S'!$Z13,'Tables - Part 2'!$AV$6:$AV$13,0),MATCH('HIC-SOHIC-H2S'!$T13,'Tables - Part 2'!$AX$5:$BA$5,0))+INDEX('Tables - Part 2'!$BF$17:$BI$24,MATCH('HIC-SOHIC-H2S'!$Z13,'Tables - Part 2'!$AV$6:$AV$13,0),MATCH('HIC-SOHIC-H2S'!$T13,'Tables - Part 2'!$AX$5:$BA$5,0)))/2)+((((INDEX('Tables - Part 2'!$BB$17:$BE$24,MATCH('HIC-SOHIC-H2S'!$Z13,'Tables - Part 2'!$AV$6:$AV$13,0),MATCH('HIC-SOHIC-H2S'!$T13,'Tables - Part 2'!$AX$5:$BA$5,0))+INDEX('Tables - Part 2'!$BF$17:$BI$24,MATCH('HIC-SOHIC-H2S'!$Z13,'Tables - Part 2'!$AV$6:$AV$13,0),MATCH('HIC-SOHIC-H2S'!$T13,'Tables - Part 2'!$AX$5:$BA$5,0)))/2)+INDEX('Tables - Part 2'!$BF$17:$BI$24,MATCH('HIC-SOHIC-H2S'!$Z13,'Tables - Part 2'!$AV$6:$AV$13,0),MATCH('HIC-SOHIC-H2S'!$T13,'Tables - Part 2'!$AX$5:$BA$5,0)))/2))/2,0)</f>
        <v>0</v>
      </c>
      <c r="BS13" s="248">
        <f>IF($S13=$BS$3,(((INDEX('Tables - Part 2'!$BB$17:$BE$24,MATCH('HIC-SOHIC-H2S'!$Z13,'Tables - Part 2'!$AV$6:$AV$13,0),MATCH('HIC-SOHIC-H2S'!$T13,'Tables - Part 2'!$AX$5:$BA$5,0))+INDEX('Tables - Part 2'!$BF$17:$BI$24,MATCH('HIC-SOHIC-H2S'!$Z13,'Tables - Part 2'!$AV$6:$AV$13,0),MATCH('HIC-SOHIC-H2S'!$T13,'Tables - Part 2'!$AX$5:$BA$5,0)))/2)+INDEX('Tables - Part 2'!$BF$17:$BI$24,MATCH('HIC-SOHIC-H2S'!$Z13,'Tables - Part 2'!$AV$6:$AV$13,0),MATCH('HIC-SOHIC-H2S'!$T13,'Tables - Part 2'!$AX$5:$BA$5,0)))/2,0)</f>
        <v>0</v>
      </c>
      <c r="BT13" s="248">
        <f>IF($S13=$BT$3,(((((INDEX('Tables - Part 2'!$BB$17:$BE$24,MATCH('HIC-SOHIC-H2S'!$Z13,'Tables - Part 2'!$AV$6:$AV$13,0),MATCH('HIC-SOHIC-H2S'!$T13,'Tables - Part 2'!$AX$5:$BA$5,0))+INDEX('Tables - Part 2'!$BF$17:$BI$24,MATCH('HIC-SOHIC-H2S'!$Z13,'Tables - Part 2'!$AV$6:$AV$13,0),MATCH('HIC-SOHIC-H2S'!$T13,'Tables - Part 2'!$AX$5:$BA$5,0)))/2)+INDEX('Tables - Part 2'!$BF$17:$BI$24,MATCH('HIC-SOHIC-H2S'!$Z13,'Tables - Part 2'!$AV$6:$AV$13,0),MATCH('HIC-SOHIC-H2S'!$T13,'Tables - Part 2'!$AX$5:$BA$5,0)))/2)+(INDEX('Tables - Part 2'!$BF$17:$BI$24,MATCH('HIC-SOHIC-H2S'!$Z13,'Tables - Part 2'!$AV$6:$AV$13,0),MATCH('HIC-SOHIC-H2S'!$T13,'Tables - Part 2'!$AX$5:$BA$5,0))))/2,0)</f>
        <v>0</v>
      </c>
      <c r="BU13" s="248">
        <f>IF($S13=$BU$3,INDEX('Tables - Part 2'!$BF$17:$BI$24,MATCH('HIC-SOHIC-H2S'!$Z13,'Tables - Part 2'!$AV$6:$AV$13,0),MATCH('HIC-SOHIC-H2S'!$T13,'Tables - Part 2'!$AX$5:$BA$5,0)),0)</f>
        <v>0</v>
      </c>
      <c r="BV13" s="248" t="e">
        <f t="shared" si="2"/>
        <v>#N/A</v>
      </c>
      <c r="BW13" s="238" t="e">
        <f t="shared" si="8"/>
        <v>#N/A</v>
      </c>
      <c r="BX13" s="238" t="e">
        <f t="shared" si="9"/>
        <v>#N/A</v>
      </c>
    </row>
    <row r="14" spans="2:89" x14ac:dyDescent="0.35">
      <c r="B14" s="161" t="str">
        <f>'Tratamento de Dados'!B22</f>
        <v>V-50</v>
      </c>
      <c r="C14" s="161" t="str">
        <f>'Tratamento de Dados'!D22</f>
        <v>Casco</v>
      </c>
      <c r="D14" s="209">
        <f>'Tratamento de Dados'!CN22</f>
        <v>0</v>
      </c>
      <c r="E14" s="209">
        <f>'Tratamento de Dados'!CO22</f>
        <v>0</v>
      </c>
      <c r="F14" s="209">
        <f>'Tratamento de Dados'!CP22</f>
        <v>0</v>
      </c>
      <c r="G14" s="209">
        <f>'Tratamento de Dados'!CQ22</f>
        <v>0</v>
      </c>
      <c r="H14" s="209">
        <f>'Tratamento de Dados'!CR22</f>
        <v>0</v>
      </c>
      <c r="I14" s="209">
        <f>'Tratamento de Dados'!CS22</f>
        <v>0</v>
      </c>
      <c r="J14" s="209">
        <f>'Tratamento de Dados'!CT22</f>
        <v>0</v>
      </c>
      <c r="K14" s="209">
        <f>'Tratamento de Dados'!CU22</f>
        <v>0</v>
      </c>
      <c r="L14" s="210">
        <f>'Tratamento de Dados'!CV22</f>
        <v>0</v>
      </c>
      <c r="M14" s="209">
        <f>'Tratamento de Dados'!CW22</f>
        <v>0</v>
      </c>
      <c r="N14" s="209">
        <f>'Tratamento de Dados'!CX22</f>
        <v>0</v>
      </c>
      <c r="O14" s="209">
        <f>'Tratamento de Dados'!CY22</f>
        <v>0</v>
      </c>
      <c r="P14" s="209">
        <f>'Tratamento de Dados'!CZ22</f>
        <v>0</v>
      </c>
      <c r="Q14" s="253">
        <f>'Tratamento de Dados'!DA22</f>
        <v>0</v>
      </c>
      <c r="R14" s="253">
        <f>'Tratamento de Dados'!DB22</f>
        <v>0</v>
      </c>
      <c r="S14" s="256">
        <f t="shared" si="0"/>
        <v>0</v>
      </c>
      <c r="T14" s="246" t="str">
        <f t="shared" si="3"/>
        <v>E</v>
      </c>
      <c r="U14" s="238" t="e">
        <f>IF(D14=$CC$2,$CA$4,IF(AND(H14=$CC$2,OR(F14='Tables - Part 2'!$CE$8,'Tables - Part 2'!$CE$9),OR('HIC-SOHIC-H2S'!G14='Tables - Part 2'!$CH$4,'HIC-SOHIC-H2S'!G14='Tables - Part 2'!$CI$4)),$CA$4,INDEX('Tables - Part 2'!$CF$5:$CI$9,MATCH('HIC-SOHIC-H2S'!F14,'Tables - Part 2'!$CE$5:$CE$9,0),MATCH('HIC-SOHIC-H2S'!G14,'Tables - Part 2'!$CF$4:$CI$4,0))))</f>
        <v>#N/A</v>
      </c>
      <c r="V14" s="238" t="str">
        <f>IF($I14=$V$3,INDEX('Tables - Part 2'!$CL$5:$CM$7,MATCH('HIC-SOHIC-H2S'!$U14,'Tables - Part 2'!$CK$5:$CK$7,0),IF('HIC-SOHIC-H2S'!$J14='HIC-SOHIC-H2S'!$CC$2,2,1)),"")</f>
        <v/>
      </c>
      <c r="W14" s="238" t="str">
        <f>IF($I14=$W$3,INDEX('Tables - Part 2'!$CN$5:$CO$7,MATCH('HIC-SOHIC-H2S'!$U14,'Tables - Part 2'!$CK$5:$CK$7,0),IF('HIC-SOHIC-H2S'!$J14='HIC-SOHIC-H2S'!$CC$2,2,1)),"")</f>
        <v/>
      </c>
      <c r="X14" s="238" t="str">
        <f>IF($I14=$X$3,INDEX('Tables - Part 2'!$CP$5:$CQ$7,MATCH('HIC-SOHIC-H2S'!$U14,'Tables - Part 2'!$CK$5:$CK$7,0),IF('HIC-SOHIC-H2S'!$J14='HIC-SOHIC-H2S'!$CC$2,2,1)),"")</f>
        <v/>
      </c>
      <c r="Y14" s="238" t="str">
        <f t="shared" si="1"/>
        <v/>
      </c>
      <c r="Z14" s="238" t="e">
        <f>IF(AND(D14=$CC$2,E14&lt;&gt;$CC$2),"Fitness-For-Service",INDEX('Tables - Part 2'!$CT$4:$CT$6,MATCH('HIC-SOHIC-H2S'!Y14,'Tables - Part 2'!$CS$4:$CS$6,0),))</f>
        <v>#N/A</v>
      </c>
      <c r="AA14" s="238">
        <f>IF(L14=0,(Thinning!G15-Thinning!F15)/365.25,(Thinning!G15-L14)/365.25)</f>
        <v>5.4757015742642025E-3</v>
      </c>
      <c r="AB14" s="238" t="e">
        <f>INDEX('Tables - Part 2'!$CW$4:$CW$7,MATCH('HIC-SOHIC-H2S'!K14,'Tables - Part 2'!$CV$4:$CV$7,0))</f>
        <v>#N/A</v>
      </c>
      <c r="AC14" s="248">
        <f t="shared" si="4"/>
        <v>0</v>
      </c>
      <c r="AD14" s="248">
        <f t="shared" si="5"/>
        <v>0</v>
      </c>
      <c r="AE14" s="247">
        <f t="shared" si="10"/>
        <v>0</v>
      </c>
      <c r="AF14" s="247">
        <f t="shared" si="7"/>
        <v>0</v>
      </c>
      <c r="AG14" s="248">
        <f>IF($S14=$AG$3,INDEX('Tables - Part 2'!$AX$6:$BA$13,MATCH('HIC-SOHIC-H2S'!Z14,'Tables - Part 2'!$AV$6:$AV$13,0),MATCH('HIC-SOHIC-H2S'!T14,'Tables - Part 2'!$AX$5:$BA$5,0)),0)</f>
        <v>0</v>
      </c>
      <c r="AH14" s="248">
        <f>IF($S14=$AH$3,(INDEX('Tables - Part 2'!$AX$6:$BA$13,MATCH('HIC-SOHIC-H2S'!Z14,'Tables - Part 2'!$AV$6:$AV$13,0),MATCH('HIC-SOHIC-H2S'!T14,'Tables - Part 2'!$AX$5:$BA$5,0))+(INDEX('Tables - Part 2'!$AX$6:$BA$13,MATCH('HIC-SOHIC-H2S'!Z14,'Tables - Part 2'!$AV$6:$AV$13,0),MATCH('HIC-SOHIC-H2S'!T14,'Tables - Part 2'!$AX$5:$BA$5,0))+((INDEX('Tables - Part 2'!$AX$6:$BA$13,MATCH('HIC-SOHIC-H2S'!Z14,'Tables - Part 2'!$AV$6:$AV$13,0),MATCH('HIC-SOHIC-H2S'!T14,'Tables - Part 2'!$AX$5:$BA$5,0))+INDEX('Tables - Part 2'!$BB$6:$BE$13,MATCH('HIC-SOHIC-H2S'!$Z14,'Tables - Part 2'!$AV$6:$AV$13,0),MATCH('HIC-SOHIC-H2S'!$T14,'Tables - Part 2'!$AX$5:$BA$5,0)))/2))/2)/2,0)</f>
        <v>0</v>
      </c>
      <c r="AI14" s="248">
        <f>IF($S14=$AI$3,(INDEX('Tables - Part 2'!$AX$6:$BA$13,MATCH('HIC-SOHIC-H2S'!Z14,'Tables - Part 2'!$AV$6:$AV$13,0),MATCH('HIC-SOHIC-H2S'!T14,'Tables - Part 2'!$AX$5:$BA$5,0))+((INDEX('Tables - Part 2'!$AX$6:$BA$13,MATCH('HIC-SOHIC-H2S'!Z14,'Tables - Part 2'!$AV$6:$AV$13,0),MATCH('HIC-SOHIC-H2S'!T14,'Tables - Part 2'!$AX$5:$BA$5,0))+INDEX('Tables - Part 2'!$BB$6:$BE$13,MATCH('HIC-SOHIC-H2S'!$Z14,'Tables - Part 2'!$AV$6:$AV$13,0),MATCH('HIC-SOHIC-H2S'!$T14,'Tables - Part 2'!$AX$5:$BA$5,0)))/2))/2,0)</f>
        <v>0</v>
      </c>
      <c r="AJ14" s="248">
        <f>IF($S14=$AJ$3,(((INDEX('Tables - Part 2'!$AX$6:$BA$13,MATCH('HIC-SOHIC-H2S'!Z14,'Tables - Part 2'!$AV$6:$AV$13,0),MATCH('HIC-SOHIC-H2S'!T14,'Tables - Part 2'!$AX$5:$BA$5,0))+((INDEX('Tables - Part 2'!$AX$6:$BA$13,MATCH('HIC-SOHIC-H2S'!Z14,'Tables - Part 2'!$AV$6:$AV$13,0),MATCH('HIC-SOHIC-H2S'!T14,'Tables - Part 2'!$AX$5:$BA$5,0))+INDEX('Tables - Part 2'!$BB$6:$BE$13,MATCH('HIC-SOHIC-H2S'!$Z14,'Tables - Part 2'!$AV$6:$AV$13,0),MATCH('HIC-SOHIC-H2S'!$T14,'Tables - Part 2'!$AX$5:$BA$5,0)))/2))/2)+(INDEX('Tables - Part 2'!$AX$6:$BA$13,MATCH('HIC-SOHIC-H2S'!Z14,'Tables - Part 2'!$AV$6:$AV$13,0),MATCH('HIC-SOHIC-H2S'!T14,'Tables - Part 2'!$AX$5:$BA$5,0))+INDEX('Tables - Part 2'!$BB$6:$BE$13,MATCH('HIC-SOHIC-H2S'!$Z14,'Tables - Part 2'!$AV$6:$AV$13,0),MATCH('HIC-SOHIC-H2S'!$T14,'Tables - Part 2'!$AX$5:$BA$5,0)))/2)/2,0)</f>
        <v>0</v>
      </c>
      <c r="AK14" s="248">
        <f>IF($S14=$AK$3,(INDEX('Tables - Part 2'!$AX$6:$BA$13,MATCH('HIC-SOHIC-H2S'!Z14,'Tables - Part 2'!$AV$6:$AV$13,0),MATCH('HIC-SOHIC-H2S'!T14,'Tables - Part 2'!$AX$5:$BA$5,0))+INDEX('Tables - Part 2'!$BB$6:$BE$13,MATCH('HIC-SOHIC-H2S'!$Z14,'Tables - Part 2'!$AV$6:$AV$13,0),MATCH('HIC-SOHIC-H2S'!$T14,'Tables - Part 2'!$AX$5:$BA$5,0)))/2,0)</f>
        <v>0</v>
      </c>
      <c r="AL14" s="248">
        <f>IF($S14=$AL$3,(((INDEX('Tables - Part 2'!$AX$6:$BA$13,MATCH('HIC-SOHIC-H2S'!Z14,'Tables - Part 2'!$AV$6:$AV$13,0),MATCH('HIC-SOHIC-H2S'!T14,'Tables - Part 2'!$AX$5:$BA$5,0))+INDEX('Tables - Part 2'!$BB$6:$BE$13,MATCH('HIC-SOHIC-H2S'!$Z14,'Tables - Part 2'!$AV$6:$AV$13,0),MATCH('HIC-SOHIC-H2S'!$T14,'Tables - Part 2'!$AX$5:$BA$5,0)))/2)+(((INDEX('Tables - Part 2'!$AX$6:$BA$13,MATCH('HIC-SOHIC-H2S'!Z14,'Tables - Part 2'!$AV$6:$AV$13,0),MATCH('HIC-SOHIC-H2S'!T14,'Tables - Part 2'!$AX$5:$BA$5,0))+INDEX('Tables - Part 2'!$BB$6:$BE$13,MATCH('HIC-SOHIC-H2S'!$Z14,'Tables - Part 2'!$AV$6:$AV$13,0),MATCH('HIC-SOHIC-H2S'!$T14,'Tables - Part 2'!$AX$5:$BA$5,0)))/2)+INDEX('Tables - Part 2'!$BB$6:$BE$13,MATCH('HIC-SOHIC-H2S'!$Z14,'Tables - Part 2'!$AV$6:$AV$13,0),MATCH('HIC-SOHIC-H2S'!$T14,'Tables - Part 2'!$AX$5:$BA$5,0)))/2)/2,0)</f>
        <v>0</v>
      </c>
      <c r="AM14" s="248">
        <f>IF($S14=$AM$3,(((INDEX('Tables - Part 2'!$AX$6:$BA$13,MATCH('HIC-SOHIC-H2S'!Z14,'Tables - Part 2'!$AV$6:$AV$13,0),MATCH('HIC-SOHIC-H2S'!T14,'Tables - Part 2'!$AX$5:$BA$5,0))+INDEX('Tables - Part 2'!$BB$6:$BE$13,MATCH('HIC-SOHIC-H2S'!$Z14,'Tables - Part 2'!$AV$6:$AV$13,0),MATCH('HIC-SOHIC-H2S'!$T14,'Tables - Part 2'!$AX$5:$BA$5,0)))/2)+INDEX('Tables - Part 2'!$BB$6:$BE$13,MATCH('HIC-SOHIC-H2S'!$Z14,'Tables - Part 2'!$AV$6:$AV$13,0),MATCH('HIC-SOHIC-H2S'!$T14,'Tables - Part 2'!$AX$5:$BA$5,0)))/2,0)</f>
        <v>0</v>
      </c>
      <c r="AN14" s="248">
        <f>IF($S14=$AN$3,(((((INDEX('Tables - Part 2'!$AX$6:$BA$13,MATCH('HIC-SOHIC-H2S'!Z14,'Tables - Part 2'!$AV$6:$AV$13,0),MATCH('HIC-SOHIC-H2S'!T14,'Tables - Part 2'!$AX$5:$BA$5,0))+INDEX('Tables - Part 2'!$BB$6:$BE$13,MATCH('HIC-SOHIC-H2S'!$Z14,'Tables - Part 2'!$AV$6:$AV$13,0),MATCH('HIC-SOHIC-H2S'!$T14,'Tables - Part 2'!$AX$5:$BA$5,0)))/2)+INDEX('Tables - Part 2'!$BB$6:$BE$13,MATCH('HIC-SOHIC-H2S'!$Z14,'Tables - Part 2'!$AV$6:$AV$13,0),MATCH('HIC-SOHIC-H2S'!$T14,'Tables - Part 2'!$AX$5:$BA$5,0)))/2)+INDEX('Tables - Part 2'!$BB$6:$BE$13,MATCH('HIC-SOHIC-H2S'!$Z14,'Tables - Part 2'!$AV$6:$AV$13,0),MATCH('HIC-SOHIC-H2S'!$T14,'Tables - Part 2'!$AX$5:$BA$5,0)))/2,0)</f>
        <v>0</v>
      </c>
      <c r="AO14" s="248">
        <f>IF($S14=$AO$3,INDEX('Tables - Part 2'!$BB$6:$BE$13,MATCH('HIC-SOHIC-H2S'!$Z14,'Tables - Part 2'!$AV$6:$AV$13,0),MATCH('HIC-SOHIC-H2S'!$T14,'Tables - Part 2'!$AX$5:$BA$5,0)),0)</f>
        <v>0</v>
      </c>
      <c r="AP14" s="248">
        <f>IF($S14=$AP$3,((INDEX('Tables - Part 2'!$BB$6:$BE$13,MATCH('HIC-SOHIC-H2S'!$Z14,'Tables - Part 2'!$AV$6:$AV$13,0),MATCH('HIC-SOHIC-H2S'!$T14,'Tables - Part 2'!$AX$5:$BA$5,0)))+(INDEX('Tables - Part 2'!$BB$6:$BE$13,MATCH('HIC-SOHIC-H2S'!$Z14,'Tables - Part 2'!$AV$6:$AV$13,0),MATCH('HIC-SOHIC-H2S'!$T14,'Tables - Part 2'!$AX$5:$BA$5,0))+(INDEX('Tables - Part 2'!$BB$6:$BE$13,MATCH('HIC-SOHIC-H2S'!$Z14,'Tables - Part 2'!$AV$6:$AV$13,0),MATCH('HIC-SOHIC-H2S'!$T14,'Tables - Part 2'!$AX$5:$BA$5,0))+INDEX('Tables - Part 2'!$BF$6:$BI$13,MATCH('HIC-SOHIC-H2S'!$Z14,'Tables - Part 2'!$AV$6:$AV$13,0),MATCH('HIC-SOHIC-H2S'!$T14,'Tables - Part 2'!$AX$5:$BA$5,0)))/2)/2)/2,0)</f>
        <v>0</v>
      </c>
      <c r="AQ14" s="248">
        <f>IF($S14=$AQ$3,(INDEX('Tables - Part 2'!$BB$6:$BE$13,MATCH('HIC-SOHIC-H2S'!$Z14,'Tables - Part 2'!$AV$6:$AV$13,0),MATCH('HIC-SOHIC-H2S'!$T14,'Tables - Part 2'!$AX$5:$BA$5,0))+(INDEX('Tables - Part 2'!$BB$6:$BE$13,MATCH('HIC-SOHIC-H2S'!$Z14,'Tables - Part 2'!$AV$6:$AV$13,0),MATCH('HIC-SOHIC-H2S'!$T14,'Tables - Part 2'!$AX$5:$BA$5,0))+INDEX('Tables - Part 2'!$BF$6:$BI$13,MATCH('HIC-SOHIC-H2S'!$Z14,'Tables - Part 2'!$AV$6:$AV$13,0),MATCH('HIC-SOHIC-H2S'!$T14,'Tables - Part 2'!$AX$5:$BA$5,0)))/2)/2,0)</f>
        <v>0</v>
      </c>
      <c r="AR14" s="248">
        <f>IF($S14=$AR$3,(((INDEX('Tables - Part 2'!$BB$6:$BE$13,MATCH('HIC-SOHIC-H2S'!$Z14,'Tables - Part 2'!$AV$6:$AV$13,0),MATCH('HIC-SOHIC-H2S'!$T14,'Tables - Part 2'!$AX$5:$BA$5,0))+(INDEX('Tables - Part 2'!$BB$6:$BE$13,MATCH('HIC-SOHIC-H2S'!$Z14,'Tables - Part 2'!$AV$6:$AV$13,0),MATCH('HIC-SOHIC-H2S'!$T14,'Tables - Part 2'!$AX$5:$BA$5,0))+INDEX('Tables - Part 2'!$BF$6:$BI$13,MATCH('HIC-SOHIC-H2S'!$Z14,'Tables - Part 2'!$AV$6:$AV$13,0),MATCH('HIC-SOHIC-H2S'!$T14,'Tables - Part 2'!$AX$5:$BA$5,0)))/2)/2)+((INDEX('Tables - Part 2'!$BB$6:$BE$13,MATCH('HIC-SOHIC-H2S'!$Z14,'Tables - Part 2'!$AV$6:$AV$13,0),MATCH('HIC-SOHIC-H2S'!$T14,'Tables - Part 2'!$AX$5:$BA$5,0))+INDEX('Tables - Part 2'!$BF$6:$BI$13,MATCH('HIC-SOHIC-H2S'!$Z14,'Tables - Part 2'!$AV$6:$AV$13,0),MATCH('HIC-SOHIC-H2S'!$T14,'Tables - Part 2'!$AX$5:$BA$5,0)))/2))/2,0)</f>
        <v>0</v>
      </c>
      <c r="AS14" s="248">
        <f>IF($S14=$AS$3,(INDEX('Tables - Part 2'!$BB$6:$BE$13,MATCH('HIC-SOHIC-H2S'!$Z14,'Tables - Part 2'!$AV$6:$AV$13,0),MATCH('HIC-SOHIC-H2S'!$T14,'Tables - Part 2'!$AX$5:$BA$5,0))+INDEX('Tables - Part 2'!$BF$6:$BI$13,MATCH('HIC-SOHIC-H2S'!$Z14,'Tables - Part 2'!$AV$6:$AV$13,0),MATCH('HIC-SOHIC-H2S'!$T14,'Tables - Part 2'!$AX$5:$BA$5,0)))/2,0)</f>
        <v>0</v>
      </c>
      <c r="AT14" s="248">
        <f>IF($S14=$AT$3,(((INDEX('Tables - Part 2'!$BB$6:$BE$13,MATCH('HIC-SOHIC-H2S'!$Z14,'Tables - Part 2'!$AV$6:$AV$13,0),MATCH('HIC-SOHIC-H2S'!$T14,'Tables - Part 2'!$AX$5:$BA$5,0))+INDEX('Tables - Part 2'!$BF$6:$BI$13,MATCH('HIC-SOHIC-H2S'!$Z14,'Tables - Part 2'!$AV$6:$AV$13,0),MATCH('HIC-SOHIC-H2S'!$T14,'Tables - Part 2'!$AX$5:$BA$5,0)))/2)+((((INDEX('Tables - Part 2'!$BB$6:$BE$13,MATCH('HIC-SOHIC-H2S'!$Z14,'Tables - Part 2'!$AV$6:$AV$13,0),MATCH('HIC-SOHIC-H2S'!$T14,'Tables - Part 2'!$AX$5:$BA$5,0))+INDEX('Tables - Part 2'!$BF$6:$BI$13,MATCH('HIC-SOHIC-H2S'!$Z14,'Tables - Part 2'!$AV$6:$AV$13,0),MATCH('HIC-SOHIC-H2S'!$T14,'Tables - Part 2'!$AX$5:$BA$5,0)))/2)+INDEX('Tables - Part 2'!$BF$6:$BI$13,MATCH('HIC-SOHIC-H2S'!$Z14,'Tables - Part 2'!$AV$6:$AV$13,0),MATCH('HIC-SOHIC-H2S'!$T14,'Tables - Part 2'!$AX$5:$BA$5,0)))/2))/2,0)</f>
        <v>0</v>
      </c>
      <c r="AU14" s="248">
        <f>IF($S14=$AU$3,(((INDEX('Tables - Part 2'!$BB$6:$BE$13,MATCH('HIC-SOHIC-H2S'!$Z14,'Tables - Part 2'!$AV$6:$AV$13,0),MATCH('HIC-SOHIC-H2S'!$T14,'Tables - Part 2'!$AX$5:$BA$5,0))+INDEX('Tables - Part 2'!$BF$6:$BI$13,MATCH('HIC-SOHIC-H2S'!$Z14,'Tables - Part 2'!$AV$6:$AV$13,0),MATCH('HIC-SOHIC-H2S'!$T14,'Tables - Part 2'!$AX$5:$BA$5,0)))/2)+INDEX('Tables - Part 2'!$BF$6:$BI$13,MATCH('HIC-SOHIC-H2S'!$Z14,'Tables - Part 2'!$AV$6:$AV$13,0),MATCH('HIC-SOHIC-H2S'!$T14,'Tables - Part 2'!$AX$5:$BA$5,0)))/2,0)</f>
        <v>0</v>
      </c>
      <c r="AV14" s="248">
        <f>IF($S14=$AV$3,(((((INDEX('Tables - Part 2'!$BB$6:$BE$13,MATCH('HIC-SOHIC-H2S'!$Z14,'Tables - Part 2'!$AV$6:$AV$13,0),MATCH('HIC-SOHIC-H2S'!$T14,'Tables - Part 2'!$AX$5:$BA$5,0))+INDEX('Tables - Part 2'!$BF$6:$BI$13,MATCH('HIC-SOHIC-H2S'!$Z14,'Tables - Part 2'!$AV$6:$AV$13,0),MATCH('HIC-SOHIC-H2S'!$T14,'Tables - Part 2'!$AX$5:$BA$5,0)))/2)+INDEX('Tables - Part 2'!$BF$6:$BI$13,MATCH('HIC-SOHIC-H2S'!$Z14,'Tables - Part 2'!$AV$6:$AV$13,0),MATCH('HIC-SOHIC-H2S'!$T14,'Tables - Part 2'!$AX$5:$BA$5,0)))/2)+INDEX('Tables - Part 2'!$BF$6:$BI$13,MATCH('HIC-SOHIC-H2S'!$Z14,'Tables - Part 2'!$AV$6:$AV$13,0),MATCH('HIC-SOHIC-H2S'!$T14,'Tables - Part 2'!$AX$5:$BA$5,0)))/2,0)</f>
        <v>0</v>
      </c>
      <c r="AW14" s="248">
        <f>IF($S14=$AW$3,INDEX('Tables - Part 2'!$BF$6:$BI$13,MATCH('HIC-SOHIC-H2S'!$Z14,'Tables - Part 2'!$AV$6:$AV$13,0),MATCH('HIC-SOHIC-H2S'!$T14,'Tables - Part 2'!$AX$5:$BA$5,0)),0)</f>
        <v>0</v>
      </c>
      <c r="AX14" s="248">
        <f>IF($S14=$AX$3,(INDEX('Tables - Part 2'!$BF$6:$BI$13,MATCH('HIC-SOHIC-H2S'!$Z14,'Tables - Part 2'!$AV$6:$AV$13,0),MATCH('HIC-SOHIC-H2S'!$T14,'Tables - Part 2'!$AX$5:$BA$5,0))+((INDEX('Tables - Part 2'!$BF$6:$BI$13,MATCH('HIC-SOHIC-H2S'!$Z14,'Tables - Part 2'!$AV$6:$AV$13,0),MATCH('HIC-SOHIC-H2S'!$T14,'Tables - Part 2'!$AX$5:$BA$5,0))+(INDEX('Tables - Part 2'!$BF$6:$BI$13,MATCH('HIC-SOHIC-H2S'!$Z14,'Tables - Part 2'!$AV$6:$AV$13,0),MATCH('HIC-SOHIC-H2S'!$T14,'Tables - Part 2'!$AX$5:$BA$5,0))+INDEX('Tables - Part 2'!$AX$17:$BA$24,MATCH('HIC-SOHIC-H2S'!$Z14,'Tables - Part 2'!$AV$6:$AV$13,0),MATCH('HIC-SOHIC-H2S'!$T14,'Tables - Part 2'!$AX$5:$BA$5,0)))/2)/2))/2,0)</f>
        <v>0</v>
      </c>
      <c r="AY14" s="248">
        <f>IF($S14=$AY$3,(INDEX('Tables - Part 2'!$BF$6:$BI$13,MATCH('HIC-SOHIC-H2S'!$Z14,'Tables - Part 2'!$AV$6:$AV$13,0),MATCH('HIC-SOHIC-H2S'!$T14,'Tables - Part 2'!$AX$5:$BA$5,0))+(INDEX('Tables - Part 2'!$BF$6:$BI$13,MATCH('HIC-SOHIC-H2S'!$Z14,'Tables - Part 2'!$AV$6:$AV$13,0),MATCH('HIC-SOHIC-H2S'!$T14,'Tables - Part 2'!$AX$5:$BA$5,0))+INDEX('Tables - Part 2'!$AX$17:$BA$24,MATCH('HIC-SOHIC-H2S'!$Z14,'Tables - Part 2'!$AV$6:$AV$13,0),MATCH('HIC-SOHIC-H2S'!$T14,'Tables - Part 2'!$AX$5:$BA$5,0)))/2)/2,0)</f>
        <v>0</v>
      </c>
      <c r="AZ14" s="248">
        <f>IF($S14=$AZ$3,(((INDEX('Tables - Part 2'!$BF$6:$BI$13,MATCH('HIC-SOHIC-H2S'!$Z14,'Tables - Part 2'!$AV$6:$AV$13,0),MATCH('HIC-SOHIC-H2S'!$T14,'Tables - Part 2'!$AX$5:$BA$5,0))+(INDEX('Tables - Part 2'!$BF$6:$BI$13,MATCH('HIC-SOHIC-H2S'!$Z14,'Tables - Part 2'!$AV$6:$AV$13,0),MATCH('HIC-SOHIC-H2S'!$T14,'Tables - Part 2'!$AX$5:$BA$5,0))+INDEX('Tables - Part 2'!$AX$17:$BA$24,MATCH('HIC-SOHIC-H2S'!$Z14,'Tables - Part 2'!$AV$6:$AV$13,0),MATCH('HIC-SOHIC-H2S'!$T14,'Tables - Part 2'!$AX$5:$BA$5,0)))/2)/2)+((INDEX('Tables - Part 2'!$BF$6:$BI$13,MATCH('HIC-SOHIC-H2S'!$Z14,'Tables - Part 2'!$AV$6:$AV$13,0),MATCH('HIC-SOHIC-H2S'!$T14,'Tables - Part 2'!$AX$5:$BA$5,0))+INDEX('Tables - Part 2'!$AX$17:$BA$24,MATCH('HIC-SOHIC-H2S'!$Z14,'Tables - Part 2'!$AV$6:$AV$13,0),MATCH('HIC-SOHIC-H2S'!$T14,'Tables - Part 2'!$AX$5:$BA$5,0)))/2))/2,0)</f>
        <v>0</v>
      </c>
      <c r="BA14" s="248">
        <f>IF($S14=$BA$3,(INDEX('Tables - Part 2'!$BF$6:$BI$13,MATCH('HIC-SOHIC-H2S'!$Z14,'Tables - Part 2'!$AV$6:$AV$13,0),MATCH('HIC-SOHIC-H2S'!$T14,'Tables - Part 2'!$AX$5:$BA$5,0))+INDEX('Tables - Part 2'!$AX$17:$BA$24,MATCH('HIC-SOHIC-H2S'!$Z14,'Tables - Part 2'!$AV$6:$AV$13,0),MATCH('HIC-SOHIC-H2S'!$T14,'Tables - Part 2'!$AX$5:$BA$5,0)))/2,0)</f>
        <v>0</v>
      </c>
      <c r="BB14" s="248">
        <f>IF($S14=$BB$3,(((INDEX('Tables - Part 2'!$BF$6:$BI$13,MATCH('HIC-SOHIC-H2S'!$Z14,'Tables - Part 2'!$AV$6:$AV$13,0),MATCH('HIC-SOHIC-H2S'!$T14,'Tables - Part 2'!$AX$5:$BA$5,0))+INDEX('Tables - Part 2'!$AX$17:$BA$24,MATCH('HIC-SOHIC-H2S'!$Z14,'Tables - Part 2'!$AV$6:$AV$13,0),MATCH('HIC-SOHIC-H2S'!$T14,'Tables - Part 2'!$AX$5:$BA$5,0)))/2)+((((INDEX('Tables - Part 2'!$BF$6:$BI$13,MATCH('HIC-SOHIC-H2S'!$Z14,'Tables - Part 2'!$AV$6:$AV$13,0),MATCH('HIC-SOHIC-H2S'!$T14,'Tables - Part 2'!$AX$5:$BA$5,0))+INDEX('Tables - Part 2'!$AX$17:$BA$24,MATCH('HIC-SOHIC-H2S'!$Z14,'Tables - Part 2'!$AV$6:$AV$13,0),MATCH('HIC-SOHIC-H2S'!$T14,'Tables - Part 2'!$AX$5:$BA$5,0)))/2)+INDEX('Tables - Part 2'!$AX$17:$BA$24,MATCH('HIC-SOHIC-H2S'!$Z14,'Tables - Part 2'!$AV$6:$AV$13,0),MATCH('HIC-SOHIC-H2S'!$T14,'Tables - Part 2'!$AX$5:$BA$5,0)))/2))/2,0)</f>
        <v>0</v>
      </c>
      <c r="BC14" s="248">
        <f>IF($S14=$BC$3,(((INDEX('Tables - Part 2'!$BF$6:$BI$13,MATCH('HIC-SOHIC-H2S'!$Z14,'Tables - Part 2'!$AV$6:$AV$13,0),MATCH('HIC-SOHIC-H2S'!$T14,'Tables - Part 2'!$AX$5:$BA$5,0))+INDEX('Tables - Part 2'!$AX$17:$BA$24,MATCH('HIC-SOHIC-H2S'!$Z14,'Tables - Part 2'!$AV$6:$AV$13,0),MATCH('HIC-SOHIC-H2S'!$T14,'Tables - Part 2'!$AX$5:$BA$5,0)))/2)+INDEX('Tables - Part 2'!$AX$17:$BA$24,MATCH('HIC-SOHIC-H2S'!$Z14,'Tables - Part 2'!$AV$6:$AV$13,0),MATCH('HIC-SOHIC-H2S'!$T14,'Tables - Part 2'!$AX$5:$BA$5,0)))/2,0)</f>
        <v>0</v>
      </c>
      <c r="BD14" s="248">
        <f>IF($S14=$BD$3,(((((INDEX('Tables - Part 2'!$BF$6:$BI$13,MATCH('HIC-SOHIC-H2S'!$Z14,'Tables - Part 2'!$AV$6:$AV$13,0),MATCH('HIC-SOHIC-H2S'!$T14,'Tables - Part 2'!$AX$5:$BA$5,0))+INDEX('Tables - Part 2'!$AX$17:$BA$24,MATCH('HIC-SOHIC-H2S'!$Z14,'Tables - Part 2'!$AV$6:$AV$13,0),MATCH('HIC-SOHIC-H2S'!$T14,'Tables - Part 2'!$AX$5:$BA$5,0)))/2)+INDEX('Tables - Part 2'!$AX$17:$BA$24,MATCH('HIC-SOHIC-H2S'!$Z14,'Tables - Part 2'!$AV$6:$AV$13,0),MATCH('HIC-SOHIC-H2S'!$T14,'Tables - Part 2'!$AX$5:$BA$5,0)))/2)+(INDEX('Tables - Part 2'!$AX$17:$BA$24,MATCH('HIC-SOHIC-H2S'!$Z14,'Tables - Part 2'!$AV$6:$AV$13,0),MATCH('HIC-SOHIC-H2S'!$T14,'Tables - Part 2'!$AX$5:$BA$5,0))))/2,0)</f>
        <v>0</v>
      </c>
      <c r="BE14" s="248">
        <f>IF($S14=$BE$3,INDEX('Tables - Part 2'!$AX$17:$BA$24,MATCH('HIC-SOHIC-H2S'!$Z14,'Tables - Part 2'!$AV$6:$AV$13,0),MATCH('HIC-SOHIC-H2S'!$T14,'Tables - Part 2'!$AX$5:$BA$5,0)),0)</f>
        <v>0</v>
      </c>
      <c r="BF14" s="248">
        <f>IF($S14=$BF$3,((INDEX('Tables - Part 2'!$AX$17:$BA$24,MATCH('HIC-SOHIC-H2S'!$Z14,'Tables - Part 2'!$AV$6:$AV$13,0),MATCH('HIC-SOHIC-H2S'!$T14,'Tables - Part 2'!$AX$5:$BA$5,0)))+(((INDEX('Tables - Part 2'!$AX$17:$BA$24,MATCH('HIC-SOHIC-H2S'!$Z14,'Tables - Part 2'!$AV$6:$AV$13,0),MATCH('HIC-SOHIC-H2S'!$T14,'Tables - Part 2'!$AX$5:$BA$5,0)))+(INDEX('Tables - Part 2'!$AX$17:$BA$24,MATCH('HIC-SOHIC-H2S'!$Z14,'Tables - Part 2'!$AV$6:$AV$13,0),MATCH('HIC-SOHIC-H2S'!$T14,'Tables - Part 2'!$AX$5:$BA$5,0))+INDEX('Tables - Part 2'!$BB$17:$BE$24,MATCH('HIC-SOHIC-H2S'!$Z14,'Tables - Part 2'!$AV$6:$AV$13,0),MATCH('HIC-SOHIC-H2S'!$T14,'Tables - Part 2'!$AX$5:$BA$5,0)))/2)/2))/2,0)</f>
        <v>0</v>
      </c>
      <c r="BG14" s="248">
        <f>IF($S14=$BG$3,((INDEX('Tables - Part 2'!$AX$17:$BA$24,MATCH('HIC-SOHIC-H2S'!$Z14,'Tables - Part 2'!$AV$6:$AV$13,0),MATCH('HIC-SOHIC-H2S'!$T14,'Tables - Part 2'!$AX$5:$BA$5,0)))+(INDEX('Tables - Part 2'!$AX$17:$BA$24,MATCH('HIC-SOHIC-H2S'!$Z14,'Tables - Part 2'!$AV$6:$AV$13,0),MATCH('HIC-SOHIC-H2S'!$T14,'Tables - Part 2'!$AX$5:$BA$5,0))+INDEX('Tables - Part 2'!$BB$17:$BE$24,MATCH('HIC-SOHIC-H2S'!$Z14,'Tables - Part 2'!$AV$6:$AV$13,0),MATCH('HIC-SOHIC-H2S'!$T14,'Tables - Part 2'!$AX$5:$BA$5,0)))/2)/2,0)</f>
        <v>0</v>
      </c>
      <c r="BH14" s="248">
        <f>IF($S14=$BH$3,((((INDEX('Tables - Part 2'!$AX$17:$BA$24,MATCH('HIC-SOHIC-H2S'!$Z14,'Tables - Part 2'!$AV$6:$AV$13,0),MATCH('HIC-SOHIC-H2S'!$T14,'Tables - Part 2'!$AX$5:$BA$5,0)))+(INDEX('Tables - Part 2'!$AX$17:$BA$24,MATCH('HIC-SOHIC-H2S'!$Z14,'Tables - Part 2'!$AV$6:$AV$13,0),MATCH('HIC-SOHIC-H2S'!$T14,'Tables - Part 2'!$AX$5:$BA$5,0))+INDEX('Tables - Part 2'!$BB$17:$BE$24,MATCH('HIC-SOHIC-H2S'!$Z14,'Tables - Part 2'!$AV$6:$AV$13,0),MATCH('HIC-SOHIC-H2S'!$T14,'Tables - Part 2'!$AX$5:$BA$5,0)))/2)/2)+((INDEX('Tables - Part 2'!$AX$17:$BA$24,MATCH('HIC-SOHIC-H2S'!$Z14,'Tables - Part 2'!$AV$6:$AV$13,0),MATCH('HIC-SOHIC-H2S'!$T14,'Tables - Part 2'!$AX$5:$BA$5,0))+INDEX('Tables - Part 2'!$BB$17:$BE$24,MATCH('HIC-SOHIC-H2S'!$Z14,'Tables - Part 2'!$AV$6:$AV$13,0),MATCH('HIC-SOHIC-H2S'!$T14,'Tables - Part 2'!$AX$5:$BA$5,0)))/2))/2,0)</f>
        <v>0</v>
      </c>
      <c r="BI14" s="248">
        <f>IF($S14=$BI$3,(INDEX('Tables - Part 2'!$AX$17:$BA$24,MATCH('HIC-SOHIC-H2S'!$Z14,'Tables - Part 2'!$AV$6:$AV$13,0),MATCH('HIC-SOHIC-H2S'!$T14,'Tables - Part 2'!$AX$5:$BA$5,0))+INDEX('Tables - Part 2'!$BB$17:$BE$24,MATCH('HIC-SOHIC-H2S'!$Z14,'Tables - Part 2'!$AV$6:$AV$13,0),MATCH('HIC-SOHIC-H2S'!$T14,'Tables - Part 2'!$AX$5:$BA$5,0)))/2,0)</f>
        <v>0</v>
      </c>
      <c r="BJ14" s="248">
        <f>IF($S14=$BJ$3,(((INDEX('Tables - Part 2'!$AX$17:$BA$24,MATCH('HIC-SOHIC-H2S'!$Z14,'Tables - Part 2'!$AV$6:$AV$13,0),MATCH('HIC-SOHIC-H2S'!$T14,'Tables - Part 2'!$AX$5:$BA$5,0))+INDEX('Tables - Part 2'!$BB$17:$BE$24,MATCH('HIC-SOHIC-H2S'!$Z14,'Tables - Part 2'!$AV$6:$AV$13,0),MATCH('HIC-SOHIC-H2S'!$T14,'Tables - Part 2'!$AX$5:$BA$5,0)))/2)+((((INDEX('Tables - Part 2'!$AX$17:$BA$24,MATCH('HIC-SOHIC-H2S'!$Z14,'Tables - Part 2'!$AV$6:$AV$13,0),MATCH('HIC-SOHIC-H2S'!$T14,'Tables - Part 2'!$AX$5:$BA$5,0))+INDEX('Tables - Part 2'!$BB$17:$BE$24,MATCH('HIC-SOHIC-H2S'!$Z14,'Tables - Part 2'!$AV$6:$AV$13,0),MATCH('HIC-SOHIC-H2S'!$T14,'Tables - Part 2'!$AX$5:$BA$5,0)))/2)+INDEX('Tables - Part 2'!$BB$17:$BE$24,MATCH('HIC-SOHIC-H2S'!$Z14,'Tables - Part 2'!$AV$6:$AV$13,0),MATCH('HIC-SOHIC-H2S'!$T14,'Tables - Part 2'!$AX$5:$BA$5,0)))/2))/2,0)</f>
        <v>0</v>
      </c>
      <c r="BK14" s="248">
        <f>IF($S14=$BK$3,(((INDEX('Tables - Part 2'!$AX$17:$BA$24,MATCH('HIC-SOHIC-H2S'!$Z14,'Tables - Part 2'!$AV$6:$AV$13,0),MATCH('HIC-SOHIC-H2S'!$T14,'Tables - Part 2'!$AX$5:$BA$5,0))+INDEX('Tables - Part 2'!$BB$17:$BE$24,MATCH('HIC-SOHIC-H2S'!$Z14,'Tables - Part 2'!$AV$6:$AV$13,0),MATCH('HIC-SOHIC-H2S'!$T14,'Tables - Part 2'!$AX$5:$BA$5,0)))/2)+INDEX('Tables - Part 2'!$BB$17:$BE$24,MATCH('HIC-SOHIC-H2S'!$Z14,'Tables - Part 2'!$AV$6:$AV$13,0),MATCH('HIC-SOHIC-H2S'!$T14,'Tables - Part 2'!$AX$5:$BA$5,0)))/2,0)</f>
        <v>0</v>
      </c>
      <c r="BL14" s="248">
        <f>IF($S14=$BL$3,(((((INDEX('Tables - Part 2'!$AX$17:$BA$24,MATCH('HIC-SOHIC-H2S'!$Z14,'Tables - Part 2'!$AV$6:$AV$13,0),MATCH('HIC-SOHIC-H2S'!$T14,'Tables - Part 2'!$AX$5:$BA$5,0))+INDEX('Tables - Part 2'!$BB$17:$BE$24,MATCH('HIC-SOHIC-H2S'!$Z14,'Tables - Part 2'!$AV$6:$AV$13,0),MATCH('HIC-SOHIC-H2S'!$T14,'Tables - Part 2'!$AX$5:$BA$5,0)))/2)+INDEX('Tables - Part 2'!$BB$17:$BE$24,MATCH('HIC-SOHIC-H2S'!$Z14,'Tables - Part 2'!$AV$6:$AV$13,0),MATCH('HIC-SOHIC-H2S'!$T14,'Tables - Part 2'!$AX$5:$BA$5,0)))/2)+(INDEX('Tables - Part 2'!$BB$17:$BE$24,MATCH('HIC-SOHIC-H2S'!$Z14,'Tables - Part 2'!$AV$6:$AV$13,0),MATCH('HIC-SOHIC-H2S'!$T14,'Tables - Part 2'!$AX$5:$BA$5,0))))/2,0)</f>
        <v>0</v>
      </c>
      <c r="BM14" s="248">
        <f>IF($S14=$BM$3,INDEX('Tables - Part 2'!$BB$17:$BE$24,MATCH('HIC-SOHIC-H2S'!$Z14,'Tables - Part 2'!$AV$6:$AV$13,0),MATCH('HIC-SOHIC-H2S'!$T14,'Tables - Part 2'!$AX$5:$BA$5,0)),0)</f>
        <v>0</v>
      </c>
      <c r="BN14" s="248">
        <f>IF($S14=$BN$3,((INDEX('Tables - Part 2'!$BB$17:$BE$24,MATCH('HIC-SOHIC-H2S'!$Z14,'Tables - Part 2'!$AV$6:$AV$13,0),MATCH('HIC-SOHIC-H2S'!$T14,'Tables - Part 2'!$AX$5:$BA$5,0)))+(((INDEX('Tables - Part 2'!$BB$17:$BE$24,MATCH('HIC-SOHIC-H2S'!$Z14,'Tables - Part 2'!$AV$6:$AV$13,0),MATCH('HIC-SOHIC-H2S'!$T14,'Tables - Part 2'!$AX$5:$BA$5,0)))+(INDEX('Tables - Part 2'!$BB$17:$BE$24,MATCH('HIC-SOHIC-H2S'!$Z14,'Tables - Part 2'!$AV$6:$AV$13,0),MATCH('HIC-SOHIC-H2S'!$T14,'Tables - Part 2'!$AX$5:$BA$5,0))+INDEX('Tables - Part 2'!$BF$17:$BI$24,MATCH('HIC-SOHIC-H2S'!$Z14,'Tables - Part 2'!$AV$6:$AV$13,0),MATCH('HIC-SOHIC-H2S'!$T14,'Tables - Part 2'!$AX$5:$BA$5,0)))/2)/2))/2,0)</f>
        <v>0</v>
      </c>
      <c r="BO14" s="248">
        <f>IF($S14=$BO$3,((INDEX('Tables - Part 2'!$BB$17:$BE$24,MATCH('HIC-SOHIC-H2S'!$Z14,'Tables - Part 2'!$AV$6:$AV$13,0),MATCH('HIC-SOHIC-H2S'!$T14,'Tables - Part 2'!$AX$5:$BA$5,0)))+(INDEX('Tables - Part 2'!$BB$17:$BE$24,MATCH('HIC-SOHIC-H2S'!$Z14,'Tables - Part 2'!$AV$6:$AV$13,0),MATCH('HIC-SOHIC-H2S'!$T14,'Tables - Part 2'!$AX$5:$BA$5,0))+INDEX('Tables - Part 2'!$BF$17:$BI$24,MATCH('HIC-SOHIC-H2S'!$Z14,'Tables - Part 2'!$AV$6:$AV$13,0),MATCH('HIC-SOHIC-H2S'!$T14,'Tables - Part 2'!$AX$5:$BA$5,0)))/2)/2,0)</f>
        <v>0</v>
      </c>
      <c r="BP14" s="248">
        <f>IF($S14=$BP$3,((((INDEX('Tables - Part 2'!$BB$17:$BE$24,MATCH('HIC-SOHIC-H2S'!$Z14,'Tables - Part 2'!$AV$6:$AV$13,0),MATCH('HIC-SOHIC-H2S'!$T14,'Tables - Part 2'!$AX$5:$BA$5,0)))+(INDEX('Tables - Part 2'!$BB$17:$BE$24,MATCH('HIC-SOHIC-H2S'!$Z14,'Tables - Part 2'!$AV$6:$AV$13,0),MATCH('HIC-SOHIC-H2S'!$T14,'Tables - Part 2'!$AX$5:$BA$5,0))+INDEX('Tables - Part 2'!$BF$17:$BI$24,MATCH('HIC-SOHIC-H2S'!$Z14,'Tables - Part 2'!$AV$6:$AV$13,0),MATCH('HIC-SOHIC-H2S'!$T14,'Tables - Part 2'!$AX$5:$BA$5,0)))/2)/2)+((INDEX('Tables - Part 2'!$BB$17:$BE$24,MATCH('HIC-SOHIC-H2S'!$Z14,'Tables - Part 2'!$AV$6:$AV$13,0),MATCH('HIC-SOHIC-H2S'!$T14,'Tables - Part 2'!$AX$5:$BA$5,0))+INDEX('Tables - Part 2'!$BF$17:$BI$24,MATCH('HIC-SOHIC-H2S'!$Z14,'Tables - Part 2'!$AV$6:$AV$13,0),MATCH('HIC-SOHIC-H2S'!$T14,'Tables - Part 2'!$AX$5:$BA$5,0)))/2))/2,0)</f>
        <v>0</v>
      </c>
      <c r="BQ14" s="248">
        <f>IF($S14=$BQ$3,(INDEX('Tables - Part 2'!$BB$17:$BE$24,MATCH('HIC-SOHIC-H2S'!$Z14,'Tables - Part 2'!$AV$6:$AV$13,0),MATCH('HIC-SOHIC-H2S'!$T14,'Tables - Part 2'!$AX$5:$BA$5,0))+INDEX('Tables - Part 2'!$BF$17:$BI$24,MATCH('HIC-SOHIC-H2S'!$Z14,'Tables - Part 2'!$AV$6:$AV$13,0),MATCH('HIC-SOHIC-H2S'!$T14,'Tables - Part 2'!$AX$5:$BA$5,0)))/2,0)</f>
        <v>0</v>
      </c>
      <c r="BR14" s="248">
        <f>IF($S14=$BR$3,(((INDEX('Tables - Part 2'!$BB$17:$BE$24,MATCH('HIC-SOHIC-H2S'!$Z14,'Tables - Part 2'!$AV$6:$AV$13,0),MATCH('HIC-SOHIC-H2S'!$T14,'Tables - Part 2'!$AX$5:$BA$5,0))+INDEX('Tables - Part 2'!$BF$17:$BI$24,MATCH('HIC-SOHIC-H2S'!$Z14,'Tables - Part 2'!$AV$6:$AV$13,0),MATCH('HIC-SOHIC-H2S'!$T14,'Tables - Part 2'!$AX$5:$BA$5,0)))/2)+((((INDEX('Tables - Part 2'!$BB$17:$BE$24,MATCH('HIC-SOHIC-H2S'!$Z14,'Tables - Part 2'!$AV$6:$AV$13,0),MATCH('HIC-SOHIC-H2S'!$T14,'Tables - Part 2'!$AX$5:$BA$5,0))+INDEX('Tables - Part 2'!$BF$17:$BI$24,MATCH('HIC-SOHIC-H2S'!$Z14,'Tables - Part 2'!$AV$6:$AV$13,0),MATCH('HIC-SOHIC-H2S'!$T14,'Tables - Part 2'!$AX$5:$BA$5,0)))/2)+INDEX('Tables - Part 2'!$BF$17:$BI$24,MATCH('HIC-SOHIC-H2S'!$Z14,'Tables - Part 2'!$AV$6:$AV$13,0),MATCH('HIC-SOHIC-H2S'!$T14,'Tables - Part 2'!$AX$5:$BA$5,0)))/2))/2,0)</f>
        <v>0</v>
      </c>
      <c r="BS14" s="248">
        <f>IF($S14=$BS$3,(((INDEX('Tables - Part 2'!$BB$17:$BE$24,MATCH('HIC-SOHIC-H2S'!$Z14,'Tables - Part 2'!$AV$6:$AV$13,0),MATCH('HIC-SOHIC-H2S'!$T14,'Tables - Part 2'!$AX$5:$BA$5,0))+INDEX('Tables - Part 2'!$BF$17:$BI$24,MATCH('HIC-SOHIC-H2S'!$Z14,'Tables - Part 2'!$AV$6:$AV$13,0),MATCH('HIC-SOHIC-H2S'!$T14,'Tables - Part 2'!$AX$5:$BA$5,0)))/2)+INDEX('Tables - Part 2'!$BF$17:$BI$24,MATCH('HIC-SOHIC-H2S'!$Z14,'Tables - Part 2'!$AV$6:$AV$13,0),MATCH('HIC-SOHIC-H2S'!$T14,'Tables - Part 2'!$AX$5:$BA$5,0)))/2,0)</f>
        <v>0</v>
      </c>
      <c r="BT14" s="248">
        <f>IF($S14=$BT$3,(((((INDEX('Tables - Part 2'!$BB$17:$BE$24,MATCH('HIC-SOHIC-H2S'!$Z14,'Tables - Part 2'!$AV$6:$AV$13,0),MATCH('HIC-SOHIC-H2S'!$T14,'Tables - Part 2'!$AX$5:$BA$5,0))+INDEX('Tables - Part 2'!$BF$17:$BI$24,MATCH('HIC-SOHIC-H2S'!$Z14,'Tables - Part 2'!$AV$6:$AV$13,0),MATCH('HIC-SOHIC-H2S'!$T14,'Tables - Part 2'!$AX$5:$BA$5,0)))/2)+INDEX('Tables - Part 2'!$BF$17:$BI$24,MATCH('HIC-SOHIC-H2S'!$Z14,'Tables - Part 2'!$AV$6:$AV$13,0),MATCH('HIC-SOHIC-H2S'!$T14,'Tables - Part 2'!$AX$5:$BA$5,0)))/2)+(INDEX('Tables - Part 2'!$BF$17:$BI$24,MATCH('HIC-SOHIC-H2S'!$Z14,'Tables - Part 2'!$AV$6:$AV$13,0),MATCH('HIC-SOHIC-H2S'!$T14,'Tables - Part 2'!$AX$5:$BA$5,0))))/2,0)</f>
        <v>0</v>
      </c>
      <c r="BU14" s="248">
        <f>IF($S14=$BU$3,INDEX('Tables - Part 2'!$BF$17:$BI$24,MATCH('HIC-SOHIC-H2S'!$Z14,'Tables - Part 2'!$AV$6:$AV$13,0),MATCH('HIC-SOHIC-H2S'!$T14,'Tables - Part 2'!$AX$5:$BA$5,0)),0)</f>
        <v>0</v>
      </c>
      <c r="BV14" s="248" t="e">
        <f t="shared" si="2"/>
        <v>#N/A</v>
      </c>
      <c r="BW14" s="238" t="e">
        <f t="shared" si="8"/>
        <v>#N/A</v>
      </c>
      <c r="BX14" s="238" t="e">
        <f t="shared" si="9"/>
        <v>#N/A</v>
      </c>
    </row>
    <row r="15" spans="2:89" x14ac:dyDescent="0.35">
      <c r="B15" s="161" t="str">
        <f>'Tratamento de Dados'!B23</f>
        <v>V-5</v>
      </c>
      <c r="C15" s="161" t="str">
        <f>'Tratamento de Dados'!D23</f>
        <v>Casco</v>
      </c>
      <c r="D15" s="209">
        <f>'Tratamento de Dados'!CN23</f>
        <v>0</v>
      </c>
      <c r="E15" s="209">
        <f>'Tratamento de Dados'!CO23</f>
        <v>0</v>
      </c>
      <c r="F15" s="209">
        <f>'Tratamento de Dados'!CP23</f>
        <v>0</v>
      </c>
      <c r="G15" s="209">
        <f>'Tratamento de Dados'!CQ23</f>
        <v>0</v>
      </c>
      <c r="H15" s="209">
        <f>'Tratamento de Dados'!CR23</f>
        <v>0</v>
      </c>
      <c r="I15" s="209">
        <f>'Tratamento de Dados'!CS23</f>
        <v>0</v>
      </c>
      <c r="J15" s="209">
        <f>'Tratamento de Dados'!CT23</f>
        <v>0</v>
      </c>
      <c r="K15" s="209">
        <f>'Tratamento de Dados'!CU23</f>
        <v>0</v>
      </c>
      <c r="L15" s="210">
        <f>'Tratamento de Dados'!CV23</f>
        <v>0</v>
      </c>
      <c r="M15" s="209">
        <f>'Tratamento de Dados'!CW23</f>
        <v>0</v>
      </c>
      <c r="N15" s="209">
        <f>'Tratamento de Dados'!CX23</f>
        <v>0</v>
      </c>
      <c r="O15" s="209">
        <f>'Tratamento de Dados'!CY23</f>
        <v>0</v>
      </c>
      <c r="P15" s="209">
        <f>'Tratamento de Dados'!CZ23</f>
        <v>0</v>
      </c>
      <c r="Q15" s="253">
        <f>'Tratamento de Dados'!DA23</f>
        <v>0</v>
      </c>
      <c r="R15" s="253">
        <f>'Tratamento de Dados'!DB23</f>
        <v>0</v>
      </c>
      <c r="S15" s="256">
        <f t="shared" si="0"/>
        <v>0</v>
      </c>
      <c r="T15" s="246" t="str">
        <f t="shared" si="3"/>
        <v>E</v>
      </c>
      <c r="U15" s="238" t="e">
        <f>IF(D15=$CC$2,$CA$4,IF(AND(H15=$CC$2,OR(F15='Tables - Part 2'!$CE$8,'Tables - Part 2'!$CE$9),OR('HIC-SOHIC-H2S'!G15='Tables - Part 2'!$CH$4,'HIC-SOHIC-H2S'!G15='Tables - Part 2'!$CI$4)),$CA$4,INDEX('Tables - Part 2'!$CF$5:$CI$9,MATCH('HIC-SOHIC-H2S'!F15,'Tables - Part 2'!$CE$5:$CE$9,0),MATCH('HIC-SOHIC-H2S'!G15,'Tables - Part 2'!$CF$4:$CI$4,0))))</f>
        <v>#N/A</v>
      </c>
      <c r="V15" s="238" t="str">
        <f>IF($I15=$V$3,INDEX('Tables - Part 2'!$CL$5:$CM$7,MATCH('HIC-SOHIC-H2S'!$U15,'Tables - Part 2'!$CK$5:$CK$7,0),IF('HIC-SOHIC-H2S'!$J15='HIC-SOHIC-H2S'!$CC$2,2,1)),"")</f>
        <v/>
      </c>
      <c r="W15" s="238" t="str">
        <f>IF($I15=$W$3,INDEX('Tables - Part 2'!$CN$5:$CO$7,MATCH('HIC-SOHIC-H2S'!$U15,'Tables - Part 2'!$CK$5:$CK$7,0),IF('HIC-SOHIC-H2S'!$J15='HIC-SOHIC-H2S'!$CC$2,2,1)),"")</f>
        <v/>
      </c>
      <c r="X15" s="238" t="str">
        <f>IF($I15=$X$3,INDEX('Tables - Part 2'!$CP$5:$CQ$7,MATCH('HIC-SOHIC-H2S'!$U15,'Tables - Part 2'!$CK$5:$CK$7,0),IF('HIC-SOHIC-H2S'!$J15='HIC-SOHIC-H2S'!$CC$2,2,1)),"")</f>
        <v/>
      </c>
      <c r="Y15" s="238" t="str">
        <f t="shared" si="1"/>
        <v/>
      </c>
      <c r="Z15" s="238" t="e">
        <f>IF(AND(D15=$CC$2,E15&lt;&gt;$CC$2),"Fitness-For-Service",INDEX('Tables - Part 2'!$CT$4:$CT$6,MATCH('HIC-SOHIC-H2S'!Y15,'Tables - Part 2'!$CS$4:$CS$6,0),))</f>
        <v>#N/A</v>
      </c>
      <c r="AA15" s="238">
        <f>IF(L15=0,(Thinning!G16-Thinning!F16)/365.25,(Thinning!G16-L15)/365.25)</f>
        <v>5.4757015742642025E-3</v>
      </c>
      <c r="AB15" s="238" t="e">
        <f>INDEX('Tables - Part 2'!$CW$4:$CW$7,MATCH('HIC-SOHIC-H2S'!K15,'Tables - Part 2'!$CV$4:$CV$7,0))</f>
        <v>#N/A</v>
      </c>
      <c r="AC15" s="248">
        <f t="shared" si="4"/>
        <v>0</v>
      </c>
      <c r="AD15" s="248">
        <f t="shared" si="5"/>
        <v>0</v>
      </c>
      <c r="AE15" s="247">
        <f t="shared" si="10"/>
        <v>0</v>
      </c>
      <c r="AF15" s="247">
        <f t="shared" si="7"/>
        <v>0</v>
      </c>
      <c r="AG15" s="248">
        <f>IF($S15=$AG$3,INDEX('Tables - Part 2'!$AX$6:$BA$13,MATCH('HIC-SOHIC-H2S'!Z15,'Tables - Part 2'!$AV$6:$AV$13,0),MATCH('HIC-SOHIC-H2S'!T15,'Tables - Part 2'!$AX$5:$BA$5,0)),0)</f>
        <v>0</v>
      </c>
      <c r="AH15" s="248">
        <f>IF($S15=$AH$3,(INDEX('Tables - Part 2'!$AX$6:$BA$13,MATCH('HIC-SOHIC-H2S'!Z15,'Tables - Part 2'!$AV$6:$AV$13,0),MATCH('HIC-SOHIC-H2S'!T15,'Tables - Part 2'!$AX$5:$BA$5,0))+(INDEX('Tables - Part 2'!$AX$6:$BA$13,MATCH('HIC-SOHIC-H2S'!Z15,'Tables - Part 2'!$AV$6:$AV$13,0),MATCH('HIC-SOHIC-H2S'!T15,'Tables - Part 2'!$AX$5:$BA$5,0))+((INDEX('Tables - Part 2'!$AX$6:$BA$13,MATCH('HIC-SOHIC-H2S'!Z15,'Tables - Part 2'!$AV$6:$AV$13,0),MATCH('HIC-SOHIC-H2S'!T15,'Tables - Part 2'!$AX$5:$BA$5,0))+INDEX('Tables - Part 2'!$BB$6:$BE$13,MATCH('HIC-SOHIC-H2S'!$Z15,'Tables - Part 2'!$AV$6:$AV$13,0),MATCH('HIC-SOHIC-H2S'!$T15,'Tables - Part 2'!$AX$5:$BA$5,0)))/2))/2)/2,0)</f>
        <v>0</v>
      </c>
      <c r="AI15" s="248">
        <f>IF($S15=$AI$3,(INDEX('Tables - Part 2'!$AX$6:$BA$13,MATCH('HIC-SOHIC-H2S'!Z15,'Tables - Part 2'!$AV$6:$AV$13,0),MATCH('HIC-SOHIC-H2S'!T15,'Tables - Part 2'!$AX$5:$BA$5,0))+((INDEX('Tables - Part 2'!$AX$6:$BA$13,MATCH('HIC-SOHIC-H2S'!Z15,'Tables - Part 2'!$AV$6:$AV$13,0),MATCH('HIC-SOHIC-H2S'!T15,'Tables - Part 2'!$AX$5:$BA$5,0))+INDEX('Tables - Part 2'!$BB$6:$BE$13,MATCH('HIC-SOHIC-H2S'!$Z15,'Tables - Part 2'!$AV$6:$AV$13,0),MATCH('HIC-SOHIC-H2S'!$T15,'Tables - Part 2'!$AX$5:$BA$5,0)))/2))/2,0)</f>
        <v>0</v>
      </c>
      <c r="AJ15" s="248">
        <f>IF($S15=$AJ$3,(((INDEX('Tables - Part 2'!$AX$6:$BA$13,MATCH('HIC-SOHIC-H2S'!Z15,'Tables - Part 2'!$AV$6:$AV$13,0),MATCH('HIC-SOHIC-H2S'!T15,'Tables - Part 2'!$AX$5:$BA$5,0))+((INDEX('Tables - Part 2'!$AX$6:$BA$13,MATCH('HIC-SOHIC-H2S'!Z15,'Tables - Part 2'!$AV$6:$AV$13,0),MATCH('HIC-SOHIC-H2S'!T15,'Tables - Part 2'!$AX$5:$BA$5,0))+INDEX('Tables - Part 2'!$BB$6:$BE$13,MATCH('HIC-SOHIC-H2S'!$Z15,'Tables - Part 2'!$AV$6:$AV$13,0),MATCH('HIC-SOHIC-H2S'!$T15,'Tables - Part 2'!$AX$5:$BA$5,0)))/2))/2)+(INDEX('Tables - Part 2'!$AX$6:$BA$13,MATCH('HIC-SOHIC-H2S'!Z15,'Tables - Part 2'!$AV$6:$AV$13,0),MATCH('HIC-SOHIC-H2S'!T15,'Tables - Part 2'!$AX$5:$BA$5,0))+INDEX('Tables - Part 2'!$BB$6:$BE$13,MATCH('HIC-SOHIC-H2S'!$Z15,'Tables - Part 2'!$AV$6:$AV$13,0),MATCH('HIC-SOHIC-H2S'!$T15,'Tables - Part 2'!$AX$5:$BA$5,0)))/2)/2,0)</f>
        <v>0</v>
      </c>
      <c r="AK15" s="248">
        <f>IF($S15=$AK$3,(INDEX('Tables - Part 2'!$AX$6:$BA$13,MATCH('HIC-SOHIC-H2S'!Z15,'Tables - Part 2'!$AV$6:$AV$13,0),MATCH('HIC-SOHIC-H2S'!T15,'Tables - Part 2'!$AX$5:$BA$5,0))+INDEX('Tables - Part 2'!$BB$6:$BE$13,MATCH('HIC-SOHIC-H2S'!$Z15,'Tables - Part 2'!$AV$6:$AV$13,0),MATCH('HIC-SOHIC-H2S'!$T15,'Tables - Part 2'!$AX$5:$BA$5,0)))/2,0)</f>
        <v>0</v>
      </c>
      <c r="AL15" s="248">
        <f>IF($S15=$AL$3,(((INDEX('Tables - Part 2'!$AX$6:$BA$13,MATCH('HIC-SOHIC-H2S'!Z15,'Tables - Part 2'!$AV$6:$AV$13,0),MATCH('HIC-SOHIC-H2S'!T15,'Tables - Part 2'!$AX$5:$BA$5,0))+INDEX('Tables - Part 2'!$BB$6:$BE$13,MATCH('HIC-SOHIC-H2S'!$Z15,'Tables - Part 2'!$AV$6:$AV$13,0),MATCH('HIC-SOHIC-H2S'!$T15,'Tables - Part 2'!$AX$5:$BA$5,0)))/2)+(((INDEX('Tables - Part 2'!$AX$6:$BA$13,MATCH('HIC-SOHIC-H2S'!Z15,'Tables - Part 2'!$AV$6:$AV$13,0),MATCH('HIC-SOHIC-H2S'!T15,'Tables - Part 2'!$AX$5:$BA$5,0))+INDEX('Tables - Part 2'!$BB$6:$BE$13,MATCH('HIC-SOHIC-H2S'!$Z15,'Tables - Part 2'!$AV$6:$AV$13,0),MATCH('HIC-SOHIC-H2S'!$T15,'Tables - Part 2'!$AX$5:$BA$5,0)))/2)+INDEX('Tables - Part 2'!$BB$6:$BE$13,MATCH('HIC-SOHIC-H2S'!$Z15,'Tables - Part 2'!$AV$6:$AV$13,0),MATCH('HIC-SOHIC-H2S'!$T15,'Tables - Part 2'!$AX$5:$BA$5,0)))/2)/2,0)</f>
        <v>0</v>
      </c>
      <c r="AM15" s="248">
        <f>IF($S15=$AM$3,(((INDEX('Tables - Part 2'!$AX$6:$BA$13,MATCH('HIC-SOHIC-H2S'!Z15,'Tables - Part 2'!$AV$6:$AV$13,0),MATCH('HIC-SOHIC-H2S'!T15,'Tables - Part 2'!$AX$5:$BA$5,0))+INDEX('Tables - Part 2'!$BB$6:$BE$13,MATCH('HIC-SOHIC-H2S'!$Z15,'Tables - Part 2'!$AV$6:$AV$13,0),MATCH('HIC-SOHIC-H2S'!$T15,'Tables - Part 2'!$AX$5:$BA$5,0)))/2)+INDEX('Tables - Part 2'!$BB$6:$BE$13,MATCH('HIC-SOHIC-H2S'!$Z15,'Tables - Part 2'!$AV$6:$AV$13,0),MATCH('HIC-SOHIC-H2S'!$T15,'Tables - Part 2'!$AX$5:$BA$5,0)))/2,0)</f>
        <v>0</v>
      </c>
      <c r="AN15" s="248">
        <f>IF($S15=$AN$3,(((((INDEX('Tables - Part 2'!$AX$6:$BA$13,MATCH('HIC-SOHIC-H2S'!Z15,'Tables - Part 2'!$AV$6:$AV$13,0),MATCH('HIC-SOHIC-H2S'!T15,'Tables - Part 2'!$AX$5:$BA$5,0))+INDEX('Tables - Part 2'!$BB$6:$BE$13,MATCH('HIC-SOHIC-H2S'!$Z15,'Tables - Part 2'!$AV$6:$AV$13,0),MATCH('HIC-SOHIC-H2S'!$T15,'Tables - Part 2'!$AX$5:$BA$5,0)))/2)+INDEX('Tables - Part 2'!$BB$6:$BE$13,MATCH('HIC-SOHIC-H2S'!$Z15,'Tables - Part 2'!$AV$6:$AV$13,0),MATCH('HIC-SOHIC-H2S'!$T15,'Tables - Part 2'!$AX$5:$BA$5,0)))/2)+INDEX('Tables - Part 2'!$BB$6:$BE$13,MATCH('HIC-SOHIC-H2S'!$Z15,'Tables - Part 2'!$AV$6:$AV$13,0),MATCH('HIC-SOHIC-H2S'!$T15,'Tables - Part 2'!$AX$5:$BA$5,0)))/2,0)</f>
        <v>0</v>
      </c>
      <c r="AO15" s="248">
        <f>IF($S15=$AO$3,INDEX('Tables - Part 2'!$BB$6:$BE$13,MATCH('HIC-SOHIC-H2S'!$Z15,'Tables - Part 2'!$AV$6:$AV$13,0),MATCH('HIC-SOHIC-H2S'!$T15,'Tables - Part 2'!$AX$5:$BA$5,0)),0)</f>
        <v>0</v>
      </c>
      <c r="AP15" s="248">
        <f>IF($S15=$AP$3,((INDEX('Tables - Part 2'!$BB$6:$BE$13,MATCH('HIC-SOHIC-H2S'!$Z15,'Tables - Part 2'!$AV$6:$AV$13,0),MATCH('HIC-SOHIC-H2S'!$T15,'Tables - Part 2'!$AX$5:$BA$5,0)))+(INDEX('Tables - Part 2'!$BB$6:$BE$13,MATCH('HIC-SOHIC-H2S'!$Z15,'Tables - Part 2'!$AV$6:$AV$13,0),MATCH('HIC-SOHIC-H2S'!$T15,'Tables - Part 2'!$AX$5:$BA$5,0))+(INDEX('Tables - Part 2'!$BB$6:$BE$13,MATCH('HIC-SOHIC-H2S'!$Z15,'Tables - Part 2'!$AV$6:$AV$13,0),MATCH('HIC-SOHIC-H2S'!$T15,'Tables - Part 2'!$AX$5:$BA$5,0))+INDEX('Tables - Part 2'!$BF$6:$BI$13,MATCH('HIC-SOHIC-H2S'!$Z15,'Tables - Part 2'!$AV$6:$AV$13,0),MATCH('HIC-SOHIC-H2S'!$T15,'Tables - Part 2'!$AX$5:$BA$5,0)))/2)/2)/2,0)</f>
        <v>0</v>
      </c>
      <c r="AQ15" s="248">
        <f>IF($S15=$AQ$3,(INDEX('Tables - Part 2'!$BB$6:$BE$13,MATCH('HIC-SOHIC-H2S'!$Z15,'Tables - Part 2'!$AV$6:$AV$13,0),MATCH('HIC-SOHIC-H2S'!$T15,'Tables - Part 2'!$AX$5:$BA$5,0))+(INDEX('Tables - Part 2'!$BB$6:$BE$13,MATCH('HIC-SOHIC-H2S'!$Z15,'Tables - Part 2'!$AV$6:$AV$13,0),MATCH('HIC-SOHIC-H2S'!$T15,'Tables - Part 2'!$AX$5:$BA$5,0))+INDEX('Tables - Part 2'!$BF$6:$BI$13,MATCH('HIC-SOHIC-H2S'!$Z15,'Tables - Part 2'!$AV$6:$AV$13,0),MATCH('HIC-SOHIC-H2S'!$T15,'Tables - Part 2'!$AX$5:$BA$5,0)))/2)/2,0)</f>
        <v>0</v>
      </c>
      <c r="AR15" s="248">
        <f>IF($S15=$AR$3,(((INDEX('Tables - Part 2'!$BB$6:$BE$13,MATCH('HIC-SOHIC-H2S'!$Z15,'Tables - Part 2'!$AV$6:$AV$13,0),MATCH('HIC-SOHIC-H2S'!$T15,'Tables - Part 2'!$AX$5:$BA$5,0))+(INDEX('Tables - Part 2'!$BB$6:$BE$13,MATCH('HIC-SOHIC-H2S'!$Z15,'Tables - Part 2'!$AV$6:$AV$13,0),MATCH('HIC-SOHIC-H2S'!$T15,'Tables - Part 2'!$AX$5:$BA$5,0))+INDEX('Tables - Part 2'!$BF$6:$BI$13,MATCH('HIC-SOHIC-H2S'!$Z15,'Tables - Part 2'!$AV$6:$AV$13,0),MATCH('HIC-SOHIC-H2S'!$T15,'Tables - Part 2'!$AX$5:$BA$5,0)))/2)/2)+((INDEX('Tables - Part 2'!$BB$6:$BE$13,MATCH('HIC-SOHIC-H2S'!$Z15,'Tables - Part 2'!$AV$6:$AV$13,0),MATCH('HIC-SOHIC-H2S'!$T15,'Tables - Part 2'!$AX$5:$BA$5,0))+INDEX('Tables - Part 2'!$BF$6:$BI$13,MATCH('HIC-SOHIC-H2S'!$Z15,'Tables - Part 2'!$AV$6:$AV$13,0),MATCH('HIC-SOHIC-H2S'!$T15,'Tables - Part 2'!$AX$5:$BA$5,0)))/2))/2,0)</f>
        <v>0</v>
      </c>
      <c r="AS15" s="248">
        <f>IF($S15=$AS$3,(INDEX('Tables - Part 2'!$BB$6:$BE$13,MATCH('HIC-SOHIC-H2S'!$Z15,'Tables - Part 2'!$AV$6:$AV$13,0),MATCH('HIC-SOHIC-H2S'!$T15,'Tables - Part 2'!$AX$5:$BA$5,0))+INDEX('Tables - Part 2'!$BF$6:$BI$13,MATCH('HIC-SOHIC-H2S'!$Z15,'Tables - Part 2'!$AV$6:$AV$13,0),MATCH('HIC-SOHIC-H2S'!$T15,'Tables - Part 2'!$AX$5:$BA$5,0)))/2,0)</f>
        <v>0</v>
      </c>
      <c r="AT15" s="248">
        <f>IF($S15=$AT$3,(((INDEX('Tables - Part 2'!$BB$6:$BE$13,MATCH('HIC-SOHIC-H2S'!$Z15,'Tables - Part 2'!$AV$6:$AV$13,0),MATCH('HIC-SOHIC-H2S'!$T15,'Tables - Part 2'!$AX$5:$BA$5,0))+INDEX('Tables - Part 2'!$BF$6:$BI$13,MATCH('HIC-SOHIC-H2S'!$Z15,'Tables - Part 2'!$AV$6:$AV$13,0),MATCH('HIC-SOHIC-H2S'!$T15,'Tables - Part 2'!$AX$5:$BA$5,0)))/2)+((((INDEX('Tables - Part 2'!$BB$6:$BE$13,MATCH('HIC-SOHIC-H2S'!$Z15,'Tables - Part 2'!$AV$6:$AV$13,0),MATCH('HIC-SOHIC-H2S'!$T15,'Tables - Part 2'!$AX$5:$BA$5,0))+INDEX('Tables - Part 2'!$BF$6:$BI$13,MATCH('HIC-SOHIC-H2S'!$Z15,'Tables - Part 2'!$AV$6:$AV$13,0),MATCH('HIC-SOHIC-H2S'!$T15,'Tables - Part 2'!$AX$5:$BA$5,0)))/2)+INDEX('Tables - Part 2'!$BF$6:$BI$13,MATCH('HIC-SOHIC-H2S'!$Z15,'Tables - Part 2'!$AV$6:$AV$13,0),MATCH('HIC-SOHIC-H2S'!$T15,'Tables - Part 2'!$AX$5:$BA$5,0)))/2))/2,0)</f>
        <v>0</v>
      </c>
      <c r="AU15" s="248">
        <f>IF($S15=$AU$3,(((INDEX('Tables - Part 2'!$BB$6:$BE$13,MATCH('HIC-SOHIC-H2S'!$Z15,'Tables - Part 2'!$AV$6:$AV$13,0),MATCH('HIC-SOHIC-H2S'!$T15,'Tables - Part 2'!$AX$5:$BA$5,0))+INDEX('Tables - Part 2'!$BF$6:$BI$13,MATCH('HIC-SOHIC-H2S'!$Z15,'Tables - Part 2'!$AV$6:$AV$13,0),MATCH('HIC-SOHIC-H2S'!$T15,'Tables - Part 2'!$AX$5:$BA$5,0)))/2)+INDEX('Tables - Part 2'!$BF$6:$BI$13,MATCH('HIC-SOHIC-H2S'!$Z15,'Tables - Part 2'!$AV$6:$AV$13,0),MATCH('HIC-SOHIC-H2S'!$T15,'Tables - Part 2'!$AX$5:$BA$5,0)))/2,0)</f>
        <v>0</v>
      </c>
      <c r="AV15" s="248">
        <f>IF($S15=$AV$3,(((((INDEX('Tables - Part 2'!$BB$6:$BE$13,MATCH('HIC-SOHIC-H2S'!$Z15,'Tables - Part 2'!$AV$6:$AV$13,0),MATCH('HIC-SOHIC-H2S'!$T15,'Tables - Part 2'!$AX$5:$BA$5,0))+INDEX('Tables - Part 2'!$BF$6:$BI$13,MATCH('HIC-SOHIC-H2S'!$Z15,'Tables - Part 2'!$AV$6:$AV$13,0),MATCH('HIC-SOHIC-H2S'!$T15,'Tables - Part 2'!$AX$5:$BA$5,0)))/2)+INDEX('Tables - Part 2'!$BF$6:$BI$13,MATCH('HIC-SOHIC-H2S'!$Z15,'Tables - Part 2'!$AV$6:$AV$13,0),MATCH('HIC-SOHIC-H2S'!$T15,'Tables - Part 2'!$AX$5:$BA$5,0)))/2)+INDEX('Tables - Part 2'!$BF$6:$BI$13,MATCH('HIC-SOHIC-H2S'!$Z15,'Tables - Part 2'!$AV$6:$AV$13,0),MATCH('HIC-SOHIC-H2S'!$T15,'Tables - Part 2'!$AX$5:$BA$5,0)))/2,0)</f>
        <v>0</v>
      </c>
      <c r="AW15" s="248">
        <f>IF($S15=$AW$3,INDEX('Tables - Part 2'!$BF$6:$BI$13,MATCH('HIC-SOHIC-H2S'!$Z15,'Tables - Part 2'!$AV$6:$AV$13,0),MATCH('HIC-SOHIC-H2S'!$T15,'Tables - Part 2'!$AX$5:$BA$5,0)),0)</f>
        <v>0</v>
      </c>
      <c r="AX15" s="248">
        <f>IF($S15=$AX$3,(INDEX('Tables - Part 2'!$BF$6:$BI$13,MATCH('HIC-SOHIC-H2S'!$Z15,'Tables - Part 2'!$AV$6:$AV$13,0),MATCH('HIC-SOHIC-H2S'!$T15,'Tables - Part 2'!$AX$5:$BA$5,0))+((INDEX('Tables - Part 2'!$BF$6:$BI$13,MATCH('HIC-SOHIC-H2S'!$Z15,'Tables - Part 2'!$AV$6:$AV$13,0),MATCH('HIC-SOHIC-H2S'!$T15,'Tables - Part 2'!$AX$5:$BA$5,0))+(INDEX('Tables - Part 2'!$BF$6:$BI$13,MATCH('HIC-SOHIC-H2S'!$Z15,'Tables - Part 2'!$AV$6:$AV$13,0),MATCH('HIC-SOHIC-H2S'!$T15,'Tables - Part 2'!$AX$5:$BA$5,0))+INDEX('Tables - Part 2'!$AX$17:$BA$24,MATCH('HIC-SOHIC-H2S'!$Z15,'Tables - Part 2'!$AV$6:$AV$13,0),MATCH('HIC-SOHIC-H2S'!$T15,'Tables - Part 2'!$AX$5:$BA$5,0)))/2)/2))/2,0)</f>
        <v>0</v>
      </c>
      <c r="AY15" s="248">
        <f>IF($S15=$AY$3,(INDEX('Tables - Part 2'!$BF$6:$BI$13,MATCH('HIC-SOHIC-H2S'!$Z15,'Tables - Part 2'!$AV$6:$AV$13,0),MATCH('HIC-SOHIC-H2S'!$T15,'Tables - Part 2'!$AX$5:$BA$5,0))+(INDEX('Tables - Part 2'!$BF$6:$BI$13,MATCH('HIC-SOHIC-H2S'!$Z15,'Tables - Part 2'!$AV$6:$AV$13,0),MATCH('HIC-SOHIC-H2S'!$T15,'Tables - Part 2'!$AX$5:$BA$5,0))+INDEX('Tables - Part 2'!$AX$17:$BA$24,MATCH('HIC-SOHIC-H2S'!$Z15,'Tables - Part 2'!$AV$6:$AV$13,0),MATCH('HIC-SOHIC-H2S'!$T15,'Tables - Part 2'!$AX$5:$BA$5,0)))/2)/2,0)</f>
        <v>0</v>
      </c>
      <c r="AZ15" s="248">
        <f>IF($S15=$AZ$3,(((INDEX('Tables - Part 2'!$BF$6:$BI$13,MATCH('HIC-SOHIC-H2S'!$Z15,'Tables - Part 2'!$AV$6:$AV$13,0),MATCH('HIC-SOHIC-H2S'!$T15,'Tables - Part 2'!$AX$5:$BA$5,0))+(INDEX('Tables - Part 2'!$BF$6:$BI$13,MATCH('HIC-SOHIC-H2S'!$Z15,'Tables - Part 2'!$AV$6:$AV$13,0),MATCH('HIC-SOHIC-H2S'!$T15,'Tables - Part 2'!$AX$5:$BA$5,0))+INDEX('Tables - Part 2'!$AX$17:$BA$24,MATCH('HIC-SOHIC-H2S'!$Z15,'Tables - Part 2'!$AV$6:$AV$13,0),MATCH('HIC-SOHIC-H2S'!$T15,'Tables - Part 2'!$AX$5:$BA$5,0)))/2)/2)+((INDEX('Tables - Part 2'!$BF$6:$BI$13,MATCH('HIC-SOHIC-H2S'!$Z15,'Tables - Part 2'!$AV$6:$AV$13,0),MATCH('HIC-SOHIC-H2S'!$T15,'Tables - Part 2'!$AX$5:$BA$5,0))+INDEX('Tables - Part 2'!$AX$17:$BA$24,MATCH('HIC-SOHIC-H2S'!$Z15,'Tables - Part 2'!$AV$6:$AV$13,0),MATCH('HIC-SOHIC-H2S'!$T15,'Tables - Part 2'!$AX$5:$BA$5,0)))/2))/2,0)</f>
        <v>0</v>
      </c>
      <c r="BA15" s="248">
        <f>IF($S15=$BA$3,(INDEX('Tables - Part 2'!$BF$6:$BI$13,MATCH('HIC-SOHIC-H2S'!$Z15,'Tables - Part 2'!$AV$6:$AV$13,0),MATCH('HIC-SOHIC-H2S'!$T15,'Tables - Part 2'!$AX$5:$BA$5,0))+INDEX('Tables - Part 2'!$AX$17:$BA$24,MATCH('HIC-SOHIC-H2S'!$Z15,'Tables - Part 2'!$AV$6:$AV$13,0),MATCH('HIC-SOHIC-H2S'!$T15,'Tables - Part 2'!$AX$5:$BA$5,0)))/2,0)</f>
        <v>0</v>
      </c>
      <c r="BB15" s="248">
        <f>IF($S15=$BB$3,(((INDEX('Tables - Part 2'!$BF$6:$BI$13,MATCH('HIC-SOHIC-H2S'!$Z15,'Tables - Part 2'!$AV$6:$AV$13,0),MATCH('HIC-SOHIC-H2S'!$T15,'Tables - Part 2'!$AX$5:$BA$5,0))+INDEX('Tables - Part 2'!$AX$17:$BA$24,MATCH('HIC-SOHIC-H2S'!$Z15,'Tables - Part 2'!$AV$6:$AV$13,0),MATCH('HIC-SOHIC-H2S'!$T15,'Tables - Part 2'!$AX$5:$BA$5,0)))/2)+((((INDEX('Tables - Part 2'!$BF$6:$BI$13,MATCH('HIC-SOHIC-H2S'!$Z15,'Tables - Part 2'!$AV$6:$AV$13,0),MATCH('HIC-SOHIC-H2S'!$T15,'Tables - Part 2'!$AX$5:$BA$5,0))+INDEX('Tables - Part 2'!$AX$17:$BA$24,MATCH('HIC-SOHIC-H2S'!$Z15,'Tables - Part 2'!$AV$6:$AV$13,0),MATCH('HIC-SOHIC-H2S'!$T15,'Tables - Part 2'!$AX$5:$BA$5,0)))/2)+INDEX('Tables - Part 2'!$AX$17:$BA$24,MATCH('HIC-SOHIC-H2S'!$Z15,'Tables - Part 2'!$AV$6:$AV$13,0),MATCH('HIC-SOHIC-H2S'!$T15,'Tables - Part 2'!$AX$5:$BA$5,0)))/2))/2,0)</f>
        <v>0</v>
      </c>
      <c r="BC15" s="248">
        <f>IF($S15=$BC$3,(((INDEX('Tables - Part 2'!$BF$6:$BI$13,MATCH('HIC-SOHIC-H2S'!$Z15,'Tables - Part 2'!$AV$6:$AV$13,0),MATCH('HIC-SOHIC-H2S'!$T15,'Tables - Part 2'!$AX$5:$BA$5,0))+INDEX('Tables - Part 2'!$AX$17:$BA$24,MATCH('HIC-SOHIC-H2S'!$Z15,'Tables - Part 2'!$AV$6:$AV$13,0),MATCH('HIC-SOHIC-H2S'!$T15,'Tables - Part 2'!$AX$5:$BA$5,0)))/2)+INDEX('Tables - Part 2'!$AX$17:$BA$24,MATCH('HIC-SOHIC-H2S'!$Z15,'Tables - Part 2'!$AV$6:$AV$13,0),MATCH('HIC-SOHIC-H2S'!$T15,'Tables - Part 2'!$AX$5:$BA$5,0)))/2,0)</f>
        <v>0</v>
      </c>
      <c r="BD15" s="248">
        <f>IF($S15=$BD$3,(((((INDEX('Tables - Part 2'!$BF$6:$BI$13,MATCH('HIC-SOHIC-H2S'!$Z15,'Tables - Part 2'!$AV$6:$AV$13,0),MATCH('HIC-SOHIC-H2S'!$T15,'Tables - Part 2'!$AX$5:$BA$5,0))+INDEX('Tables - Part 2'!$AX$17:$BA$24,MATCH('HIC-SOHIC-H2S'!$Z15,'Tables - Part 2'!$AV$6:$AV$13,0),MATCH('HIC-SOHIC-H2S'!$T15,'Tables - Part 2'!$AX$5:$BA$5,0)))/2)+INDEX('Tables - Part 2'!$AX$17:$BA$24,MATCH('HIC-SOHIC-H2S'!$Z15,'Tables - Part 2'!$AV$6:$AV$13,0),MATCH('HIC-SOHIC-H2S'!$T15,'Tables - Part 2'!$AX$5:$BA$5,0)))/2)+(INDEX('Tables - Part 2'!$AX$17:$BA$24,MATCH('HIC-SOHIC-H2S'!$Z15,'Tables - Part 2'!$AV$6:$AV$13,0),MATCH('HIC-SOHIC-H2S'!$T15,'Tables - Part 2'!$AX$5:$BA$5,0))))/2,0)</f>
        <v>0</v>
      </c>
      <c r="BE15" s="248">
        <f>IF($S15=$BE$3,INDEX('Tables - Part 2'!$AX$17:$BA$24,MATCH('HIC-SOHIC-H2S'!$Z15,'Tables - Part 2'!$AV$6:$AV$13,0),MATCH('HIC-SOHIC-H2S'!$T15,'Tables - Part 2'!$AX$5:$BA$5,0)),0)</f>
        <v>0</v>
      </c>
      <c r="BF15" s="248">
        <f>IF($S15=$BF$3,((INDEX('Tables - Part 2'!$AX$17:$BA$24,MATCH('HIC-SOHIC-H2S'!$Z15,'Tables - Part 2'!$AV$6:$AV$13,0),MATCH('HIC-SOHIC-H2S'!$T15,'Tables - Part 2'!$AX$5:$BA$5,0)))+(((INDEX('Tables - Part 2'!$AX$17:$BA$24,MATCH('HIC-SOHIC-H2S'!$Z15,'Tables - Part 2'!$AV$6:$AV$13,0),MATCH('HIC-SOHIC-H2S'!$T15,'Tables - Part 2'!$AX$5:$BA$5,0)))+(INDEX('Tables - Part 2'!$AX$17:$BA$24,MATCH('HIC-SOHIC-H2S'!$Z15,'Tables - Part 2'!$AV$6:$AV$13,0),MATCH('HIC-SOHIC-H2S'!$T15,'Tables - Part 2'!$AX$5:$BA$5,0))+INDEX('Tables - Part 2'!$BB$17:$BE$24,MATCH('HIC-SOHIC-H2S'!$Z15,'Tables - Part 2'!$AV$6:$AV$13,0),MATCH('HIC-SOHIC-H2S'!$T15,'Tables - Part 2'!$AX$5:$BA$5,0)))/2)/2))/2,0)</f>
        <v>0</v>
      </c>
      <c r="BG15" s="248">
        <f>IF($S15=$BG$3,((INDEX('Tables - Part 2'!$AX$17:$BA$24,MATCH('HIC-SOHIC-H2S'!$Z15,'Tables - Part 2'!$AV$6:$AV$13,0),MATCH('HIC-SOHIC-H2S'!$T15,'Tables - Part 2'!$AX$5:$BA$5,0)))+(INDEX('Tables - Part 2'!$AX$17:$BA$24,MATCH('HIC-SOHIC-H2S'!$Z15,'Tables - Part 2'!$AV$6:$AV$13,0),MATCH('HIC-SOHIC-H2S'!$T15,'Tables - Part 2'!$AX$5:$BA$5,0))+INDEX('Tables - Part 2'!$BB$17:$BE$24,MATCH('HIC-SOHIC-H2S'!$Z15,'Tables - Part 2'!$AV$6:$AV$13,0),MATCH('HIC-SOHIC-H2S'!$T15,'Tables - Part 2'!$AX$5:$BA$5,0)))/2)/2,0)</f>
        <v>0</v>
      </c>
      <c r="BH15" s="248">
        <f>IF($S15=$BH$3,((((INDEX('Tables - Part 2'!$AX$17:$BA$24,MATCH('HIC-SOHIC-H2S'!$Z15,'Tables - Part 2'!$AV$6:$AV$13,0),MATCH('HIC-SOHIC-H2S'!$T15,'Tables - Part 2'!$AX$5:$BA$5,0)))+(INDEX('Tables - Part 2'!$AX$17:$BA$24,MATCH('HIC-SOHIC-H2S'!$Z15,'Tables - Part 2'!$AV$6:$AV$13,0),MATCH('HIC-SOHIC-H2S'!$T15,'Tables - Part 2'!$AX$5:$BA$5,0))+INDEX('Tables - Part 2'!$BB$17:$BE$24,MATCH('HIC-SOHIC-H2S'!$Z15,'Tables - Part 2'!$AV$6:$AV$13,0),MATCH('HIC-SOHIC-H2S'!$T15,'Tables - Part 2'!$AX$5:$BA$5,0)))/2)/2)+((INDEX('Tables - Part 2'!$AX$17:$BA$24,MATCH('HIC-SOHIC-H2S'!$Z15,'Tables - Part 2'!$AV$6:$AV$13,0),MATCH('HIC-SOHIC-H2S'!$T15,'Tables - Part 2'!$AX$5:$BA$5,0))+INDEX('Tables - Part 2'!$BB$17:$BE$24,MATCH('HIC-SOHIC-H2S'!$Z15,'Tables - Part 2'!$AV$6:$AV$13,0),MATCH('HIC-SOHIC-H2S'!$T15,'Tables - Part 2'!$AX$5:$BA$5,0)))/2))/2,0)</f>
        <v>0</v>
      </c>
      <c r="BI15" s="248">
        <f>IF($S15=$BI$3,(INDEX('Tables - Part 2'!$AX$17:$BA$24,MATCH('HIC-SOHIC-H2S'!$Z15,'Tables - Part 2'!$AV$6:$AV$13,0),MATCH('HIC-SOHIC-H2S'!$T15,'Tables - Part 2'!$AX$5:$BA$5,0))+INDEX('Tables - Part 2'!$BB$17:$BE$24,MATCH('HIC-SOHIC-H2S'!$Z15,'Tables - Part 2'!$AV$6:$AV$13,0),MATCH('HIC-SOHIC-H2S'!$T15,'Tables - Part 2'!$AX$5:$BA$5,0)))/2,0)</f>
        <v>0</v>
      </c>
      <c r="BJ15" s="248">
        <f>IF($S15=$BJ$3,(((INDEX('Tables - Part 2'!$AX$17:$BA$24,MATCH('HIC-SOHIC-H2S'!$Z15,'Tables - Part 2'!$AV$6:$AV$13,0),MATCH('HIC-SOHIC-H2S'!$T15,'Tables - Part 2'!$AX$5:$BA$5,0))+INDEX('Tables - Part 2'!$BB$17:$BE$24,MATCH('HIC-SOHIC-H2S'!$Z15,'Tables - Part 2'!$AV$6:$AV$13,0),MATCH('HIC-SOHIC-H2S'!$T15,'Tables - Part 2'!$AX$5:$BA$5,0)))/2)+((((INDEX('Tables - Part 2'!$AX$17:$BA$24,MATCH('HIC-SOHIC-H2S'!$Z15,'Tables - Part 2'!$AV$6:$AV$13,0),MATCH('HIC-SOHIC-H2S'!$T15,'Tables - Part 2'!$AX$5:$BA$5,0))+INDEX('Tables - Part 2'!$BB$17:$BE$24,MATCH('HIC-SOHIC-H2S'!$Z15,'Tables - Part 2'!$AV$6:$AV$13,0),MATCH('HIC-SOHIC-H2S'!$T15,'Tables - Part 2'!$AX$5:$BA$5,0)))/2)+INDEX('Tables - Part 2'!$BB$17:$BE$24,MATCH('HIC-SOHIC-H2S'!$Z15,'Tables - Part 2'!$AV$6:$AV$13,0),MATCH('HIC-SOHIC-H2S'!$T15,'Tables - Part 2'!$AX$5:$BA$5,0)))/2))/2,0)</f>
        <v>0</v>
      </c>
      <c r="BK15" s="248">
        <f>IF($S15=$BK$3,(((INDEX('Tables - Part 2'!$AX$17:$BA$24,MATCH('HIC-SOHIC-H2S'!$Z15,'Tables - Part 2'!$AV$6:$AV$13,0),MATCH('HIC-SOHIC-H2S'!$T15,'Tables - Part 2'!$AX$5:$BA$5,0))+INDEX('Tables - Part 2'!$BB$17:$BE$24,MATCH('HIC-SOHIC-H2S'!$Z15,'Tables - Part 2'!$AV$6:$AV$13,0),MATCH('HIC-SOHIC-H2S'!$T15,'Tables - Part 2'!$AX$5:$BA$5,0)))/2)+INDEX('Tables - Part 2'!$BB$17:$BE$24,MATCH('HIC-SOHIC-H2S'!$Z15,'Tables - Part 2'!$AV$6:$AV$13,0),MATCH('HIC-SOHIC-H2S'!$T15,'Tables - Part 2'!$AX$5:$BA$5,0)))/2,0)</f>
        <v>0</v>
      </c>
      <c r="BL15" s="248">
        <f>IF($S15=$BL$3,(((((INDEX('Tables - Part 2'!$AX$17:$BA$24,MATCH('HIC-SOHIC-H2S'!$Z15,'Tables - Part 2'!$AV$6:$AV$13,0),MATCH('HIC-SOHIC-H2S'!$T15,'Tables - Part 2'!$AX$5:$BA$5,0))+INDEX('Tables - Part 2'!$BB$17:$BE$24,MATCH('HIC-SOHIC-H2S'!$Z15,'Tables - Part 2'!$AV$6:$AV$13,0),MATCH('HIC-SOHIC-H2S'!$T15,'Tables - Part 2'!$AX$5:$BA$5,0)))/2)+INDEX('Tables - Part 2'!$BB$17:$BE$24,MATCH('HIC-SOHIC-H2S'!$Z15,'Tables - Part 2'!$AV$6:$AV$13,0),MATCH('HIC-SOHIC-H2S'!$T15,'Tables - Part 2'!$AX$5:$BA$5,0)))/2)+(INDEX('Tables - Part 2'!$BB$17:$BE$24,MATCH('HIC-SOHIC-H2S'!$Z15,'Tables - Part 2'!$AV$6:$AV$13,0),MATCH('HIC-SOHIC-H2S'!$T15,'Tables - Part 2'!$AX$5:$BA$5,0))))/2,0)</f>
        <v>0</v>
      </c>
      <c r="BM15" s="248">
        <f>IF($S15=$BM$3,INDEX('Tables - Part 2'!$BB$17:$BE$24,MATCH('HIC-SOHIC-H2S'!$Z15,'Tables - Part 2'!$AV$6:$AV$13,0),MATCH('HIC-SOHIC-H2S'!$T15,'Tables - Part 2'!$AX$5:$BA$5,0)),0)</f>
        <v>0</v>
      </c>
      <c r="BN15" s="248">
        <f>IF($S15=$BN$3,((INDEX('Tables - Part 2'!$BB$17:$BE$24,MATCH('HIC-SOHIC-H2S'!$Z15,'Tables - Part 2'!$AV$6:$AV$13,0),MATCH('HIC-SOHIC-H2S'!$T15,'Tables - Part 2'!$AX$5:$BA$5,0)))+(((INDEX('Tables - Part 2'!$BB$17:$BE$24,MATCH('HIC-SOHIC-H2S'!$Z15,'Tables - Part 2'!$AV$6:$AV$13,0),MATCH('HIC-SOHIC-H2S'!$T15,'Tables - Part 2'!$AX$5:$BA$5,0)))+(INDEX('Tables - Part 2'!$BB$17:$BE$24,MATCH('HIC-SOHIC-H2S'!$Z15,'Tables - Part 2'!$AV$6:$AV$13,0),MATCH('HIC-SOHIC-H2S'!$T15,'Tables - Part 2'!$AX$5:$BA$5,0))+INDEX('Tables - Part 2'!$BF$17:$BI$24,MATCH('HIC-SOHIC-H2S'!$Z15,'Tables - Part 2'!$AV$6:$AV$13,0),MATCH('HIC-SOHIC-H2S'!$T15,'Tables - Part 2'!$AX$5:$BA$5,0)))/2)/2))/2,0)</f>
        <v>0</v>
      </c>
      <c r="BO15" s="248">
        <f>IF($S15=$BO$3,((INDEX('Tables - Part 2'!$BB$17:$BE$24,MATCH('HIC-SOHIC-H2S'!$Z15,'Tables - Part 2'!$AV$6:$AV$13,0),MATCH('HIC-SOHIC-H2S'!$T15,'Tables - Part 2'!$AX$5:$BA$5,0)))+(INDEX('Tables - Part 2'!$BB$17:$BE$24,MATCH('HIC-SOHIC-H2S'!$Z15,'Tables - Part 2'!$AV$6:$AV$13,0),MATCH('HIC-SOHIC-H2S'!$T15,'Tables - Part 2'!$AX$5:$BA$5,0))+INDEX('Tables - Part 2'!$BF$17:$BI$24,MATCH('HIC-SOHIC-H2S'!$Z15,'Tables - Part 2'!$AV$6:$AV$13,0),MATCH('HIC-SOHIC-H2S'!$T15,'Tables - Part 2'!$AX$5:$BA$5,0)))/2)/2,0)</f>
        <v>0</v>
      </c>
      <c r="BP15" s="248">
        <f>IF($S15=$BP$3,((((INDEX('Tables - Part 2'!$BB$17:$BE$24,MATCH('HIC-SOHIC-H2S'!$Z15,'Tables - Part 2'!$AV$6:$AV$13,0),MATCH('HIC-SOHIC-H2S'!$T15,'Tables - Part 2'!$AX$5:$BA$5,0)))+(INDEX('Tables - Part 2'!$BB$17:$BE$24,MATCH('HIC-SOHIC-H2S'!$Z15,'Tables - Part 2'!$AV$6:$AV$13,0),MATCH('HIC-SOHIC-H2S'!$T15,'Tables - Part 2'!$AX$5:$BA$5,0))+INDEX('Tables - Part 2'!$BF$17:$BI$24,MATCH('HIC-SOHIC-H2S'!$Z15,'Tables - Part 2'!$AV$6:$AV$13,0),MATCH('HIC-SOHIC-H2S'!$T15,'Tables - Part 2'!$AX$5:$BA$5,0)))/2)/2)+((INDEX('Tables - Part 2'!$BB$17:$BE$24,MATCH('HIC-SOHIC-H2S'!$Z15,'Tables - Part 2'!$AV$6:$AV$13,0),MATCH('HIC-SOHIC-H2S'!$T15,'Tables - Part 2'!$AX$5:$BA$5,0))+INDEX('Tables - Part 2'!$BF$17:$BI$24,MATCH('HIC-SOHIC-H2S'!$Z15,'Tables - Part 2'!$AV$6:$AV$13,0),MATCH('HIC-SOHIC-H2S'!$T15,'Tables - Part 2'!$AX$5:$BA$5,0)))/2))/2,0)</f>
        <v>0</v>
      </c>
      <c r="BQ15" s="248">
        <f>IF($S15=$BQ$3,(INDEX('Tables - Part 2'!$BB$17:$BE$24,MATCH('HIC-SOHIC-H2S'!$Z15,'Tables - Part 2'!$AV$6:$AV$13,0),MATCH('HIC-SOHIC-H2S'!$T15,'Tables - Part 2'!$AX$5:$BA$5,0))+INDEX('Tables - Part 2'!$BF$17:$BI$24,MATCH('HIC-SOHIC-H2S'!$Z15,'Tables - Part 2'!$AV$6:$AV$13,0),MATCH('HIC-SOHIC-H2S'!$T15,'Tables - Part 2'!$AX$5:$BA$5,0)))/2,0)</f>
        <v>0</v>
      </c>
      <c r="BR15" s="248">
        <f>IF($S15=$BR$3,(((INDEX('Tables - Part 2'!$BB$17:$BE$24,MATCH('HIC-SOHIC-H2S'!$Z15,'Tables - Part 2'!$AV$6:$AV$13,0),MATCH('HIC-SOHIC-H2S'!$T15,'Tables - Part 2'!$AX$5:$BA$5,0))+INDEX('Tables - Part 2'!$BF$17:$BI$24,MATCH('HIC-SOHIC-H2S'!$Z15,'Tables - Part 2'!$AV$6:$AV$13,0),MATCH('HIC-SOHIC-H2S'!$T15,'Tables - Part 2'!$AX$5:$BA$5,0)))/2)+((((INDEX('Tables - Part 2'!$BB$17:$BE$24,MATCH('HIC-SOHIC-H2S'!$Z15,'Tables - Part 2'!$AV$6:$AV$13,0),MATCH('HIC-SOHIC-H2S'!$T15,'Tables - Part 2'!$AX$5:$BA$5,0))+INDEX('Tables - Part 2'!$BF$17:$BI$24,MATCH('HIC-SOHIC-H2S'!$Z15,'Tables - Part 2'!$AV$6:$AV$13,0),MATCH('HIC-SOHIC-H2S'!$T15,'Tables - Part 2'!$AX$5:$BA$5,0)))/2)+INDEX('Tables - Part 2'!$BF$17:$BI$24,MATCH('HIC-SOHIC-H2S'!$Z15,'Tables - Part 2'!$AV$6:$AV$13,0),MATCH('HIC-SOHIC-H2S'!$T15,'Tables - Part 2'!$AX$5:$BA$5,0)))/2))/2,0)</f>
        <v>0</v>
      </c>
      <c r="BS15" s="248">
        <f>IF($S15=$BS$3,(((INDEX('Tables - Part 2'!$BB$17:$BE$24,MATCH('HIC-SOHIC-H2S'!$Z15,'Tables - Part 2'!$AV$6:$AV$13,0),MATCH('HIC-SOHIC-H2S'!$T15,'Tables - Part 2'!$AX$5:$BA$5,0))+INDEX('Tables - Part 2'!$BF$17:$BI$24,MATCH('HIC-SOHIC-H2S'!$Z15,'Tables - Part 2'!$AV$6:$AV$13,0),MATCH('HIC-SOHIC-H2S'!$T15,'Tables - Part 2'!$AX$5:$BA$5,0)))/2)+INDEX('Tables - Part 2'!$BF$17:$BI$24,MATCH('HIC-SOHIC-H2S'!$Z15,'Tables - Part 2'!$AV$6:$AV$13,0),MATCH('HIC-SOHIC-H2S'!$T15,'Tables - Part 2'!$AX$5:$BA$5,0)))/2,0)</f>
        <v>0</v>
      </c>
      <c r="BT15" s="248">
        <f>IF($S15=$BT$3,(((((INDEX('Tables - Part 2'!$BB$17:$BE$24,MATCH('HIC-SOHIC-H2S'!$Z15,'Tables - Part 2'!$AV$6:$AV$13,0),MATCH('HIC-SOHIC-H2S'!$T15,'Tables - Part 2'!$AX$5:$BA$5,0))+INDEX('Tables - Part 2'!$BF$17:$BI$24,MATCH('HIC-SOHIC-H2S'!$Z15,'Tables - Part 2'!$AV$6:$AV$13,0),MATCH('HIC-SOHIC-H2S'!$T15,'Tables - Part 2'!$AX$5:$BA$5,0)))/2)+INDEX('Tables - Part 2'!$BF$17:$BI$24,MATCH('HIC-SOHIC-H2S'!$Z15,'Tables - Part 2'!$AV$6:$AV$13,0),MATCH('HIC-SOHIC-H2S'!$T15,'Tables - Part 2'!$AX$5:$BA$5,0)))/2)+(INDEX('Tables - Part 2'!$BF$17:$BI$24,MATCH('HIC-SOHIC-H2S'!$Z15,'Tables - Part 2'!$AV$6:$AV$13,0),MATCH('HIC-SOHIC-H2S'!$T15,'Tables - Part 2'!$AX$5:$BA$5,0))))/2,0)</f>
        <v>0</v>
      </c>
      <c r="BU15" s="248">
        <f>IF($S15=$BU$3,INDEX('Tables - Part 2'!$BF$17:$BI$24,MATCH('HIC-SOHIC-H2S'!$Z15,'Tables - Part 2'!$AV$6:$AV$13,0),MATCH('HIC-SOHIC-H2S'!$T15,'Tables - Part 2'!$AX$5:$BA$5,0)),0)</f>
        <v>0</v>
      </c>
      <c r="BV15" s="248" t="e">
        <f t="shared" si="2"/>
        <v>#N/A</v>
      </c>
      <c r="BW15" s="238" t="e">
        <f t="shared" si="8"/>
        <v>#N/A</v>
      </c>
      <c r="BX15" s="238" t="e">
        <f t="shared" si="9"/>
        <v>#N/A</v>
      </c>
    </row>
    <row r="16" spans="2:89" x14ac:dyDescent="0.35">
      <c r="B16" s="161" t="str">
        <f>'Tratamento de Dados'!B24</f>
        <v>V-6</v>
      </c>
      <c r="C16" s="161" t="str">
        <f>'Tratamento de Dados'!D24</f>
        <v>Casco</v>
      </c>
      <c r="D16" s="209">
        <f>'Tratamento de Dados'!CN24</f>
        <v>0</v>
      </c>
      <c r="E16" s="209">
        <f>'Tratamento de Dados'!CO24</f>
        <v>0</v>
      </c>
      <c r="F16" s="209">
        <f>'Tratamento de Dados'!CP24</f>
        <v>0</v>
      </c>
      <c r="G16" s="209">
        <f>'Tratamento de Dados'!CQ24</f>
        <v>0</v>
      </c>
      <c r="H16" s="209">
        <f>'Tratamento de Dados'!CR24</f>
        <v>0</v>
      </c>
      <c r="I16" s="209">
        <f>'Tratamento de Dados'!CS24</f>
        <v>0</v>
      </c>
      <c r="J16" s="209">
        <f>'Tratamento de Dados'!CT24</f>
        <v>0</v>
      </c>
      <c r="K16" s="209">
        <f>'Tratamento de Dados'!CU24</f>
        <v>0</v>
      </c>
      <c r="L16" s="210">
        <f>'Tratamento de Dados'!CV24</f>
        <v>0</v>
      </c>
      <c r="M16" s="209">
        <f>'Tratamento de Dados'!CW24</f>
        <v>0</v>
      </c>
      <c r="N16" s="209">
        <f>'Tratamento de Dados'!CX24</f>
        <v>0</v>
      </c>
      <c r="O16" s="209">
        <f>'Tratamento de Dados'!CY24</f>
        <v>0</v>
      </c>
      <c r="P16" s="209">
        <f>'Tratamento de Dados'!CZ24</f>
        <v>0</v>
      </c>
      <c r="Q16" s="253">
        <f>'Tratamento de Dados'!DA24</f>
        <v>0</v>
      </c>
      <c r="R16" s="253">
        <f>'Tratamento de Dados'!DB24</f>
        <v>0</v>
      </c>
      <c r="S16" s="256">
        <f t="shared" si="0"/>
        <v>0</v>
      </c>
      <c r="T16" s="246" t="str">
        <f t="shared" si="3"/>
        <v>E</v>
      </c>
      <c r="U16" s="238" t="e">
        <f>IF(D16=$CC$2,$CA$4,IF(AND(H16=$CC$2,OR(F16='Tables - Part 2'!$CE$8,'Tables - Part 2'!$CE$9),OR('HIC-SOHIC-H2S'!G16='Tables - Part 2'!$CH$4,'HIC-SOHIC-H2S'!G16='Tables - Part 2'!$CI$4)),$CA$4,INDEX('Tables - Part 2'!$CF$5:$CI$9,MATCH('HIC-SOHIC-H2S'!F16,'Tables - Part 2'!$CE$5:$CE$9,0),MATCH('HIC-SOHIC-H2S'!G16,'Tables - Part 2'!$CF$4:$CI$4,0))))</f>
        <v>#N/A</v>
      </c>
      <c r="V16" s="238" t="str">
        <f>IF($I16=$V$3,INDEX('Tables - Part 2'!$CL$5:$CM$7,MATCH('HIC-SOHIC-H2S'!$U16,'Tables - Part 2'!$CK$5:$CK$7,0),IF('HIC-SOHIC-H2S'!$J16='HIC-SOHIC-H2S'!$CC$2,2,1)),"")</f>
        <v/>
      </c>
      <c r="W16" s="238" t="str">
        <f>IF($I16=$W$3,INDEX('Tables - Part 2'!$CN$5:$CO$7,MATCH('HIC-SOHIC-H2S'!$U16,'Tables - Part 2'!$CK$5:$CK$7,0),IF('HIC-SOHIC-H2S'!$J16='HIC-SOHIC-H2S'!$CC$2,2,1)),"")</f>
        <v/>
      </c>
      <c r="X16" s="238" t="str">
        <f>IF($I16=$X$3,INDEX('Tables - Part 2'!$CP$5:$CQ$7,MATCH('HIC-SOHIC-H2S'!$U16,'Tables - Part 2'!$CK$5:$CK$7,0),IF('HIC-SOHIC-H2S'!$J16='HIC-SOHIC-H2S'!$CC$2,2,1)),"")</f>
        <v/>
      </c>
      <c r="Y16" s="238" t="str">
        <f t="shared" si="1"/>
        <v/>
      </c>
      <c r="Z16" s="238" t="e">
        <f>IF(AND(D16=$CC$2,E16&lt;&gt;$CC$2),"Fitness-For-Service",INDEX('Tables - Part 2'!$CT$4:$CT$6,MATCH('HIC-SOHIC-H2S'!Y16,'Tables - Part 2'!$CS$4:$CS$6,0),))</f>
        <v>#N/A</v>
      </c>
      <c r="AA16" s="238">
        <f>IF(L16=0,(Thinning!G17-Thinning!F17)/365.25,(Thinning!G17-L16)/365.25)</f>
        <v>5.4757015742642025E-3</v>
      </c>
      <c r="AB16" s="238" t="e">
        <f>INDEX('Tables - Part 2'!$CW$4:$CW$7,MATCH('HIC-SOHIC-H2S'!K16,'Tables - Part 2'!$CV$4:$CV$7,0))</f>
        <v>#N/A</v>
      </c>
      <c r="AC16" s="248">
        <f t="shared" si="4"/>
        <v>0</v>
      </c>
      <c r="AD16" s="248">
        <f t="shared" si="5"/>
        <v>0</v>
      </c>
      <c r="AE16" s="247">
        <f t="shared" si="10"/>
        <v>0</v>
      </c>
      <c r="AF16" s="247">
        <f t="shared" si="7"/>
        <v>0</v>
      </c>
      <c r="AG16" s="248">
        <f>IF($S16=$AG$3,INDEX('Tables - Part 2'!$AX$6:$BA$13,MATCH('HIC-SOHIC-H2S'!Z16,'Tables - Part 2'!$AV$6:$AV$13,0),MATCH('HIC-SOHIC-H2S'!T16,'Tables - Part 2'!$AX$5:$BA$5,0)),0)</f>
        <v>0</v>
      </c>
      <c r="AH16" s="248">
        <f>IF($S16=$AH$3,(INDEX('Tables - Part 2'!$AX$6:$BA$13,MATCH('HIC-SOHIC-H2S'!Z16,'Tables - Part 2'!$AV$6:$AV$13,0),MATCH('HIC-SOHIC-H2S'!T16,'Tables - Part 2'!$AX$5:$BA$5,0))+(INDEX('Tables - Part 2'!$AX$6:$BA$13,MATCH('HIC-SOHIC-H2S'!Z16,'Tables - Part 2'!$AV$6:$AV$13,0),MATCH('HIC-SOHIC-H2S'!T16,'Tables - Part 2'!$AX$5:$BA$5,0))+((INDEX('Tables - Part 2'!$AX$6:$BA$13,MATCH('HIC-SOHIC-H2S'!Z16,'Tables - Part 2'!$AV$6:$AV$13,0),MATCH('HIC-SOHIC-H2S'!T16,'Tables - Part 2'!$AX$5:$BA$5,0))+INDEX('Tables - Part 2'!$BB$6:$BE$13,MATCH('HIC-SOHIC-H2S'!$Z16,'Tables - Part 2'!$AV$6:$AV$13,0),MATCH('HIC-SOHIC-H2S'!$T16,'Tables - Part 2'!$AX$5:$BA$5,0)))/2))/2)/2,0)</f>
        <v>0</v>
      </c>
      <c r="AI16" s="248">
        <f>IF($S16=$AI$3,(INDEX('Tables - Part 2'!$AX$6:$BA$13,MATCH('HIC-SOHIC-H2S'!Z16,'Tables - Part 2'!$AV$6:$AV$13,0),MATCH('HIC-SOHIC-H2S'!T16,'Tables - Part 2'!$AX$5:$BA$5,0))+((INDEX('Tables - Part 2'!$AX$6:$BA$13,MATCH('HIC-SOHIC-H2S'!Z16,'Tables - Part 2'!$AV$6:$AV$13,0),MATCH('HIC-SOHIC-H2S'!T16,'Tables - Part 2'!$AX$5:$BA$5,0))+INDEX('Tables - Part 2'!$BB$6:$BE$13,MATCH('HIC-SOHIC-H2S'!$Z16,'Tables - Part 2'!$AV$6:$AV$13,0),MATCH('HIC-SOHIC-H2S'!$T16,'Tables - Part 2'!$AX$5:$BA$5,0)))/2))/2,0)</f>
        <v>0</v>
      </c>
      <c r="AJ16" s="248">
        <f>IF($S16=$AJ$3,(((INDEX('Tables - Part 2'!$AX$6:$BA$13,MATCH('HIC-SOHIC-H2S'!Z16,'Tables - Part 2'!$AV$6:$AV$13,0),MATCH('HIC-SOHIC-H2S'!T16,'Tables - Part 2'!$AX$5:$BA$5,0))+((INDEX('Tables - Part 2'!$AX$6:$BA$13,MATCH('HIC-SOHIC-H2S'!Z16,'Tables - Part 2'!$AV$6:$AV$13,0),MATCH('HIC-SOHIC-H2S'!T16,'Tables - Part 2'!$AX$5:$BA$5,0))+INDEX('Tables - Part 2'!$BB$6:$BE$13,MATCH('HIC-SOHIC-H2S'!$Z16,'Tables - Part 2'!$AV$6:$AV$13,0),MATCH('HIC-SOHIC-H2S'!$T16,'Tables - Part 2'!$AX$5:$BA$5,0)))/2))/2)+(INDEX('Tables - Part 2'!$AX$6:$BA$13,MATCH('HIC-SOHIC-H2S'!Z16,'Tables - Part 2'!$AV$6:$AV$13,0),MATCH('HIC-SOHIC-H2S'!T16,'Tables - Part 2'!$AX$5:$BA$5,0))+INDEX('Tables - Part 2'!$BB$6:$BE$13,MATCH('HIC-SOHIC-H2S'!$Z16,'Tables - Part 2'!$AV$6:$AV$13,0),MATCH('HIC-SOHIC-H2S'!$T16,'Tables - Part 2'!$AX$5:$BA$5,0)))/2)/2,0)</f>
        <v>0</v>
      </c>
      <c r="AK16" s="248">
        <f>IF($S16=$AK$3,(INDEX('Tables - Part 2'!$AX$6:$BA$13,MATCH('HIC-SOHIC-H2S'!Z16,'Tables - Part 2'!$AV$6:$AV$13,0),MATCH('HIC-SOHIC-H2S'!T16,'Tables - Part 2'!$AX$5:$BA$5,0))+INDEX('Tables - Part 2'!$BB$6:$BE$13,MATCH('HIC-SOHIC-H2S'!$Z16,'Tables - Part 2'!$AV$6:$AV$13,0),MATCH('HIC-SOHIC-H2S'!$T16,'Tables - Part 2'!$AX$5:$BA$5,0)))/2,0)</f>
        <v>0</v>
      </c>
      <c r="AL16" s="248">
        <f>IF($S16=$AL$3,(((INDEX('Tables - Part 2'!$AX$6:$BA$13,MATCH('HIC-SOHIC-H2S'!Z16,'Tables - Part 2'!$AV$6:$AV$13,0),MATCH('HIC-SOHIC-H2S'!T16,'Tables - Part 2'!$AX$5:$BA$5,0))+INDEX('Tables - Part 2'!$BB$6:$BE$13,MATCH('HIC-SOHIC-H2S'!$Z16,'Tables - Part 2'!$AV$6:$AV$13,0),MATCH('HIC-SOHIC-H2S'!$T16,'Tables - Part 2'!$AX$5:$BA$5,0)))/2)+(((INDEX('Tables - Part 2'!$AX$6:$BA$13,MATCH('HIC-SOHIC-H2S'!Z16,'Tables - Part 2'!$AV$6:$AV$13,0),MATCH('HIC-SOHIC-H2S'!T16,'Tables - Part 2'!$AX$5:$BA$5,0))+INDEX('Tables - Part 2'!$BB$6:$BE$13,MATCH('HIC-SOHIC-H2S'!$Z16,'Tables - Part 2'!$AV$6:$AV$13,0),MATCH('HIC-SOHIC-H2S'!$T16,'Tables - Part 2'!$AX$5:$BA$5,0)))/2)+INDEX('Tables - Part 2'!$BB$6:$BE$13,MATCH('HIC-SOHIC-H2S'!$Z16,'Tables - Part 2'!$AV$6:$AV$13,0),MATCH('HIC-SOHIC-H2S'!$T16,'Tables - Part 2'!$AX$5:$BA$5,0)))/2)/2,0)</f>
        <v>0</v>
      </c>
      <c r="AM16" s="248">
        <f>IF($S16=$AM$3,(((INDEX('Tables - Part 2'!$AX$6:$BA$13,MATCH('HIC-SOHIC-H2S'!Z16,'Tables - Part 2'!$AV$6:$AV$13,0),MATCH('HIC-SOHIC-H2S'!T16,'Tables - Part 2'!$AX$5:$BA$5,0))+INDEX('Tables - Part 2'!$BB$6:$BE$13,MATCH('HIC-SOHIC-H2S'!$Z16,'Tables - Part 2'!$AV$6:$AV$13,0),MATCH('HIC-SOHIC-H2S'!$T16,'Tables - Part 2'!$AX$5:$BA$5,0)))/2)+INDEX('Tables - Part 2'!$BB$6:$BE$13,MATCH('HIC-SOHIC-H2S'!$Z16,'Tables - Part 2'!$AV$6:$AV$13,0),MATCH('HIC-SOHIC-H2S'!$T16,'Tables - Part 2'!$AX$5:$BA$5,0)))/2,0)</f>
        <v>0</v>
      </c>
      <c r="AN16" s="248">
        <f>IF($S16=$AN$3,(((((INDEX('Tables - Part 2'!$AX$6:$BA$13,MATCH('HIC-SOHIC-H2S'!Z16,'Tables - Part 2'!$AV$6:$AV$13,0),MATCH('HIC-SOHIC-H2S'!T16,'Tables - Part 2'!$AX$5:$BA$5,0))+INDEX('Tables - Part 2'!$BB$6:$BE$13,MATCH('HIC-SOHIC-H2S'!$Z16,'Tables - Part 2'!$AV$6:$AV$13,0),MATCH('HIC-SOHIC-H2S'!$T16,'Tables - Part 2'!$AX$5:$BA$5,0)))/2)+INDEX('Tables - Part 2'!$BB$6:$BE$13,MATCH('HIC-SOHIC-H2S'!$Z16,'Tables - Part 2'!$AV$6:$AV$13,0),MATCH('HIC-SOHIC-H2S'!$T16,'Tables - Part 2'!$AX$5:$BA$5,0)))/2)+INDEX('Tables - Part 2'!$BB$6:$BE$13,MATCH('HIC-SOHIC-H2S'!$Z16,'Tables - Part 2'!$AV$6:$AV$13,0),MATCH('HIC-SOHIC-H2S'!$T16,'Tables - Part 2'!$AX$5:$BA$5,0)))/2,0)</f>
        <v>0</v>
      </c>
      <c r="AO16" s="248">
        <f>IF($S16=$AO$3,INDEX('Tables - Part 2'!$BB$6:$BE$13,MATCH('HIC-SOHIC-H2S'!$Z16,'Tables - Part 2'!$AV$6:$AV$13,0),MATCH('HIC-SOHIC-H2S'!$T16,'Tables - Part 2'!$AX$5:$BA$5,0)),0)</f>
        <v>0</v>
      </c>
      <c r="AP16" s="248">
        <f>IF($S16=$AP$3,((INDEX('Tables - Part 2'!$BB$6:$BE$13,MATCH('HIC-SOHIC-H2S'!$Z16,'Tables - Part 2'!$AV$6:$AV$13,0),MATCH('HIC-SOHIC-H2S'!$T16,'Tables - Part 2'!$AX$5:$BA$5,0)))+(INDEX('Tables - Part 2'!$BB$6:$BE$13,MATCH('HIC-SOHIC-H2S'!$Z16,'Tables - Part 2'!$AV$6:$AV$13,0),MATCH('HIC-SOHIC-H2S'!$T16,'Tables - Part 2'!$AX$5:$BA$5,0))+(INDEX('Tables - Part 2'!$BB$6:$BE$13,MATCH('HIC-SOHIC-H2S'!$Z16,'Tables - Part 2'!$AV$6:$AV$13,0),MATCH('HIC-SOHIC-H2S'!$T16,'Tables - Part 2'!$AX$5:$BA$5,0))+INDEX('Tables - Part 2'!$BF$6:$BI$13,MATCH('HIC-SOHIC-H2S'!$Z16,'Tables - Part 2'!$AV$6:$AV$13,0),MATCH('HIC-SOHIC-H2S'!$T16,'Tables - Part 2'!$AX$5:$BA$5,0)))/2)/2)/2,0)</f>
        <v>0</v>
      </c>
      <c r="AQ16" s="248">
        <f>IF($S16=$AQ$3,(INDEX('Tables - Part 2'!$BB$6:$BE$13,MATCH('HIC-SOHIC-H2S'!$Z16,'Tables - Part 2'!$AV$6:$AV$13,0),MATCH('HIC-SOHIC-H2S'!$T16,'Tables - Part 2'!$AX$5:$BA$5,0))+(INDEX('Tables - Part 2'!$BB$6:$BE$13,MATCH('HIC-SOHIC-H2S'!$Z16,'Tables - Part 2'!$AV$6:$AV$13,0),MATCH('HIC-SOHIC-H2S'!$T16,'Tables - Part 2'!$AX$5:$BA$5,0))+INDEX('Tables - Part 2'!$BF$6:$BI$13,MATCH('HIC-SOHIC-H2S'!$Z16,'Tables - Part 2'!$AV$6:$AV$13,0),MATCH('HIC-SOHIC-H2S'!$T16,'Tables - Part 2'!$AX$5:$BA$5,0)))/2)/2,0)</f>
        <v>0</v>
      </c>
      <c r="AR16" s="248">
        <f>IF($S16=$AR$3,(((INDEX('Tables - Part 2'!$BB$6:$BE$13,MATCH('HIC-SOHIC-H2S'!$Z16,'Tables - Part 2'!$AV$6:$AV$13,0),MATCH('HIC-SOHIC-H2S'!$T16,'Tables - Part 2'!$AX$5:$BA$5,0))+(INDEX('Tables - Part 2'!$BB$6:$BE$13,MATCH('HIC-SOHIC-H2S'!$Z16,'Tables - Part 2'!$AV$6:$AV$13,0),MATCH('HIC-SOHIC-H2S'!$T16,'Tables - Part 2'!$AX$5:$BA$5,0))+INDEX('Tables - Part 2'!$BF$6:$BI$13,MATCH('HIC-SOHIC-H2S'!$Z16,'Tables - Part 2'!$AV$6:$AV$13,0),MATCH('HIC-SOHIC-H2S'!$T16,'Tables - Part 2'!$AX$5:$BA$5,0)))/2)/2)+((INDEX('Tables - Part 2'!$BB$6:$BE$13,MATCH('HIC-SOHIC-H2S'!$Z16,'Tables - Part 2'!$AV$6:$AV$13,0),MATCH('HIC-SOHIC-H2S'!$T16,'Tables - Part 2'!$AX$5:$BA$5,0))+INDEX('Tables - Part 2'!$BF$6:$BI$13,MATCH('HIC-SOHIC-H2S'!$Z16,'Tables - Part 2'!$AV$6:$AV$13,0),MATCH('HIC-SOHIC-H2S'!$T16,'Tables - Part 2'!$AX$5:$BA$5,0)))/2))/2,0)</f>
        <v>0</v>
      </c>
      <c r="AS16" s="248">
        <f>IF($S16=$AS$3,(INDEX('Tables - Part 2'!$BB$6:$BE$13,MATCH('HIC-SOHIC-H2S'!$Z16,'Tables - Part 2'!$AV$6:$AV$13,0),MATCH('HIC-SOHIC-H2S'!$T16,'Tables - Part 2'!$AX$5:$BA$5,0))+INDEX('Tables - Part 2'!$BF$6:$BI$13,MATCH('HIC-SOHIC-H2S'!$Z16,'Tables - Part 2'!$AV$6:$AV$13,0),MATCH('HIC-SOHIC-H2S'!$T16,'Tables - Part 2'!$AX$5:$BA$5,0)))/2,0)</f>
        <v>0</v>
      </c>
      <c r="AT16" s="248">
        <f>IF($S16=$AT$3,(((INDEX('Tables - Part 2'!$BB$6:$BE$13,MATCH('HIC-SOHIC-H2S'!$Z16,'Tables - Part 2'!$AV$6:$AV$13,0),MATCH('HIC-SOHIC-H2S'!$T16,'Tables - Part 2'!$AX$5:$BA$5,0))+INDEX('Tables - Part 2'!$BF$6:$BI$13,MATCH('HIC-SOHIC-H2S'!$Z16,'Tables - Part 2'!$AV$6:$AV$13,0),MATCH('HIC-SOHIC-H2S'!$T16,'Tables - Part 2'!$AX$5:$BA$5,0)))/2)+((((INDEX('Tables - Part 2'!$BB$6:$BE$13,MATCH('HIC-SOHIC-H2S'!$Z16,'Tables - Part 2'!$AV$6:$AV$13,0),MATCH('HIC-SOHIC-H2S'!$T16,'Tables - Part 2'!$AX$5:$BA$5,0))+INDEX('Tables - Part 2'!$BF$6:$BI$13,MATCH('HIC-SOHIC-H2S'!$Z16,'Tables - Part 2'!$AV$6:$AV$13,0),MATCH('HIC-SOHIC-H2S'!$T16,'Tables - Part 2'!$AX$5:$BA$5,0)))/2)+INDEX('Tables - Part 2'!$BF$6:$BI$13,MATCH('HIC-SOHIC-H2S'!$Z16,'Tables - Part 2'!$AV$6:$AV$13,0),MATCH('HIC-SOHIC-H2S'!$T16,'Tables - Part 2'!$AX$5:$BA$5,0)))/2))/2,0)</f>
        <v>0</v>
      </c>
      <c r="AU16" s="248">
        <f>IF($S16=$AU$3,(((INDEX('Tables - Part 2'!$BB$6:$BE$13,MATCH('HIC-SOHIC-H2S'!$Z16,'Tables - Part 2'!$AV$6:$AV$13,0),MATCH('HIC-SOHIC-H2S'!$T16,'Tables - Part 2'!$AX$5:$BA$5,0))+INDEX('Tables - Part 2'!$BF$6:$BI$13,MATCH('HIC-SOHIC-H2S'!$Z16,'Tables - Part 2'!$AV$6:$AV$13,0),MATCH('HIC-SOHIC-H2S'!$T16,'Tables - Part 2'!$AX$5:$BA$5,0)))/2)+INDEX('Tables - Part 2'!$BF$6:$BI$13,MATCH('HIC-SOHIC-H2S'!$Z16,'Tables - Part 2'!$AV$6:$AV$13,0),MATCH('HIC-SOHIC-H2S'!$T16,'Tables - Part 2'!$AX$5:$BA$5,0)))/2,0)</f>
        <v>0</v>
      </c>
      <c r="AV16" s="248">
        <f>IF($S16=$AV$3,(((((INDEX('Tables - Part 2'!$BB$6:$BE$13,MATCH('HIC-SOHIC-H2S'!$Z16,'Tables - Part 2'!$AV$6:$AV$13,0),MATCH('HIC-SOHIC-H2S'!$T16,'Tables - Part 2'!$AX$5:$BA$5,0))+INDEX('Tables - Part 2'!$BF$6:$BI$13,MATCH('HIC-SOHIC-H2S'!$Z16,'Tables - Part 2'!$AV$6:$AV$13,0),MATCH('HIC-SOHIC-H2S'!$T16,'Tables - Part 2'!$AX$5:$BA$5,0)))/2)+INDEX('Tables - Part 2'!$BF$6:$BI$13,MATCH('HIC-SOHIC-H2S'!$Z16,'Tables - Part 2'!$AV$6:$AV$13,0),MATCH('HIC-SOHIC-H2S'!$T16,'Tables - Part 2'!$AX$5:$BA$5,0)))/2)+INDEX('Tables - Part 2'!$BF$6:$BI$13,MATCH('HIC-SOHIC-H2S'!$Z16,'Tables - Part 2'!$AV$6:$AV$13,0),MATCH('HIC-SOHIC-H2S'!$T16,'Tables - Part 2'!$AX$5:$BA$5,0)))/2,0)</f>
        <v>0</v>
      </c>
      <c r="AW16" s="248">
        <f>IF($S16=$AW$3,INDEX('Tables - Part 2'!$BF$6:$BI$13,MATCH('HIC-SOHIC-H2S'!$Z16,'Tables - Part 2'!$AV$6:$AV$13,0),MATCH('HIC-SOHIC-H2S'!$T16,'Tables - Part 2'!$AX$5:$BA$5,0)),0)</f>
        <v>0</v>
      </c>
      <c r="AX16" s="248">
        <f>IF($S16=$AX$3,(INDEX('Tables - Part 2'!$BF$6:$BI$13,MATCH('HIC-SOHIC-H2S'!$Z16,'Tables - Part 2'!$AV$6:$AV$13,0),MATCH('HIC-SOHIC-H2S'!$T16,'Tables - Part 2'!$AX$5:$BA$5,0))+((INDEX('Tables - Part 2'!$BF$6:$BI$13,MATCH('HIC-SOHIC-H2S'!$Z16,'Tables - Part 2'!$AV$6:$AV$13,0),MATCH('HIC-SOHIC-H2S'!$T16,'Tables - Part 2'!$AX$5:$BA$5,0))+(INDEX('Tables - Part 2'!$BF$6:$BI$13,MATCH('HIC-SOHIC-H2S'!$Z16,'Tables - Part 2'!$AV$6:$AV$13,0),MATCH('HIC-SOHIC-H2S'!$T16,'Tables - Part 2'!$AX$5:$BA$5,0))+INDEX('Tables - Part 2'!$AX$17:$BA$24,MATCH('HIC-SOHIC-H2S'!$Z16,'Tables - Part 2'!$AV$6:$AV$13,0),MATCH('HIC-SOHIC-H2S'!$T16,'Tables - Part 2'!$AX$5:$BA$5,0)))/2)/2))/2,0)</f>
        <v>0</v>
      </c>
      <c r="AY16" s="248">
        <f>IF($S16=$AY$3,(INDEX('Tables - Part 2'!$BF$6:$BI$13,MATCH('HIC-SOHIC-H2S'!$Z16,'Tables - Part 2'!$AV$6:$AV$13,0),MATCH('HIC-SOHIC-H2S'!$T16,'Tables - Part 2'!$AX$5:$BA$5,0))+(INDEX('Tables - Part 2'!$BF$6:$BI$13,MATCH('HIC-SOHIC-H2S'!$Z16,'Tables - Part 2'!$AV$6:$AV$13,0),MATCH('HIC-SOHIC-H2S'!$T16,'Tables - Part 2'!$AX$5:$BA$5,0))+INDEX('Tables - Part 2'!$AX$17:$BA$24,MATCH('HIC-SOHIC-H2S'!$Z16,'Tables - Part 2'!$AV$6:$AV$13,0),MATCH('HIC-SOHIC-H2S'!$T16,'Tables - Part 2'!$AX$5:$BA$5,0)))/2)/2,0)</f>
        <v>0</v>
      </c>
      <c r="AZ16" s="248">
        <f>IF($S16=$AZ$3,(((INDEX('Tables - Part 2'!$BF$6:$BI$13,MATCH('HIC-SOHIC-H2S'!$Z16,'Tables - Part 2'!$AV$6:$AV$13,0),MATCH('HIC-SOHIC-H2S'!$T16,'Tables - Part 2'!$AX$5:$BA$5,0))+(INDEX('Tables - Part 2'!$BF$6:$BI$13,MATCH('HIC-SOHIC-H2S'!$Z16,'Tables - Part 2'!$AV$6:$AV$13,0),MATCH('HIC-SOHIC-H2S'!$T16,'Tables - Part 2'!$AX$5:$BA$5,0))+INDEX('Tables - Part 2'!$AX$17:$BA$24,MATCH('HIC-SOHIC-H2S'!$Z16,'Tables - Part 2'!$AV$6:$AV$13,0),MATCH('HIC-SOHIC-H2S'!$T16,'Tables - Part 2'!$AX$5:$BA$5,0)))/2)/2)+((INDEX('Tables - Part 2'!$BF$6:$BI$13,MATCH('HIC-SOHIC-H2S'!$Z16,'Tables - Part 2'!$AV$6:$AV$13,0),MATCH('HIC-SOHIC-H2S'!$T16,'Tables - Part 2'!$AX$5:$BA$5,0))+INDEX('Tables - Part 2'!$AX$17:$BA$24,MATCH('HIC-SOHIC-H2S'!$Z16,'Tables - Part 2'!$AV$6:$AV$13,0),MATCH('HIC-SOHIC-H2S'!$T16,'Tables - Part 2'!$AX$5:$BA$5,0)))/2))/2,0)</f>
        <v>0</v>
      </c>
      <c r="BA16" s="248">
        <f>IF($S16=$BA$3,(INDEX('Tables - Part 2'!$BF$6:$BI$13,MATCH('HIC-SOHIC-H2S'!$Z16,'Tables - Part 2'!$AV$6:$AV$13,0),MATCH('HIC-SOHIC-H2S'!$T16,'Tables - Part 2'!$AX$5:$BA$5,0))+INDEX('Tables - Part 2'!$AX$17:$BA$24,MATCH('HIC-SOHIC-H2S'!$Z16,'Tables - Part 2'!$AV$6:$AV$13,0),MATCH('HIC-SOHIC-H2S'!$T16,'Tables - Part 2'!$AX$5:$BA$5,0)))/2,0)</f>
        <v>0</v>
      </c>
      <c r="BB16" s="248">
        <f>IF($S16=$BB$3,(((INDEX('Tables - Part 2'!$BF$6:$BI$13,MATCH('HIC-SOHIC-H2S'!$Z16,'Tables - Part 2'!$AV$6:$AV$13,0),MATCH('HIC-SOHIC-H2S'!$T16,'Tables - Part 2'!$AX$5:$BA$5,0))+INDEX('Tables - Part 2'!$AX$17:$BA$24,MATCH('HIC-SOHIC-H2S'!$Z16,'Tables - Part 2'!$AV$6:$AV$13,0),MATCH('HIC-SOHIC-H2S'!$T16,'Tables - Part 2'!$AX$5:$BA$5,0)))/2)+((((INDEX('Tables - Part 2'!$BF$6:$BI$13,MATCH('HIC-SOHIC-H2S'!$Z16,'Tables - Part 2'!$AV$6:$AV$13,0),MATCH('HIC-SOHIC-H2S'!$T16,'Tables - Part 2'!$AX$5:$BA$5,0))+INDEX('Tables - Part 2'!$AX$17:$BA$24,MATCH('HIC-SOHIC-H2S'!$Z16,'Tables - Part 2'!$AV$6:$AV$13,0),MATCH('HIC-SOHIC-H2S'!$T16,'Tables - Part 2'!$AX$5:$BA$5,0)))/2)+INDEX('Tables - Part 2'!$AX$17:$BA$24,MATCH('HIC-SOHIC-H2S'!$Z16,'Tables - Part 2'!$AV$6:$AV$13,0),MATCH('HIC-SOHIC-H2S'!$T16,'Tables - Part 2'!$AX$5:$BA$5,0)))/2))/2,0)</f>
        <v>0</v>
      </c>
      <c r="BC16" s="248">
        <f>IF($S16=$BC$3,(((INDEX('Tables - Part 2'!$BF$6:$BI$13,MATCH('HIC-SOHIC-H2S'!$Z16,'Tables - Part 2'!$AV$6:$AV$13,0),MATCH('HIC-SOHIC-H2S'!$T16,'Tables - Part 2'!$AX$5:$BA$5,0))+INDEX('Tables - Part 2'!$AX$17:$BA$24,MATCH('HIC-SOHIC-H2S'!$Z16,'Tables - Part 2'!$AV$6:$AV$13,0),MATCH('HIC-SOHIC-H2S'!$T16,'Tables - Part 2'!$AX$5:$BA$5,0)))/2)+INDEX('Tables - Part 2'!$AX$17:$BA$24,MATCH('HIC-SOHIC-H2S'!$Z16,'Tables - Part 2'!$AV$6:$AV$13,0),MATCH('HIC-SOHIC-H2S'!$T16,'Tables - Part 2'!$AX$5:$BA$5,0)))/2,0)</f>
        <v>0</v>
      </c>
      <c r="BD16" s="248">
        <f>IF($S16=$BD$3,(((((INDEX('Tables - Part 2'!$BF$6:$BI$13,MATCH('HIC-SOHIC-H2S'!$Z16,'Tables - Part 2'!$AV$6:$AV$13,0),MATCH('HIC-SOHIC-H2S'!$T16,'Tables - Part 2'!$AX$5:$BA$5,0))+INDEX('Tables - Part 2'!$AX$17:$BA$24,MATCH('HIC-SOHIC-H2S'!$Z16,'Tables - Part 2'!$AV$6:$AV$13,0),MATCH('HIC-SOHIC-H2S'!$T16,'Tables - Part 2'!$AX$5:$BA$5,0)))/2)+INDEX('Tables - Part 2'!$AX$17:$BA$24,MATCH('HIC-SOHIC-H2S'!$Z16,'Tables - Part 2'!$AV$6:$AV$13,0),MATCH('HIC-SOHIC-H2S'!$T16,'Tables - Part 2'!$AX$5:$BA$5,0)))/2)+(INDEX('Tables - Part 2'!$AX$17:$BA$24,MATCH('HIC-SOHIC-H2S'!$Z16,'Tables - Part 2'!$AV$6:$AV$13,0),MATCH('HIC-SOHIC-H2S'!$T16,'Tables - Part 2'!$AX$5:$BA$5,0))))/2,0)</f>
        <v>0</v>
      </c>
      <c r="BE16" s="248">
        <f>IF($S16=$BE$3,INDEX('Tables - Part 2'!$AX$17:$BA$24,MATCH('HIC-SOHIC-H2S'!$Z16,'Tables - Part 2'!$AV$6:$AV$13,0),MATCH('HIC-SOHIC-H2S'!$T16,'Tables - Part 2'!$AX$5:$BA$5,0)),0)</f>
        <v>0</v>
      </c>
      <c r="BF16" s="248">
        <f>IF($S16=$BF$3,((INDEX('Tables - Part 2'!$AX$17:$BA$24,MATCH('HIC-SOHIC-H2S'!$Z16,'Tables - Part 2'!$AV$6:$AV$13,0),MATCH('HIC-SOHIC-H2S'!$T16,'Tables - Part 2'!$AX$5:$BA$5,0)))+(((INDEX('Tables - Part 2'!$AX$17:$BA$24,MATCH('HIC-SOHIC-H2S'!$Z16,'Tables - Part 2'!$AV$6:$AV$13,0),MATCH('HIC-SOHIC-H2S'!$T16,'Tables - Part 2'!$AX$5:$BA$5,0)))+(INDEX('Tables - Part 2'!$AX$17:$BA$24,MATCH('HIC-SOHIC-H2S'!$Z16,'Tables - Part 2'!$AV$6:$AV$13,0),MATCH('HIC-SOHIC-H2S'!$T16,'Tables - Part 2'!$AX$5:$BA$5,0))+INDEX('Tables - Part 2'!$BB$17:$BE$24,MATCH('HIC-SOHIC-H2S'!$Z16,'Tables - Part 2'!$AV$6:$AV$13,0),MATCH('HIC-SOHIC-H2S'!$T16,'Tables - Part 2'!$AX$5:$BA$5,0)))/2)/2))/2,0)</f>
        <v>0</v>
      </c>
      <c r="BG16" s="248">
        <f>IF($S16=$BG$3,((INDEX('Tables - Part 2'!$AX$17:$BA$24,MATCH('HIC-SOHIC-H2S'!$Z16,'Tables - Part 2'!$AV$6:$AV$13,0),MATCH('HIC-SOHIC-H2S'!$T16,'Tables - Part 2'!$AX$5:$BA$5,0)))+(INDEX('Tables - Part 2'!$AX$17:$BA$24,MATCH('HIC-SOHIC-H2S'!$Z16,'Tables - Part 2'!$AV$6:$AV$13,0),MATCH('HIC-SOHIC-H2S'!$T16,'Tables - Part 2'!$AX$5:$BA$5,0))+INDEX('Tables - Part 2'!$BB$17:$BE$24,MATCH('HIC-SOHIC-H2S'!$Z16,'Tables - Part 2'!$AV$6:$AV$13,0),MATCH('HIC-SOHIC-H2S'!$T16,'Tables - Part 2'!$AX$5:$BA$5,0)))/2)/2,0)</f>
        <v>0</v>
      </c>
      <c r="BH16" s="248">
        <f>IF($S16=$BH$3,((((INDEX('Tables - Part 2'!$AX$17:$BA$24,MATCH('HIC-SOHIC-H2S'!$Z16,'Tables - Part 2'!$AV$6:$AV$13,0),MATCH('HIC-SOHIC-H2S'!$T16,'Tables - Part 2'!$AX$5:$BA$5,0)))+(INDEX('Tables - Part 2'!$AX$17:$BA$24,MATCH('HIC-SOHIC-H2S'!$Z16,'Tables - Part 2'!$AV$6:$AV$13,0),MATCH('HIC-SOHIC-H2S'!$T16,'Tables - Part 2'!$AX$5:$BA$5,0))+INDEX('Tables - Part 2'!$BB$17:$BE$24,MATCH('HIC-SOHIC-H2S'!$Z16,'Tables - Part 2'!$AV$6:$AV$13,0),MATCH('HIC-SOHIC-H2S'!$T16,'Tables - Part 2'!$AX$5:$BA$5,0)))/2)/2)+((INDEX('Tables - Part 2'!$AX$17:$BA$24,MATCH('HIC-SOHIC-H2S'!$Z16,'Tables - Part 2'!$AV$6:$AV$13,0),MATCH('HIC-SOHIC-H2S'!$T16,'Tables - Part 2'!$AX$5:$BA$5,0))+INDEX('Tables - Part 2'!$BB$17:$BE$24,MATCH('HIC-SOHIC-H2S'!$Z16,'Tables - Part 2'!$AV$6:$AV$13,0),MATCH('HIC-SOHIC-H2S'!$T16,'Tables - Part 2'!$AX$5:$BA$5,0)))/2))/2,0)</f>
        <v>0</v>
      </c>
      <c r="BI16" s="248">
        <f>IF($S16=$BI$3,(INDEX('Tables - Part 2'!$AX$17:$BA$24,MATCH('HIC-SOHIC-H2S'!$Z16,'Tables - Part 2'!$AV$6:$AV$13,0),MATCH('HIC-SOHIC-H2S'!$T16,'Tables - Part 2'!$AX$5:$BA$5,0))+INDEX('Tables - Part 2'!$BB$17:$BE$24,MATCH('HIC-SOHIC-H2S'!$Z16,'Tables - Part 2'!$AV$6:$AV$13,0),MATCH('HIC-SOHIC-H2S'!$T16,'Tables - Part 2'!$AX$5:$BA$5,0)))/2,0)</f>
        <v>0</v>
      </c>
      <c r="BJ16" s="248">
        <f>IF($S16=$BJ$3,(((INDEX('Tables - Part 2'!$AX$17:$BA$24,MATCH('HIC-SOHIC-H2S'!$Z16,'Tables - Part 2'!$AV$6:$AV$13,0),MATCH('HIC-SOHIC-H2S'!$T16,'Tables - Part 2'!$AX$5:$BA$5,0))+INDEX('Tables - Part 2'!$BB$17:$BE$24,MATCH('HIC-SOHIC-H2S'!$Z16,'Tables - Part 2'!$AV$6:$AV$13,0),MATCH('HIC-SOHIC-H2S'!$T16,'Tables - Part 2'!$AX$5:$BA$5,0)))/2)+((((INDEX('Tables - Part 2'!$AX$17:$BA$24,MATCH('HIC-SOHIC-H2S'!$Z16,'Tables - Part 2'!$AV$6:$AV$13,0),MATCH('HIC-SOHIC-H2S'!$T16,'Tables - Part 2'!$AX$5:$BA$5,0))+INDEX('Tables - Part 2'!$BB$17:$BE$24,MATCH('HIC-SOHIC-H2S'!$Z16,'Tables - Part 2'!$AV$6:$AV$13,0),MATCH('HIC-SOHIC-H2S'!$T16,'Tables - Part 2'!$AX$5:$BA$5,0)))/2)+INDEX('Tables - Part 2'!$BB$17:$BE$24,MATCH('HIC-SOHIC-H2S'!$Z16,'Tables - Part 2'!$AV$6:$AV$13,0),MATCH('HIC-SOHIC-H2S'!$T16,'Tables - Part 2'!$AX$5:$BA$5,0)))/2))/2,0)</f>
        <v>0</v>
      </c>
      <c r="BK16" s="248">
        <f>IF($S16=$BK$3,(((INDEX('Tables - Part 2'!$AX$17:$BA$24,MATCH('HIC-SOHIC-H2S'!$Z16,'Tables - Part 2'!$AV$6:$AV$13,0),MATCH('HIC-SOHIC-H2S'!$T16,'Tables - Part 2'!$AX$5:$BA$5,0))+INDEX('Tables - Part 2'!$BB$17:$BE$24,MATCH('HIC-SOHIC-H2S'!$Z16,'Tables - Part 2'!$AV$6:$AV$13,0),MATCH('HIC-SOHIC-H2S'!$T16,'Tables - Part 2'!$AX$5:$BA$5,0)))/2)+INDEX('Tables - Part 2'!$BB$17:$BE$24,MATCH('HIC-SOHIC-H2S'!$Z16,'Tables - Part 2'!$AV$6:$AV$13,0),MATCH('HIC-SOHIC-H2S'!$T16,'Tables - Part 2'!$AX$5:$BA$5,0)))/2,0)</f>
        <v>0</v>
      </c>
      <c r="BL16" s="248">
        <f>IF($S16=$BL$3,(((((INDEX('Tables - Part 2'!$AX$17:$BA$24,MATCH('HIC-SOHIC-H2S'!$Z16,'Tables - Part 2'!$AV$6:$AV$13,0),MATCH('HIC-SOHIC-H2S'!$T16,'Tables - Part 2'!$AX$5:$BA$5,0))+INDEX('Tables - Part 2'!$BB$17:$BE$24,MATCH('HIC-SOHIC-H2S'!$Z16,'Tables - Part 2'!$AV$6:$AV$13,0),MATCH('HIC-SOHIC-H2S'!$T16,'Tables - Part 2'!$AX$5:$BA$5,0)))/2)+INDEX('Tables - Part 2'!$BB$17:$BE$24,MATCH('HIC-SOHIC-H2S'!$Z16,'Tables - Part 2'!$AV$6:$AV$13,0),MATCH('HIC-SOHIC-H2S'!$T16,'Tables - Part 2'!$AX$5:$BA$5,0)))/2)+(INDEX('Tables - Part 2'!$BB$17:$BE$24,MATCH('HIC-SOHIC-H2S'!$Z16,'Tables - Part 2'!$AV$6:$AV$13,0),MATCH('HIC-SOHIC-H2S'!$T16,'Tables - Part 2'!$AX$5:$BA$5,0))))/2,0)</f>
        <v>0</v>
      </c>
      <c r="BM16" s="248">
        <f>IF($S16=$BM$3,INDEX('Tables - Part 2'!$BB$17:$BE$24,MATCH('HIC-SOHIC-H2S'!$Z16,'Tables - Part 2'!$AV$6:$AV$13,0),MATCH('HIC-SOHIC-H2S'!$T16,'Tables - Part 2'!$AX$5:$BA$5,0)),0)</f>
        <v>0</v>
      </c>
      <c r="BN16" s="248">
        <f>IF($S16=$BN$3,((INDEX('Tables - Part 2'!$BB$17:$BE$24,MATCH('HIC-SOHIC-H2S'!$Z16,'Tables - Part 2'!$AV$6:$AV$13,0),MATCH('HIC-SOHIC-H2S'!$T16,'Tables - Part 2'!$AX$5:$BA$5,0)))+(((INDEX('Tables - Part 2'!$BB$17:$BE$24,MATCH('HIC-SOHIC-H2S'!$Z16,'Tables - Part 2'!$AV$6:$AV$13,0),MATCH('HIC-SOHIC-H2S'!$T16,'Tables - Part 2'!$AX$5:$BA$5,0)))+(INDEX('Tables - Part 2'!$BB$17:$BE$24,MATCH('HIC-SOHIC-H2S'!$Z16,'Tables - Part 2'!$AV$6:$AV$13,0),MATCH('HIC-SOHIC-H2S'!$T16,'Tables - Part 2'!$AX$5:$BA$5,0))+INDEX('Tables - Part 2'!$BF$17:$BI$24,MATCH('HIC-SOHIC-H2S'!$Z16,'Tables - Part 2'!$AV$6:$AV$13,0),MATCH('HIC-SOHIC-H2S'!$T16,'Tables - Part 2'!$AX$5:$BA$5,0)))/2)/2))/2,0)</f>
        <v>0</v>
      </c>
      <c r="BO16" s="248">
        <f>IF($S16=$BO$3,((INDEX('Tables - Part 2'!$BB$17:$BE$24,MATCH('HIC-SOHIC-H2S'!$Z16,'Tables - Part 2'!$AV$6:$AV$13,0),MATCH('HIC-SOHIC-H2S'!$T16,'Tables - Part 2'!$AX$5:$BA$5,0)))+(INDEX('Tables - Part 2'!$BB$17:$BE$24,MATCH('HIC-SOHIC-H2S'!$Z16,'Tables - Part 2'!$AV$6:$AV$13,0),MATCH('HIC-SOHIC-H2S'!$T16,'Tables - Part 2'!$AX$5:$BA$5,0))+INDEX('Tables - Part 2'!$BF$17:$BI$24,MATCH('HIC-SOHIC-H2S'!$Z16,'Tables - Part 2'!$AV$6:$AV$13,0),MATCH('HIC-SOHIC-H2S'!$T16,'Tables - Part 2'!$AX$5:$BA$5,0)))/2)/2,0)</f>
        <v>0</v>
      </c>
      <c r="BP16" s="248">
        <f>IF($S16=$BP$3,((((INDEX('Tables - Part 2'!$BB$17:$BE$24,MATCH('HIC-SOHIC-H2S'!$Z16,'Tables - Part 2'!$AV$6:$AV$13,0),MATCH('HIC-SOHIC-H2S'!$T16,'Tables - Part 2'!$AX$5:$BA$5,0)))+(INDEX('Tables - Part 2'!$BB$17:$BE$24,MATCH('HIC-SOHIC-H2S'!$Z16,'Tables - Part 2'!$AV$6:$AV$13,0),MATCH('HIC-SOHIC-H2S'!$T16,'Tables - Part 2'!$AX$5:$BA$5,0))+INDEX('Tables - Part 2'!$BF$17:$BI$24,MATCH('HIC-SOHIC-H2S'!$Z16,'Tables - Part 2'!$AV$6:$AV$13,0),MATCH('HIC-SOHIC-H2S'!$T16,'Tables - Part 2'!$AX$5:$BA$5,0)))/2)/2)+((INDEX('Tables - Part 2'!$BB$17:$BE$24,MATCH('HIC-SOHIC-H2S'!$Z16,'Tables - Part 2'!$AV$6:$AV$13,0),MATCH('HIC-SOHIC-H2S'!$T16,'Tables - Part 2'!$AX$5:$BA$5,0))+INDEX('Tables - Part 2'!$BF$17:$BI$24,MATCH('HIC-SOHIC-H2S'!$Z16,'Tables - Part 2'!$AV$6:$AV$13,0),MATCH('HIC-SOHIC-H2S'!$T16,'Tables - Part 2'!$AX$5:$BA$5,0)))/2))/2,0)</f>
        <v>0</v>
      </c>
      <c r="BQ16" s="248">
        <f>IF($S16=$BQ$3,(INDEX('Tables - Part 2'!$BB$17:$BE$24,MATCH('HIC-SOHIC-H2S'!$Z16,'Tables - Part 2'!$AV$6:$AV$13,0),MATCH('HIC-SOHIC-H2S'!$T16,'Tables - Part 2'!$AX$5:$BA$5,0))+INDEX('Tables - Part 2'!$BF$17:$BI$24,MATCH('HIC-SOHIC-H2S'!$Z16,'Tables - Part 2'!$AV$6:$AV$13,0),MATCH('HIC-SOHIC-H2S'!$T16,'Tables - Part 2'!$AX$5:$BA$5,0)))/2,0)</f>
        <v>0</v>
      </c>
      <c r="BR16" s="248">
        <f>IF($S16=$BR$3,(((INDEX('Tables - Part 2'!$BB$17:$BE$24,MATCH('HIC-SOHIC-H2S'!$Z16,'Tables - Part 2'!$AV$6:$AV$13,0),MATCH('HIC-SOHIC-H2S'!$T16,'Tables - Part 2'!$AX$5:$BA$5,0))+INDEX('Tables - Part 2'!$BF$17:$BI$24,MATCH('HIC-SOHIC-H2S'!$Z16,'Tables - Part 2'!$AV$6:$AV$13,0),MATCH('HIC-SOHIC-H2S'!$T16,'Tables - Part 2'!$AX$5:$BA$5,0)))/2)+((((INDEX('Tables - Part 2'!$BB$17:$BE$24,MATCH('HIC-SOHIC-H2S'!$Z16,'Tables - Part 2'!$AV$6:$AV$13,0),MATCH('HIC-SOHIC-H2S'!$T16,'Tables - Part 2'!$AX$5:$BA$5,0))+INDEX('Tables - Part 2'!$BF$17:$BI$24,MATCH('HIC-SOHIC-H2S'!$Z16,'Tables - Part 2'!$AV$6:$AV$13,0),MATCH('HIC-SOHIC-H2S'!$T16,'Tables - Part 2'!$AX$5:$BA$5,0)))/2)+INDEX('Tables - Part 2'!$BF$17:$BI$24,MATCH('HIC-SOHIC-H2S'!$Z16,'Tables - Part 2'!$AV$6:$AV$13,0),MATCH('HIC-SOHIC-H2S'!$T16,'Tables - Part 2'!$AX$5:$BA$5,0)))/2))/2,0)</f>
        <v>0</v>
      </c>
      <c r="BS16" s="248">
        <f>IF($S16=$BS$3,(((INDEX('Tables - Part 2'!$BB$17:$BE$24,MATCH('HIC-SOHIC-H2S'!$Z16,'Tables - Part 2'!$AV$6:$AV$13,0),MATCH('HIC-SOHIC-H2S'!$T16,'Tables - Part 2'!$AX$5:$BA$5,0))+INDEX('Tables - Part 2'!$BF$17:$BI$24,MATCH('HIC-SOHIC-H2S'!$Z16,'Tables - Part 2'!$AV$6:$AV$13,0),MATCH('HIC-SOHIC-H2S'!$T16,'Tables - Part 2'!$AX$5:$BA$5,0)))/2)+INDEX('Tables - Part 2'!$BF$17:$BI$24,MATCH('HIC-SOHIC-H2S'!$Z16,'Tables - Part 2'!$AV$6:$AV$13,0),MATCH('HIC-SOHIC-H2S'!$T16,'Tables - Part 2'!$AX$5:$BA$5,0)))/2,0)</f>
        <v>0</v>
      </c>
      <c r="BT16" s="248">
        <f>IF($S16=$BT$3,(((((INDEX('Tables - Part 2'!$BB$17:$BE$24,MATCH('HIC-SOHIC-H2S'!$Z16,'Tables - Part 2'!$AV$6:$AV$13,0),MATCH('HIC-SOHIC-H2S'!$T16,'Tables - Part 2'!$AX$5:$BA$5,0))+INDEX('Tables - Part 2'!$BF$17:$BI$24,MATCH('HIC-SOHIC-H2S'!$Z16,'Tables - Part 2'!$AV$6:$AV$13,0),MATCH('HIC-SOHIC-H2S'!$T16,'Tables - Part 2'!$AX$5:$BA$5,0)))/2)+INDEX('Tables - Part 2'!$BF$17:$BI$24,MATCH('HIC-SOHIC-H2S'!$Z16,'Tables - Part 2'!$AV$6:$AV$13,0),MATCH('HIC-SOHIC-H2S'!$T16,'Tables - Part 2'!$AX$5:$BA$5,0)))/2)+(INDEX('Tables - Part 2'!$BF$17:$BI$24,MATCH('HIC-SOHIC-H2S'!$Z16,'Tables - Part 2'!$AV$6:$AV$13,0),MATCH('HIC-SOHIC-H2S'!$T16,'Tables - Part 2'!$AX$5:$BA$5,0))))/2,0)</f>
        <v>0</v>
      </c>
      <c r="BU16" s="248">
        <f>IF($S16=$BU$3,INDEX('Tables - Part 2'!$BF$17:$BI$24,MATCH('HIC-SOHIC-H2S'!$Z16,'Tables - Part 2'!$AV$6:$AV$13,0),MATCH('HIC-SOHIC-H2S'!$T16,'Tables - Part 2'!$AX$5:$BA$5,0)),0)</f>
        <v>0</v>
      </c>
      <c r="BV16" s="248" t="e">
        <f t="shared" si="2"/>
        <v>#N/A</v>
      </c>
      <c r="BW16" s="238" t="e">
        <f t="shared" si="8"/>
        <v>#N/A</v>
      </c>
      <c r="BX16" s="238" t="e">
        <f t="shared" si="9"/>
        <v>#N/A</v>
      </c>
    </row>
    <row r="17" spans="2:76" x14ac:dyDescent="0.35">
      <c r="B17" s="161" t="str">
        <f>'Tratamento de Dados'!B25</f>
        <v>V-7</v>
      </c>
      <c r="C17" s="161" t="str">
        <f>'Tratamento de Dados'!D25</f>
        <v>Casco</v>
      </c>
      <c r="D17" s="209">
        <f>'Tratamento de Dados'!CN25</f>
        <v>0</v>
      </c>
      <c r="E17" s="209">
        <f>'Tratamento de Dados'!CO25</f>
        <v>0</v>
      </c>
      <c r="F17" s="209">
        <f>'Tratamento de Dados'!CP25</f>
        <v>0</v>
      </c>
      <c r="G17" s="209">
        <f>'Tratamento de Dados'!CQ25</f>
        <v>0</v>
      </c>
      <c r="H17" s="209">
        <f>'Tratamento de Dados'!CR25</f>
        <v>0</v>
      </c>
      <c r="I17" s="209">
        <f>'Tratamento de Dados'!CS25</f>
        <v>0</v>
      </c>
      <c r="J17" s="209">
        <f>'Tratamento de Dados'!CT25</f>
        <v>0</v>
      </c>
      <c r="K17" s="209">
        <f>'Tratamento de Dados'!CU25</f>
        <v>0</v>
      </c>
      <c r="L17" s="210">
        <f>'Tratamento de Dados'!CV25</f>
        <v>0</v>
      </c>
      <c r="M17" s="209">
        <f>'Tratamento de Dados'!CW25</f>
        <v>0</v>
      </c>
      <c r="N17" s="209">
        <f>'Tratamento de Dados'!CX25</f>
        <v>0</v>
      </c>
      <c r="O17" s="209">
        <f>'Tratamento de Dados'!CY25</f>
        <v>0</v>
      </c>
      <c r="P17" s="209">
        <f>'Tratamento de Dados'!CZ25</f>
        <v>0</v>
      </c>
      <c r="Q17" s="253">
        <f>'Tratamento de Dados'!DA25</f>
        <v>0</v>
      </c>
      <c r="R17" s="253">
        <f>'Tratamento de Dados'!DB25</f>
        <v>0</v>
      </c>
      <c r="S17" s="256">
        <f t="shared" si="0"/>
        <v>0</v>
      </c>
      <c r="T17" s="246" t="str">
        <f t="shared" si="3"/>
        <v>E</v>
      </c>
      <c r="U17" s="238" t="e">
        <f>IF(D17=$CC$2,$CA$4,IF(AND(H17=$CC$2,OR(F17='Tables - Part 2'!$CE$8,'Tables - Part 2'!$CE$9),OR('HIC-SOHIC-H2S'!G17='Tables - Part 2'!$CH$4,'HIC-SOHIC-H2S'!G17='Tables - Part 2'!$CI$4)),$CA$4,INDEX('Tables - Part 2'!$CF$5:$CI$9,MATCH('HIC-SOHIC-H2S'!F17,'Tables - Part 2'!$CE$5:$CE$9,0),MATCH('HIC-SOHIC-H2S'!G17,'Tables - Part 2'!$CF$4:$CI$4,0))))</f>
        <v>#N/A</v>
      </c>
      <c r="V17" s="238" t="str">
        <f>IF($I17=$V$3,INDEX('Tables - Part 2'!$CL$5:$CM$7,MATCH('HIC-SOHIC-H2S'!$U17,'Tables - Part 2'!$CK$5:$CK$7,0),IF('HIC-SOHIC-H2S'!$J17='HIC-SOHIC-H2S'!$CC$2,2,1)),"")</f>
        <v/>
      </c>
      <c r="W17" s="238" t="str">
        <f>IF($I17=$W$3,INDEX('Tables - Part 2'!$CN$5:$CO$7,MATCH('HIC-SOHIC-H2S'!$U17,'Tables - Part 2'!$CK$5:$CK$7,0),IF('HIC-SOHIC-H2S'!$J17='HIC-SOHIC-H2S'!$CC$2,2,1)),"")</f>
        <v/>
      </c>
      <c r="X17" s="238" t="str">
        <f>IF($I17=$X$3,INDEX('Tables - Part 2'!$CP$5:$CQ$7,MATCH('HIC-SOHIC-H2S'!$U17,'Tables - Part 2'!$CK$5:$CK$7,0),IF('HIC-SOHIC-H2S'!$J17='HIC-SOHIC-H2S'!$CC$2,2,1)),"")</f>
        <v/>
      </c>
      <c r="Y17" s="238" t="str">
        <f t="shared" si="1"/>
        <v/>
      </c>
      <c r="Z17" s="238" t="e">
        <f>IF(AND(D17=$CC$2,E17&lt;&gt;$CC$2),"Fitness-For-Service",INDEX('Tables - Part 2'!$CT$4:$CT$6,MATCH('HIC-SOHIC-H2S'!Y17,'Tables - Part 2'!$CS$4:$CS$6,0),))</f>
        <v>#N/A</v>
      </c>
      <c r="AA17" s="238">
        <f>IF(L17=0,(Thinning!G18-Thinning!F18)/365.25,(Thinning!G18-L17)/365.25)</f>
        <v>5.4757015742642025E-3</v>
      </c>
      <c r="AB17" s="238" t="e">
        <f>INDEX('Tables - Part 2'!$CW$4:$CW$7,MATCH('HIC-SOHIC-H2S'!K17,'Tables - Part 2'!$CV$4:$CV$7,0))</f>
        <v>#N/A</v>
      </c>
      <c r="AC17" s="248">
        <f t="shared" si="4"/>
        <v>0</v>
      </c>
      <c r="AD17" s="248">
        <f t="shared" si="5"/>
        <v>0</v>
      </c>
      <c r="AE17" s="247">
        <f t="shared" si="10"/>
        <v>0</v>
      </c>
      <c r="AF17" s="247">
        <f t="shared" si="7"/>
        <v>0</v>
      </c>
      <c r="AG17" s="248">
        <f>IF($S17=$AG$3,INDEX('Tables - Part 2'!$AX$6:$BA$13,MATCH('HIC-SOHIC-H2S'!Z17,'Tables - Part 2'!$AV$6:$AV$13,0),MATCH('HIC-SOHIC-H2S'!T17,'Tables - Part 2'!$AX$5:$BA$5,0)),0)</f>
        <v>0</v>
      </c>
      <c r="AH17" s="248">
        <f>IF($S17=$AH$3,(INDEX('Tables - Part 2'!$AX$6:$BA$13,MATCH('HIC-SOHIC-H2S'!Z17,'Tables - Part 2'!$AV$6:$AV$13,0),MATCH('HIC-SOHIC-H2S'!T17,'Tables - Part 2'!$AX$5:$BA$5,0))+(INDEX('Tables - Part 2'!$AX$6:$BA$13,MATCH('HIC-SOHIC-H2S'!Z17,'Tables - Part 2'!$AV$6:$AV$13,0),MATCH('HIC-SOHIC-H2S'!T17,'Tables - Part 2'!$AX$5:$BA$5,0))+((INDEX('Tables - Part 2'!$AX$6:$BA$13,MATCH('HIC-SOHIC-H2S'!Z17,'Tables - Part 2'!$AV$6:$AV$13,0),MATCH('HIC-SOHIC-H2S'!T17,'Tables - Part 2'!$AX$5:$BA$5,0))+INDEX('Tables - Part 2'!$BB$6:$BE$13,MATCH('HIC-SOHIC-H2S'!$Z17,'Tables - Part 2'!$AV$6:$AV$13,0),MATCH('HIC-SOHIC-H2S'!$T17,'Tables - Part 2'!$AX$5:$BA$5,0)))/2))/2)/2,0)</f>
        <v>0</v>
      </c>
      <c r="AI17" s="248">
        <f>IF($S17=$AI$3,(INDEX('Tables - Part 2'!$AX$6:$BA$13,MATCH('HIC-SOHIC-H2S'!Z17,'Tables - Part 2'!$AV$6:$AV$13,0),MATCH('HIC-SOHIC-H2S'!T17,'Tables - Part 2'!$AX$5:$BA$5,0))+((INDEX('Tables - Part 2'!$AX$6:$BA$13,MATCH('HIC-SOHIC-H2S'!Z17,'Tables - Part 2'!$AV$6:$AV$13,0),MATCH('HIC-SOHIC-H2S'!T17,'Tables - Part 2'!$AX$5:$BA$5,0))+INDEX('Tables - Part 2'!$BB$6:$BE$13,MATCH('HIC-SOHIC-H2S'!$Z17,'Tables - Part 2'!$AV$6:$AV$13,0),MATCH('HIC-SOHIC-H2S'!$T17,'Tables - Part 2'!$AX$5:$BA$5,0)))/2))/2,0)</f>
        <v>0</v>
      </c>
      <c r="AJ17" s="248">
        <f>IF($S17=$AJ$3,(((INDEX('Tables - Part 2'!$AX$6:$BA$13,MATCH('HIC-SOHIC-H2S'!Z17,'Tables - Part 2'!$AV$6:$AV$13,0),MATCH('HIC-SOHIC-H2S'!T17,'Tables - Part 2'!$AX$5:$BA$5,0))+((INDEX('Tables - Part 2'!$AX$6:$BA$13,MATCH('HIC-SOHIC-H2S'!Z17,'Tables - Part 2'!$AV$6:$AV$13,0),MATCH('HIC-SOHIC-H2S'!T17,'Tables - Part 2'!$AX$5:$BA$5,0))+INDEX('Tables - Part 2'!$BB$6:$BE$13,MATCH('HIC-SOHIC-H2S'!$Z17,'Tables - Part 2'!$AV$6:$AV$13,0),MATCH('HIC-SOHIC-H2S'!$T17,'Tables - Part 2'!$AX$5:$BA$5,0)))/2))/2)+(INDEX('Tables - Part 2'!$AX$6:$BA$13,MATCH('HIC-SOHIC-H2S'!Z17,'Tables - Part 2'!$AV$6:$AV$13,0),MATCH('HIC-SOHIC-H2S'!T17,'Tables - Part 2'!$AX$5:$BA$5,0))+INDEX('Tables - Part 2'!$BB$6:$BE$13,MATCH('HIC-SOHIC-H2S'!$Z17,'Tables - Part 2'!$AV$6:$AV$13,0),MATCH('HIC-SOHIC-H2S'!$T17,'Tables - Part 2'!$AX$5:$BA$5,0)))/2)/2,0)</f>
        <v>0</v>
      </c>
      <c r="AK17" s="248">
        <f>IF($S17=$AK$3,(INDEX('Tables - Part 2'!$AX$6:$BA$13,MATCH('HIC-SOHIC-H2S'!Z17,'Tables - Part 2'!$AV$6:$AV$13,0),MATCH('HIC-SOHIC-H2S'!T17,'Tables - Part 2'!$AX$5:$BA$5,0))+INDEX('Tables - Part 2'!$BB$6:$BE$13,MATCH('HIC-SOHIC-H2S'!$Z17,'Tables - Part 2'!$AV$6:$AV$13,0),MATCH('HIC-SOHIC-H2S'!$T17,'Tables - Part 2'!$AX$5:$BA$5,0)))/2,0)</f>
        <v>0</v>
      </c>
      <c r="AL17" s="248">
        <f>IF($S17=$AL$3,(((INDEX('Tables - Part 2'!$AX$6:$BA$13,MATCH('HIC-SOHIC-H2S'!Z17,'Tables - Part 2'!$AV$6:$AV$13,0),MATCH('HIC-SOHIC-H2S'!T17,'Tables - Part 2'!$AX$5:$BA$5,0))+INDEX('Tables - Part 2'!$BB$6:$BE$13,MATCH('HIC-SOHIC-H2S'!$Z17,'Tables - Part 2'!$AV$6:$AV$13,0),MATCH('HIC-SOHIC-H2S'!$T17,'Tables - Part 2'!$AX$5:$BA$5,0)))/2)+(((INDEX('Tables - Part 2'!$AX$6:$BA$13,MATCH('HIC-SOHIC-H2S'!Z17,'Tables - Part 2'!$AV$6:$AV$13,0),MATCH('HIC-SOHIC-H2S'!T17,'Tables - Part 2'!$AX$5:$BA$5,0))+INDEX('Tables - Part 2'!$BB$6:$BE$13,MATCH('HIC-SOHIC-H2S'!$Z17,'Tables - Part 2'!$AV$6:$AV$13,0),MATCH('HIC-SOHIC-H2S'!$T17,'Tables - Part 2'!$AX$5:$BA$5,0)))/2)+INDEX('Tables - Part 2'!$BB$6:$BE$13,MATCH('HIC-SOHIC-H2S'!$Z17,'Tables - Part 2'!$AV$6:$AV$13,0),MATCH('HIC-SOHIC-H2S'!$T17,'Tables - Part 2'!$AX$5:$BA$5,0)))/2)/2,0)</f>
        <v>0</v>
      </c>
      <c r="AM17" s="248">
        <f>IF($S17=$AM$3,(((INDEX('Tables - Part 2'!$AX$6:$BA$13,MATCH('HIC-SOHIC-H2S'!Z17,'Tables - Part 2'!$AV$6:$AV$13,0),MATCH('HIC-SOHIC-H2S'!T17,'Tables - Part 2'!$AX$5:$BA$5,0))+INDEX('Tables - Part 2'!$BB$6:$BE$13,MATCH('HIC-SOHIC-H2S'!$Z17,'Tables - Part 2'!$AV$6:$AV$13,0),MATCH('HIC-SOHIC-H2S'!$T17,'Tables - Part 2'!$AX$5:$BA$5,0)))/2)+INDEX('Tables - Part 2'!$BB$6:$BE$13,MATCH('HIC-SOHIC-H2S'!$Z17,'Tables - Part 2'!$AV$6:$AV$13,0),MATCH('HIC-SOHIC-H2S'!$T17,'Tables - Part 2'!$AX$5:$BA$5,0)))/2,0)</f>
        <v>0</v>
      </c>
      <c r="AN17" s="248">
        <f>IF($S17=$AN$3,(((((INDEX('Tables - Part 2'!$AX$6:$BA$13,MATCH('HIC-SOHIC-H2S'!Z17,'Tables - Part 2'!$AV$6:$AV$13,0),MATCH('HIC-SOHIC-H2S'!T17,'Tables - Part 2'!$AX$5:$BA$5,0))+INDEX('Tables - Part 2'!$BB$6:$BE$13,MATCH('HIC-SOHIC-H2S'!$Z17,'Tables - Part 2'!$AV$6:$AV$13,0),MATCH('HIC-SOHIC-H2S'!$T17,'Tables - Part 2'!$AX$5:$BA$5,0)))/2)+INDEX('Tables - Part 2'!$BB$6:$BE$13,MATCH('HIC-SOHIC-H2S'!$Z17,'Tables - Part 2'!$AV$6:$AV$13,0),MATCH('HIC-SOHIC-H2S'!$T17,'Tables - Part 2'!$AX$5:$BA$5,0)))/2)+INDEX('Tables - Part 2'!$BB$6:$BE$13,MATCH('HIC-SOHIC-H2S'!$Z17,'Tables - Part 2'!$AV$6:$AV$13,0),MATCH('HIC-SOHIC-H2S'!$T17,'Tables - Part 2'!$AX$5:$BA$5,0)))/2,0)</f>
        <v>0</v>
      </c>
      <c r="AO17" s="248">
        <f>IF($S17=$AO$3,INDEX('Tables - Part 2'!$BB$6:$BE$13,MATCH('HIC-SOHIC-H2S'!$Z17,'Tables - Part 2'!$AV$6:$AV$13,0),MATCH('HIC-SOHIC-H2S'!$T17,'Tables - Part 2'!$AX$5:$BA$5,0)),0)</f>
        <v>0</v>
      </c>
      <c r="AP17" s="248">
        <f>IF($S17=$AP$3,((INDEX('Tables - Part 2'!$BB$6:$BE$13,MATCH('HIC-SOHIC-H2S'!$Z17,'Tables - Part 2'!$AV$6:$AV$13,0),MATCH('HIC-SOHIC-H2S'!$T17,'Tables - Part 2'!$AX$5:$BA$5,0)))+(INDEX('Tables - Part 2'!$BB$6:$BE$13,MATCH('HIC-SOHIC-H2S'!$Z17,'Tables - Part 2'!$AV$6:$AV$13,0),MATCH('HIC-SOHIC-H2S'!$T17,'Tables - Part 2'!$AX$5:$BA$5,0))+(INDEX('Tables - Part 2'!$BB$6:$BE$13,MATCH('HIC-SOHIC-H2S'!$Z17,'Tables - Part 2'!$AV$6:$AV$13,0),MATCH('HIC-SOHIC-H2S'!$T17,'Tables - Part 2'!$AX$5:$BA$5,0))+INDEX('Tables - Part 2'!$BF$6:$BI$13,MATCH('HIC-SOHIC-H2S'!$Z17,'Tables - Part 2'!$AV$6:$AV$13,0),MATCH('HIC-SOHIC-H2S'!$T17,'Tables - Part 2'!$AX$5:$BA$5,0)))/2)/2)/2,0)</f>
        <v>0</v>
      </c>
      <c r="AQ17" s="248">
        <f>IF($S17=$AQ$3,(INDEX('Tables - Part 2'!$BB$6:$BE$13,MATCH('HIC-SOHIC-H2S'!$Z17,'Tables - Part 2'!$AV$6:$AV$13,0),MATCH('HIC-SOHIC-H2S'!$T17,'Tables - Part 2'!$AX$5:$BA$5,0))+(INDEX('Tables - Part 2'!$BB$6:$BE$13,MATCH('HIC-SOHIC-H2S'!$Z17,'Tables - Part 2'!$AV$6:$AV$13,0),MATCH('HIC-SOHIC-H2S'!$T17,'Tables - Part 2'!$AX$5:$BA$5,0))+INDEX('Tables - Part 2'!$BF$6:$BI$13,MATCH('HIC-SOHIC-H2S'!$Z17,'Tables - Part 2'!$AV$6:$AV$13,0),MATCH('HIC-SOHIC-H2S'!$T17,'Tables - Part 2'!$AX$5:$BA$5,0)))/2)/2,0)</f>
        <v>0</v>
      </c>
      <c r="AR17" s="248">
        <f>IF($S17=$AR$3,(((INDEX('Tables - Part 2'!$BB$6:$BE$13,MATCH('HIC-SOHIC-H2S'!$Z17,'Tables - Part 2'!$AV$6:$AV$13,0),MATCH('HIC-SOHIC-H2S'!$T17,'Tables - Part 2'!$AX$5:$BA$5,0))+(INDEX('Tables - Part 2'!$BB$6:$BE$13,MATCH('HIC-SOHIC-H2S'!$Z17,'Tables - Part 2'!$AV$6:$AV$13,0),MATCH('HIC-SOHIC-H2S'!$T17,'Tables - Part 2'!$AX$5:$BA$5,0))+INDEX('Tables - Part 2'!$BF$6:$BI$13,MATCH('HIC-SOHIC-H2S'!$Z17,'Tables - Part 2'!$AV$6:$AV$13,0),MATCH('HIC-SOHIC-H2S'!$T17,'Tables - Part 2'!$AX$5:$BA$5,0)))/2)/2)+((INDEX('Tables - Part 2'!$BB$6:$BE$13,MATCH('HIC-SOHIC-H2S'!$Z17,'Tables - Part 2'!$AV$6:$AV$13,0),MATCH('HIC-SOHIC-H2S'!$T17,'Tables - Part 2'!$AX$5:$BA$5,0))+INDEX('Tables - Part 2'!$BF$6:$BI$13,MATCH('HIC-SOHIC-H2S'!$Z17,'Tables - Part 2'!$AV$6:$AV$13,0),MATCH('HIC-SOHIC-H2S'!$T17,'Tables - Part 2'!$AX$5:$BA$5,0)))/2))/2,0)</f>
        <v>0</v>
      </c>
      <c r="AS17" s="248">
        <f>IF($S17=$AS$3,(INDEX('Tables - Part 2'!$BB$6:$BE$13,MATCH('HIC-SOHIC-H2S'!$Z17,'Tables - Part 2'!$AV$6:$AV$13,0),MATCH('HIC-SOHIC-H2S'!$T17,'Tables - Part 2'!$AX$5:$BA$5,0))+INDEX('Tables - Part 2'!$BF$6:$BI$13,MATCH('HIC-SOHIC-H2S'!$Z17,'Tables - Part 2'!$AV$6:$AV$13,0),MATCH('HIC-SOHIC-H2S'!$T17,'Tables - Part 2'!$AX$5:$BA$5,0)))/2,0)</f>
        <v>0</v>
      </c>
      <c r="AT17" s="248">
        <f>IF($S17=$AT$3,(((INDEX('Tables - Part 2'!$BB$6:$BE$13,MATCH('HIC-SOHIC-H2S'!$Z17,'Tables - Part 2'!$AV$6:$AV$13,0),MATCH('HIC-SOHIC-H2S'!$T17,'Tables - Part 2'!$AX$5:$BA$5,0))+INDEX('Tables - Part 2'!$BF$6:$BI$13,MATCH('HIC-SOHIC-H2S'!$Z17,'Tables - Part 2'!$AV$6:$AV$13,0),MATCH('HIC-SOHIC-H2S'!$T17,'Tables - Part 2'!$AX$5:$BA$5,0)))/2)+((((INDEX('Tables - Part 2'!$BB$6:$BE$13,MATCH('HIC-SOHIC-H2S'!$Z17,'Tables - Part 2'!$AV$6:$AV$13,0),MATCH('HIC-SOHIC-H2S'!$T17,'Tables - Part 2'!$AX$5:$BA$5,0))+INDEX('Tables - Part 2'!$BF$6:$BI$13,MATCH('HIC-SOHIC-H2S'!$Z17,'Tables - Part 2'!$AV$6:$AV$13,0),MATCH('HIC-SOHIC-H2S'!$T17,'Tables - Part 2'!$AX$5:$BA$5,0)))/2)+INDEX('Tables - Part 2'!$BF$6:$BI$13,MATCH('HIC-SOHIC-H2S'!$Z17,'Tables - Part 2'!$AV$6:$AV$13,0),MATCH('HIC-SOHIC-H2S'!$T17,'Tables - Part 2'!$AX$5:$BA$5,0)))/2))/2,0)</f>
        <v>0</v>
      </c>
      <c r="AU17" s="248">
        <f>IF($S17=$AU$3,(((INDEX('Tables - Part 2'!$BB$6:$BE$13,MATCH('HIC-SOHIC-H2S'!$Z17,'Tables - Part 2'!$AV$6:$AV$13,0),MATCH('HIC-SOHIC-H2S'!$T17,'Tables - Part 2'!$AX$5:$BA$5,0))+INDEX('Tables - Part 2'!$BF$6:$BI$13,MATCH('HIC-SOHIC-H2S'!$Z17,'Tables - Part 2'!$AV$6:$AV$13,0),MATCH('HIC-SOHIC-H2S'!$T17,'Tables - Part 2'!$AX$5:$BA$5,0)))/2)+INDEX('Tables - Part 2'!$BF$6:$BI$13,MATCH('HIC-SOHIC-H2S'!$Z17,'Tables - Part 2'!$AV$6:$AV$13,0),MATCH('HIC-SOHIC-H2S'!$T17,'Tables - Part 2'!$AX$5:$BA$5,0)))/2,0)</f>
        <v>0</v>
      </c>
      <c r="AV17" s="248">
        <f>IF($S17=$AV$3,(((((INDEX('Tables - Part 2'!$BB$6:$BE$13,MATCH('HIC-SOHIC-H2S'!$Z17,'Tables - Part 2'!$AV$6:$AV$13,0),MATCH('HIC-SOHIC-H2S'!$T17,'Tables - Part 2'!$AX$5:$BA$5,0))+INDEX('Tables - Part 2'!$BF$6:$BI$13,MATCH('HIC-SOHIC-H2S'!$Z17,'Tables - Part 2'!$AV$6:$AV$13,0),MATCH('HIC-SOHIC-H2S'!$T17,'Tables - Part 2'!$AX$5:$BA$5,0)))/2)+INDEX('Tables - Part 2'!$BF$6:$BI$13,MATCH('HIC-SOHIC-H2S'!$Z17,'Tables - Part 2'!$AV$6:$AV$13,0),MATCH('HIC-SOHIC-H2S'!$T17,'Tables - Part 2'!$AX$5:$BA$5,0)))/2)+INDEX('Tables - Part 2'!$BF$6:$BI$13,MATCH('HIC-SOHIC-H2S'!$Z17,'Tables - Part 2'!$AV$6:$AV$13,0),MATCH('HIC-SOHIC-H2S'!$T17,'Tables - Part 2'!$AX$5:$BA$5,0)))/2,0)</f>
        <v>0</v>
      </c>
      <c r="AW17" s="248">
        <f>IF($S17=$AW$3,INDEX('Tables - Part 2'!$BF$6:$BI$13,MATCH('HIC-SOHIC-H2S'!$Z17,'Tables - Part 2'!$AV$6:$AV$13,0),MATCH('HIC-SOHIC-H2S'!$T17,'Tables - Part 2'!$AX$5:$BA$5,0)),0)</f>
        <v>0</v>
      </c>
      <c r="AX17" s="248">
        <f>IF($S17=$AX$3,(INDEX('Tables - Part 2'!$BF$6:$BI$13,MATCH('HIC-SOHIC-H2S'!$Z17,'Tables - Part 2'!$AV$6:$AV$13,0),MATCH('HIC-SOHIC-H2S'!$T17,'Tables - Part 2'!$AX$5:$BA$5,0))+((INDEX('Tables - Part 2'!$BF$6:$BI$13,MATCH('HIC-SOHIC-H2S'!$Z17,'Tables - Part 2'!$AV$6:$AV$13,0),MATCH('HIC-SOHIC-H2S'!$T17,'Tables - Part 2'!$AX$5:$BA$5,0))+(INDEX('Tables - Part 2'!$BF$6:$BI$13,MATCH('HIC-SOHIC-H2S'!$Z17,'Tables - Part 2'!$AV$6:$AV$13,0),MATCH('HIC-SOHIC-H2S'!$T17,'Tables - Part 2'!$AX$5:$BA$5,0))+INDEX('Tables - Part 2'!$AX$17:$BA$24,MATCH('HIC-SOHIC-H2S'!$Z17,'Tables - Part 2'!$AV$6:$AV$13,0),MATCH('HIC-SOHIC-H2S'!$T17,'Tables - Part 2'!$AX$5:$BA$5,0)))/2)/2))/2,0)</f>
        <v>0</v>
      </c>
      <c r="AY17" s="248">
        <f>IF($S17=$AY$3,(INDEX('Tables - Part 2'!$BF$6:$BI$13,MATCH('HIC-SOHIC-H2S'!$Z17,'Tables - Part 2'!$AV$6:$AV$13,0),MATCH('HIC-SOHIC-H2S'!$T17,'Tables - Part 2'!$AX$5:$BA$5,0))+(INDEX('Tables - Part 2'!$BF$6:$BI$13,MATCH('HIC-SOHIC-H2S'!$Z17,'Tables - Part 2'!$AV$6:$AV$13,0),MATCH('HIC-SOHIC-H2S'!$T17,'Tables - Part 2'!$AX$5:$BA$5,0))+INDEX('Tables - Part 2'!$AX$17:$BA$24,MATCH('HIC-SOHIC-H2S'!$Z17,'Tables - Part 2'!$AV$6:$AV$13,0),MATCH('HIC-SOHIC-H2S'!$T17,'Tables - Part 2'!$AX$5:$BA$5,0)))/2)/2,0)</f>
        <v>0</v>
      </c>
      <c r="AZ17" s="248">
        <f>IF($S17=$AZ$3,(((INDEX('Tables - Part 2'!$BF$6:$BI$13,MATCH('HIC-SOHIC-H2S'!$Z17,'Tables - Part 2'!$AV$6:$AV$13,0),MATCH('HIC-SOHIC-H2S'!$T17,'Tables - Part 2'!$AX$5:$BA$5,0))+(INDEX('Tables - Part 2'!$BF$6:$BI$13,MATCH('HIC-SOHIC-H2S'!$Z17,'Tables - Part 2'!$AV$6:$AV$13,0),MATCH('HIC-SOHIC-H2S'!$T17,'Tables - Part 2'!$AX$5:$BA$5,0))+INDEX('Tables - Part 2'!$AX$17:$BA$24,MATCH('HIC-SOHIC-H2S'!$Z17,'Tables - Part 2'!$AV$6:$AV$13,0),MATCH('HIC-SOHIC-H2S'!$T17,'Tables - Part 2'!$AX$5:$BA$5,0)))/2)/2)+((INDEX('Tables - Part 2'!$BF$6:$BI$13,MATCH('HIC-SOHIC-H2S'!$Z17,'Tables - Part 2'!$AV$6:$AV$13,0),MATCH('HIC-SOHIC-H2S'!$T17,'Tables - Part 2'!$AX$5:$BA$5,0))+INDEX('Tables - Part 2'!$AX$17:$BA$24,MATCH('HIC-SOHIC-H2S'!$Z17,'Tables - Part 2'!$AV$6:$AV$13,0),MATCH('HIC-SOHIC-H2S'!$T17,'Tables - Part 2'!$AX$5:$BA$5,0)))/2))/2,0)</f>
        <v>0</v>
      </c>
      <c r="BA17" s="248">
        <f>IF($S17=$BA$3,(INDEX('Tables - Part 2'!$BF$6:$BI$13,MATCH('HIC-SOHIC-H2S'!$Z17,'Tables - Part 2'!$AV$6:$AV$13,0),MATCH('HIC-SOHIC-H2S'!$T17,'Tables - Part 2'!$AX$5:$BA$5,0))+INDEX('Tables - Part 2'!$AX$17:$BA$24,MATCH('HIC-SOHIC-H2S'!$Z17,'Tables - Part 2'!$AV$6:$AV$13,0),MATCH('HIC-SOHIC-H2S'!$T17,'Tables - Part 2'!$AX$5:$BA$5,0)))/2,0)</f>
        <v>0</v>
      </c>
      <c r="BB17" s="248">
        <f>IF($S17=$BB$3,(((INDEX('Tables - Part 2'!$BF$6:$BI$13,MATCH('HIC-SOHIC-H2S'!$Z17,'Tables - Part 2'!$AV$6:$AV$13,0),MATCH('HIC-SOHIC-H2S'!$T17,'Tables - Part 2'!$AX$5:$BA$5,0))+INDEX('Tables - Part 2'!$AX$17:$BA$24,MATCH('HIC-SOHIC-H2S'!$Z17,'Tables - Part 2'!$AV$6:$AV$13,0),MATCH('HIC-SOHIC-H2S'!$T17,'Tables - Part 2'!$AX$5:$BA$5,0)))/2)+((((INDEX('Tables - Part 2'!$BF$6:$BI$13,MATCH('HIC-SOHIC-H2S'!$Z17,'Tables - Part 2'!$AV$6:$AV$13,0),MATCH('HIC-SOHIC-H2S'!$T17,'Tables - Part 2'!$AX$5:$BA$5,0))+INDEX('Tables - Part 2'!$AX$17:$BA$24,MATCH('HIC-SOHIC-H2S'!$Z17,'Tables - Part 2'!$AV$6:$AV$13,0),MATCH('HIC-SOHIC-H2S'!$T17,'Tables - Part 2'!$AX$5:$BA$5,0)))/2)+INDEX('Tables - Part 2'!$AX$17:$BA$24,MATCH('HIC-SOHIC-H2S'!$Z17,'Tables - Part 2'!$AV$6:$AV$13,0),MATCH('HIC-SOHIC-H2S'!$T17,'Tables - Part 2'!$AX$5:$BA$5,0)))/2))/2,0)</f>
        <v>0</v>
      </c>
      <c r="BC17" s="248">
        <f>IF($S17=$BC$3,(((INDEX('Tables - Part 2'!$BF$6:$BI$13,MATCH('HIC-SOHIC-H2S'!$Z17,'Tables - Part 2'!$AV$6:$AV$13,0),MATCH('HIC-SOHIC-H2S'!$T17,'Tables - Part 2'!$AX$5:$BA$5,0))+INDEX('Tables - Part 2'!$AX$17:$BA$24,MATCH('HIC-SOHIC-H2S'!$Z17,'Tables - Part 2'!$AV$6:$AV$13,0),MATCH('HIC-SOHIC-H2S'!$T17,'Tables - Part 2'!$AX$5:$BA$5,0)))/2)+INDEX('Tables - Part 2'!$AX$17:$BA$24,MATCH('HIC-SOHIC-H2S'!$Z17,'Tables - Part 2'!$AV$6:$AV$13,0),MATCH('HIC-SOHIC-H2S'!$T17,'Tables - Part 2'!$AX$5:$BA$5,0)))/2,0)</f>
        <v>0</v>
      </c>
      <c r="BD17" s="248">
        <f>IF($S17=$BD$3,(((((INDEX('Tables - Part 2'!$BF$6:$BI$13,MATCH('HIC-SOHIC-H2S'!$Z17,'Tables - Part 2'!$AV$6:$AV$13,0),MATCH('HIC-SOHIC-H2S'!$T17,'Tables - Part 2'!$AX$5:$BA$5,0))+INDEX('Tables - Part 2'!$AX$17:$BA$24,MATCH('HIC-SOHIC-H2S'!$Z17,'Tables - Part 2'!$AV$6:$AV$13,0),MATCH('HIC-SOHIC-H2S'!$T17,'Tables - Part 2'!$AX$5:$BA$5,0)))/2)+INDEX('Tables - Part 2'!$AX$17:$BA$24,MATCH('HIC-SOHIC-H2S'!$Z17,'Tables - Part 2'!$AV$6:$AV$13,0),MATCH('HIC-SOHIC-H2S'!$T17,'Tables - Part 2'!$AX$5:$BA$5,0)))/2)+(INDEX('Tables - Part 2'!$AX$17:$BA$24,MATCH('HIC-SOHIC-H2S'!$Z17,'Tables - Part 2'!$AV$6:$AV$13,0),MATCH('HIC-SOHIC-H2S'!$T17,'Tables - Part 2'!$AX$5:$BA$5,0))))/2,0)</f>
        <v>0</v>
      </c>
      <c r="BE17" s="248">
        <f>IF($S17=$BE$3,INDEX('Tables - Part 2'!$AX$17:$BA$24,MATCH('HIC-SOHIC-H2S'!$Z17,'Tables - Part 2'!$AV$6:$AV$13,0),MATCH('HIC-SOHIC-H2S'!$T17,'Tables - Part 2'!$AX$5:$BA$5,0)),0)</f>
        <v>0</v>
      </c>
      <c r="BF17" s="248">
        <f>IF($S17=$BF$3,((INDEX('Tables - Part 2'!$AX$17:$BA$24,MATCH('HIC-SOHIC-H2S'!$Z17,'Tables - Part 2'!$AV$6:$AV$13,0),MATCH('HIC-SOHIC-H2S'!$T17,'Tables - Part 2'!$AX$5:$BA$5,0)))+(((INDEX('Tables - Part 2'!$AX$17:$BA$24,MATCH('HIC-SOHIC-H2S'!$Z17,'Tables - Part 2'!$AV$6:$AV$13,0),MATCH('HIC-SOHIC-H2S'!$T17,'Tables - Part 2'!$AX$5:$BA$5,0)))+(INDEX('Tables - Part 2'!$AX$17:$BA$24,MATCH('HIC-SOHIC-H2S'!$Z17,'Tables - Part 2'!$AV$6:$AV$13,0),MATCH('HIC-SOHIC-H2S'!$T17,'Tables - Part 2'!$AX$5:$BA$5,0))+INDEX('Tables - Part 2'!$BB$17:$BE$24,MATCH('HIC-SOHIC-H2S'!$Z17,'Tables - Part 2'!$AV$6:$AV$13,0),MATCH('HIC-SOHIC-H2S'!$T17,'Tables - Part 2'!$AX$5:$BA$5,0)))/2)/2))/2,0)</f>
        <v>0</v>
      </c>
      <c r="BG17" s="248">
        <f>IF($S17=$BG$3,((INDEX('Tables - Part 2'!$AX$17:$BA$24,MATCH('HIC-SOHIC-H2S'!$Z17,'Tables - Part 2'!$AV$6:$AV$13,0),MATCH('HIC-SOHIC-H2S'!$T17,'Tables - Part 2'!$AX$5:$BA$5,0)))+(INDEX('Tables - Part 2'!$AX$17:$BA$24,MATCH('HIC-SOHIC-H2S'!$Z17,'Tables - Part 2'!$AV$6:$AV$13,0),MATCH('HIC-SOHIC-H2S'!$T17,'Tables - Part 2'!$AX$5:$BA$5,0))+INDEX('Tables - Part 2'!$BB$17:$BE$24,MATCH('HIC-SOHIC-H2S'!$Z17,'Tables - Part 2'!$AV$6:$AV$13,0),MATCH('HIC-SOHIC-H2S'!$T17,'Tables - Part 2'!$AX$5:$BA$5,0)))/2)/2,0)</f>
        <v>0</v>
      </c>
      <c r="BH17" s="248">
        <f>IF($S17=$BH$3,((((INDEX('Tables - Part 2'!$AX$17:$BA$24,MATCH('HIC-SOHIC-H2S'!$Z17,'Tables - Part 2'!$AV$6:$AV$13,0),MATCH('HIC-SOHIC-H2S'!$T17,'Tables - Part 2'!$AX$5:$BA$5,0)))+(INDEX('Tables - Part 2'!$AX$17:$BA$24,MATCH('HIC-SOHIC-H2S'!$Z17,'Tables - Part 2'!$AV$6:$AV$13,0),MATCH('HIC-SOHIC-H2S'!$T17,'Tables - Part 2'!$AX$5:$BA$5,0))+INDEX('Tables - Part 2'!$BB$17:$BE$24,MATCH('HIC-SOHIC-H2S'!$Z17,'Tables - Part 2'!$AV$6:$AV$13,0),MATCH('HIC-SOHIC-H2S'!$T17,'Tables - Part 2'!$AX$5:$BA$5,0)))/2)/2)+((INDEX('Tables - Part 2'!$AX$17:$BA$24,MATCH('HIC-SOHIC-H2S'!$Z17,'Tables - Part 2'!$AV$6:$AV$13,0),MATCH('HIC-SOHIC-H2S'!$T17,'Tables - Part 2'!$AX$5:$BA$5,0))+INDEX('Tables - Part 2'!$BB$17:$BE$24,MATCH('HIC-SOHIC-H2S'!$Z17,'Tables - Part 2'!$AV$6:$AV$13,0),MATCH('HIC-SOHIC-H2S'!$T17,'Tables - Part 2'!$AX$5:$BA$5,0)))/2))/2,0)</f>
        <v>0</v>
      </c>
      <c r="BI17" s="248">
        <f>IF($S17=$BI$3,(INDEX('Tables - Part 2'!$AX$17:$BA$24,MATCH('HIC-SOHIC-H2S'!$Z17,'Tables - Part 2'!$AV$6:$AV$13,0),MATCH('HIC-SOHIC-H2S'!$T17,'Tables - Part 2'!$AX$5:$BA$5,0))+INDEX('Tables - Part 2'!$BB$17:$BE$24,MATCH('HIC-SOHIC-H2S'!$Z17,'Tables - Part 2'!$AV$6:$AV$13,0),MATCH('HIC-SOHIC-H2S'!$T17,'Tables - Part 2'!$AX$5:$BA$5,0)))/2,0)</f>
        <v>0</v>
      </c>
      <c r="BJ17" s="248">
        <f>IF($S17=$BJ$3,(((INDEX('Tables - Part 2'!$AX$17:$BA$24,MATCH('HIC-SOHIC-H2S'!$Z17,'Tables - Part 2'!$AV$6:$AV$13,0),MATCH('HIC-SOHIC-H2S'!$T17,'Tables - Part 2'!$AX$5:$BA$5,0))+INDEX('Tables - Part 2'!$BB$17:$BE$24,MATCH('HIC-SOHIC-H2S'!$Z17,'Tables - Part 2'!$AV$6:$AV$13,0),MATCH('HIC-SOHIC-H2S'!$T17,'Tables - Part 2'!$AX$5:$BA$5,0)))/2)+((((INDEX('Tables - Part 2'!$AX$17:$BA$24,MATCH('HIC-SOHIC-H2S'!$Z17,'Tables - Part 2'!$AV$6:$AV$13,0),MATCH('HIC-SOHIC-H2S'!$T17,'Tables - Part 2'!$AX$5:$BA$5,0))+INDEX('Tables - Part 2'!$BB$17:$BE$24,MATCH('HIC-SOHIC-H2S'!$Z17,'Tables - Part 2'!$AV$6:$AV$13,0),MATCH('HIC-SOHIC-H2S'!$T17,'Tables - Part 2'!$AX$5:$BA$5,0)))/2)+INDEX('Tables - Part 2'!$BB$17:$BE$24,MATCH('HIC-SOHIC-H2S'!$Z17,'Tables - Part 2'!$AV$6:$AV$13,0),MATCH('HIC-SOHIC-H2S'!$T17,'Tables - Part 2'!$AX$5:$BA$5,0)))/2))/2,0)</f>
        <v>0</v>
      </c>
      <c r="BK17" s="248">
        <f>IF($S17=$BK$3,(((INDEX('Tables - Part 2'!$AX$17:$BA$24,MATCH('HIC-SOHIC-H2S'!$Z17,'Tables - Part 2'!$AV$6:$AV$13,0),MATCH('HIC-SOHIC-H2S'!$T17,'Tables - Part 2'!$AX$5:$BA$5,0))+INDEX('Tables - Part 2'!$BB$17:$BE$24,MATCH('HIC-SOHIC-H2S'!$Z17,'Tables - Part 2'!$AV$6:$AV$13,0),MATCH('HIC-SOHIC-H2S'!$T17,'Tables - Part 2'!$AX$5:$BA$5,0)))/2)+INDEX('Tables - Part 2'!$BB$17:$BE$24,MATCH('HIC-SOHIC-H2S'!$Z17,'Tables - Part 2'!$AV$6:$AV$13,0),MATCH('HIC-SOHIC-H2S'!$T17,'Tables - Part 2'!$AX$5:$BA$5,0)))/2,0)</f>
        <v>0</v>
      </c>
      <c r="BL17" s="248">
        <f>IF($S17=$BL$3,(((((INDEX('Tables - Part 2'!$AX$17:$BA$24,MATCH('HIC-SOHIC-H2S'!$Z17,'Tables - Part 2'!$AV$6:$AV$13,0),MATCH('HIC-SOHIC-H2S'!$T17,'Tables - Part 2'!$AX$5:$BA$5,0))+INDEX('Tables - Part 2'!$BB$17:$BE$24,MATCH('HIC-SOHIC-H2S'!$Z17,'Tables - Part 2'!$AV$6:$AV$13,0),MATCH('HIC-SOHIC-H2S'!$T17,'Tables - Part 2'!$AX$5:$BA$5,0)))/2)+INDEX('Tables - Part 2'!$BB$17:$BE$24,MATCH('HIC-SOHIC-H2S'!$Z17,'Tables - Part 2'!$AV$6:$AV$13,0),MATCH('HIC-SOHIC-H2S'!$T17,'Tables - Part 2'!$AX$5:$BA$5,0)))/2)+(INDEX('Tables - Part 2'!$BB$17:$BE$24,MATCH('HIC-SOHIC-H2S'!$Z17,'Tables - Part 2'!$AV$6:$AV$13,0),MATCH('HIC-SOHIC-H2S'!$T17,'Tables - Part 2'!$AX$5:$BA$5,0))))/2,0)</f>
        <v>0</v>
      </c>
      <c r="BM17" s="248">
        <f>IF($S17=$BM$3,INDEX('Tables - Part 2'!$BB$17:$BE$24,MATCH('HIC-SOHIC-H2S'!$Z17,'Tables - Part 2'!$AV$6:$AV$13,0),MATCH('HIC-SOHIC-H2S'!$T17,'Tables - Part 2'!$AX$5:$BA$5,0)),0)</f>
        <v>0</v>
      </c>
      <c r="BN17" s="248">
        <f>IF($S17=$BN$3,((INDEX('Tables - Part 2'!$BB$17:$BE$24,MATCH('HIC-SOHIC-H2S'!$Z17,'Tables - Part 2'!$AV$6:$AV$13,0),MATCH('HIC-SOHIC-H2S'!$T17,'Tables - Part 2'!$AX$5:$BA$5,0)))+(((INDEX('Tables - Part 2'!$BB$17:$BE$24,MATCH('HIC-SOHIC-H2S'!$Z17,'Tables - Part 2'!$AV$6:$AV$13,0),MATCH('HIC-SOHIC-H2S'!$T17,'Tables - Part 2'!$AX$5:$BA$5,0)))+(INDEX('Tables - Part 2'!$BB$17:$BE$24,MATCH('HIC-SOHIC-H2S'!$Z17,'Tables - Part 2'!$AV$6:$AV$13,0),MATCH('HIC-SOHIC-H2S'!$T17,'Tables - Part 2'!$AX$5:$BA$5,0))+INDEX('Tables - Part 2'!$BF$17:$BI$24,MATCH('HIC-SOHIC-H2S'!$Z17,'Tables - Part 2'!$AV$6:$AV$13,0),MATCH('HIC-SOHIC-H2S'!$T17,'Tables - Part 2'!$AX$5:$BA$5,0)))/2)/2))/2,0)</f>
        <v>0</v>
      </c>
      <c r="BO17" s="248">
        <f>IF($S17=$BO$3,((INDEX('Tables - Part 2'!$BB$17:$BE$24,MATCH('HIC-SOHIC-H2S'!$Z17,'Tables - Part 2'!$AV$6:$AV$13,0),MATCH('HIC-SOHIC-H2S'!$T17,'Tables - Part 2'!$AX$5:$BA$5,0)))+(INDEX('Tables - Part 2'!$BB$17:$BE$24,MATCH('HIC-SOHIC-H2S'!$Z17,'Tables - Part 2'!$AV$6:$AV$13,0),MATCH('HIC-SOHIC-H2S'!$T17,'Tables - Part 2'!$AX$5:$BA$5,0))+INDEX('Tables - Part 2'!$BF$17:$BI$24,MATCH('HIC-SOHIC-H2S'!$Z17,'Tables - Part 2'!$AV$6:$AV$13,0),MATCH('HIC-SOHIC-H2S'!$T17,'Tables - Part 2'!$AX$5:$BA$5,0)))/2)/2,0)</f>
        <v>0</v>
      </c>
      <c r="BP17" s="248">
        <f>IF($S17=$BP$3,((((INDEX('Tables - Part 2'!$BB$17:$BE$24,MATCH('HIC-SOHIC-H2S'!$Z17,'Tables - Part 2'!$AV$6:$AV$13,0),MATCH('HIC-SOHIC-H2S'!$T17,'Tables - Part 2'!$AX$5:$BA$5,0)))+(INDEX('Tables - Part 2'!$BB$17:$BE$24,MATCH('HIC-SOHIC-H2S'!$Z17,'Tables - Part 2'!$AV$6:$AV$13,0),MATCH('HIC-SOHIC-H2S'!$T17,'Tables - Part 2'!$AX$5:$BA$5,0))+INDEX('Tables - Part 2'!$BF$17:$BI$24,MATCH('HIC-SOHIC-H2S'!$Z17,'Tables - Part 2'!$AV$6:$AV$13,0),MATCH('HIC-SOHIC-H2S'!$T17,'Tables - Part 2'!$AX$5:$BA$5,0)))/2)/2)+((INDEX('Tables - Part 2'!$BB$17:$BE$24,MATCH('HIC-SOHIC-H2S'!$Z17,'Tables - Part 2'!$AV$6:$AV$13,0),MATCH('HIC-SOHIC-H2S'!$T17,'Tables - Part 2'!$AX$5:$BA$5,0))+INDEX('Tables - Part 2'!$BF$17:$BI$24,MATCH('HIC-SOHIC-H2S'!$Z17,'Tables - Part 2'!$AV$6:$AV$13,0),MATCH('HIC-SOHIC-H2S'!$T17,'Tables - Part 2'!$AX$5:$BA$5,0)))/2))/2,0)</f>
        <v>0</v>
      </c>
      <c r="BQ17" s="248">
        <f>IF($S17=$BQ$3,(INDEX('Tables - Part 2'!$BB$17:$BE$24,MATCH('HIC-SOHIC-H2S'!$Z17,'Tables - Part 2'!$AV$6:$AV$13,0),MATCH('HIC-SOHIC-H2S'!$T17,'Tables - Part 2'!$AX$5:$BA$5,0))+INDEX('Tables - Part 2'!$BF$17:$BI$24,MATCH('HIC-SOHIC-H2S'!$Z17,'Tables - Part 2'!$AV$6:$AV$13,0),MATCH('HIC-SOHIC-H2S'!$T17,'Tables - Part 2'!$AX$5:$BA$5,0)))/2,0)</f>
        <v>0</v>
      </c>
      <c r="BR17" s="248">
        <f>IF($S17=$BR$3,(((INDEX('Tables - Part 2'!$BB$17:$BE$24,MATCH('HIC-SOHIC-H2S'!$Z17,'Tables - Part 2'!$AV$6:$AV$13,0),MATCH('HIC-SOHIC-H2S'!$T17,'Tables - Part 2'!$AX$5:$BA$5,0))+INDEX('Tables - Part 2'!$BF$17:$BI$24,MATCH('HIC-SOHIC-H2S'!$Z17,'Tables - Part 2'!$AV$6:$AV$13,0),MATCH('HIC-SOHIC-H2S'!$T17,'Tables - Part 2'!$AX$5:$BA$5,0)))/2)+((((INDEX('Tables - Part 2'!$BB$17:$BE$24,MATCH('HIC-SOHIC-H2S'!$Z17,'Tables - Part 2'!$AV$6:$AV$13,0),MATCH('HIC-SOHIC-H2S'!$T17,'Tables - Part 2'!$AX$5:$BA$5,0))+INDEX('Tables - Part 2'!$BF$17:$BI$24,MATCH('HIC-SOHIC-H2S'!$Z17,'Tables - Part 2'!$AV$6:$AV$13,0),MATCH('HIC-SOHIC-H2S'!$T17,'Tables - Part 2'!$AX$5:$BA$5,0)))/2)+INDEX('Tables - Part 2'!$BF$17:$BI$24,MATCH('HIC-SOHIC-H2S'!$Z17,'Tables - Part 2'!$AV$6:$AV$13,0),MATCH('HIC-SOHIC-H2S'!$T17,'Tables - Part 2'!$AX$5:$BA$5,0)))/2))/2,0)</f>
        <v>0</v>
      </c>
      <c r="BS17" s="248">
        <f>IF($S17=$BS$3,(((INDEX('Tables - Part 2'!$BB$17:$BE$24,MATCH('HIC-SOHIC-H2S'!$Z17,'Tables - Part 2'!$AV$6:$AV$13,0),MATCH('HIC-SOHIC-H2S'!$T17,'Tables - Part 2'!$AX$5:$BA$5,0))+INDEX('Tables - Part 2'!$BF$17:$BI$24,MATCH('HIC-SOHIC-H2S'!$Z17,'Tables - Part 2'!$AV$6:$AV$13,0),MATCH('HIC-SOHIC-H2S'!$T17,'Tables - Part 2'!$AX$5:$BA$5,0)))/2)+INDEX('Tables - Part 2'!$BF$17:$BI$24,MATCH('HIC-SOHIC-H2S'!$Z17,'Tables - Part 2'!$AV$6:$AV$13,0),MATCH('HIC-SOHIC-H2S'!$T17,'Tables - Part 2'!$AX$5:$BA$5,0)))/2,0)</f>
        <v>0</v>
      </c>
      <c r="BT17" s="248">
        <f>IF($S17=$BT$3,(((((INDEX('Tables - Part 2'!$BB$17:$BE$24,MATCH('HIC-SOHIC-H2S'!$Z17,'Tables - Part 2'!$AV$6:$AV$13,0),MATCH('HIC-SOHIC-H2S'!$T17,'Tables - Part 2'!$AX$5:$BA$5,0))+INDEX('Tables - Part 2'!$BF$17:$BI$24,MATCH('HIC-SOHIC-H2S'!$Z17,'Tables - Part 2'!$AV$6:$AV$13,0),MATCH('HIC-SOHIC-H2S'!$T17,'Tables - Part 2'!$AX$5:$BA$5,0)))/2)+INDEX('Tables - Part 2'!$BF$17:$BI$24,MATCH('HIC-SOHIC-H2S'!$Z17,'Tables - Part 2'!$AV$6:$AV$13,0),MATCH('HIC-SOHIC-H2S'!$T17,'Tables - Part 2'!$AX$5:$BA$5,0)))/2)+(INDEX('Tables - Part 2'!$BF$17:$BI$24,MATCH('HIC-SOHIC-H2S'!$Z17,'Tables - Part 2'!$AV$6:$AV$13,0),MATCH('HIC-SOHIC-H2S'!$T17,'Tables - Part 2'!$AX$5:$BA$5,0))))/2,0)</f>
        <v>0</v>
      </c>
      <c r="BU17" s="248">
        <f>IF($S17=$BU$3,INDEX('Tables - Part 2'!$BF$17:$BI$24,MATCH('HIC-SOHIC-H2S'!$Z17,'Tables - Part 2'!$AV$6:$AV$13,0),MATCH('HIC-SOHIC-H2S'!$T17,'Tables - Part 2'!$AX$5:$BA$5,0)),0)</f>
        <v>0</v>
      </c>
      <c r="BV17" s="248" t="e">
        <f t="shared" si="2"/>
        <v>#N/A</v>
      </c>
      <c r="BW17" s="238" t="e">
        <f t="shared" si="8"/>
        <v>#N/A</v>
      </c>
      <c r="BX17" s="238" t="e">
        <f t="shared" si="9"/>
        <v>#N/A</v>
      </c>
    </row>
    <row r="18" spans="2:76" x14ac:dyDescent="0.35">
      <c r="B18" s="161" t="str">
        <f>'Tratamento de Dados'!B26</f>
        <v>V-80</v>
      </c>
      <c r="C18" s="161" t="str">
        <f>'Tratamento de Dados'!D26</f>
        <v>Casco</v>
      </c>
      <c r="D18" s="209">
        <f>'Tratamento de Dados'!CN26</f>
        <v>0</v>
      </c>
      <c r="E18" s="209">
        <f>'Tratamento de Dados'!CO26</f>
        <v>0</v>
      </c>
      <c r="F18" s="209">
        <f>'Tratamento de Dados'!CP26</f>
        <v>0</v>
      </c>
      <c r="G18" s="209">
        <f>'Tratamento de Dados'!CQ26</f>
        <v>0</v>
      </c>
      <c r="H18" s="209">
        <f>'Tratamento de Dados'!CR26</f>
        <v>0</v>
      </c>
      <c r="I18" s="209">
        <f>'Tratamento de Dados'!CS26</f>
        <v>0</v>
      </c>
      <c r="J18" s="209">
        <f>'Tratamento de Dados'!CT26</f>
        <v>0</v>
      </c>
      <c r="K18" s="209">
        <f>'Tratamento de Dados'!CU26</f>
        <v>0</v>
      </c>
      <c r="L18" s="210">
        <f>'Tratamento de Dados'!CV26</f>
        <v>0</v>
      </c>
      <c r="M18" s="209">
        <f>'Tratamento de Dados'!CW26</f>
        <v>0</v>
      </c>
      <c r="N18" s="209">
        <f>'Tratamento de Dados'!CX26</f>
        <v>0</v>
      </c>
      <c r="O18" s="209">
        <f>'Tratamento de Dados'!CY26</f>
        <v>0</v>
      </c>
      <c r="P18" s="209">
        <f>'Tratamento de Dados'!CZ26</f>
        <v>0</v>
      </c>
      <c r="Q18" s="253">
        <f>'Tratamento de Dados'!DA26</f>
        <v>0</v>
      </c>
      <c r="R18" s="253">
        <f>'Tratamento de Dados'!DB26</f>
        <v>0</v>
      </c>
      <c r="S18" s="256">
        <f t="shared" si="0"/>
        <v>0</v>
      </c>
      <c r="T18" s="246" t="str">
        <f t="shared" si="3"/>
        <v>E</v>
      </c>
      <c r="U18" s="238" t="e">
        <f>IF(D18=$CC$2,$CA$4,IF(AND(H18=$CC$2,OR(F18='Tables - Part 2'!$CE$8,'Tables - Part 2'!$CE$9),OR('HIC-SOHIC-H2S'!G18='Tables - Part 2'!$CH$4,'HIC-SOHIC-H2S'!G18='Tables - Part 2'!$CI$4)),$CA$4,INDEX('Tables - Part 2'!$CF$5:$CI$9,MATCH('HIC-SOHIC-H2S'!F18,'Tables - Part 2'!$CE$5:$CE$9,0),MATCH('HIC-SOHIC-H2S'!G18,'Tables - Part 2'!$CF$4:$CI$4,0))))</f>
        <v>#N/A</v>
      </c>
      <c r="V18" s="238" t="str">
        <f>IF($I18=$V$3,INDEX('Tables - Part 2'!$CL$5:$CM$7,MATCH('HIC-SOHIC-H2S'!$U18,'Tables - Part 2'!$CK$5:$CK$7,0),IF('HIC-SOHIC-H2S'!$J18='HIC-SOHIC-H2S'!$CC$2,2,1)),"")</f>
        <v/>
      </c>
      <c r="W18" s="238" t="str">
        <f>IF($I18=$W$3,INDEX('Tables - Part 2'!$CN$5:$CO$7,MATCH('HIC-SOHIC-H2S'!$U18,'Tables - Part 2'!$CK$5:$CK$7,0),IF('HIC-SOHIC-H2S'!$J18='HIC-SOHIC-H2S'!$CC$2,2,1)),"")</f>
        <v/>
      </c>
      <c r="X18" s="238" t="str">
        <f>IF($I18=$X$3,INDEX('Tables - Part 2'!$CP$5:$CQ$7,MATCH('HIC-SOHIC-H2S'!$U18,'Tables - Part 2'!$CK$5:$CK$7,0),IF('HIC-SOHIC-H2S'!$J18='HIC-SOHIC-H2S'!$CC$2,2,1)),"")</f>
        <v/>
      </c>
      <c r="Y18" s="238" t="str">
        <f t="shared" si="1"/>
        <v/>
      </c>
      <c r="Z18" s="238" t="e">
        <f>IF(AND(D18=$CC$2,E18&lt;&gt;$CC$2),"Fitness-For-Service",INDEX('Tables - Part 2'!$CT$4:$CT$6,MATCH('HIC-SOHIC-H2S'!Y18,'Tables - Part 2'!$CS$4:$CS$6,0),))</f>
        <v>#N/A</v>
      </c>
      <c r="AA18" s="238">
        <f>IF(L18=0,(Thinning!G19-Thinning!F19)/365.25,(Thinning!G19-L18)/365.25)</f>
        <v>5.4757015742642025E-3</v>
      </c>
      <c r="AB18" s="238" t="e">
        <f>INDEX('Tables - Part 2'!$CW$4:$CW$7,MATCH('HIC-SOHIC-H2S'!K18,'Tables - Part 2'!$CV$4:$CV$7,0))</f>
        <v>#N/A</v>
      </c>
      <c r="AC18" s="248">
        <f t="shared" si="4"/>
        <v>0</v>
      </c>
      <c r="AD18" s="248">
        <f t="shared" si="5"/>
        <v>0</v>
      </c>
      <c r="AE18" s="247">
        <f t="shared" si="10"/>
        <v>0</v>
      </c>
      <c r="AF18" s="247">
        <f t="shared" si="7"/>
        <v>0</v>
      </c>
      <c r="AG18" s="248">
        <f>IF($S18=$AG$3,INDEX('Tables - Part 2'!$AX$6:$BA$13,MATCH('HIC-SOHIC-H2S'!Z18,'Tables - Part 2'!$AV$6:$AV$13,0),MATCH('HIC-SOHIC-H2S'!T18,'Tables - Part 2'!$AX$5:$BA$5,0)),0)</f>
        <v>0</v>
      </c>
      <c r="AH18" s="248">
        <f>IF($S18=$AH$3,(INDEX('Tables - Part 2'!$AX$6:$BA$13,MATCH('HIC-SOHIC-H2S'!Z18,'Tables - Part 2'!$AV$6:$AV$13,0),MATCH('HIC-SOHIC-H2S'!T18,'Tables - Part 2'!$AX$5:$BA$5,0))+(INDEX('Tables - Part 2'!$AX$6:$BA$13,MATCH('HIC-SOHIC-H2S'!Z18,'Tables - Part 2'!$AV$6:$AV$13,0),MATCH('HIC-SOHIC-H2S'!T18,'Tables - Part 2'!$AX$5:$BA$5,0))+((INDEX('Tables - Part 2'!$AX$6:$BA$13,MATCH('HIC-SOHIC-H2S'!Z18,'Tables - Part 2'!$AV$6:$AV$13,0),MATCH('HIC-SOHIC-H2S'!T18,'Tables - Part 2'!$AX$5:$BA$5,0))+INDEX('Tables - Part 2'!$BB$6:$BE$13,MATCH('HIC-SOHIC-H2S'!$Z18,'Tables - Part 2'!$AV$6:$AV$13,0),MATCH('HIC-SOHIC-H2S'!$T18,'Tables - Part 2'!$AX$5:$BA$5,0)))/2))/2)/2,0)</f>
        <v>0</v>
      </c>
      <c r="AI18" s="248">
        <f>IF($S18=$AI$3,(INDEX('Tables - Part 2'!$AX$6:$BA$13,MATCH('HIC-SOHIC-H2S'!Z18,'Tables - Part 2'!$AV$6:$AV$13,0),MATCH('HIC-SOHIC-H2S'!T18,'Tables - Part 2'!$AX$5:$BA$5,0))+((INDEX('Tables - Part 2'!$AX$6:$BA$13,MATCH('HIC-SOHIC-H2S'!Z18,'Tables - Part 2'!$AV$6:$AV$13,0),MATCH('HIC-SOHIC-H2S'!T18,'Tables - Part 2'!$AX$5:$BA$5,0))+INDEX('Tables - Part 2'!$BB$6:$BE$13,MATCH('HIC-SOHIC-H2S'!$Z18,'Tables - Part 2'!$AV$6:$AV$13,0),MATCH('HIC-SOHIC-H2S'!$T18,'Tables - Part 2'!$AX$5:$BA$5,0)))/2))/2,0)</f>
        <v>0</v>
      </c>
      <c r="AJ18" s="248">
        <f>IF($S18=$AJ$3,(((INDEX('Tables - Part 2'!$AX$6:$BA$13,MATCH('HIC-SOHIC-H2S'!Z18,'Tables - Part 2'!$AV$6:$AV$13,0),MATCH('HIC-SOHIC-H2S'!T18,'Tables - Part 2'!$AX$5:$BA$5,0))+((INDEX('Tables - Part 2'!$AX$6:$BA$13,MATCH('HIC-SOHIC-H2S'!Z18,'Tables - Part 2'!$AV$6:$AV$13,0),MATCH('HIC-SOHIC-H2S'!T18,'Tables - Part 2'!$AX$5:$BA$5,0))+INDEX('Tables - Part 2'!$BB$6:$BE$13,MATCH('HIC-SOHIC-H2S'!$Z18,'Tables - Part 2'!$AV$6:$AV$13,0),MATCH('HIC-SOHIC-H2S'!$T18,'Tables - Part 2'!$AX$5:$BA$5,0)))/2))/2)+(INDEX('Tables - Part 2'!$AX$6:$BA$13,MATCH('HIC-SOHIC-H2S'!Z18,'Tables - Part 2'!$AV$6:$AV$13,0),MATCH('HIC-SOHIC-H2S'!T18,'Tables - Part 2'!$AX$5:$BA$5,0))+INDEX('Tables - Part 2'!$BB$6:$BE$13,MATCH('HIC-SOHIC-H2S'!$Z18,'Tables - Part 2'!$AV$6:$AV$13,0),MATCH('HIC-SOHIC-H2S'!$T18,'Tables - Part 2'!$AX$5:$BA$5,0)))/2)/2,0)</f>
        <v>0</v>
      </c>
      <c r="AK18" s="248">
        <f>IF($S18=$AK$3,(INDEX('Tables - Part 2'!$AX$6:$BA$13,MATCH('HIC-SOHIC-H2S'!Z18,'Tables - Part 2'!$AV$6:$AV$13,0),MATCH('HIC-SOHIC-H2S'!T18,'Tables - Part 2'!$AX$5:$BA$5,0))+INDEX('Tables - Part 2'!$BB$6:$BE$13,MATCH('HIC-SOHIC-H2S'!$Z18,'Tables - Part 2'!$AV$6:$AV$13,0),MATCH('HIC-SOHIC-H2S'!$T18,'Tables - Part 2'!$AX$5:$BA$5,0)))/2,0)</f>
        <v>0</v>
      </c>
      <c r="AL18" s="248">
        <f>IF($S18=$AL$3,(((INDEX('Tables - Part 2'!$AX$6:$BA$13,MATCH('HIC-SOHIC-H2S'!Z18,'Tables - Part 2'!$AV$6:$AV$13,0),MATCH('HIC-SOHIC-H2S'!T18,'Tables - Part 2'!$AX$5:$BA$5,0))+INDEX('Tables - Part 2'!$BB$6:$BE$13,MATCH('HIC-SOHIC-H2S'!$Z18,'Tables - Part 2'!$AV$6:$AV$13,0),MATCH('HIC-SOHIC-H2S'!$T18,'Tables - Part 2'!$AX$5:$BA$5,0)))/2)+(((INDEX('Tables - Part 2'!$AX$6:$BA$13,MATCH('HIC-SOHIC-H2S'!Z18,'Tables - Part 2'!$AV$6:$AV$13,0),MATCH('HIC-SOHIC-H2S'!T18,'Tables - Part 2'!$AX$5:$BA$5,0))+INDEX('Tables - Part 2'!$BB$6:$BE$13,MATCH('HIC-SOHIC-H2S'!$Z18,'Tables - Part 2'!$AV$6:$AV$13,0),MATCH('HIC-SOHIC-H2S'!$T18,'Tables - Part 2'!$AX$5:$BA$5,0)))/2)+INDEX('Tables - Part 2'!$BB$6:$BE$13,MATCH('HIC-SOHIC-H2S'!$Z18,'Tables - Part 2'!$AV$6:$AV$13,0),MATCH('HIC-SOHIC-H2S'!$T18,'Tables - Part 2'!$AX$5:$BA$5,0)))/2)/2,0)</f>
        <v>0</v>
      </c>
      <c r="AM18" s="248">
        <f>IF($S18=$AM$3,(((INDEX('Tables - Part 2'!$AX$6:$BA$13,MATCH('HIC-SOHIC-H2S'!Z18,'Tables - Part 2'!$AV$6:$AV$13,0),MATCH('HIC-SOHIC-H2S'!T18,'Tables - Part 2'!$AX$5:$BA$5,0))+INDEX('Tables - Part 2'!$BB$6:$BE$13,MATCH('HIC-SOHIC-H2S'!$Z18,'Tables - Part 2'!$AV$6:$AV$13,0),MATCH('HIC-SOHIC-H2S'!$T18,'Tables - Part 2'!$AX$5:$BA$5,0)))/2)+INDEX('Tables - Part 2'!$BB$6:$BE$13,MATCH('HIC-SOHIC-H2S'!$Z18,'Tables - Part 2'!$AV$6:$AV$13,0),MATCH('HIC-SOHIC-H2S'!$T18,'Tables - Part 2'!$AX$5:$BA$5,0)))/2,0)</f>
        <v>0</v>
      </c>
      <c r="AN18" s="248">
        <f>IF($S18=$AN$3,(((((INDEX('Tables - Part 2'!$AX$6:$BA$13,MATCH('HIC-SOHIC-H2S'!Z18,'Tables - Part 2'!$AV$6:$AV$13,0),MATCH('HIC-SOHIC-H2S'!T18,'Tables - Part 2'!$AX$5:$BA$5,0))+INDEX('Tables - Part 2'!$BB$6:$BE$13,MATCH('HIC-SOHIC-H2S'!$Z18,'Tables - Part 2'!$AV$6:$AV$13,0),MATCH('HIC-SOHIC-H2S'!$T18,'Tables - Part 2'!$AX$5:$BA$5,0)))/2)+INDEX('Tables - Part 2'!$BB$6:$BE$13,MATCH('HIC-SOHIC-H2S'!$Z18,'Tables - Part 2'!$AV$6:$AV$13,0),MATCH('HIC-SOHIC-H2S'!$T18,'Tables - Part 2'!$AX$5:$BA$5,0)))/2)+INDEX('Tables - Part 2'!$BB$6:$BE$13,MATCH('HIC-SOHIC-H2S'!$Z18,'Tables - Part 2'!$AV$6:$AV$13,0),MATCH('HIC-SOHIC-H2S'!$T18,'Tables - Part 2'!$AX$5:$BA$5,0)))/2,0)</f>
        <v>0</v>
      </c>
      <c r="AO18" s="248">
        <f>IF($S18=$AO$3,INDEX('Tables - Part 2'!$BB$6:$BE$13,MATCH('HIC-SOHIC-H2S'!$Z18,'Tables - Part 2'!$AV$6:$AV$13,0),MATCH('HIC-SOHIC-H2S'!$T18,'Tables - Part 2'!$AX$5:$BA$5,0)),0)</f>
        <v>0</v>
      </c>
      <c r="AP18" s="248">
        <f>IF($S18=$AP$3,((INDEX('Tables - Part 2'!$BB$6:$BE$13,MATCH('HIC-SOHIC-H2S'!$Z18,'Tables - Part 2'!$AV$6:$AV$13,0),MATCH('HIC-SOHIC-H2S'!$T18,'Tables - Part 2'!$AX$5:$BA$5,0)))+(INDEX('Tables - Part 2'!$BB$6:$BE$13,MATCH('HIC-SOHIC-H2S'!$Z18,'Tables - Part 2'!$AV$6:$AV$13,0),MATCH('HIC-SOHIC-H2S'!$T18,'Tables - Part 2'!$AX$5:$BA$5,0))+(INDEX('Tables - Part 2'!$BB$6:$BE$13,MATCH('HIC-SOHIC-H2S'!$Z18,'Tables - Part 2'!$AV$6:$AV$13,0),MATCH('HIC-SOHIC-H2S'!$T18,'Tables - Part 2'!$AX$5:$BA$5,0))+INDEX('Tables - Part 2'!$BF$6:$BI$13,MATCH('HIC-SOHIC-H2S'!$Z18,'Tables - Part 2'!$AV$6:$AV$13,0),MATCH('HIC-SOHIC-H2S'!$T18,'Tables - Part 2'!$AX$5:$BA$5,0)))/2)/2)/2,0)</f>
        <v>0</v>
      </c>
      <c r="AQ18" s="248">
        <f>IF($S18=$AQ$3,(INDEX('Tables - Part 2'!$BB$6:$BE$13,MATCH('HIC-SOHIC-H2S'!$Z18,'Tables - Part 2'!$AV$6:$AV$13,0),MATCH('HIC-SOHIC-H2S'!$T18,'Tables - Part 2'!$AX$5:$BA$5,0))+(INDEX('Tables - Part 2'!$BB$6:$BE$13,MATCH('HIC-SOHIC-H2S'!$Z18,'Tables - Part 2'!$AV$6:$AV$13,0),MATCH('HIC-SOHIC-H2S'!$T18,'Tables - Part 2'!$AX$5:$BA$5,0))+INDEX('Tables - Part 2'!$BF$6:$BI$13,MATCH('HIC-SOHIC-H2S'!$Z18,'Tables - Part 2'!$AV$6:$AV$13,0),MATCH('HIC-SOHIC-H2S'!$T18,'Tables - Part 2'!$AX$5:$BA$5,0)))/2)/2,0)</f>
        <v>0</v>
      </c>
      <c r="AR18" s="248">
        <f>IF($S18=$AR$3,(((INDEX('Tables - Part 2'!$BB$6:$BE$13,MATCH('HIC-SOHIC-H2S'!$Z18,'Tables - Part 2'!$AV$6:$AV$13,0),MATCH('HIC-SOHIC-H2S'!$T18,'Tables - Part 2'!$AX$5:$BA$5,0))+(INDEX('Tables - Part 2'!$BB$6:$BE$13,MATCH('HIC-SOHIC-H2S'!$Z18,'Tables - Part 2'!$AV$6:$AV$13,0),MATCH('HIC-SOHIC-H2S'!$T18,'Tables - Part 2'!$AX$5:$BA$5,0))+INDEX('Tables - Part 2'!$BF$6:$BI$13,MATCH('HIC-SOHIC-H2S'!$Z18,'Tables - Part 2'!$AV$6:$AV$13,0),MATCH('HIC-SOHIC-H2S'!$T18,'Tables - Part 2'!$AX$5:$BA$5,0)))/2)/2)+((INDEX('Tables - Part 2'!$BB$6:$BE$13,MATCH('HIC-SOHIC-H2S'!$Z18,'Tables - Part 2'!$AV$6:$AV$13,0),MATCH('HIC-SOHIC-H2S'!$T18,'Tables - Part 2'!$AX$5:$BA$5,0))+INDEX('Tables - Part 2'!$BF$6:$BI$13,MATCH('HIC-SOHIC-H2S'!$Z18,'Tables - Part 2'!$AV$6:$AV$13,0),MATCH('HIC-SOHIC-H2S'!$T18,'Tables - Part 2'!$AX$5:$BA$5,0)))/2))/2,0)</f>
        <v>0</v>
      </c>
      <c r="AS18" s="248">
        <f>IF($S18=$AS$3,(INDEX('Tables - Part 2'!$BB$6:$BE$13,MATCH('HIC-SOHIC-H2S'!$Z18,'Tables - Part 2'!$AV$6:$AV$13,0),MATCH('HIC-SOHIC-H2S'!$T18,'Tables - Part 2'!$AX$5:$BA$5,0))+INDEX('Tables - Part 2'!$BF$6:$BI$13,MATCH('HIC-SOHIC-H2S'!$Z18,'Tables - Part 2'!$AV$6:$AV$13,0),MATCH('HIC-SOHIC-H2S'!$T18,'Tables - Part 2'!$AX$5:$BA$5,0)))/2,0)</f>
        <v>0</v>
      </c>
      <c r="AT18" s="248">
        <f>IF($S18=$AT$3,(((INDEX('Tables - Part 2'!$BB$6:$BE$13,MATCH('HIC-SOHIC-H2S'!$Z18,'Tables - Part 2'!$AV$6:$AV$13,0),MATCH('HIC-SOHIC-H2S'!$T18,'Tables - Part 2'!$AX$5:$BA$5,0))+INDEX('Tables - Part 2'!$BF$6:$BI$13,MATCH('HIC-SOHIC-H2S'!$Z18,'Tables - Part 2'!$AV$6:$AV$13,0),MATCH('HIC-SOHIC-H2S'!$T18,'Tables - Part 2'!$AX$5:$BA$5,0)))/2)+((((INDEX('Tables - Part 2'!$BB$6:$BE$13,MATCH('HIC-SOHIC-H2S'!$Z18,'Tables - Part 2'!$AV$6:$AV$13,0),MATCH('HIC-SOHIC-H2S'!$T18,'Tables - Part 2'!$AX$5:$BA$5,0))+INDEX('Tables - Part 2'!$BF$6:$BI$13,MATCH('HIC-SOHIC-H2S'!$Z18,'Tables - Part 2'!$AV$6:$AV$13,0),MATCH('HIC-SOHIC-H2S'!$T18,'Tables - Part 2'!$AX$5:$BA$5,0)))/2)+INDEX('Tables - Part 2'!$BF$6:$BI$13,MATCH('HIC-SOHIC-H2S'!$Z18,'Tables - Part 2'!$AV$6:$AV$13,0),MATCH('HIC-SOHIC-H2S'!$T18,'Tables - Part 2'!$AX$5:$BA$5,0)))/2))/2,0)</f>
        <v>0</v>
      </c>
      <c r="AU18" s="248">
        <f>IF($S18=$AU$3,(((INDEX('Tables - Part 2'!$BB$6:$BE$13,MATCH('HIC-SOHIC-H2S'!$Z18,'Tables - Part 2'!$AV$6:$AV$13,0),MATCH('HIC-SOHIC-H2S'!$T18,'Tables - Part 2'!$AX$5:$BA$5,0))+INDEX('Tables - Part 2'!$BF$6:$BI$13,MATCH('HIC-SOHIC-H2S'!$Z18,'Tables - Part 2'!$AV$6:$AV$13,0),MATCH('HIC-SOHIC-H2S'!$T18,'Tables - Part 2'!$AX$5:$BA$5,0)))/2)+INDEX('Tables - Part 2'!$BF$6:$BI$13,MATCH('HIC-SOHIC-H2S'!$Z18,'Tables - Part 2'!$AV$6:$AV$13,0),MATCH('HIC-SOHIC-H2S'!$T18,'Tables - Part 2'!$AX$5:$BA$5,0)))/2,0)</f>
        <v>0</v>
      </c>
      <c r="AV18" s="248">
        <f>IF($S18=$AV$3,(((((INDEX('Tables - Part 2'!$BB$6:$BE$13,MATCH('HIC-SOHIC-H2S'!$Z18,'Tables - Part 2'!$AV$6:$AV$13,0),MATCH('HIC-SOHIC-H2S'!$T18,'Tables - Part 2'!$AX$5:$BA$5,0))+INDEX('Tables - Part 2'!$BF$6:$BI$13,MATCH('HIC-SOHIC-H2S'!$Z18,'Tables - Part 2'!$AV$6:$AV$13,0),MATCH('HIC-SOHIC-H2S'!$T18,'Tables - Part 2'!$AX$5:$BA$5,0)))/2)+INDEX('Tables - Part 2'!$BF$6:$BI$13,MATCH('HIC-SOHIC-H2S'!$Z18,'Tables - Part 2'!$AV$6:$AV$13,0),MATCH('HIC-SOHIC-H2S'!$T18,'Tables - Part 2'!$AX$5:$BA$5,0)))/2)+INDEX('Tables - Part 2'!$BF$6:$BI$13,MATCH('HIC-SOHIC-H2S'!$Z18,'Tables - Part 2'!$AV$6:$AV$13,0),MATCH('HIC-SOHIC-H2S'!$T18,'Tables - Part 2'!$AX$5:$BA$5,0)))/2,0)</f>
        <v>0</v>
      </c>
      <c r="AW18" s="248">
        <f>IF($S18=$AW$3,INDEX('Tables - Part 2'!$BF$6:$BI$13,MATCH('HIC-SOHIC-H2S'!$Z18,'Tables - Part 2'!$AV$6:$AV$13,0),MATCH('HIC-SOHIC-H2S'!$T18,'Tables - Part 2'!$AX$5:$BA$5,0)),0)</f>
        <v>0</v>
      </c>
      <c r="AX18" s="248">
        <f>IF($S18=$AX$3,(INDEX('Tables - Part 2'!$BF$6:$BI$13,MATCH('HIC-SOHIC-H2S'!$Z18,'Tables - Part 2'!$AV$6:$AV$13,0),MATCH('HIC-SOHIC-H2S'!$T18,'Tables - Part 2'!$AX$5:$BA$5,0))+((INDEX('Tables - Part 2'!$BF$6:$BI$13,MATCH('HIC-SOHIC-H2S'!$Z18,'Tables - Part 2'!$AV$6:$AV$13,0),MATCH('HIC-SOHIC-H2S'!$T18,'Tables - Part 2'!$AX$5:$BA$5,0))+(INDEX('Tables - Part 2'!$BF$6:$BI$13,MATCH('HIC-SOHIC-H2S'!$Z18,'Tables - Part 2'!$AV$6:$AV$13,0),MATCH('HIC-SOHIC-H2S'!$T18,'Tables - Part 2'!$AX$5:$BA$5,0))+INDEX('Tables - Part 2'!$AX$17:$BA$24,MATCH('HIC-SOHIC-H2S'!$Z18,'Tables - Part 2'!$AV$6:$AV$13,0),MATCH('HIC-SOHIC-H2S'!$T18,'Tables - Part 2'!$AX$5:$BA$5,0)))/2)/2))/2,0)</f>
        <v>0</v>
      </c>
      <c r="AY18" s="248">
        <f>IF($S18=$AY$3,(INDEX('Tables - Part 2'!$BF$6:$BI$13,MATCH('HIC-SOHIC-H2S'!$Z18,'Tables - Part 2'!$AV$6:$AV$13,0),MATCH('HIC-SOHIC-H2S'!$T18,'Tables - Part 2'!$AX$5:$BA$5,0))+(INDEX('Tables - Part 2'!$BF$6:$BI$13,MATCH('HIC-SOHIC-H2S'!$Z18,'Tables - Part 2'!$AV$6:$AV$13,0),MATCH('HIC-SOHIC-H2S'!$T18,'Tables - Part 2'!$AX$5:$BA$5,0))+INDEX('Tables - Part 2'!$AX$17:$BA$24,MATCH('HIC-SOHIC-H2S'!$Z18,'Tables - Part 2'!$AV$6:$AV$13,0),MATCH('HIC-SOHIC-H2S'!$T18,'Tables - Part 2'!$AX$5:$BA$5,0)))/2)/2,0)</f>
        <v>0</v>
      </c>
      <c r="AZ18" s="248">
        <f>IF($S18=$AZ$3,(((INDEX('Tables - Part 2'!$BF$6:$BI$13,MATCH('HIC-SOHIC-H2S'!$Z18,'Tables - Part 2'!$AV$6:$AV$13,0),MATCH('HIC-SOHIC-H2S'!$T18,'Tables - Part 2'!$AX$5:$BA$5,0))+(INDEX('Tables - Part 2'!$BF$6:$BI$13,MATCH('HIC-SOHIC-H2S'!$Z18,'Tables - Part 2'!$AV$6:$AV$13,0),MATCH('HIC-SOHIC-H2S'!$T18,'Tables - Part 2'!$AX$5:$BA$5,0))+INDEX('Tables - Part 2'!$AX$17:$BA$24,MATCH('HIC-SOHIC-H2S'!$Z18,'Tables - Part 2'!$AV$6:$AV$13,0),MATCH('HIC-SOHIC-H2S'!$T18,'Tables - Part 2'!$AX$5:$BA$5,0)))/2)/2)+((INDEX('Tables - Part 2'!$BF$6:$BI$13,MATCH('HIC-SOHIC-H2S'!$Z18,'Tables - Part 2'!$AV$6:$AV$13,0),MATCH('HIC-SOHIC-H2S'!$T18,'Tables - Part 2'!$AX$5:$BA$5,0))+INDEX('Tables - Part 2'!$AX$17:$BA$24,MATCH('HIC-SOHIC-H2S'!$Z18,'Tables - Part 2'!$AV$6:$AV$13,0),MATCH('HIC-SOHIC-H2S'!$T18,'Tables - Part 2'!$AX$5:$BA$5,0)))/2))/2,0)</f>
        <v>0</v>
      </c>
      <c r="BA18" s="248">
        <f>IF($S18=$BA$3,(INDEX('Tables - Part 2'!$BF$6:$BI$13,MATCH('HIC-SOHIC-H2S'!$Z18,'Tables - Part 2'!$AV$6:$AV$13,0),MATCH('HIC-SOHIC-H2S'!$T18,'Tables - Part 2'!$AX$5:$BA$5,0))+INDEX('Tables - Part 2'!$AX$17:$BA$24,MATCH('HIC-SOHIC-H2S'!$Z18,'Tables - Part 2'!$AV$6:$AV$13,0),MATCH('HIC-SOHIC-H2S'!$T18,'Tables - Part 2'!$AX$5:$BA$5,0)))/2,0)</f>
        <v>0</v>
      </c>
      <c r="BB18" s="248">
        <f>IF($S18=$BB$3,(((INDEX('Tables - Part 2'!$BF$6:$BI$13,MATCH('HIC-SOHIC-H2S'!$Z18,'Tables - Part 2'!$AV$6:$AV$13,0),MATCH('HIC-SOHIC-H2S'!$T18,'Tables - Part 2'!$AX$5:$BA$5,0))+INDEX('Tables - Part 2'!$AX$17:$BA$24,MATCH('HIC-SOHIC-H2S'!$Z18,'Tables - Part 2'!$AV$6:$AV$13,0),MATCH('HIC-SOHIC-H2S'!$T18,'Tables - Part 2'!$AX$5:$BA$5,0)))/2)+((((INDEX('Tables - Part 2'!$BF$6:$BI$13,MATCH('HIC-SOHIC-H2S'!$Z18,'Tables - Part 2'!$AV$6:$AV$13,0),MATCH('HIC-SOHIC-H2S'!$T18,'Tables - Part 2'!$AX$5:$BA$5,0))+INDEX('Tables - Part 2'!$AX$17:$BA$24,MATCH('HIC-SOHIC-H2S'!$Z18,'Tables - Part 2'!$AV$6:$AV$13,0),MATCH('HIC-SOHIC-H2S'!$T18,'Tables - Part 2'!$AX$5:$BA$5,0)))/2)+INDEX('Tables - Part 2'!$AX$17:$BA$24,MATCH('HIC-SOHIC-H2S'!$Z18,'Tables - Part 2'!$AV$6:$AV$13,0),MATCH('HIC-SOHIC-H2S'!$T18,'Tables - Part 2'!$AX$5:$BA$5,0)))/2))/2,0)</f>
        <v>0</v>
      </c>
      <c r="BC18" s="248">
        <f>IF($S18=$BC$3,(((INDEX('Tables - Part 2'!$BF$6:$BI$13,MATCH('HIC-SOHIC-H2S'!$Z18,'Tables - Part 2'!$AV$6:$AV$13,0),MATCH('HIC-SOHIC-H2S'!$T18,'Tables - Part 2'!$AX$5:$BA$5,0))+INDEX('Tables - Part 2'!$AX$17:$BA$24,MATCH('HIC-SOHIC-H2S'!$Z18,'Tables - Part 2'!$AV$6:$AV$13,0),MATCH('HIC-SOHIC-H2S'!$T18,'Tables - Part 2'!$AX$5:$BA$5,0)))/2)+INDEX('Tables - Part 2'!$AX$17:$BA$24,MATCH('HIC-SOHIC-H2S'!$Z18,'Tables - Part 2'!$AV$6:$AV$13,0),MATCH('HIC-SOHIC-H2S'!$T18,'Tables - Part 2'!$AX$5:$BA$5,0)))/2,0)</f>
        <v>0</v>
      </c>
      <c r="BD18" s="248">
        <f>IF($S18=$BD$3,(((((INDEX('Tables - Part 2'!$BF$6:$BI$13,MATCH('HIC-SOHIC-H2S'!$Z18,'Tables - Part 2'!$AV$6:$AV$13,0),MATCH('HIC-SOHIC-H2S'!$T18,'Tables - Part 2'!$AX$5:$BA$5,0))+INDEX('Tables - Part 2'!$AX$17:$BA$24,MATCH('HIC-SOHIC-H2S'!$Z18,'Tables - Part 2'!$AV$6:$AV$13,0),MATCH('HIC-SOHIC-H2S'!$T18,'Tables - Part 2'!$AX$5:$BA$5,0)))/2)+INDEX('Tables - Part 2'!$AX$17:$BA$24,MATCH('HIC-SOHIC-H2S'!$Z18,'Tables - Part 2'!$AV$6:$AV$13,0),MATCH('HIC-SOHIC-H2S'!$T18,'Tables - Part 2'!$AX$5:$BA$5,0)))/2)+(INDEX('Tables - Part 2'!$AX$17:$BA$24,MATCH('HIC-SOHIC-H2S'!$Z18,'Tables - Part 2'!$AV$6:$AV$13,0),MATCH('HIC-SOHIC-H2S'!$T18,'Tables - Part 2'!$AX$5:$BA$5,0))))/2,0)</f>
        <v>0</v>
      </c>
      <c r="BE18" s="248">
        <f>IF($S18=$BE$3,INDEX('Tables - Part 2'!$AX$17:$BA$24,MATCH('HIC-SOHIC-H2S'!$Z18,'Tables - Part 2'!$AV$6:$AV$13,0),MATCH('HIC-SOHIC-H2S'!$T18,'Tables - Part 2'!$AX$5:$BA$5,0)),0)</f>
        <v>0</v>
      </c>
      <c r="BF18" s="248">
        <f>IF($S18=$BF$3,((INDEX('Tables - Part 2'!$AX$17:$BA$24,MATCH('HIC-SOHIC-H2S'!$Z18,'Tables - Part 2'!$AV$6:$AV$13,0),MATCH('HIC-SOHIC-H2S'!$T18,'Tables - Part 2'!$AX$5:$BA$5,0)))+(((INDEX('Tables - Part 2'!$AX$17:$BA$24,MATCH('HIC-SOHIC-H2S'!$Z18,'Tables - Part 2'!$AV$6:$AV$13,0),MATCH('HIC-SOHIC-H2S'!$T18,'Tables - Part 2'!$AX$5:$BA$5,0)))+(INDEX('Tables - Part 2'!$AX$17:$BA$24,MATCH('HIC-SOHIC-H2S'!$Z18,'Tables - Part 2'!$AV$6:$AV$13,0),MATCH('HIC-SOHIC-H2S'!$T18,'Tables - Part 2'!$AX$5:$BA$5,0))+INDEX('Tables - Part 2'!$BB$17:$BE$24,MATCH('HIC-SOHIC-H2S'!$Z18,'Tables - Part 2'!$AV$6:$AV$13,0),MATCH('HIC-SOHIC-H2S'!$T18,'Tables - Part 2'!$AX$5:$BA$5,0)))/2)/2))/2,0)</f>
        <v>0</v>
      </c>
      <c r="BG18" s="248">
        <f>IF($S18=$BG$3,((INDEX('Tables - Part 2'!$AX$17:$BA$24,MATCH('HIC-SOHIC-H2S'!$Z18,'Tables - Part 2'!$AV$6:$AV$13,0),MATCH('HIC-SOHIC-H2S'!$T18,'Tables - Part 2'!$AX$5:$BA$5,0)))+(INDEX('Tables - Part 2'!$AX$17:$BA$24,MATCH('HIC-SOHIC-H2S'!$Z18,'Tables - Part 2'!$AV$6:$AV$13,0),MATCH('HIC-SOHIC-H2S'!$T18,'Tables - Part 2'!$AX$5:$BA$5,0))+INDEX('Tables - Part 2'!$BB$17:$BE$24,MATCH('HIC-SOHIC-H2S'!$Z18,'Tables - Part 2'!$AV$6:$AV$13,0),MATCH('HIC-SOHIC-H2S'!$T18,'Tables - Part 2'!$AX$5:$BA$5,0)))/2)/2,0)</f>
        <v>0</v>
      </c>
      <c r="BH18" s="248">
        <f>IF($S18=$BH$3,((((INDEX('Tables - Part 2'!$AX$17:$BA$24,MATCH('HIC-SOHIC-H2S'!$Z18,'Tables - Part 2'!$AV$6:$AV$13,0),MATCH('HIC-SOHIC-H2S'!$T18,'Tables - Part 2'!$AX$5:$BA$5,0)))+(INDEX('Tables - Part 2'!$AX$17:$BA$24,MATCH('HIC-SOHIC-H2S'!$Z18,'Tables - Part 2'!$AV$6:$AV$13,0),MATCH('HIC-SOHIC-H2S'!$T18,'Tables - Part 2'!$AX$5:$BA$5,0))+INDEX('Tables - Part 2'!$BB$17:$BE$24,MATCH('HIC-SOHIC-H2S'!$Z18,'Tables - Part 2'!$AV$6:$AV$13,0),MATCH('HIC-SOHIC-H2S'!$T18,'Tables - Part 2'!$AX$5:$BA$5,0)))/2)/2)+((INDEX('Tables - Part 2'!$AX$17:$BA$24,MATCH('HIC-SOHIC-H2S'!$Z18,'Tables - Part 2'!$AV$6:$AV$13,0),MATCH('HIC-SOHIC-H2S'!$T18,'Tables - Part 2'!$AX$5:$BA$5,0))+INDEX('Tables - Part 2'!$BB$17:$BE$24,MATCH('HIC-SOHIC-H2S'!$Z18,'Tables - Part 2'!$AV$6:$AV$13,0),MATCH('HIC-SOHIC-H2S'!$T18,'Tables - Part 2'!$AX$5:$BA$5,0)))/2))/2,0)</f>
        <v>0</v>
      </c>
      <c r="BI18" s="248">
        <f>IF($S18=$BI$3,(INDEX('Tables - Part 2'!$AX$17:$BA$24,MATCH('HIC-SOHIC-H2S'!$Z18,'Tables - Part 2'!$AV$6:$AV$13,0),MATCH('HIC-SOHIC-H2S'!$T18,'Tables - Part 2'!$AX$5:$BA$5,0))+INDEX('Tables - Part 2'!$BB$17:$BE$24,MATCH('HIC-SOHIC-H2S'!$Z18,'Tables - Part 2'!$AV$6:$AV$13,0),MATCH('HIC-SOHIC-H2S'!$T18,'Tables - Part 2'!$AX$5:$BA$5,0)))/2,0)</f>
        <v>0</v>
      </c>
      <c r="BJ18" s="248">
        <f>IF($S18=$BJ$3,(((INDEX('Tables - Part 2'!$AX$17:$BA$24,MATCH('HIC-SOHIC-H2S'!$Z18,'Tables - Part 2'!$AV$6:$AV$13,0),MATCH('HIC-SOHIC-H2S'!$T18,'Tables - Part 2'!$AX$5:$BA$5,0))+INDEX('Tables - Part 2'!$BB$17:$BE$24,MATCH('HIC-SOHIC-H2S'!$Z18,'Tables - Part 2'!$AV$6:$AV$13,0),MATCH('HIC-SOHIC-H2S'!$T18,'Tables - Part 2'!$AX$5:$BA$5,0)))/2)+((((INDEX('Tables - Part 2'!$AX$17:$BA$24,MATCH('HIC-SOHIC-H2S'!$Z18,'Tables - Part 2'!$AV$6:$AV$13,0),MATCH('HIC-SOHIC-H2S'!$T18,'Tables - Part 2'!$AX$5:$BA$5,0))+INDEX('Tables - Part 2'!$BB$17:$BE$24,MATCH('HIC-SOHIC-H2S'!$Z18,'Tables - Part 2'!$AV$6:$AV$13,0),MATCH('HIC-SOHIC-H2S'!$T18,'Tables - Part 2'!$AX$5:$BA$5,0)))/2)+INDEX('Tables - Part 2'!$BB$17:$BE$24,MATCH('HIC-SOHIC-H2S'!$Z18,'Tables - Part 2'!$AV$6:$AV$13,0),MATCH('HIC-SOHIC-H2S'!$T18,'Tables - Part 2'!$AX$5:$BA$5,0)))/2))/2,0)</f>
        <v>0</v>
      </c>
      <c r="BK18" s="248">
        <f>IF($S18=$BK$3,(((INDEX('Tables - Part 2'!$AX$17:$BA$24,MATCH('HIC-SOHIC-H2S'!$Z18,'Tables - Part 2'!$AV$6:$AV$13,0),MATCH('HIC-SOHIC-H2S'!$T18,'Tables - Part 2'!$AX$5:$BA$5,0))+INDEX('Tables - Part 2'!$BB$17:$BE$24,MATCH('HIC-SOHIC-H2S'!$Z18,'Tables - Part 2'!$AV$6:$AV$13,0),MATCH('HIC-SOHIC-H2S'!$T18,'Tables - Part 2'!$AX$5:$BA$5,0)))/2)+INDEX('Tables - Part 2'!$BB$17:$BE$24,MATCH('HIC-SOHIC-H2S'!$Z18,'Tables - Part 2'!$AV$6:$AV$13,0),MATCH('HIC-SOHIC-H2S'!$T18,'Tables - Part 2'!$AX$5:$BA$5,0)))/2,0)</f>
        <v>0</v>
      </c>
      <c r="BL18" s="248">
        <f>IF($S18=$BL$3,(((((INDEX('Tables - Part 2'!$AX$17:$BA$24,MATCH('HIC-SOHIC-H2S'!$Z18,'Tables - Part 2'!$AV$6:$AV$13,0),MATCH('HIC-SOHIC-H2S'!$T18,'Tables - Part 2'!$AX$5:$BA$5,0))+INDEX('Tables - Part 2'!$BB$17:$BE$24,MATCH('HIC-SOHIC-H2S'!$Z18,'Tables - Part 2'!$AV$6:$AV$13,0),MATCH('HIC-SOHIC-H2S'!$T18,'Tables - Part 2'!$AX$5:$BA$5,0)))/2)+INDEX('Tables - Part 2'!$BB$17:$BE$24,MATCH('HIC-SOHIC-H2S'!$Z18,'Tables - Part 2'!$AV$6:$AV$13,0),MATCH('HIC-SOHIC-H2S'!$T18,'Tables - Part 2'!$AX$5:$BA$5,0)))/2)+(INDEX('Tables - Part 2'!$BB$17:$BE$24,MATCH('HIC-SOHIC-H2S'!$Z18,'Tables - Part 2'!$AV$6:$AV$13,0),MATCH('HIC-SOHIC-H2S'!$T18,'Tables - Part 2'!$AX$5:$BA$5,0))))/2,0)</f>
        <v>0</v>
      </c>
      <c r="BM18" s="248">
        <f>IF($S18=$BM$3,INDEX('Tables - Part 2'!$BB$17:$BE$24,MATCH('HIC-SOHIC-H2S'!$Z18,'Tables - Part 2'!$AV$6:$AV$13,0),MATCH('HIC-SOHIC-H2S'!$T18,'Tables - Part 2'!$AX$5:$BA$5,0)),0)</f>
        <v>0</v>
      </c>
      <c r="BN18" s="248">
        <f>IF($S18=$BN$3,((INDEX('Tables - Part 2'!$BB$17:$BE$24,MATCH('HIC-SOHIC-H2S'!$Z18,'Tables - Part 2'!$AV$6:$AV$13,0),MATCH('HIC-SOHIC-H2S'!$T18,'Tables - Part 2'!$AX$5:$BA$5,0)))+(((INDEX('Tables - Part 2'!$BB$17:$BE$24,MATCH('HIC-SOHIC-H2S'!$Z18,'Tables - Part 2'!$AV$6:$AV$13,0),MATCH('HIC-SOHIC-H2S'!$T18,'Tables - Part 2'!$AX$5:$BA$5,0)))+(INDEX('Tables - Part 2'!$BB$17:$BE$24,MATCH('HIC-SOHIC-H2S'!$Z18,'Tables - Part 2'!$AV$6:$AV$13,0),MATCH('HIC-SOHIC-H2S'!$T18,'Tables - Part 2'!$AX$5:$BA$5,0))+INDEX('Tables - Part 2'!$BF$17:$BI$24,MATCH('HIC-SOHIC-H2S'!$Z18,'Tables - Part 2'!$AV$6:$AV$13,0),MATCH('HIC-SOHIC-H2S'!$T18,'Tables - Part 2'!$AX$5:$BA$5,0)))/2)/2))/2,0)</f>
        <v>0</v>
      </c>
      <c r="BO18" s="248">
        <f>IF($S18=$BO$3,((INDEX('Tables - Part 2'!$BB$17:$BE$24,MATCH('HIC-SOHIC-H2S'!$Z18,'Tables - Part 2'!$AV$6:$AV$13,0),MATCH('HIC-SOHIC-H2S'!$T18,'Tables - Part 2'!$AX$5:$BA$5,0)))+(INDEX('Tables - Part 2'!$BB$17:$BE$24,MATCH('HIC-SOHIC-H2S'!$Z18,'Tables - Part 2'!$AV$6:$AV$13,0),MATCH('HIC-SOHIC-H2S'!$T18,'Tables - Part 2'!$AX$5:$BA$5,0))+INDEX('Tables - Part 2'!$BF$17:$BI$24,MATCH('HIC-SOHIC-H2S'!$Z18,'Tables - Part 2'!$AV$6:$AV$13,0),MATCH('HIC-SOHIC-H2S'!$T18,'Tables - Part 2'!$AX$5:$BA$5,0)))/2)/2,0)</f>
        <v>0</v>
      </c>
      <c r="BP18" s="248">
        <f>IF($S18=$BP$3,((((INDEX('Tables - Part 2'!$BB$17:$BE$24,MATCH('HIC-SOHIC-H2S'!$Z18,'Tables - Part 2'!$AV$6:$AV$13,0),MATCH('HIC-SOHIC-H2S'!$T18,'Tables - Part 2'!$AX$5:$BA$5,0)))+(INDEX('Tables - Part 2'!$BB$17:$BE$24,MATCH('HIC-SOHIC-H2S'!$Z18,'Tables - Part 2'!$AV$6:$AV$13,0),MATCH('HIC-SOHIC-H2S'!$T18,'Tables - Part 2'!$AX$5:$BA$5,0))+INDEX('Tables - Part 2'!$BF$17:$BI$24,MATCH('HIC-SOHIC-H2S'!$Z18,'Tables - Part 2'!$AV$6:$AV$13,0),MATCH('HIC-SOHIC-H2S'!$T18,'Tables - Part 2'!$AX$5:$BA$5,0)))/2)/2)+((INDEX('Tables - Part 2'!$BB$17:$BE$24,MATCH('HIC-SOHIC-H2S'!$Z18,'Tables - Part 2'!$AV$6:$AV$13,0),MATCH('HIC-SOHIC-H2S'!$T18,'Tables - Part 2'!$AX$5:$BA$5,0))+INDEX('Tables - Part 2'!$BF$17:$BI$24,MATCH('HIC-SOHIC-H2S'!$Z18,'Tables - Part 2'!$AV$6:$AV$13,0),MATCH('HIC-SOHIC-H2S'!$T18,'Tables - Part 2'!$AX$5:$BA$5,0)))/2))/2,0)</f>
        <v>0</v>
      </c>
      <c r="BQ18" s="248">
        <f>IF($S18=$BQ$3,(INDEX('Tables - Part 2'!$BB$17:$BE$24,MATCH('HIC-SOHIC-H2S'!$Z18,'Tables - Part 2'!$AV$6:$AV$13,0),MATCH('HIC-SOHIC-H2S'!$T18,'Tables - Part 2'!$AX$5:$BA$5,0))+INDEX('Tables - Part 2'!$BF$17:$BI$24,MATCH('HIC-SOHIC-H2S'!$Z18,'Tables - Part 2'!$AV$6:$AV$13,0),MATCH('HIC-SOHIC-H2S'!$T18,'Tables - Part 2'!$AX$5:$BA$5,0)))/2,0)</f>
        <v>0</v>
      </c>
      <c r="BR18" s="248">
        <f>IF($S18=$BR$3,(((INDEX('Tables - Part 2'!$BB$17:$BE$24,MATCH('HIC-SOHIC-H2S'!$Z18,'Tables - Part 2'!$AV$6:$AV$13,0),MATCH('HIC-SOHIC-H2S'!$T18,'Tables - Part 2'!$AX$5:$BA$5,0))+INDEX('Tables - Part 2'!$BF$17:$BI$24,MATCH('HIC-SOHIC-H2S'!$Z18,'Tables - Part 2'!$AV$6:$AV$13,0),MATCH('HIC-SOHIC-H2S'!$T18,'Tables - Part 2'!$AX$5:$BA$5,0)))/2)+((((INDEX('Tables - Part 2'!$BB$17:$BE$24,MATCH('HIC-SOHIC-H2S'!$Z18,'Tables - Part 2'!$AV$6:$AV$13,0),MATCH('HIC-SOHIC-H2S'!$T18,'Tables - Part 2'!$AX$5:$BA$5,0))+INDEX('Tables - Part 2'!$BF$17:$BI$24,MATCH('HIC-SOHIC-H2S'!$Z18,'Tables - Part 2'!$AV$6:$AV$13,0),MATCH('HIC-SOHIC-H2S'!$T18,'Tables - Part 2'!$AX$5:$BA$5,0)))/2)+INDEX('Tables - Part 2'!$BF$17:$BI$24,MATCH('HIC-SOHIC-H2S'!$Z18,'Tables - Part 2'!$AV$6:$AV$13,0),MATCH('HIC-SOHIC-H2S'!$T18,'Tables - Part 2'!$AX$5:$BA$5,0)))/2))/2,0)</f>
        <v>0</v>
      </c>
      <c r="BS18" s="248">
        <f>IF($S18=$BS$3,(((INDEX('Tables - Part 2'!$BB$17:$BE$24,MATCH('HIC-SOHIC-H2S'!$Z18,'Tables - Part 2'!$AV$6:$AV$13,0),MATCH('HIC-SOHIC-H2S'!$T18,'Tables - Part 2'!$AX$5:$BA$5,0))+INDEX('Tables - Part 2'!$BF$17:$BI$24,MATCH('HIC-SOHIC-H2S'!$Z18,'Tables - Part 2'!$AV$6:$AV$13,0),MATCH('HIC-SOHIC-H2S'!$T18,'Tables - Part 2'!$AX$5:$BA$5,0)))/2)+INDEX('Tables - Part 2'!$BF$17:$BI$24,MATCH('HIC-SOHIC-H2S'!$Z18,'Tables - Part 2'!$AV$6:$AV$13,0),MATCH('HIC-SOHIC-H2S'!$T18,'Tables - Part 2'!$AX$5:$BA$5,0)))/2,0)</f>
        <v>0</v>
      </c>
      <c r="BT18" s="248">
        <f>IF($S18=$BT$3,(((((INDEX('Tables - Part 2'!$BB$17:$BE$24,MATCH('HIC-SOHIC-H2S'!$Z18,'Tables - Part 2'!$AV$6:$AV$13,0),MATCH('HIC-SOHIC-H2S'!$T18,'Tables - Part 2'!$AX$5:$BA$5,0))+INDEX('Tables - Part 2'!$BF$17:$BI$24,MATCH('HIC-SOHIC-H2S'!$Z18,'Tables - Part 2'!$AV$6:$AV$13,0),MATCH('HIC-SOHIC-H2S'!$T18,'Tables - Part 2'!$AX$5:$BA$5,0)))/2)+INDEX('Tables - Part 2'!$BF$17:$BI$24,MATCH('HIC-SOHIC-H2S'!$Z18,'Tables - Part 2'!$AV$6:$AV$13,0),MATCH('HIC-SOHIC-H2S'!$T18,'Tables - Part 2'!$AX$5:$BA$5,0)))/2)+(INDEX('Tables - Part 2'!$BF$17:$BI$24,MATCH('HIC-SOHIC-H2S'!$Z18,'Tables - Part 2'!$AV$6:$AV$13,0),MATCH('HIC-SOHIC-H2S'!$T18,'Tables - Part 2'!$AX$5:$BA$5,0))))/2,0)</f>
        <v>0</v>
      </c>
      <c r="BU18" s="248">
        <f>IF($S18=$BU$3,INDEX('Tables - Part 2'!$BF$17:$BI$24,MATCH('HIC-SOHIC-H2S'!$Z18,'Tables - Part 2'!$AV$6:$AV$13,0),MATCH('HIC-SOHIC-H2S'!$T18,'Tables - Part 2'!$AX$5:$BA$5,0)),0)</f>
        <v>0</v>
      </c>
      <c r="BV18" s="248" t="e">
        <f t="shared" si="2"/>
        <v>#N/A</v>
      </c>
      <c r="BW18" s="238" t="e">
        <f t="shared" si="8"/>
        <v>#N/A</v>
      </c>
      <c r="BX18" s="238" t="e">
        <f t="shared" si="9"/>
        <v>#N/A</v>
      </c>
    </row>
    <row r="19" spans="2:76" x14ac:dyDescent="0.35">
      <c r="B19" s="161" t="str">
        <f>'Tratamento de Dados'!B27</f>
        <v>V-8</v>
      </c>
      <c r="C19" s="161" t="str">
        <f>'Tratamento de Dados'!D27</f>
        <v>Casco</v>
      </c>
      <c r="D19" s="209">
        <f>'Tratamento de Dados'!CN27</f>
        <v>0</v>
      </c>
      <c r="E19" s="209">
        <f>'Tratamento de Dados'!CO27</f>
        <v>0</v>
      </c>
      <c r="F19" s="209">
        <f>'Tratamento de Dados'!CP27</f>
        <v>0</v>
      </c>
      <c r="G19" s="209">
        <f>'Tratamento de Dados'!CQ27</f>
        <v>0</v>
      </c>
      <c r="H19" s="209">
        <f>'Tratamento de Dados'!CR27</f>
        <v>0</v>
      </c>
      <c r="I19" s="209">
        <f>'Tratamento de Dados'!CS27</f>
        <v>0</v>
      </c>
      <c r="J19" s="209">
        <f>'Tratamento de Dados'!CT27</f>
        <v>0</v>
      </c>
      <c r="K19" s="209">
        <f>'Tratamento de Dados'!CU27</f>
        <v>0</v>
      </c>
      <c r="L19" s="210">
        <f>'Tratamento de Dados'!CV27</f>
        <v>0</v>
      </c>
      <c r="M19" s="209">
        <f>'Tratamento de Dados'!CW27</f>
        <v>0</v>
      </c>
      <c r="N19" s="209">
        <f>'Tratamento de Dados'!CX27</f>
        <v>0</v>
      </c>
      <c r="O19" s="209">
        <f>'Tratamento de Dados'!CY27</f>
        <v>0</v>
      </c>
      <c r="P19" s="209">
        <f>'Tratamento de Dados'!CZ27</f>
        <v>0</v>
      </c>
      <c r="Q19" s="253">
        <f>'Tratamento de Dados'!DA27</f>
        <v>0</v>
      </c>
      <c r="R19" s="253">
        <f>'Tratamento de Dados'!DB27</f>
        <v>0</v>
      </c>
      <c r="S19" s="256">
        <f t="shared" si="0"/>
        <v>0</v>
      </c>
      <c r="T19" s="246" t="str">
        <f t="shared" si="3"/>
        <v>E</v>
      </c>
      <c r="U19" s="238" t="e">
        <f>IF(D19=$CC$2,$CA$4,IF(AND(H19=$CC$2,OR(F19='Tables - Part 2'!$CE$8,'Tables - Part 2'!$CE$9),OR('HIC-SOHIC-H2S'!G19='Tables - Part 2'!$CH$4,'HIC-SOHIC-H2S'!G19='Tables - Part 2'!$CI$4)),$CA$4,INDEX('Tables - Part 2'!$CF$5:$CI$9,MATCH('HIC-SOHIC-H2S'!F19,'Tables - Part 2'!$CE$5:$CE$9,0),MATCH('HIC-SOHIC-H2S'!G19,'Tables - Part 2'!$CF$4:$CI$4,0))))</f>
        <v>#N/A</v>
      </c>
      <c r="V19" s="238" t="str">
        <f>IF($I19=$V$3,INDEX('Tables - Part 2'!$CL$5:$CM$7,MATCH('HIC-SOHIC-H2S'!$U19,'Tables - Part 2'!$CK$5:$CK$7,0),IF('HIC-SOHIC-H2S'!$J19='HIC-SOHIC-H2S'!$CC$2,2,1)),"")</f>
        <v/>
      </c>
      <c r="W19" s="238" t="str">
        <f>IF($I19=$W$3,INDEX('Tables - Part 2'!$CN$5:$CO$7,MATCH('HIC-SOHIC-H2S'!$U19,'Tables - Part 2'!$CK$5:$CK$7,0),IF('HIC-SOHIC-H2S'!$J19='HIC-SOHIC-H2S'!$CC$2,2,1)),"")</f>
        <v/>
      </c>
      <c r="X19" s="238" t="str">
        <f>IF($I19=$X$3,INDEX('Tables - Part 2'!$CP$5:$CQ$7,MATCH('HIC-SOHIC-H2S'!$U19,'Tables - Part 2'!$CK$5:$CK$7,0),IF('HIC-SOHIC-H2S'!$J19='HIC-SOHIC-H2S'!$CC$2,2,1)),"")</f>
        <v/>
      </c>
      <c r="Y19" s="238" t="str">
        <f t="shared" si="1"/>
        <v/>
      </c>
      <c r="Z19" s="238" t="e">
        <f>IF(AND(D19=$CC$2,E19&lt;&gt;$CC$2),"Fitness-For-Service",INDEX('Tables - Part 2'!$CT$4:$CT$6,MATCH('HIC-SOHIC-H2S'!Y19,'Tables - Part 2'!$CS$4:$CS$6,0),))</f>
        <v>#N/A</v>
      </c>
      <c r="AA19" s="238">
        <f>IF(L19=0,(Thinning!G20-Thinning!F20)/365.25,(Thinning!G20-L19)/365.25)</f>
        <v>5.4757015742642025E-3</v>
      </c>
      <c r="AB19" s="238" t="e">
        <f>INDEX('Tables - Part 2'!$CW$4:$CW$7,MATCH('HIC-SOHIC-H2S'!K19,'Tables - Part 2'!$CV$4:$CV$7,0))</f>
        <v>#N/A</v>
      </c>
      <c r="AC19" s="248">
        <f t="shared" si="4"/>
        <v>0</v>
      </c>
      <c r="AD19" s="248">
        <f t="shared" si="5"/>
        <v>0</v>
      </c>
      <c r="AE19" s="247">
        <f t="shared" si="10"/>
        <v>0</v>
      </c>
      <c r="AF19" s="247">
        <f t="shared" si="7"/>
        <v>0</v>
      </c>
      <c r="AG19" s="248">
        <f>IF($S19=$AG$3,INDEX('Tables - Part 2'!$AX$6:$BA$13,MATCH('HIC-SOHIC-H2S'!Z19,'Tables - Part 2'!$AV$6:$AV$13,0),MATCH('HIC-SOHIC-H2S'!T19,'Tables - Part 2'!$AX$5:$BA$5,0)),0)</f>
        <v>0</v>
      </c>
      <c r="AH19" s="248">
        <f>IF($S19=$AH$3,(INDEX('Tables - Part 2'!$AX$6:$BA$13,MATCH('HIC-SOHIC-H2S'!Z19,'Tables - Part 2'!$AV$6:$AV$13,0),MATCH('HIC-SOHIC-H2S'!T19,'Tables - Part 2'!$AX$5:$BA$5,0))+(INDEX('Tables - Part 2'!$AX$6:$BA$13,MATCH('HIC-SOHIC-H2S'!Z19,'Tables - Part 2'!$AV$6:$AV$13,0),MATCH('HIC-SOHIC-H2S'!T19,'Tables - Part 2'!$AX$5:$BA$5,0))+((INDEX('Tables - Part 2'!$AX$6:$BA$13,MATCH('HIC-SOHIC-H2S'!Z19,'Tables - Part 2'!$AV$6:$AV$13,0),MATCH('HIC-SOHIC-H2S'!T19,'Tables - Part 2'!$AX$5:$BA$5,0))+INDEX('Tables - Part 2'!$BB$6:$BE$13,MATCH('HIC-SOHIC-H2S'!$Z19,'Tables - Part 2'!$AV$6:$AV$13,0),MATCH('HIC-SOHIC-H2S'!$T19,'Tables - Part 2'!$AX$5:$BA$5,0)))/2))/2)/2,0)</f>
        <v>0</v>
      </c>
      <c r="AI19" s="248">
        <f>IF($S19=$AI$3,(INDEX('Tables - Part 2'!$AX$6:$BA$13,MATCH('HIC-SOHIC-H2S'!Z19,'Tables - Part 2'!$AV$6:$AV$13,0),MATCH('HIC-SOHIC-H2S'!T19,'Tables - Part 2'!$AX$5:$BA$5,0))+((INDEX('Tables - Part 2'!$AX$6:$BA$13,MATCH('HIC-SOHIC-H2S'!Z19,'Tables - Part 2'!$AV$6:$AV$13,0),MATCH('HIC-SOHIC-H2S'!T19,'Tables - Part 2'!$AX$5:$BA$5,0))+INDEX('Tables - Part 2'!$BB$6:$BE$13,MATCH('HIC-SOHIC-H2S'!$Z19,'Tables - Part 2'!$AV$6:$AV$13,0),MATCH('HIC-SOHIC-H2S'!$T19,'Tables - Part 2'!$AX$5:$BA$5,0)))/2))/2,0)</f>
        <v>0</v>
      </c>
      <c r="AJ19" s="248">
        <f>IF($S19=$AJ$3,(((INDEX('Tables - Part 2'!$AX$6:$BA$13,MATCH('HIC-SOHIC-H2S'!Z19,'Tables - Part 2'!$AV$6:$AV$13,0),MATCH('HIC-SOHIC-H2S'!T19,'Tables - Part 2'!$AX$5:$BA$5,0))+((INDEX('Tables - Part 2'!$AX$6:$BA$13,MATCH('HIC-SOHIC-H2S'!Z19,'Tables - Part 2'!$AV$6:$AV$13,0),MATCH('HIC-SOHIC-H2S'!T19,'Tables - Part 2'!$AX$5:$BA$5,0))+INDEX('Tables - Part 2'!$BB$6:$BE$13,MATCH('HIC-SOHIC-H2S'!$Z19,'Tables - Part 2'!$AV$6:$AV$13,0),MATCH('HIC-SOHIC-H2S'!$T19,'Tables - Part 2'!$AX$5:$BA$5,0)))/2))/2)+(INDEX('Tables - Part 2'!$AX$6:$BA$13,MATCH('HIC-SOHIC-H2S'!Z19,'Tables - Part 2'!$AV$6:$AV$13,0),MATCH('HIC-SOHIC-H2S'!T19,'Tables - Part 2'!$AX$5:$BA$5,0))+INDEX('Tables - Part 2'!$BB$6:$BE$13,MATCH('HIC-SOHIC-H2S'!$Z19,'Tables - Part 2'!$AV$6:$AV$13,0),MATCH('HIC-SOHIC-H2S'!$T19,'Tables - Part 2'!$AX$5:$BA$5,0)))/2)/2,0)</f>
        <v>0</v>
      </c>
      <c r="AK19" s="248">
        <f>IF($S19=$AK$3,(INDEX('Tables - Part 2'!$AX$6:$BA$13,MATCH('HIC-SOHIC-H2S'!Z19,'Tables - Part 2'!$AV$6:$AV$13,0),MATCH('HIC-SOHIC-H2S'!T19,'Tables - Part 2'!$AX$5:$BA$5,0))+INDEX('Tables - Part 2'!$BB$6:$BE$13,MATCH('HIC-SOHIC-H2S'!$Z19,'Tables - Part 2'!$AV$6:$AV$13,0),MATCH('HIC-SOHIC-H2S'!$T19,'Tables - Part 2'!$AX$5:$BA$5,0)))/2,0)</f>
        <v>0</v>
      </c>
      <c r="AL19" s="248">
        <f>IF($S19=$AL$3,(((INDEX('Tables - Part 2'!$AX$6:$BA$13,MATCH('HIC-SOHIC-H2S'!Z19,'Tables - Part 2'!$AV$6:$AV$13,0),MATCH('HIC-SOHIC-H2S'!T19,'Tables - Part 2'!$AX$5:$BA$5,0))+INDEX('Tables - Part 2'!$BB$6:$BE$13,MATCH('HIC-SOHIC-H2S'!$Z19,'Tables - Part 2'!$AV$6:$AV$13,0),MATCH('HIC-SOHIC-H2S'!$T19,'Tables - Part 2'!$AX$5:$BA$5,0)))/2)+(((INDEX('Tables - Part 2'!$AX$6:$BA$13,MATCH('HIC-SOHIC-H2S'!Z19,'Tables - Part 2'!$AV$6:$AV$13,0),MATCH('HIC-SOHIC-H2S'!T19,'Tables - Part 2'!$AX$5:$BA$5,0))+INDEX('Tables - Part 2'!$BB$6:$BE$13,MATCH('HIC-SOHIC-H2S'!$Z19,'Tables - Part 2'!$AV$6:$AV$13,0),MATCH('HIC-SOHIC-H2S'!$T19,'Tables - Part 2'!$AX$5:$BA$5,0)))/2)+INDEX('Tables - Part 2'!$BB$6:$BE$13,MATCH('HIC-SOHIC-H2S'!$Z19,'Tables - Part 2'!$AV$6:$AV$13,0),MATCH('HIC-SOHIC-H2S'!$T19,'Tables - Part 2'!$AX$5:$BA$5,0)))/2)/2,0)</f>
        <v>0</v>
      </c>
      <c r="AM19" s="248">
        <f>IF($S19=$AM$3,(((INDEX('Tables - Part 2'!$AX$6:$BA$13,MATCH('HIC-SOHIC-H2S'!Z19,'Tables - Part 2'!$AV$6:$AV$13,0),MATCH('HIC-SOHIC-H2S'!T19,'Tables - Part 2'!$AX$5:$BA$5,0))+INDEX('Tables - Part 2'!$BB$6:$BE$13,MATCH('HIC-SOHIC-H2S'!$Z19,'Tables - Part 2'!$AV$6:$AV$13,0),MATCH('HIC-SOHIC-H2S'!$T19,'Tables - Part 2'!$AX$5:$BA$5,0)))/2)+INDEX('Tables - Part 2'!$BB$6:$BE$13,MATCH('HIC-SOHIC-H2S'!$Z19,'Tables - Part 2'!$AV$6:$AV$13,0),MATCH('HIC-SOHIC-H2S'!$T19,'Tables - Part 2'!$AX$5:$BA$5,0)))/2,0)</f>
        <v>0</v>
      </c>
      <c r="AN19" s="248">
        <f>IF($S19=$AN$3,(((((INDEX('Tables - Part 2'!$AX$6:$BA$13,MATCH('HIC-SOHIC-H2S'!Z19,'Tables - Part 2'!$AV$6:$AV$13,0),MATCH('HIC-SOHIC-H2S'!T19,'Tables - Part 2'!$AX$5:$BA$5,0))+INDEX('Tables - Part 2'!$BB$6:$BE$13,MATCH('HIC-SOHIC-H2S'!$Z19,'Tables - Part 2'!$AV$6:$AV$13,0),MATCH('HIC-SOHIC-H2S'!$T19,'Tables - Part 2'!$AX$5:$BA$5,0)))/2)+INDEX('Tables - Part 2'!$BB$6:$BE$13,MATCH('HIC-SOHIC-H2S'!$Z19,'Tables - Part 2'!$AV$6:$AV$13,0),MATCH('HIC-SOHIC-H2S'!$T19,'Tables - Part 2'!$AX$5:$BA$5,0)))/2)+INDEX('Tables - Part 2'!$BB$6:$BE$13,MATCH('HIC-SOHIC-H2S'!$Z19,'Tables - Part 2'!$AV$6:$AV$13,0),MATCH('HIC-SOHIC-H2S'!$T19,'Tables - Part 2'!$AX$5:$BA$5,0)))/2,0)</f>
        <v>0</v>
      </c>
      <c r="AO19" s="248">
        <f>IF($S19=$AO$3,INDEX('Tables - Part 2'!$BB$6:$BE$13,MATCH('HIC-SOHIC-H2S'!$Z19,'Tables - Part 2'!$AV$6:$AV$13,0),MATCH('HIC-SOHIC-H2S'!$T19,'Tables - Part 2'!$AX$5:$BA$5,0)),0)</f>
        <v>0</v>
      </c>
      <c r="AP19" s="248">
        <f>IF($S19=$AP$3,((INDEX('Tables - Part 2'!$BB$6:$BE$13,MATCH('HIC-SOHIC-H2S'!$Z19,'Tables - Part 2'!$AV$6:$AV$13,0),MATCH('HIC-SOHIC-H2S'!$T19,'Tables - Part 2'!$AX$5:$BA$5,0)))+(INDEX('Tables - Part 2'!$BB$6:$BE$13,MATCH('HIC-SOHIC-H2S'!$Z19,'Tables - Part 2'!$AV$6:$AV$13,0),MATCH('HIC-SOHIC-H2S'!$T19,'Tables - Part 2'!$AX$5:$BA$5,0))+(INDEX('Tables - Part 2'!$BB$6:$BE$13,MATCH('HIC-SOHIC-H2S'!$Z19,'Tables - Part 2'!$AV$6:$AV$13,0),MATCH('HIC-SOHIC-H2S'!$T19,'Tables - Part 2'!$AX$5:$BA$5,0))+INDEX('Tables - Part 2'!$BF$6:$BI$13,MATCH('HIC-SOHIC-H2S'!$Z19,'Tables - Part 2'!$AV$6:$AV$13,0),MATCH('HIC-SOHIC-H2S'!$T19,'Tables - Part 2'!$AX$5:$BA$5,0)))/2)/2)/2,0)</f>
        <v>0</v>
      </c>
      <c r="AQ19" s="248">
        <f>IF($S19=$AQ$3,(INDEX('Tables - Part 2'!$BB$6:$BE$13,MATCH('HIC-SOHIC-H2S'!$Z19,'Tables - Part 2'!$AV$6:$AV$13,0),MATCH('HIC-SOHIC-H2S'!$T19,'Tables - Part 2'!$AX$5:$BA$5,0))+(INDEX('Tables - Part 2'!$BB$6:$BE$13,MATCH('HIC-SOHIC-H2S'!$Z19,'Tables - Part 2'!$AV$6:$AV$13,0),MATCH('HIC-SOHIC-H2S'!$T19,'Tables - Part 2'!$AX$5:$BA$5,0))+INDEX('Tables - Part 2'!$BF$6:$BI$13,MATCH('HIC-SOHIC-H2S'!$Z19,'Tables - Part 2'!$AV$6:$AV$13,0),MATCH('HIC-SOHIC-H2S'!$T19,'Tables - Part 2'!$AX$5:$BA$5,0)))/2)/2,0)</f>
        <v>0</v>
      </c>
      <c r="AR19" s="248">
        <f>IF($S19=$AR$3,(((INDEX('Tables - Part 2'!$BB$6:$BE$13,MATCH('HIC-SOHIC-H2S'!$Z19,'Tables - Part 2'!$AV$6:$AV$13,0),MATCH('HIC-SOHIC-H2S'!$T19,'Tables - Part 2'!$AX$5:$BA$5,0))+(INDEX('Tables - Part 2'!$BB$6:$BE$13,MATCH('HIC-SOHIC-H2S'!$Z19,'Tables - Part 2'!$AV$6:$AV$13,0),MATCH('HIC-SOHIC-H2S'!$T19,'Tables - Part 2'!$AX$5:$BA$5,0))+INDEX('Tables - Part 2'!$BF$6:$BI$13,MATCH('HIC-SOHIC-H2S'!$Z19,'Tables - Part 2'!$AV$6:$AV$13,0),MATCH('HIC-SOHIC-H2S'!$T19,'Tables - Part 2'!$AX$5:$BA$5,0)))/2)/2)+((INDEX('Tables - Part 2'!$BB$6:$BE$13,MATCH('HIC-SOHIC-H2S'!$Z19,'Tables - Part 2'!$AV$6:$AV$13,0),MATCH('HIC-SOHIC-H2S'!$T19,'Tables - Part 2'!$AX$5:$BA$5,0))+INDEX('Tables - Part 2'!$BF$6:$BI$13,MATCH('HIC-SOHIC-H2S'!$Z19,'Tables - Part 2'!$AV$6:$AV$13,0),MATCH('HIC-SOHIC-H2S'!$T19,'Tables - Part 2'!$AX$5:$BA$5,0)))/2))/2,0)</f>
        <v>0</v>
      </c>
      <c r="AS19" s="248">
        <f>IF($S19=$AS$3,(INDEX('Tables - Part 2'!$BB$6:$BE$13,MATCH('HIC-SOHIC-H2S'!$Z19,'Tables - Part 2'!$AV$6:$AV$13,0),MATCH('HIC-SOHIC-H2S'!$T19,'Tables - Part 2'!$AX$5:$BA$5,0))+INDEX('Tables - Part 2'!$BF$6:$BI$13,MATCH('HIC-SOHIC-H2S'!$Z19,'Tables - Part 2'!$AV$6:$AV$13,0),MATCH('HIC-SOHIC-H2S'!$T19,'Tables - Part 2'!$AX$5:$BA$5,0)))/2,0)</f>
        <v>0</v>
      </c>
      <c r="AT19" s="248">
        <f>IF($S19=$AT$3,(((INDEX('Tables - Part 2'!$BB$6:$BE$13,MATCH('HIC-SOHIC-H2S'!$Z19,'Tables - Part 2'!$AV$6:$AV$13,0),MATCH('HIC-SOHIC-H2S'!$T19,'Tables - Part 2'!$AX$5:$BA$5,0))+INDEX('Tables - Part 2'!$BF$6:$BI$13,MATCH('HIC-SOHIC-H2S'!$Z19,'Tables - Part 2'!$AV$6:$AV$13,0),MATCH('HIC-SOHIC-H2S'!$T19,'Tables - Part 2'!$AX$5:$BA$5,0)))/2)+((((INDEX('Tables - Part 2'!$BB$6:$BE$13,MATCH('HIC-SOHIC-H2S'!$Z19,'Tables - Part 2'!$AV$6:$AV$13,0),MATCH('HIC-SOHIC-H2S'!$T19,'Tables - Part 2'!$AX$5:$BA$5,0))+INDEX('Tables - Part 2'!$BF$6:$BI$13,MATCH('HIC-SOHIC-H2S'!$Z19,'Tables - Part 2'!$AV$6:$AV$13,0),MATCH('HIC-SOHIC-H2S'!$T19,'Tables - Part 2'!$AX$5:$BA$5,0)))/2)+INDEX('Tables - Part 2'!$BF$6:$BI$13,MATCH('HIC-SOHIC-H2S'!$Z19,'Tables - Part 2'!$AV$6:$AV$13,0),MATCH('HIC-SOHIC-H2S'!$T19,'Tables - Part 2'!$AX$5:$BA$5,0)))/2))/2,0)</f>
        <v>0</v>
      </c>
      <c r="AU19" s="248">
        <f>IF($S19=$AU$3,(((INDEX('Tables - Part 2'!$BB$6:$BE$13,MATCH('HIC-SOHIC-H2S'!$Z19,'Tables - Part 2'!$AV$6:$AV$13,0),MATCH('HIC-SOHIC-H2S'!$T19,'Tables - Part 2'!$AX$5:$BA$5,0))+INDEX('Tables - Part 2'!$BF$6:$BI$13,MATCH('HIC-SOHIC-H2S'!$Z19,'Tables - Part 2'!$AV$6:$AV$13,0),MATCH('HIC-SOHIC-H2S'!$T19,'Tables - Part 2'!$AX$5:$BA$5,0)))/2)+INDEX('Tables - Part 2'!$BF$6:$BI$13,MATCH('HIC-SOHIC-H2S'!$Z19,'Tables - Part 2'!$AV$6:$AV$13,0),MATCH('HIC-SOHIC-H2S'!$T19,'Tables - Part 2'!$AX$5:$BA$5,0)))/2,0)</f>
        <v>0</v>
      </c>
      <c r="AV19" s="248">
        <f>IF($S19=$AV$3,(((((INDEX('Tables - Part 2'!$BB$6:$BE$13,MATCH('HIC-SOHIC-H2S'!$Z19,'Tables - Part 2'!$AV$6:$AV$13,0),MATCH('HIC-SOHIC-H2S'!$T19,'Tables - Part 2'!$AX$5:$BA$5,0))+INDEX('Tables - Part 2'!$BF$6:$BI$13,MATCH('HIC-SOHIC-H2S'!$Z19,'Tables - Part 2'!$AV$6:$AV$13,0),MATCH('HIC-SOHIC-H2S'!$T19,'Tables - Part 2'!$AX$5:$BA$5,0)))/2)+INDEX('Tables - Part 2'!$BF$6:$BI$13,MATCH('HIC-SOHIC-H2S'!$Z19,'Tables - Part 2'!$AV$6:$AV$13,0),MATCH('HIC-SOHIC-H2S'!$T19,'Tables - Part 2'!$AX$5:$BA$5,0)))/2)+INDEX('Tables - Part 2'!$BF$6:$BI$13,MATCH('HIC-SOHIC-H2S'!$Z19,'Tables - Part 2'!$AV$6:$AV$13,0),MATCH('HIC-SOHIC-H2S'!$T19,'Tables - Part 2'!$AX$5:$BA$5,0)))/2,0)</f>
        <v>0</v>
      </c>
      <c r="AW19" s="248">
        <f>IF($S19=$AW$3,INDEX('Tables - Part 2'!$BF$6:$BI$13,MATCH('HIC-SOHIC-H2S'!$Z19,'Tables - Part 2'!$AV$6:$AV$13,0),MATCH('HIC-SOHIC-H2S'!$T19,'Tables - Part 2'!$AX$5:$BA$5,0)),0)</f>
        <v>0</v>
      </c>
      <c r="AX19" s="248">
        <f>IF($S19=$AX$3,(INDEX('Tables - Part 2'!$BF$6:$BI$13,MATCH('HIC-SOHIC-H2S'!$Z19,'Tables - Part 2'!$AV$6:$AV$13,0),MATCH('HIC-SOHIC-H2S'!$T19,'Tables - Part 2'!$AX$5:$BA$5,0))+((INDEX('Tables - Part 2'!$BF$6:$BI$13,MATCH('HIC-SOHIC-H2S'!$Z19,'Tables - Part 2'!$AV$6:$AV$13,0),MATCH('HIC-SOHIC-H2S'!$T19,'Tables - Part 2'!$AX$5:$BA$5,0))+(INDEX('Tables - Part 2'!$BF$6:$BI$13,MATCH('HIC-SOHIC-H2S'!$Z19,'Tables - Part 2'!$AV$6:$AV$13,0),MATCH('HIC-SOHIC-H2S'!$T19,'Tables - Part 2'!$AX$5:$BA$5,0))+INDEX('Tables - Part 2'!$AX$17:$BA$24,MATCH('HIC-SOHIC-H2S'!$Z19,'Tables - Part 2'!$AV$6:$AV$13,0),MATCH('HIC-SOHIC-H2S'!$T19,'Tables - Part 2'!$AX$5:$BA$5,0)))/2)/2))/2,0)</f>
        <v>0</v>
      </c>
      <c r="AY19" s="248">
        <f>IF($S19=$AY$3,(INDEX('Tables - Part 2'!$BF$6:$BI$13,MATCH('HIC-SOHIC-H2S'!$Z19,'Tables - Part 2'!$AV$6:$AV$13,0),MATCH('HIC-SOHIC-H2S'!$T19,'Tables - Part 2'!$AX$5:$BA$5,0))+(INDEX('Tables - Part 2'!$BF$6:$BI$13,MATCH('HIC-SOHIC-H2S'!$Z19,'Tables - Part 2'!$AV$6:$AV$13,0),MATCH('HIC-SOHIC-H2S'!$T19,'Tables - Part 2'!$AX$5:$BA$5,0))+INDEX('Tables - Part 2'!$AX$17:$BA$24,MATCH('HIC-SOHIC-H2S'!$Z19,'Tables - Part 2'!$AV$6:$AV$13,0),MATCH('HIC-SOHIC-H2S'!$T19,'Tables - Part 2'!$AX$5:$BA$5,0)))/2)/2,0)</f>
        <v>0</v>
      </c>
      <c r="AZ19" s="248">
        <f>IF($S19=$AZ$3,(((INDEX('Tables - Part 2'!$BF$6:$BI$13,MATCH('HIC-SOHIC-H2S'!$Z19,'Tables - Part 2'!$AV$6:$AV$13,0),MATCH('HIC-SOHIC-H2S'!$T19,'Tables - Part 2'!$AX$5:$BA$5,0))+(INDEX('Tables - Part 2'!$BF$6:$BI$13,MATCH('HIC-SOHIC-H2S'!$Z19,'Tables - Part 2'!$AV$6:$AV$13,0),MATCH('HIC-SOHIC-H2S'!$T19,'Tables - Part 2'!$AX$5:$BA$5,0))+INDEX('Tables - Part 2'!$AX$17:$BA$24,MATCH('HIC-SOHIC-H2S'!$Z19,'Tables - Part 2'!$AV$6:$AV$13,0),MATCH('HIC-SOHIC-H2S'!$T19,'Tables - Part 2'!$AX$5:$BA$5,0)))/2)/2)+((INDEX('Tables - Part 2'!$BF$6:$BI$13,MATCH('HIC-SOHIC-H2S'!$Z19,'Tables - Part 2'!$AV$6:$AV$13,0),MATCH('HIC-SOHIC-H2S'!$T19,'Tables - Part 2'!$AX$5:$BA$5,0))+INDEX('Tables - Part 2'!$AX$17:$BA$24,MATCH('HIC-SOHIC-H2S'!$Z19,'Tables - Part 2'!$AV$6:$AV$13,0),MATCH('HIC-SOHIC-H2S'!$T19,'Tables - Part 2'!$AX$5:$BA$5,0)))/2))/2,0)</f>
        <v>0</v>
      </c>
      <c r="BA19" s="248">
        <f>IF($S19=$BA$3,(INDEX('Tables - Part 2'!$BF$6:$BI$13,MATCH('HIC-SOHIC-H2S'!$Z19,'Tables - Part 2'!$AV$6:$AV$13,0),MATCH('HIC-SOHIC-H2S'!$T19,'Tables - Part 2'!$AX$5:$BA$5,0))+INDEX('Tables - Part 2'!$AX$17:$BA$24,MATCH('HIC-SOHIC-H2S'!$Z19,'Tables - Part 2'!$AV$6:$AV$13,0),MATCH('HIC-SOHIC-H2S'!$T19,'Tables - Part 2'!$AX$5:$BA$5,0)))/2,0)</f>
        <v>0</v>
      </c>
      <c r="BB19" s="248">
        <f>IF($S19=$BB$3,(((INDEX('Tables - Part 2'!$BF$6:$BI$13,MATCH('HIC-SOHIC-H2S'!$Z19,'Tables - Part 2'!$AV$6:$AV$13,0),MATCH('HIC-SOHIC-H2S'!$T19,'Tables - Part 2'!$AX$5:$BA$5,0))+INDEX('Tables - Part 2'!$AX$17:$BA$24,MATCH('HIC-SOHIC-H2S'!$Z19,'Tables - Part 2'!$AV$6:$AV$13,0),MATCH('HIC-SOHIC-H2S'!$T19,'Tables - Part 2'!$AX$5:$BA$5,0)))/2)+((((INDEX('Tables - Part 2'!$BF$6:$BI$13,MATCH('HIC-SOHIC-H2S'!$Z19,'Tables - Part 2'!$AV$6:$AV$13,0),MATCH('HIC-SOHIC-H2S'!$T19,'Tables - Part 2'!$AX$5:$BA$5,0))+INDEX('Tables - Part 2'!$AX$17:$BA$24,MATCH('HIC-SOHIC-H2S'!$Z19,'Tables - Part 2'!$AV$6:$AV$13,0),MATCH('HIC-SOHIC-H2S'!$T19,'Tables - Part 2'!$AX$5:$BA$5,0)))/2)+INDEX('Tables - Part 2'!$AX$17:$BA$24,MATCH('HIC-SOHIC-H2S'!$Z19,'Tables - Part 2'!$AV$6:$AV$13,0),MATCH('HIC-SOHIC-H2S'!$T19,'Tables - Part 2'!$AX$5:$BA$5,0)))/2))/2,0)</f>
        <v>0</v>
      </c>
      <c r="BC19" s="248">
        <f>IF($S19=$BC$3,(((INDEX('Tables - Part 2'!$BF$6:$BI$13,MATCH('HIC-SOHIC-H2S'!$Z19,'Tables - Part 2'!$AV$6:$AV$13,0),MATCH('HIC-SOHIC-H2S'!$T19,'Tables - Part 2'!$AX$5:$BA$5,0))+INDEX('Tables - Part 2'!$AX$17:$BA$24,MATCH('HIC-SOHIC-H2S'!$Z19,'Tables - Part 2'!$AV$6:$AV$13,0),MATCH('HIC-SOHIC-H2S'!$T19,'Tables - Part 2'!$AX$5:$BA$5,0)))/2)+INDEX('Tables - Part 2'!$AX$17:$BA$24,MATCH('HIC-SOHIC-H2S'!$Z19,'Tables - Part 2'!$AV$6:$AV$13,0),MATCH('HIC-SOHIC-H2S'!$T19,'Tables - Part 2'!$AX$5:$BA$5,0)))/2,0)</f>
        <v>0</v>
      </c>
      <c r="BD19" s="248">
        <f>IF($S19=$BD$3,(((((INDEX('Tables - Part 2'!$BF$6:$BI$13,MATCH('HIC-SOHIC-H2S'!$Z19,'Tables - Part 2'!$AV$6:$AV$13,0),MATCH('HIC-SOHIC-H2S'!$T19,'Tables - Part 2'!$AX$5:$BA$5,0))+INDEX('Tables - Part 2'!$AX$17:$BA$24,MATCH('HIC-SOHIC-H2S'!$Z19,'Tables - Part 2'!$AV$6:$AV$13,0),MATCH('HIC-SOHIC-H2S'!$T19,'Tables - Part 2'!$AX$5:$BA$5,0)))/2)+INDEX('Tables - Part 2'!$AX$17:$BA$24,MATCH('HIC-SOHIC-H2S'!$Z19,'Tables - Part 2'!$AV$6:$AV$13,0),MATCH('HIC-SOHIC-H2S'!$T19,'Tables - Part 2'!$AX$5:$BA$5,0)))/2)+(INDEX('Tables - Part 2'!$AX$17:$BA$24,MATCH('HIC-SOHIC-H2S'!$Z19,'Tables - Part 2'!$AV$6:$AV$13,0),MATCH('HIC-SOHIC-H2S'!$T19,'Tables - Part 2'!$AX$5:$BA$5,0))))/2,0)</f>
        <v>0</v>
      </c>
      <c r="BE19" s="248">
        <f>IF($S19=$BE$3,INDEX('Tables - Part 2'!$AX$17:$BA$24,MATCH('HIC-SOHIC-H2S'!$Z19,'Tables - Part 2'!$AV$6:$AV$13,0),MATCH('HIC-SOHIC-H2S'!$T19,'Tables - Part 2'!$AX$5:$BA$5,0)),0)</f>
        <v>0</v>
      </c>
      <c r="BF19" s="248">
        <f>IF($S19=$BF$3,((INDEX('Tables - Part 2'!$AX$17:$BA$24,MATCH('HIC-SOHIC-H2S'!$Z19,'Tables - Part 2'!$AV$6:$AV$13,0),MATCH('HIC-SOHIC-H2S'!$T19,'Tables - Part 2'!$AX$5:$BA$5,0)))+(((INDEX('Tables - Part 2'!$AX$17:$BA$24,MATCH('HIC-SOHIC-H2S'!$Z19,'Tables - Part 2'!$AV$6:$AV$13,0),MATCH('HIC-SOHIC-H2S'!$T19,'Tables - Part 2'!$AX$5:$BA$5,0)))+(INDEX('Tables - Part 2'!$AX$17:$BA$24,MATCH('HIC-SOHIC-H2S'!$Z19,'Tables - Part 2'!$AV$6:$AV$13,0),MATCH('HIC-SOHIC-H2S'!$T19,'Tables - Part 2'!$AX$5:$BA$5,0))+INDEX('Tables - Part 2'!$BB$17:$BE$24,MATCH('HIC-SOHIC-H2S'!$Z19,'Tables - Part 2'!$AV$6:$AV$13,0),MATCH('HIC-SOHIC-H2S'!$T19,'Tables - Part 2'!$AX$5:$BA$5,0)))/2)/2))/2,0)</f>
        <v>0</v>
      </c>
      <c r="BG19" s="248">
        <f>IF($S19=$BG$3,((INDEX('Tables - Part 2'!$AX$17:$BA$24,MATCH('HIC-SOHIC-H2S'!$Z19,'Tables - Part 2'!$AV$6:$AV$13,0),MATCH('HIC-SOHIC-H2S'!$T19,'Tables - Part 2'!$AX$5:$BA$5,0)))+(INDEX('Tables - Part 2'!$AX$17:$BA$24,MATCH('HIC-SOHIC-H2S'!$Z19,'Tables - Part 2'!$AV$6:$AV$13,0),MATCH('HIC-SOHIC-H2S'!$T19,'Tables - Part 2'!$AX$5:$BA$5,0))+INDEX('Tables - Part 2'!$BB$17:$BE$24,MATCH('HIC-SOHIC-H2S'!$Z19,'Tables - Part 2'!$AV$6:$AV$13,0),MATCH('HIC-SOHIC-H2S'!$T19,'Tables - Part 2'!$AX$5:$BA$5,0)))/2)/2,0)</f>
        <v>0</v>
      </c>
      <c r="BH19" s="248">
        <f>IF($S19=$BH$3,((((INDEX('Tables - Part 2'!$AX$17:$BA$24,MATCH('HIC-SOHIC-H2S'!$Z19,'Tables - Part 2'!$AV$6:$AV$13,0),MATCH('HIC-SOHIC-H2S'!$T19,'Tables - Part 2'!$AX$5:$BA$5,0)))+(INDEX('Tables - Part 2'!$AX$17:$BA$24,MATCH('HIC-SOHIC-H2S'!$Z19,'Tables - Part 2'!$AV$6:$AV$13,0),MATCH('HIC-SOHIC-H2S'!$T19,'Tables - Part 2'!$AX$5:$BA$5,0))+INDEX('Tables - Part 2'!$BB$17:$BE$24,MATCH('HIC-SOHIC-H2S'!$Z19,'Tables - Part 2'!$AV$6:$AV$13,0),MATCH('HIC-SOHIC-H2S'!$T19,'Tables - Part 2'!$AX$5:$BA$5,0)))/2)/2)+((INDEX('Tables - Part 2'!$AX$17:$BA$24,MATCH('HIC-SOHIC-H2S'!$Z19,'Tables - Part 2'!$AV$6:$AV$13,0),MATCH('HIC-SOHIC-H2S'!$T19,'Tables - Part 2'!$AX$5:$BA$5,0))+INDEX('Tables - Part 2'!$BB$17:$BE$24,MATCH('HIC-SOHIC-H2S'!$Z19,'Tables - Part 2'!$AV$6:$AV$13,0),MATCH('HIC-SOHIC-H2S'!$T19,'Tables - Part 2'!$AX$5:$BA$5,0)))/2))/2,0)</f>
        <v>0</v>
      </c>
      <c r="BI19" s="248">
        <f>IF($S19=$BI$3,(INDEX('Tables - Part 2'!$AX$17:$BA$24,MATCH('HIC-SOHIC-H2S'!$Z19,'Tables - Part 2'!$AV$6:$AV$13,0),MATCH('HIC-SOHIC-H2S'!$T19,'Tables - Part 2'!$AX$5:$BA$5,0))+INDEX('Tables - Part 2'!$BB$17:$BE$24,MATCH('HIC-SOHIC-H2S'!$Z19,'Tables - Part 2'!$AV$6:$AV$13,0),MATCH('HIC-SOHIC-H2S'!$T19,'Tables - Part 2'!$AX$5:$BA$5,0)))/2,0)</f>
        <v>0</v>
      </c>
      <c r="BJ19" s="248">
        <f>IF($S19=$BJ$3,(((INDEX('Tables - Part 2'!$AX$17:$BA$24,MATCH('HIC-SOHIC-H2S'!$Z19,'Tables - Part 2'!$AV$6:$AV$13,0),MATCH('HIC-SOHIC-H2S'!$T19,'Tables - Part 2'!$AX$5:$BA$5,0))+INDEX('Tables - Part 2'!$BB$17:$BE$24,MATCH('HIC-SOHIC-H2S'!$Z19,'Tables - Part 2'!$AV$6:$AV$13,0),MATCH('HIC-SOHIC-H2S'!$T19,'Tables - Part 2'!$AX$5:$BA$5,0)))/2)+((((INDEX('Tables - Part 2'!$AX$17:$BA$24,MATCH('HIC-SOHIC-H2S'!$Z19,'Tables - Part 2'!$AV$6:$AV$13,0),MATCH('HIC-SOHIC-H2S'!$T19,'Tables - Part 2'!$AX$5:$BA$5,0))+INDEX('Tables - Part 2'!$BB$17:$BE$24,MATCH('HIC-SOHIC-H2S'!$Z19,'Tables - Part 2'!$AV$6:$AV$13,0),MATCH('HIC-SOHIC-H2S'!$T19,'Tables - Part 2'!$AX$5:$BA$5,0)))/2)+INDEX('Tables - Part 2'!$BB$17:$BE$24,MATCH('HIC-SOHIC-H2S'!$Z19,'Tables - Part 2'!$AV$6:$AV$13,0),MATCH('HIC-SOHIC-H2S'!$T19,'Tables - Part 2'!$AX$5:$BA$5,0)))/2))/2,0)</f>
        <v>0</v>
      </c>
      <c r="BK19" s="248">
        <f>IF($S19=$BK$3,(((INDEX('Tables - Part 2'!$AX$17:$BA$24,MATCH('HIC-SOHIC-H2S'!$Z19,'Tables - Part 2'!$AV$6:$AV$13,0),MATCH('HIC-SOHIC-H2S'!$T19,'Tables - Part 2'!$AX$5:$BA$5,0))+INDEX('Tables - Part 2'!$BB$17:$BE$24,MATCH('HIC-SOHIC-H2S'!$Z19,'Tables - Part 2'!$AV$6:$AV$13,0),MATCH('HIC-SOHIC-H2S'!$T19,'Tables - Part 2'!$AX$5:$BA$5,0)))/2)+INDEX('Tables - Part 2'!$BB$17:$BE$24,MATCH('HIC-SOHIC-H2S'!$Z19,'Tables - Part 2'!$AV$6:$AV$13,0),MATCH('HIC-SOHIC-H2S'!$T19,'Tables - Part 2'!$AX$5:$BA$5,0)))/2,0)</f>
        <v>0</v>
      </c>
      <c r="BL19" s="248">
        <f>IF($S19=$BL$3,(((((INDEX('Tables - Part 2'!$AX$17:$BA$24,MATCH('HIC-SOHIC-H2S'!$Z19,'Tables - Part 2'!$AV$6:$AV$13,0),MATCH('HIC-SOHIC-H2S'!$T19,'Tables - Part 2'!$AX$5:$BA$5,0))+INDEX('Tables - Part 2'!$BB$17:$BE$24,MATCH('HIC-SOHIC-H2S'!$Z19,'Tables - Part 2'!$AV$6:$AV$13,0),MATCH('HIC-SOHIC-H2S'!$T19,'Tables - Part 2'!$AX$5:$BA$5,0)))/2)+INDEX('Tables - Part 2'!$BB$17:$BE$24,MATCH('HIC-SOHIC-H2S'!$Z19,'Tables - Part 2'!$AV$6:$AV$13,0),MATCH('HIC-SOHIC-H2S'!$T19,'Tables - Part 2'!$AX$5:$BA$5,0)))/2)+(INDEX('Tables - Part 2'!$BB$17:$BE$24,MATCH('HIC-SOHIC-H2S'!$Z19,'Tables - Part 2'!$AV$6:$AV$13,0),MATCH('HIC-SOHIC-H2S'!$T19,'Tables - Part 2'!$AX$5:$BA$5,0))))/2,0)</f>
        <v>0</v>
      </c>
      <c r="BM19" s="248">
        <f>IF($S19=$BM$3,INDEX('Tables - Part 2'!$BB$17:$BE$24,MATCH('HIC-SOHIC-H2S'!$Z19,'Tables - Part 2'!$AV$6:$AV$13,0),MATCH('HIC-SOHIC-H2S'!$T19,'Tables - Part 2'!$AX$5:$BA$5,0)),0)</f>
        <v>0</v>
      </c>
      <c r="BN19" s="248">
        <f>IF($S19=$BN$3,((INDEX('Tables - Part 2'!$BB$17:$BE$24,MATCH('HIC-SOHIC-H2S'!$Z19,'Tables - Part 2'!$AV$6:$AV$13,0),MATCH('HIC-SOHIC-H2S'!$T19,'Tables - Part 2'!$AX$5:$BA$5,0)))+(((INDEX('Tables - Part 2'!$BB$17:$BE$24,MATCH('HIC-SOHIC-H2S'!$Z19,'Tables - Part 2'!$AV$6:$AV$13,0),MATCH('HIC-SOHIC-H2S'!$T19,'Tables - Part 2'!$AX$5:$BA$5,0)))+(INDEX('Tables - Part 2'!$BB$17:$BE$24,MATCH('HIC-SOHIC-H2S'!$Z19,'Tables - Part 2'!$AV$6:$AV$13,0),MATCH('HIC-SOHIC-H2S'!$T19,'Tables - Part 2'!$AX$5:$BA$5,0))+INDEX('Tables - Part 2'!$BF$17:$BI$24,MATCH('HIC-SOHIC-H2S'!$Z19,'Tables - Part 2'!$AV$6:$AV$13,0),MATCH('HIC-SOHIC-H2S'!$T19,'Tables - Part 2'!$AX$5:$BA$5,0)))/2)/2))/2,0)</f>
        <v>0</v>
      </c>
      <c r="BO19" s="248">
        <f>IF($S19=$BO$3,((INDEX('Tables - Part 2'!$BB$17:$BE$24,MATCH('HIC-SOHIC-H2S'!$Z19,'Tables - Part 2'!$AV$6:$AV$13,0),MATCH('HIC-SOHIC-H2S'!$T19,'Tables - Part 2'!$AX$5:$BA$5,0)))+(INDEX('Tables - Part 2'!$BB$17:$BE$24,MATCH('HIC-SOHIC-H2S'!$Z19,'Tables - Part 2'!$AV$6:$AV$13,0),MATCH('HIC-SOHIC-H2S'!$T19,'Tables - Part 2'!$AX$5:$BA$5,0))+INDEX('Tables - Part 2'!$BF$17:$BI$24,MATCH('HIC-SOHIC-H2S'!$Z19,'Tables - Part 2'!$AV$6:$AV$13,0),MATCH('HIC-SOHIC-H2S'!$T19,'Tables - Part 2'!$AX$5:$BA$5,0)))/2)/2,0)</f>
        <v>0</v>
      </c>
      <c r="BP19" s="248">
        <f>IF($S19=$BP$3,((((INDEX('Tables - Part 2'!$BB$17:$BE$24,MATCH('HIC-SOHIC-H2S'!$Z19,'Tables - Part 2'!$AV$6:$AV$13,0),MATCH('HIC-SOHIC-H2S'!$T19,'Tables - Part 2'!$AX$5:$BA$5,0)))+(INDEX('Tables - Part 2'!$BB$17:$BE$24,MATCH('HIC-SOHIC-H2S'!$Z19,'Tables - Part 2'!$AV$6:$AV$13,0),MATCH('HIC-SOHIC-H2S'!$T19,'Tables - Part 2'!$AX$5:$BA$5,0))+INDEX('Tables - Part 2'!$BF$17:$BI$24,MATCH('HIC-SOHIC-H2S'!$Z19,'Tables - Part 2'!$AV$6:$AV$13,0),MATCH('HIC-SOHIC-H2S'!$T19,'Tables - Part 2'!$AX$5:$BA$5,0)))/2)/2)+((INDEX('Tables - Part 2'!$BB$17:$BE$24,MATCH('HIC-SOHIC-H2S'!$Z19,'Tables - Part 2'!$AV$6:$AV$13,0),MATCH('HIC-SOHIC-H2S'!$T19,'Tables - Part 2'!$AX$5:$BA$5,0))+INDEX('Tables - Part 2'!$BF$17:$BI$24,MATCH('HIC-SOHIC-H2S'!$Z19,'Tables - Part 2'!$AV$6:$AV$13,0),MATCH('HIC-SOHIC-H2S'!$T19,'Tables - Part 2'!$AX$5:$BA$5,0)))/2))/2,0)</f>
        <v>0</v>
      </c>
      <c r="BQ19" s="248">
        <f>IF($S19=$BQ$3,(INDEX('Tables - Part 2'!$BB$17:$BE$24,MATCH('HIC-SOHIC-H2S'!$Z19,'Tables - Part 2'!$AV$6:$AV$13,0),MATCH('HIC-SOHIC-H2S'!$T19,'Tables - Part 2'!$AX$5:$BA$5,0))+INDEX('Tables - Part 2'!$BF$17:$BI$24,MATCH('HIC-SOHIC-H2S'!$Z19,'Tables - Part 2'!$AV$6:$AV$13,0),MATCH('HIC-SOHIC-H2S'!$T19,'Tables - Part 2'!$AX$5:$BA$5,0)))/2,0)</f>
        <v>0</v>
      </c>
      <c r="BR19" s="248">
        <f>IF($S19=$BR$3,(((INDEX('Tables - Part 2'!$BB$17:$BE$24,MATCH('HIC-SOHIC-H2S'!$Z19,'Tables - Part 2'!$AV$6:$AV$13,0),MATCH('HIC-SOHIC-H2S'!$T19,'Tables - Part 2'!$AX$5:$BA$5,0))+INDEX('Tables - Part 2'!$BF$17:$BI$24,MATCH('HIC-SOHIC-H2S'!$Z19,'Tables - Part 2'!$AV$6:$AV$13,0),MATCH('HIC-SOHIC-H2S'!$T19,'Tables - Part 2'!$AX$5:$BA$5,0)))/2)+((((INDEX('Tables - Part 2'!$BB$17:$BE$24,MATCH('HIC-SOHIC-H2S'!$Z19,'Tables - Part 2'!$AV$6:$AV$13,0),MATCH('HIC-SOHIC-H2S'!$T19,'Tables - Part 2'!$AX$5:$BA$5,0))+INDEX('Tables - Part 2'!$BF$17:$BI$24,MATCH('HIC-SOHIC-H2S'!$Z19,'Tables - Part 2'!$AV$6:$AV$13,0),MATCH('HIC-SOHIC-H2S'!$T19,'Tables - Part 2'!$AX$5:$BA$5,0)))/2)+INDEX('Tables - Part 2'!$BF$17:$BI$24,MATCH('HIC-SOHIC-H2S'!$Z19,'Tables - Part 2'!$AV$6:$AV$13,0),MATCH('HIC-SOHIC-H2S'!$T19,'Tables - Part 2'!$AX$5:$BA$5,0)))/2))/2,0)</f>
        <v>0</v>
      </c>
      <c r="BS19" s="248">
        <f>IF($S19=$BS$3,(((INDEX('Tables - Part 2'!$BB$17:$BE$24,MATCH('HIC-SOHIC-H2S'!$Z19,'Tables - Part 2'!$AV$6:$AV$13,0),MATCH('HIC-SOHIC-H2S'!$T19,'Tables - Part 2'!$AX$5:$BA$5,0))+INDEX('Tables - Part 2'!$BF$17:$BI$24,MATCH('HIC-SOHIC-H2S'!$Z19,'Tables - Part 2'!$AV$6:$AV$13,0),MATCH('HIC-SOHIC-H2S'!$T19,'Tables - Part 2'!$AX$5:$BA$5,0)))/2)+INDEX('Tables - Part 2'!$BF$17:$BI$24,MATCH('HIC-SOHIC-H2S'!$Z19,'Tables - Part 2'!$AV$6:$AV$13,0),MATCH('HIC-SOHIC-H2S'!$T19,'Tables - Part 2'!$AX$5:$BA$5,0)))/2,0)</f>
        <v>0</v>
      </c>
      <c r="BT19" s="248">
        <f>IF($S19=$BT$3,(((((INDEX('Tables - Part 2'!$BB$17:$BE$24,MATCH('HIC-SOHIC-H2S'!$Z19,'Tables - Part 2'!$AV$6:$AV$13,0),MATCH('HIC-SOHIC-H2S'!$T19,'Tables - Part 2'!$AX$5:$BA$5,0))+INDEX('Tables - Part 2'!$BF$17:$BI$24,MATCH('HIC-SOHIC-H2S'!$Z19,'Tables - Part 2'!$AV$6:$AV$13,0),MATCH('HIC-SOHIC-H2S'!$T19,'Tables - Part 2'!$AX$5:$BA$5,0)))/2)+INDEX('Tables - Part 2'!$BF$17:$BI$24,MATCH('HIC-SOHIC-H2S'!$Z19,'Tables - Part 2'!$AV$6:$AV$13,0),MATCH('HIC-SOHIC-H2S'!$T19,'Tables - Part 2'!$AX$5:$BA$5,0)))/2)+(INDEX('Tables - Part 2'!$BF$17:$BI$24,MATCH('HIC-SOHIC-H2S'!$Z19,'Tables - Part 2'!$AV$6:$AV$13,0),MATCH('HIC-SOHIC-H2S'!$T19,'Tables - Part 2'!$AX$5:$BA$5,0))))/2,0)</f>
        <v>0</v>
      </c>
      <c r="BU19" s="248">
        <f>IF($S19=$BU$3,INDEX('Tables - Part 2'!$BF$17:$BI$24,MATCH('HIC-SOHIC-H2S'!$Z19,'Tables - Part 2'!$AV$6:$AV$13,0),MATCH('HIC-SOHIC-H2S'!$T19,'Tables - Part 2'!$AX$5:$BA$5,0)),0)</f>
        <v>0</v>
      </c>
      <c r="BV19" s="248" t="e">
        <f t="shared" si="2"/>
        <v>#N/A</v>
      </c>
      <c r="BW19" s="238" t="e">
        <f t="shared" si="8"/>
        <v>#N/A</v>
      </c>
      <c r="BX19" s="238" t="e">
        <f t="shared" si="9"/>
        <v>#N/A</v>
      </c>
    </row>
    <row r="20" spans="2:76" x14ac:dyDescent="0.35">
      <c r="B20" s="161" t="str">
        <f>'Tratamento de Dados'!B28</f>
        <v>V-90</v>
      </c>
      <c r="C20" s="161" t="str">
        <f>'Tratamento de Dados'!D28</f>
        <v>Casco</v>
      </c>
      <c r="D20" s="209">
        <f>'Tratamento de Dados'!CN28</f>
        <v>0</v>
      </c>
      <c r="E20" s="209">
        <f>'Tratamento de Dados'!CO28</f>
        <v>0</v>
      </c>
      <c r="F20" s="209">
        <f>'Tratamento de Dados'!CP28</f>
        <v>0</v>
      </c>
      <c r="G20" s="209">
        <f>'Tratamento de Dados'!CQ28</f>
        <v>0</v>
      </c>
      <c r="H20" s="209">
        <f>'Tratamento de Dados'!CR28</f>
        <v>0</v>
      </c>
      <c r="I20" s="209">
        <f>'Tratamento de Dados'!CS28</f>
        <v>0</v>
      </c>
      <c r="J20" s="209">
        <f>'Tratamento de Dados'!CT28</f>
        <v>0</v>
      </c>
      <c r="K20" s="209">
        <f>'Tratamento de Dados'!CU28</f>
        <v>0</v>
      </c>
      <c r="L20" s="210">
        <f>'Tratamento de Dados'!CV28</f>
        <v>0</v>
      </c>
      <c r="M20" s="209">
        <f>'Tratamento de Dados'!CW28</f>
        <v>0</v>
      </c>
      <c r="N20" s="209">
        <f>'Tratamento de Dados'!CX28</f>
        <v>0</v>
      </c>
      <c r="O20" s="209">
        <f>'Tratamento de Dados'!CY28</f>
        <v>0</v>
      </c>
      <c r="P20" s="209">
        <f>'Tratamento de Dados'!CZ28</f>
        <v>0</v>
      </c>
      <c r="Q20" s="253">
        <f>'Tratamento de Dados'!DA28</f>
        <v>0</v>
      </c>
      <c r="R20" s="253">
        <f>'Tratamento de Dados'!DB28</f>
        <v>0</v>
      </c>
      <c r="S20" s="256">
        <f t="shared" si="0"/>
        <v>0</v>
      </c>
      <c r="T20" s="246" t="str">
        <f t="shared" si="3"/>
        <v>E</v>
      </c>
      <c r="U20" s="238" t="e">
        <f>IF(D20=$CC$2,$CA$4,IF(AND(H20=$CC$2,OR(F20='Tables - Part 2'!$CE$8,'Tables - Part 2'!$CE$9),OR('HIC-SOHIC-H2S'!G20='Tables - Part 2'!$CH$4,'HIC-SOHIC-H2S'!G20='Tables - Part 2'!$CI$4)),$CA$4,INDEX('Tables - Part 2'!$CF$5:$CI$9,MATCH('HIC-SOHIC-H2S'!F20,'Tables - Part 2'!$CE$5:$CE$9,0),MATCH('HIC-SOHIC-H2S'!G20,'Tables - Part 2'!$CF$4:$CI$4,0))))</f>
        <v>#N/A</v>
      </c>
      <c r="V20" s="238" t="str">
        <f>IF($I20=$V$3,INDEX('Tables - Part 2'!$CL$5:$CM$7,MATCH('HIC-SOHIC-H2S'!$U20,'Tables - Part 2'!$CK$5:$CK$7,0),IF('HIC-SOHIC-H2S'!$J20='HIC-SOHIC-H2S'!$CC$2,2,1)),"")</f>
        <v/>
      </c>
      <c r="W20" s="238" t="str">
        <f>IF($I20=$W$3,INDEX('Tables - Part 2'!$CN$5:$CO$7,MATCH('HIC-SOHIC-H2S'!$U20,'Tables - Part 2'!$CK$5:$CK$7,0),IF('HIC-SOHIC-H2S'!$J20='HIC-SOHIC-H2S'!$CC$2,2,1)),"")</f>
        <v/>
      </c>
      <c r="X20" s="238" t="str">
        <f>IF($I20=$X$3,INDEX('Tables - Part 2'!$CP$5:$CQ$7,MATCH('HIC-SOHIC-H2S'!$U20,'Tables - Part 2'!$CK$5:$CK$7,0),IF('HIC-SOHIC-H2S'!$J20='HIC-SOHIC-H2S'!$CC$2,2,1)),"")</f>
        <v/>
      </c>
      <c r="Y20" s="238" t="str">
        <f t="shared" si="1"/>
        <v/>
      </c>
      <c r="Z20" s="238" t="e">
        <f>IF(AND(D20=$CC$2,E20&lt;&gt;$CC$2),"Fitness-For-Service",INDEX('Tables - Part 2'!$CT$4:$CT$6,MATCH('HIC-SOHIC-H2S'!Y20,'Tables - Part 2'!$CS$4:$CS$6,0),))</f>
        <v>#N/A</v>
      </c>
      <c r="AA20" s="238">
        <f>IF(L20=0,(Thinning!G21-Thinning!F21)/365.25,(Thinning!G21-L20)/365.25)</f>
        <v>5.4757015742642025E-3</v>
      </c>
      <c r="AB20" s="238" t="e">
        <f>INDEX('Tables - Part 2'!$CW$4:$CW$7,MATCH('HIC-SOHIC-H2S'!K20,'Tables - Part 2'!$CV$4:$CV$7,0))</f>
        <v>#N/A</v>
      </c>
      <c r="AC20" s="248">
        <f t="shared" si="4"/>
        <v>0</v>
      </c>
      <c r="AD20" s="248">
        <f t="shared" si="5"/>
        <v>0</v>
      </c>
      <c r="AE20" s="247">
        <f t="shared" si="10"/>
        <v>0</v>
      </c>
      <c r="AF20" s="247">
        <f t="shared" si="7"/>
        <v>0</v>
      </c>
      <c r="AG20" s="248">
        <f>IF($S20=$AG$3,INDEX('Tables - Part 2'!$AX$6:$BA$13,MATCH('HIC-SOHIC-H2S'!Z20,'Tables - Part 2'!$AV$6:$AV$13,0),MATCH('HIC-SOHIC-H2S'!T20,'Tables - Part 2'!$AX$5:$BA$5,0)),0)</f>
        <v>0</v>
      </c>
      <c r="AH20" s="248">
        <f>IF($S20=$AH$3,(INDEX('Tables - Part 2'!$AX$6:$BA$13,MATCH('HIC-SOHIC-H2S'!Z20,'Tables - Part 2'!$AV$6:$AV$13,0),MATCH('HIC-SOHIC-H2S'!T20,'Tables - Part 2'!$AX$5:$BA$5,0))+(INDEX('Tables - Part 2'!$AX$6:$BA$13,MATCH('HIC-SOHIC-H2S'!Z20,'Tables - Part 2'!$AV$6:$AV$13,0),MATCH('HIC-SOHIC-H2S'!T20,'Tables - Part 2'!$AX$5:$BA$5,0))+((INDEX('Tables - Part 2'!$AX$6:$BA$13,MATCH('HIC-SOHIC-H2S'!Z20,'Tables - Part 2'!$AV$6:$AV$13,0),MATCH('HIC-SOHIC-H2S'!T20,'Tables - Part 2'!$AX$5:$BA$5,0))+INDEX('Tables - Part 2'!$BB$6:$BE$13,MATCH('HIC-SOHIC-H2S'!$Z20,'Tables - Part 2'!$AV$6:$AV$13,0),MATCH('HIC-SOHIC-H2S'!$T20,'Tables - Part 2'!$AX$5:$BA$5,0)))/2))/2)/2,0)</f>
        <v>0</v>
      </c>
      <c r="AI20" s="248">
        <f>IF($S20=$AI$3,(INDEX('Tables - Part 2'!$AX$6:$BA$13,MATCH('HIC-SOHIC-H2S'!Z20,'Tables - Part 2'!$AV$6:$AV$13,0),MATCH('HIC-SOHIC-H2S'!T20,'Tables - Part 2'!$AX$5:$BA$5,0))+((INDEX('Tables - Part 2'!$AX$6:$BA$13,MATCH('HIC-SOHIC-H2S'!Z20,'Tables - Part 2'!$AV$6:$AV$13,0),MATCH('HIC-SOHIC-H2S'!T20,'Tables - Part 2'!$AX$5:$BA$5,0))+INDEX('Tables - Part 2'!$BB$6:$BE$13,MATCH('HIC-SOHIC-H2S'!$Z20,'Tables - Part 2'!$AV$6:$AV$13,0),MATCH('HIC-SOHIC-H2S'!$T20,'Tables - Part 2'!$AX$5:$BA$5,0)))/2))/2,0)</f>
        <v>0</v>
      </c>
      <c r="AJ20" s="248">
        <f>IF($S20=$AJ$3,(((INDEX('Tables - Part 2'!$AX$6:$BA$13,MATCH('HIC-SOHIC-H2S'!Z20,'Tables - Part 2'!$AV$6:$AV$13,0),MATCH('HIC-SOHIC-H2S'!T20,'Tables - Part 2'!$AX$5:$BA$5,0))+((INDEX('Tables - Part 2'!$AX$6:$BA$13,MATCH('HIC-SOHIC-H2S'!Z20,'Tables - Part 2'!$AV$6:$AV$13,0),MATCH('HIC-SOHIC-H2S'!T20,'Tables - Part 2'!$AX$5:$BA$5,0))+INDEX('Tables - Part 2'!$BB$6:$BE$13,MATCH('HIC-SOHIC-H2S'!$Z20,'Tables - Part 2'!$AV$6:$AV$13,0),MATCH('HIC-SOHIC-H2S'!$T20,'Tables - Part 2'!$AX$5:$BA$5,0)))/2))/2)+(INDEX('Tables - Part 2'!$AX$6:$BA$13,MATCH('HIC-SOHIC-H2S'!Z20,'Tables - Part 2'!$AV$6:$AV$13,0),MATCH('HIC-SOHIC-H2S'!T20,'Tables - Part 2'!$AX$5:$BA$5,0))+INDEX('Tables - Part 2'!$BB$6:$BE$13,MATCH('HIC-SOHIC-H2S'!$Z20,'Tables - Part 2'!$AV$6:$AV$13,0),MATCH('HIC-SOHIC-H2S'!$T20,'Tables - Part 2'!$AX$5:$BA$5,0)))/2)/2,0)</f>
        <v>0</v>
      </c>
      <c r="AK20" s="248">
        <f>IF($S20=$AK$3,(INDEX('Tables - Part 2'!$AX$6:$BA$13,MATCH('HIC-SOHIC-H2S'!Z20,'Tables - Part 2'!$AV$6:$AV$13,0),MATCH('HIC-SOHIC-H2S'!T20,'Tables - Part 2'!$AX$5:$BA$5,0))+INDEX('Tables - Part 2'!$BB$6:$BE$13,MATCH('HIC-SOHIC-H2S'!$Z20,'Tables - Part 2'!$AV$6:$AV$13,0),MATCH('HIC-SOHIC-H2S'!$T20,'Tables - Part 2'!$AX$5:$BA$5,0)))/2,0)</f>
        <v>0</v>
      </c>
      <c r="AL20" s="248">
        <f>IF($S20=$AL$3,(((INDEX('Tables - Part 2'!$AX$6:$BA$13,MATCH('HIC-SOHIC-H2S'!Z20,'Tables - Part 2'!$AV$6:$AV$13,0),MATCH('HIC-SOHIC-H2S'!T20,'Tables - Part 2'!$AX$5:$BA$5,0))+INDEX('Tables - Part 2'!$BB$6:$BE$13,MATCH('HIC-SOHIC-H2S'!$Z20,'Tables - Part 2'!$AV$6:$AV$13,0),MATCH('HIC-SOHIC-H2S'!$T20,'Tables - Part 2'!$AX$5:$BA$5,0)))/2)+(((INDEX('Tables - Part 2'!$AX$6:$BA$13,MATCH('HIC-SOHIC-H2S'!Z20,'Tables - Part 2'!$AV$6:$AV$13,0),MATCH('HIC-SOHIC-H2S'!T20,'Tables - Part 2'!$AX$5:$BA$5,0))+INDEX('Tables - Part 2'!$BB$6:$BE$13,MATCH('HIC-SOHIC-H2S'!$Z20,'Tables - Part 2'!$AV$6:$AV$13,0),MATCH('HIC-SOHIC-H2S'!$T20,'Tables - Part 2'!$AX$5:$BA$5,0)))/2)+INDEX('Tables - Part 2'!$BB$6:$BE$13,MATCH('HIC-SOHIC-H2S'!$Z20,'Tables - Part 2'!$AV$6:$AV$13,0),MATCH('HIC-SOHIC-H2S'!$T20,'Tables - Part 2'!$AX$5:$BA$5,0)))/2)/2,0)</f>
        <v>0</v>
      </c>
      <c r="AM20" s="248">
        <f>IF($S20=$AM$3,(((INDEX('Tables - Part 2'!$AX$6:$BA$13,MATCH('HIC-SOHIC-H2S'!Z20,'Tables - Part 2'!$AV$6:$AV$13,0),MATCH('HIC-SOHIC-H2S'!T20,'Tables - Part 2'!$AX$5:$BA$5,0))+INDEX('Tables - Part 2'!$BB$6:$BE$13,MATCH('HIC-SOHIC-H2S'!$Z20,'Tables - Part 2'!$AV$6:$AV$13,0),MATCH('HIC-SOHIC-H2S'!$T20,'Tables - Part 2'!$AX$5:$BA$5,0)))/2)+INDEX('Tables - Part 2'!$BB$6:$BE$13,MATCH('HIC-SOHIC-H2S'!$Z20,'Tables - Part 2'!$AV$6:$AV$13,0),MATCH('HIC-SOHIC-H2S'!$T20,'Tables - Part 2'!$AX$5:$BA$5,0)))/2,0)</f>
        <v>0</v>
      </c>
      <c r="AN20" s="248">
        <f>IF($S20=$AN$3,(((((INDEX('Tables - Part 2'!$AX$6:$BA$13,MATCH('HIC-SOHIC-H2S'!Z20,'Tables - Part 2'!$AV$6:$AV$13,0),MATCH('HIC-SOHIC-H2S'!T20,'Tables - Part 2'!$AX$5:$BA$5,0))+INDEX('Tables - Part 2'!$BB$6:$BE$13,MATCH('HIC-SOHIC-H2S'!$Z20,'Tables - Part 2'!$AV$6:$AV$13,0),MATCH('HIC-SOHIC-H2S'!$T20,'Tables - Part 2'!$AX$5:$BA$5,0)))/2)+INDEX('Tables - Part 2'!$BB$6:$BE$13,MATCH('HIC-SOHIC-H2S'!$Z20,'Tables - Part 2'!$AV$6:$AV$13,0),MATCH('HIC-SOHIC-H2S'!$T20,'Tables - Part 2'!$AX$5:$BA$5,0)))/2)+INDEX('Tables - Part 2'!$BB$6:$BE$13,MATCH('HIC-SOHIC-H2S'!$Z20,'Tables - Part 2'!$AV$6:$AV$13,0),MATCH('HIC-SOHIC-H2S'!$T20,'Tables - Part 2'!$AX$5:$BA$5,0)))/2,0)</f>
        <v>0</v>
      </c>
      <c r="AO20" s="248">
        <f>IF($S20=$AO$3,INDEX('Tables - Part 2'!$BB$6:$BE$13,MATCH('HIC-SOHIC-H2S'!$Z20,'Tables - Part 2'!$AV$6:$AV$13,0),MATCH('HIC-SOHIC-H2S'!$T20,'Tables - Part 2'!$AX$5:$BA$5,0)),0)</f>
        <v>0</v>
      </c>
      <c r="AP20" s="248">
        <f>IF($S20=$AP$3,((INDEX('Tables - Part 2'!$BB$6:$BE$13,MATCH('HIC-SOHIC-H2S'!$Z20,'Tables - Part 2'!$AV$6:$AV$13,0),MATCH('HIC-SOHIC-H2S'!$T20,'Tables - Part 2'!$AX$5:$BA$5,0)))+(INDEX('Tables - Part 2'!$BB$6:$BE$13,MATCH('HIC-SOHIC-H2S'!$Z20,'Tables - Part 2'!$AV$6:$AV$13,0),MATCH('HIC-SOHIC-H2S'!$T20,'Tables - Part 2'!$AX$5:$BA$5,0))+(INDEX('Tables - Part 2'!$BB$6:$BE$13,MATCH('HIC-SOHIC-H2S'!$Z20,'Tables - Part 2'!$AV$6:$AV$13,0),MATCH('HIC-SOHIC-H2S'!$T20,'Tables - Part 2'!$AX$5:$BA$5,0))+INDEX('Tables - Part 2'!$BF$6:$BI$13,MATCH('HIC-SOHIC-H2S'!$Z20,'Tables - Part 2'!$AV$6:$AV$13,0),MATCH('HIC-SOHIC-H2S'!$T20,'Tables - Part 2'!$AX$5:$BA$5,0)))/2)/2)/2,0)</f>
        <v>0</v>
      </c>
      <c r="AQ20" s="248">
        <f>IF($S20=$AQ$3,(INDEX('Tables - Part 2'!$BB$6:$BE$13,MATCH('HIC-SOHIC-H2S'!$Z20,'Tables - Part 2'!$AV$6:$AV$13,0),MATCH('HIC-SOHIC-H2S'!$T20,'Tables - Part 2'!$AX$5:$BA$5,0))+(INDEX('Tables - Part 2'!$BB$6:$BE$13,MATCH('HIC-SOHIC-H2S'!$Z20,'Tables - Part 2'!$AV$6:$AV$13,0),MATCH('HIC-SOHIC-H2S'!$T20,'Tables - Part 2'!$AX$5:$BA$5,0))+INDEX('Tables - Part 2'!$BF$6:$BI$13,MATCH('HIC-SOHIC-H2S'!$Z20,'Tables - Part 2'!$AV$6:$AV$13,0),MATCH('HIC-SOHIC-H2S'!$T20,'Tables - Part 2'!$AX$5:$BA$5,0)))/2)/2,0)</f>
        <v>0</v>
      </c>
      <c r="AR20" s="248">
        <f>IF($S20=$AR$3,(((INDEX('Tables - Part 2'!$BB$6:$BE$13,MATCH('HIC-SOHIC-H2S'!$Z20,'Tables - Part 2'!$AV$6:$AV$13,0),MATCH('HIC-SOHIC-H2S'!$T20,'Tables - Part 2'!$AX$5:$BA$5,0))+(INDEX('Tables - Part 2'!$BB$6:$BE$13,MATCH('HIC-SOHIC-H2S'!$Z20,'Tables - Part 2'!$AV$6:$AV$13,0),MATCH('HIC-SOHIC-H2S'!$T20,'Tables - Part 2'!$AX$5:$BA$5,0))+INDEX('Tables - Part 2'!$BF$6:$BI$13,MATCH('HIC-SOHIC-H2S'!$Z20,'Tables - Part 2'!$AV$6:$AV$13,0),MATCH('HIC-SOHIC-H2S'!$T20,'Tables - Part 2'!$AX$5:$BA$5,0)))/2)/2)+((INDEX('Tables - Part 2'!$BB$6:$BE$13,MATCH('HIC-SOHIC-H2S'!$Z20,'Tables - Part 2'!$AV$6:$AV$13,0),MATCH('HIC-SOHIC-H2S'!$T20,'Tables - Part 2'!$AX$5:$BA$5,0))+INDEX('Tables - Part 2'!$BF$6:$BI$13,MATCH('HIC-SOHIC-H2S'!$Z20,'Tables - Part 2'!$AV$6:$AV$13,0),MATCH('HIC-SOHIC-H2S'!$T20,'Tables - Part 2'!$AX$5:$BA$5,0)))/2))/2,0)</f>
        <v>0</v>
      </c>
      <c r="AS20" s="248">
        <f>IF($S20=$AS$3,(INDEX('Tables - Part 2'!$BB$6:$BE$13,MATCH('HIC-SOHIC-H2S'!$Z20,'Tables - Part 2'!$AV$6:$AV$13,0),MATCH('HIC-SOHIC-H2S'!$T20,'Tables - Part 2'!$AX$5:$BA$5,0))+INDEX('Tables - Part 2'!$BF$6:$BI$13,MATCH('HIC-SOHIC-H2S'!$Z20,'Tables - Part 2'!$AV$6:$AV$13,0),MATCH('HIC-SOHIC-H2S'!$T20,'Tables - Part 2'!$AX$5:$BA$5,0)))/2,0)</f>
        <v>0</v>
      </c>
      <c r="AT20" s="248">
        <f>IF($S20=$AT$3,(((INDEX('Tables - Part 2'!$BB$6:$BE$13,MATCH('HIC-SOHIC-H2S'!$Z20,'Tables - Part 2'!$AV$6:$AV$13,0),MATCH('HIC-SOHIC-H2S'!$T20,'Tables - Part 2'!$AX$5:$BA$5,0))+INDEX('Tables - Part 2'!$BF$6:$BI$13,MATCH('HIC-SOHIC-H2S'!$Z20,'Tables - Part 2'!$AV$6:$AV$13,0),MATCH('HIC-SOHIC-H2S'!$T20,'Tables - Part 2'!$AX$5:$BA$5,0)))/2)+((((INDEX('Tables - Part 2'!$BB$6:$BE$13,MATCH('HIC-SOHIC-H2S'!$Z20,'Tables - Part 2'!$AV$6:$AV$13,0),MATCH('HIC-SOHIC-H2S'!$T20,'Tables - Part 2'!$AX$5:$BA$5,0))+INDEX('Tables - Part 2'!$BF$6:$BI$13,MATCH('HIC-SOHIC-H2S'!$Z20,'Tables - Part 2'!$AV$6:$AV$13,0),MATCH('HIC-SOHIC-H2S'!$T20,'Tables - Part 2'!$AX$5:$BA$5,0)))/2)+INDEX('Tables - Part 2'!$BF$6:$BI$13,MATCH('HIC-SOHIC-H2S'!$Z20,'Tables - Part 2'!$AV$6:$AV$13,0),MATCH('HIC-SOHIC-H2S'!$T20,'Tables - Part 2'!$AX$5:$BA$5,0)))/2))/2,0)</f>
        <v>0</v>
      </c>
      <c r="AU20" s="248">
        <f>IF($S20=$AU$3,(((INDEX('Tables - Part 2'!$BB$6:$BE$13,MATCH('HIC-SOHIC-H2S'!$Z20,'Tables - Part 2'!$AV$6:$AV$13,0),MATCH('HIC-SOHIC-H2S'!$T20,'Tables - Part 2'!$AX$5:$BA$5,0))+INDEX('Tables - Part 2'!$BF$6:$BI$13,MATCH('HIC-SOHIC-H2S'!$Z20,'Tables - Part 2'!$AV$6:$AV$13,0),MATCH('HIC-SOHIC-H2S'!$T20,'Tables - Part 2'!$AX$5:$BA$5,0)))/2)+INDEX('Tables - Part 2'!$BF$6:$BI$13,MATCH('HIC-SOHIC-H2S'!$Z20,'Tables - Part 2'!$AV$6:$AV$13,0),MATCH('HIC-SOHIC-H2S'!$T20,'Tables - Part 2'!$AX$5:$BA$5,0)))/2,0)</f>
        <v>0</v>
      </c>
      <c r="AV20" s="248">
        <f>IF($S20=$AV$3,(((((INDEX('Tables - Part 2'!$BB$6:$BE$13,MATCH('HIC-SOHIC-H2S'!$Z20,'Tables - Part 2'!$AV$6:$AV$13,0),MATCH('HIC-SOHIC-H2S'!$T20,'Tables - Part 2'!$AX$5:$BA$5,0))+INDEX('Tables - Part 2'!$BF$6:$BI$13,MATCH('HIC-SOHIC-H2S'!$Z20,'Tables - Part 2'!$AV$6:$AV$13,0),MATCH('HIC-SOHIC-H2S'!$T20,'Tables - Part 2'!$AX$5:$BA$5,0)))/2)+INDEX('Tables - Part 2'!$BF$6:$BI$13,MATCH('HIC-SOHIC-H2S'!$Z20,'Tables - Part 2'!$AV$6:$AV$13,0),MATCH('HIC-SOHIC-H2S'!$T20,'Tables - Part 2'!$AX$5:$BA$5,0)))/2)+INDEX('Tables - Part 2'!$BF$6:$BI$13,MATCH('HIC-SOHIC-H2S'!$Z20,'Tables - Part 2'!$AV$6:$AV$13,0),MATCH('HIC-SOHIC-H2S'!$T20,'Tables - Part 2'!$AX$5:$BA$5,0)))/2,0)</f>
        <v>0</v>
      </c>
      <c r="AW20" s="248">
        <f>IF($S20=$AW$3,INDEX('Tables - Part 2'!$BF$6:$BI$13,MATCH('HIC-SOHIC-H2S'!$Z20,'Tables - Part 2'!$AV$6:$AV$13,0),MATCH('HIC-SOHIC-H2S'!$T20,'Tables - Part 2'!$AX$5:$BA$5,0)),0)</f>
        <v>0</v>
      </c>
      <c r="AX20" s="248">
        <f>IF($S20=$AX$3,(INDEX('Tables - Part 2'!$BF$6:$BI$13,MATCH('HIC-SOHIC-H2S'!$Z20,'Tables - Part 2'!$AV$6:$AV$13,0),MATCH('HIC-SOHIC-H2S'!$T20,'Tables - Part 2'!$AX$5:$BA$5,0))+((INDEX('Tables - Part 2'!$BF$6:$BI$13,MATCH('HIC-SOHIC-H2S'!$Z20,'Tables - Part 2'!$AV$6:$AV$13,0),MATCH('HIC-SOHIC-H2S'!$T20,'Tables - Part 2'!$AX$5:$BA$5,0))+(INDEX('Tables - Part 2'!$BF$6:$BI$13,MATCH('HIC-SOHIC-H2S'!$Z20,'Tables - Part 2'!$AV$6:$AV$13,0),MATCH('HIC-SOHIC-H2S'!$T20,'Tables - Part 2'!$AX$5:$BA$5,0))+INDEX('Tables - Part 2'!$AX$17:$BA$24,MATCH('HIC-SOHIC-H2S'!$Z20,'Tables - Part 2'!$AV$6:$AV$13,0),MATCH('HIC-SOHIC-H2S'!$T20,'Tables - Part 2'!$AX$5:$BA$5,0)))/2)/2))/2,0)</f>
        <v>0</v>
      </c>
      <c r="AY20" s="248">
        <f>IF($S20=$AY$3,(INDEX('Tables - Part 2'!$BF$6:$BI$13,MATCH('HIC-SOHIC-H2S'!$Z20,'Tables - Part 2'!$AV$6:$AV$13,0),MATCH('HIC-SOHIC-H2S'!$T20,'Tables - Part 2'!$AX$5:$BA$5,0))+(INDEX('Tables - Part 2'!$BF$6:$BI$13,MATCH('HIC-SOHIC-H2S'!$Z20,'Tables - Part 2'!$AV$6:$AV$13,0),MATCH('HIC-SOHIC-H2S'!$T20,'Tables - Part 2'!$AX$5:$BA$5,0))+INDEX('Tables - Part 2'!$AX$17:$BA$24,MATCH('HIC-SOHIC-H2S'!$Z20,'Tables - Part 2'!$AV$6:$AV$13,0),MATCH('HIC-SOHIC-H2S'!$T20,'Tables - Part 2'!$AX$5:$BA$5,0)))/2)/2,0)</f>
        <v>0</v>
      </c>
      <c r="AZ20" s="248">
        <f>IF($S20=$AZ$3,(((INDEX('Tables - Part 2'!$BF$6:$BI$13,MATCH('HIC-SOHIC-H2S'!$Z20,'Tables - Part 2'!$AV$6:$AV$13,0),MATCH('HIC-SOHIC-H2S'!$T20,'Tables - Part 2'!$AX$5:$BA$5,0))+(INDEX('Tables - Part 2'!$BF$6:$BI$13,MATCH('HIC-SOHIC-H2S'!$Z20,'Tables - Part 2'!$AV$6:$AV$13,0),MATCH('HIC-SOHIC-H2S'!$T20,'Tables - Part 2'!$AX$5:$BA$5,0))+INDEX('Tables - Part 2'!$AX$17:$BA$24,MATCH('HIC-SOHIC-H2S'!$Z20,'Tables - Part 2'!$AV$6:$AV$13,0),MATCH('HIC-SOHIC-H2S'!$T20,'Tables - Part 2'!$AX$5:$BA$5,0)))/2)/2)+((INDEX('Tables - Part 2'!$BF$6:$BI$13,MATCH('HIC-SOHIC-H2S'!$Z20,'Tables - Part 2'!$AV$6:$AV$13,0),MATCH('HIC-SOHIC-H2S'!$T20,'Tables - Part 2'!$AX$5:$BA$5,0))+INDEX('Tables - Part 2'!$AX$17:$BA$24,MATCH('HIC-SOHIC-H2S'!$Z20,'Tables - Part 2'!$AV$6:$AV$13,0),MATCH('HIC-SOHIC-H2S'!$T20,'Tables - Part 2'!$AX$5:$BA$5,0)))/2))/2,0)</f>
        <v>0</v>
      </c>
      <c r="BA20" s="248">
        <f>IF($S20=$BA$3,(INDEX('Tables - Part 2'!$BF$6:$BI$13,MATCH('HIC-SOHIC-H2S'!$Z20,'Tables - Part 2'!$AV$6:$AV$13,0),MATCH('HIC-SOHIC-H2S'!$T20,'Tables - Part 2'!$AX$5:$BA$5,0))+INDEX('Tables - Part 2'!$AX$17:$BA$24,MATCH('HIC-SOHIC-H2S'!$Z20,'Tables - Part 2'!$AV$6:$AV$13,0),MATCH('HIC-SOHIC-H2S'!$T20,'Tables - Part 2'!$AX$5:$BA$5,0)))/2,0)</f>
        <v>0</v>
      </c>
      <c r="BB20" s="248">
        <f>IF($S20=$BB$3,(((INDEX('Tables - Part 2'!$BF$6:$BI$13,MATCH('HIC-SOHIC-H2S'!$Z20,'Tables - Part 2'!$AV$6:$AV$13,0),MATCH('HIC-SOHIC-H2S'!$T20,'Tables - Part 2'!$AX$5:$BA$5,0))+INDEX('Tables - Part 2'!$AX$17:$BA$24,MATCH('HIC-SOHIC-H2S'!$Z20,'Tables - Part 2'!$AV$6:$AV$13,0),MATCH('HIC-SOHIC-H2S'!$T20,'Tables - Part 2'!$AX$5:$BA$5,0)))/2)+((((INDEX('Tables - Part 2'!$BF$6:$BI$13,MATCH('HIC-SOHIC-H2S'!$Z20,'Tables - Part 2'!$AV$6:$AV$13,0),MATCH('HIC-SOHIC-H2S'!$T20,'Tables - Part 2'!$AX$5:$BA$5,0))+INDEX('Tables - Part 2'!$AX$17:$BA$24,MATCH('HIC-SOHIC-H2S'!$Z20,'Tables - Part 2'!$AV$6:$AV$13,0),MATCH('HIC-SOHIC-H2S'!$T20,'Tables - Part 2'!$AX$5:$BA$5,0)))/2)+INDEX('Tables - Part 2'!$AX$17:$BA$24,MATCH('HIC-SOHIC-H2S'!$Z20,'Tables - Part 2'!$AV$6:$AV$13,0),MATCH('HIC-SOHIC-H2S'!$T20,'Tables - Part 2'!$AX$5:$BA$5,0)))/2))/2,0)</f>
        <v>0</v>
      </c>
      <c r="BC20" s="248">
        <f>IF($S20=$BC$3,(((INDEX('Tables - Part 2'!$BF$6:$BI$13,MATCH('HIC-SOHIC-H2S'!$Z20,'Tables - Part 2'!$AV$6:$AV$13,0),MATCH('HIC-SOHIC-H2S'!$T20,'Tables - Part 2'!$AX$5:$BA$5,0))+INDEX('Tables - Part 2'!$AX$17:$BA$24,MATCH('HIC-SOHIC-H2S'!$Z20,'Tables - Part 2'!$AV$6:$AV$13,0),MATCH('HIC-SOHIC-H2S'!$T20,'Tables - Part 2'!$AX$5:$BA$5,0)))/2)+INDEX('Tables - Part 2'!$AX$17:$BA$24,MATCH('HIC-SOHIC-H2S'!$Z20,'Tables - Part 2'!$AV$6:$AV$13,0),MATCH('HIC-SOHIC-H2S'!$T20,'Tables - Part 2'!$AX$5:$BA$5,0)))/2,0)</f>
        <v>0</v>
      </c>
      <c r="BD20" s="248">
        <f>IF($S20=$BD$3,(((((INDEX('Tables - Part 2'!$BF$6:$BI$13,MATCH('HIC-SOHIC-H2S'!$Z20,'Tables - Part 2'!$AV$6:$AV$13,0),MATCH('HIC-SOHIC-H2S'!$T20,'Tables - Part 2'!$AX$5:$BA$5,0))+INDEX('Tables - Part 2'!$AX$17:$BA$24,MATCH('HIC-SOHIC-H2S'!$Z20,'Tables - Part 2'!$AV$6:$AV$13,0),MATCH('HIC-SOHIC-H2S'!$T20,'Tables - Part 2'!$AX$5:$BA$5,0)))/2)+INDEX('Tables - Part 2'!$AX$17:$BA$24,MATCH('HIC-SOHIC-H2S'!$Z20,'Tables - Part 2'!$AV$6:$AV$13,0),MATCH('HIC-SOHIC-H2S'!$T20,'Tables - Part 2'!$AX$5:$BA$5,0)))/2)+(INDEX('Tables - Part 2'!$AX$17:$BA$24,MATCH('HIC-SOHIC-H2S'!$Z20,'Tables - Part 2'!$AV$6:$AV$13,0),MATCH('HIC-SOHIC-H2S'!$T20,'Tables - Part 2'!$AX$5:$BA$5,0))))/2,0)</f>
        <v>0</v>
      </c>
      <c r="BE20" s="248">
        <f>IF($S20=$BE$3,INDEX('Tables - Part 2'!$AX$17:$BA$24,MATCH('HIC-SOHIC-H2S'!$Z20,'Tables - Part 2'!$AV$6:$AV$13,0),MATCH('HIC-SOHIC-H2S'!$T20,'Tables - Part 2'!$AX$5:$BA$5,0)),0)</f>
        <v>0</v>
      </c>
      <c r="BF20" s="248">
        <f>IF($S20=$BF$3,((INDEX('Tables - Part 2'!$AX$17:$BA$24,MATCH('HIC-SOHIC-H2S'!$Z20,'Tables - Part 2'!$AV$6:$AV$13,0),MATCH('HIC-SOHIC-H2S'!$T20,'Tables - Part 2'!$AX$5:$BA$5,0)))+(((INDEX('Tables - Part 2'!$AX$17:$BA$24,MATCH('HIC-SOHIC-H2S'!$Z20,'Tables - Part 2'!$AV$6:$AV$13,0),MATCH('HIC-SOHIC-H2S'!$T20,'Tables - Part 2'!$AX$5:$BA$5,0)))+(INDEX('Tables - Part 2'!$AX$17:$BA$24,MATCH('HIC-SOHIC-H2S'!$Z20,'Tables - Part 2'!$AV$6:$AV$13,0),MATCH('HIC-SOHIC-H2S'!$T20,'Tables - Part 2'!$AX$5:$BA$5,0))+INDEX('Tables - Part 2'!$BB$17:$BE$24,MATCH('HIC-SOHIC-H2S'!$Z20,'Tables - Part 2'!$AV$6:$AV$13,0),MATCH('HIC-SOHIC-H2S'!$T20,'Tables - Part 2'!$AX$5:$BA$5,0)))/2)/2))/2,0)</f>
        <v>0</v>
      </c>
      <c r="BG20" s="248">
        <f>IF($S20=$BG$3,((INDEX('Tables - Part 2'!$AX$17:$BA$24,MATCH('HIC-SOHIC-H2S'!$Z20,'Tables - Part 2'!$AV$6:$AV$13,0),MATCH('HIC-SOHIC-H2S'!$T20,'Tables - Part 2'!$AX$5:$BA$5,0)))+(INDEX('Tables - Part 2'!$AX$17:$BA$24,MATCH('HIC-SOHIC-H2S'!$Z20,'Tables - Part 2'!$AV$6:$AV$13,0),MATCH('HIC-SOHIC-H2S'!$T20,'Tables - Part 2'!$AX$5:$BA$5,0))+INDEX('Tables - Part 2'!$BB$17:$BE$24,MATCH('HIC-SOHIC-H2S'!$Z20,'Tables - Part 2'!$AV$6:$AV$13,0),MATCH('HIC-SOHIC-H2S'!$T20,'Tables - Part 2'!$AX$5:$BA$5,0)))/2)/2,0)</f>
        <v>0</v>
      </c>
      <c r="BH20" s="248">
        <f>IF($S20=$BH$3,((((INDEX('Tables - Part 2'!$AX$17:$BA$24,MATCH('HIC-SOHIC-H2S'!$Z20,'Tables - Part 2'!$AV$6:$AV$13,0),MATCH('HIC-SOHIC-H2S'!$T20,'Tables - Part 2'!$AX$5:$BA$5,0)))+(INDEX('Tables - Part 2'!$AX$17:$BA$24,MATCH('HIC-SOHIC-H2S'!$Z20,'Tables - Part 2'!$AV$6:$AV$13,0),MATCH('HIC-SOHIC-H2S'!$T20,'Tables - Part 2'!$AX$5:$BA$5,0))+INDEX('Tables - Part 2'!$BB$17:$BE$24,MATCH('HIC-SOHIC-H2S'!$Z20,'Tables - Part 2'!$AV$6:$AV$13,0),MATCH('HIC-SOHIC-H2S'!$T20,'Tables - Part 2'!$AX$5:$BA$5,0)))/2)/2)+((INDEX('Tables - Part 2'!$AX$17:$BA$24,MATCH('HIC-SOHIC-H2S'!$Z20,'Tables - Part 2'!$AV$6:$AV$13,0),MATCH('HIC-SOHIC-H2S'!$T20,'Tables - Part 2'!$AX$5:$BA$5,0))+INDEX('Tables - Part 2'!$BB$17:$BE$24,MATCH('HIC-SOHIC-H2S'!$Z20,'Tables - Part 2'!$AV$6:$AV$13,0),MATCH('HIC-SOHIC-H2S'!$T20,'Tables - Part 2'!$AX$5:$BA$5,0)))/2))/2,0)</f>
        <v>0</v>
      </c>
      <c r="BI20" s="248">
        <f>IF($S20=$BI$3,(INDEX('Tables - Part 2'!$AX$17:$BA$24,MATCH('HIC-SOHIC-H2S'!$Z20,'Tables - Part 2'!$AV$6:$AV$13,0),MATCH('HIC-SOHIC-H2S'!$T20,'Tables - Part 2'!$AX$5:$BA$5,0))+INDEX('Tables - Part 2'!$BB$17:$BE$24,MATCH('HIC-SOHIC-H2S'!$Z20,'Tables - Part 2'!$AV$6:$AV$13,0),MATCH('HIC-SOHIC-H2S'!$T20,'Tables - Part 2'!$AX$5:$BA$5,0)))/2,0)</f>
        <v>0</v>
      </c>
      <c r="BJ20" s="248">
        <f>IF($S20=$BJ$3,(((INDEX('Tables - Part 2'!$AX$17:$BA$24,MATCH('HIC-SOHIC-H2S'!$Z20,'Tables - Part 2'!$AV$6:$AV$13,0),MATCH('HIC-SOHIC-H2S'!$T20,'Tables - Part 2'!$AX$5:$BA$5,0))+INDEX('Tables - Part 2'!$BB$17:$BE$24,MATCH('HIC-SOHIC-H2S'!$Z20,'Tables - Part 2'!$AV$6:$AV$13,0),MATCH('HIC-SOHIC-H2S'!$T20,'Tables - Part 2'!$AX$5:$BA$5,0)))/2)+((((INDEX('Tables - Part 2'!$AX$17:$BA$24,MATCH('HIC-SOHIC-H2S'!$Z20,'Tables - Part 2'!$AV$6:$AV$13,0),MATCH('HIC-SOHIC-H2S'!$T20,'Tables - Part 2'!$AX$5:$BA$5,0))+INDEX('Tables - Part 2'!$BB$17:$BE$24,MATCH('HIC-SOHIC-H2S'!$Z20,'Tables - Part 2'!$AV$6:$AV$13,0),MATCH('HIC-SOHIC-H2S'!$T20,'Tables - Part 2'!$AX$5:$BA$5,0)))/2)+INDEX('Tables - Part 2'!$BB$17:$BE$24,MATCH('HIC-SOHIC-H2S'!$Z20,'Tables - Part 2'!$AV$6:$AV$13,0),MATCH('HIC-SOHIC-H2S'!$T20,'Tables - Part 2'!$AX$5:$BA$5,0)))/2))/2,0)</f>
        <v>0</v>
      </c>
      <c r="BK20" s="248">
        <f>IF($S20=$BK$3,(((INDEX('Tables - Part 2'!$AX$17:$BA$24,MATCH('HIC-SOHIC-H2S'!$Z20,'Tables - Part 2'!$AV$6:$AV$13,0),MATCH('HIC-SOHIC-H2S'!$T20,'Tables - Part 2'!$AX$5:$BA$5,0))+INDEX('Tables - Part 2'!$BB$17:$BE$24,MATCH('HIC-SOHIC-H2S'!$Z20,'Tables - Part 2'!$AV$6:$AV$13,0),MATCH('HIC-SOHIC-H2S'!$T20,'Tables - Part 2'!$AX$5:$BA$5,0)))/2)+INDEX('Tables - Part 2'!$BB$17:$BE$24,MATCH('HIC-SOHIC-H2S'!$Z20,'Tables - Part 2'!$AV$6:$AV$13,0),MATCH('HIC-SOHIC-H2S'!$T20,'Tables - Part 2'!$AX$5:$BA$5,0)))/2,0)</f>
        <v>0</v>
      </c>
      <c r="BL20" s="248">
        <f>IF($S20=$BL$3,(((((INDEX('Tables - Part 2'!$AX$17:$BA$24,MATCH('HIC-SOHIC-H2S'!$Z20,'Tables - Part 2'!$AV$6:$AV$13,0),MATCH('HIC-SOHIC-H2S'!$T20,'Tables - Part 2'!$AX$5:$BA$5,0))+INDEX('Tables - Part 2'!$BB$17:$BE$24,MATCH('HIC-SOHIC-H2S'!$Z20,'Tables - Part 2'!$AV$6:$AV$13,0),MATCH('HIC-SOHIC-H2S'!$T20,'Tables - Part 2'!$AX$5:$BA$5,0)))/2)+INDEX('Tables - Part 2'!$BB$17:$BE$24,MATCH('HIC-SOHIC-H2S'!$Z20,'Tables - Part 2'!$AV$6:$AV$13,0),MATCH('HIC-SOHIC-H2S'!$T20,'Tables - Part 2'!$AX$5:$BA$5,0)))/2)+(INDEX('Tables - Part 2'!$BB$17:$BE$24,MATCH('HIC-SOHIC-H2S'!$Z20,'Tables - Part 2'!$AV$6:$AV$13,0),MATCH('HIC-SOHIC-H2S'!$T20,'Tables - Part 2'!$AX$5:$BA$5,0))))/2,0)</f>
        <v>0</v>
      </c>
      <c r="BM20" s="248">
        <f>IF($S20=$BM$3,INDEX('Tables - Part 2'!$BB$17:$BE$24,MATCH('HIC-SOHIC-H2S'!$Z20,'Tables - Part 2'!$AV$6:$AV$13,0),MATCH('HIC-SOHIC-H2S'!$T20,'Tables - Part 2'!$AX$5:$BA$5,0)),0)</f>
        <v>0</v>
      </c>
      <c r="BN20" s="248">
        <f>IF($S20=$BN$3,((INDEX('Tables - Part 2'!$BB$17:$BE$24,MATCH('HIC-SOHIC-H2S'!$Z20,'Tables - Part 2'!$AV$6:$AV$13,0),MATCH('HIC-SOHIC-H2S'!$T20,'Tables - Part 2'!$AX$5:$BA$5,0)))+(((INDEX('Tables - Part 2'!$BB$17:$BE$24,MATCH('HIC-SOHIC-H2S'!$Z20,'Tables - Part 2'!$AV$6:$AV$13,0),MATCH('HIC-SOHIC-H2S'!$T20,'Tables - Part 2'!$AX$5:$BA$5,0)))+(INDEX('Tables - Part 2'!$BB$17:$BE$24,MATCH('HIC-SOHIC-H2S'!$Z20,'Tables - Part 2'!$AV$6:$AV$13,0),MATCH('HIC-SOHIC-H2S'!$T20,'Tables - Part 2'!$AX$5:$BA$5,0))+INDEX('Tables - Part 2'!$BF$17:$BI$24,MATCH('HIC-SOHIC-H2S'!$Z20,'Tables - Part 2'!$AV$6:$AV$13,0),MATCH('HIC-SOHIC-H2S'!$T20,'Tables - Part 2'!$AX$5:$BA$5,0)))/2)/2))/2,0)</f>
        <v>0</v>
      </c>
      <c r="BO20" s="248">
        <f>IF($S20=$BO$3,((INDEX('Tables - Part 2'!$BB$17:$BE$24,MATCH('HIC-SOHIC-H2S'!$Z20,'Tables - Part 2'!$AV$6:$AV$13,0),MATCH('HIC-SOHIC-H2S'!$T20,'Tables - Part 2'!$AX$5:$BA$5,0)))+(INDEX('Tables - Part 2'!$BB$17:$BE$24,MATCH('HIC-SOHIC-H2S'!$Z20,'Tables - Part 2'!$AV$6:$AV$13,0),MATCH('HIC-SOHIC-H2S'!$T20,'Tables - Part 2'!$AX$5:$BA$5,0))+INDEX('Tables - Part 2'!$BF$17:$BI$24,MATCH('HIC-SOHIC-H2S'!$Z20,'Tables - Part 2'!$AV$6:$AV$13,0),MATCH('HIC-SOHIC-H2S'!$T20,'Tables - Part 2'!$AX$5:$BA$5,0)))/2)/2,0)</f>
        <v>0</v>
      </c>
      <c r="BP20" s="248">
        <f>IF($S20=$BP$3,((((INDEX('Tables - Part 2'!$BB$17:$BE$24,MATCH('HIC-SOHIC-H2S'!$Z20,'Tables - Part 2'!$AV$6:$AV$13,0),MATCH('HIC-SOHIC-H2S'!$T20,'Tables - Part 2'!$AX$5:$BA$5,0)))+(INDEX('Tables - Part 2'!$BB$17:$BE$24,MATCH('HIC-SOHIC-H2S'!$Z20,'Tables - Part 2'!$AV$6:$AV$13,0),MATCH('HIC-SOHIC-H2S'!$T20,'Tables - Part 2'!$AX$5:$BA$5,0))+INDEX('Tables - Part 2'!$BF$17:$BI$24,MATCH('HIC-SOHIC-H2S'!$Z20,'Tables - Part 2'!$AV$6:$AV$13,0),MATCH('HIC-SOHIC-H2S'!$T20,'Tables - Part 2'!$AX$5:$BA$5,0)))/2)/2)+((INDEX('Tables - Part 2'!$BB$17:$BE$24,MATCH('HIC-SOHIC-H2S'!$Z20,'Tables - Part 2'!$AV$6:$AV$13,0),MATCH('HIC-SOHIC-H2S'!$T20,'Tables - Part 2'!$AX$5:$BA$5,0))+INDEX('Tables - Part 2'!$BF$17:$BI$24,MATCH('HIC-SOHIC-H2S'!$Z20,'Tables - Part 2'!$AV$6:$AV$13,0),MATCH('HIC-SOHIC-H2S'!$T20,'Tables - Part 2'!$AX$5:$BA$5,0)))/2))/2,0)</f>
        <v>0</v>
      </c>
      <c r="BQ20" s="248">
        <f>IF($S20=$BQ$3,(INDEX('Tables - Part 2'!$BB$17:$BE$24,MATCH('HIC-SOHIC-H2S'!$Z20,'Tables - Part 2'!$AV$6:$AV$13,0),MATCH('HIC-SOHIC-H2S'!$T20,'Tables - Part 2'!$AX$5:$BA$5,0))+INDEX('Tables - Part 2'!$BF$17:$BI$24,MATCH('HIC-SOHIC-H2S'!$Z20,'Tables - Part 2'!$AV$6:$AV$13,0),MATCH('HIC-SOHIC-H2S'!$T20,'Tables - Part 2'!$AX$5:$BA$5,0)))/2,0)</f>
        <v>0</v>
      </c>
      <c r="BR20" s="248">
        <f>IF($S20=$BR$3,(((INDEX('Tables - Part 2'!$BB$17:$BE$24,MATCH('HIC-SOHIC-H2S'!$Z20,'Tables - Part 2'!$AV$6:$AV$13,0),MATCH('HIC-SOHIC-H2S'!$T20,'Tables - Part 2'!$AX$5:$BA$5,0))+INDEX('Tables - Part 2'!$BF$17:$BI$24,MATCH('HIC-SOHIC-H2S'!$Z20,'Tables - Part 2'!$AV$6:$AV$13,0),MATCH('HIC-SOHIC-H2S'!$T20,'Tables - Part 2'!$AX$5:$BA$5,0)))/2)+((((INDEX('Tables - Part 2'!$BB$17:$BE$24,MATCH('HIC-SOHIC-H2S'!$Z20,'Tables - Part 2'!$AV$6:$AV$13,0),MATCH('HIC-SOHIC-H2S'!$T20,'Tables - Part 2'!$AX$5:$BA$5,0))+INDEX('Tables - Part 2'!$BF$17:$BI$24,MATCH('HIC-SOHIC-H2S'!$Z20,'Tables - Part 2'!$AV$6:$AV$13,0),MATCH('HIC-SOHIC-H2S'!$T20,'Tables - Part 2'!$AX$5:$BA$5,0)))/2)+INDEX('Tables - Part 2'!$BF$17:$BI$24,MATCH('HIC-SOHIC-H2S'!$Z20,'Tables - Part 2'!$AV$6:$AV$13,0),MATCH('HIC-SOHIC-H2S'!$T20,'Tables - Part 2'!$AX$5:$BA$5,0)))/2))/2,0)</f>
        <v>0</v>
      </c>
      <c r="BS20" s="248">
        <f>IF($S20=$BS$3,(((INDEX('Tables - Part 2'!$BB$17:$BE$24,MATCH('HIC-SOHIC-H2S'!$Z20,'Tables - Part 2'!$AV$6:$AV$13,0),MATCH('HIC-SOHIC-H2S'!$T20,'Tables - Part 2'!$AX$5:$BA$5,0))+INDEX('Tables - Part 2'!$BF$17:$BI$24,MATCH('HIC-SOHIC-H2S'!$Z20,'Tables - Part 2'!$AV$6:$AV$13,0),MATCH('HIC-SOHIC-H2S'!$T20,'Tables - Part 2'!$AX$5:$BA$5,0)))/2)+INDEX('Tables - Part 2'!$BF$17:$BI$24,MATCH('HIC-SOHIC-H2S'!$Z20,'Tables - Part 2'!$AV$6:$AV$13,0),MATCH('HIC-SOHIC-H2S'!$T20,'Tables - Part 2'!$AX$5:$BA$5,0)))/2,0)</f>
        <v>0</v>
      </c>
      <c r="BT20" s="248">
        <f>IF($S20=$BT$3,(((((INDEX('Tables - Part 2'!$BB$17:$BE$24,MATCH('HIC-SOHIC-H2S'!$Z20,'Tables - Part 2'!$AV$6:$AV$13,0),MATCH('HIC-SOHIC-H2S'!$T20,'Tables - Part 2'!$AX$5:$BA$5,0))+INDEX('Tables - Part 2'!$BF$17:$BI$24,MATCH('HIC-SOHIC-H2S'!$Z20,'Tables - Part 2'!$AV$6:$AV$13,0),MATCH('HIC-SOHIC-H2S'!$T20,'Tables - Part 2'!$AX$5:$BA$5,0)))/2)+INDEX('Tables - Part 2'!$BF$17:$BI$24,MATCH('HIC-SOHIC-H2S'!$Z20,'Tables - Part 2'!$AV$6:$AV$13,0),MATCH('HIC-SOHIC-H2S'!$T20,'Tables - Part 2'!$AX$5:$BA$5,0)))/2)+(INDEX('Tables - Part 2'!$BF$17:$BI$24,MATCH('HIC-SOHIC-H2S'!$Z20,'Tables - Part 2'!$AV$6:$AV$13,0),MATCH('HIC-SOHIC-H2S'!$T20,'Tables - Part 2'!$AX$5:$BA$5,0))))/2,0)</f>
        <v>0</v>
      </c>
      <c r="BU20" s="248">
        <f>IF($S20=$BU$3,INDEX('Tables - Part 2'!$BF$17:$BI$24,MATCH('HIC-SOHIC-H2S'!$Z20,'Tables - Part 2'!$AV$6:$AV$13,0),MATCH('HIC-SOHIC-H2S'!$T20,'Tables - Part 2'!$AX$5:$BA$5,0)),0)</f>
        <v>0</v>
      </c>
      <c r="BV20" s="248" t="e">
        <f t="shared" si="2"/>
        <v>#N/A</v>
      </c>
      <c r="BW20" s="238" t="e">
        <f t="shared" si="8"/>
        <v>#N/A</v>
      </c>
      <c r="BX20" s="238" t="e">
        <f t="shared" si="9"/>
        <v>#N/A</v>
      </c>
    </row>
    <row r="21" spans="2:76" x14ac:dyDescent="0.35">
      <c r="B21" s="161" t="str">
        <f>'Tratamento de Dados'!B29</f>
        <v>V-9</v>
      </c>
      <c r="C21" s="161" t="str">
        <f>'Tratamento de Dados'!D29</f>
        <v>Casco</v>
      </c>
      <c r="D21" s="209">
        <f>'Tratamento de Dados'!CN29</f>
        <v>0</v>
      </c>
      <c r="E21" s="209">
        <f>'Tratamento de Dados'!CO29</f>
        <v>0</v>
      </c>
      <c r="F21" s="209">
        <f>'Tratamento de Dados'!CP29</f>
        <v>0</v>
      </c>
      <c r="G21" s="209">
        <f>'Tratamento de Dados'!CQ29</f>
        <v>0</v>
      </c>
      <c r="H21" s="209">
        <f>'Tratamento de Dados'!CR29</f>
        <v>0</v>
      </c>
      <c r="I21" s="209">
        <f>'Tratamento de Dados'!CS29</f>
        <v>0</v>
      </c>
      <c r="J21" s="209">
        <f>'Tratamento de Dados'!CT29</f>
        <v>0</v>
      </c>
      <c r="K21" s="209">
        <f>'Tratamento de Dados'!CU29</f>
        <v>0</v>
      </c>
      <c r="L21" s="210">
        <f>'Tratamento de Dados'!CV29</f>
        <v>0</v>
      </c>
      <c r="M21" s="209">
        <f>'Tratamento de Dados'!CW29</f>
        <v>0</v>
      </c>
      <c r="N21" s="209">
        <f>'Tratamento de Dados'!CX29</f>
        <v>0</v>
      </c>
      <c r="O21" s="209">
        <f>'Tratamento de Dados'!CY29</f>
        <v>0</v>
      </c>
      <c r="P21" s="209">
        <f>'Tratamento de Dados'!CZ29</f>
        <v>0</v>
      </c>
      <c r="Q21" s="253">
        <f>'Tratamento de Dados'!DA29</f>
        <v>0</v>
      </c>
      <c r="R21" s="253">
        <f>'Tratamento de Dados'!DB29</f>
        <v>0</v>
      </c>
      <c r="S21" s="256">
        <f t="shared" si="0"/>
        <v>0</v>
      </c>
      <c r="T21" s="246" t="str">
        <f t="shared" si="3"/>
        <v>E</v>
      </c>
      <c r="U21" s="238" t="e">
        <f>IF(D21=$CC$2,$CA$4,IF(AND(H21=$CC$2,OR(F21='Tables - Part 2'!$CE$8,'Tables - Part 2'!$CE$9),OR('HIC-SOHIC-H2S'!G21='Tables - Part 2'!$CH$4,'HIC-SOHIC-H2S'!G21='Tables - Part 2'!$CI$4)),$CA$4,INDEX('Tables - Part 2'!$CF$5:$CI$9,MATCH('HIC-SOHIC-H2S'!F21,'Tables - Part 2'!$CE$5:$CE$9,0),MATCH('HIC-SOHIC-H2S'!G21,'Tables - Part 2'!$CF$4:$CI$4,0))))</f>
        <v>#N/A</v>
      </c>
      <c r="V21" s="238" t="str">
        <f>IF($I21=$V$3,INDEX('Tables - Part 2'!$CL$5:$CM$7,MATCH('HIC-SOHIC-H2S'!$U21,'Tables - Part 2'!$CK$5:$CK$7,0),IF('HIC-SOHIC-H2S'!$J21='HIC-SOHIC-H2S'!$CC$2,2,1)),"")</f>
        <v/>
      </c>
      <c r="W21" s="238" t="str">
        <f>IF($I21=$W$3,INDEX('Tables - Part 2'!$CN$5:$CO$7,MATCH('HIC-SOHIC-H2S'!$U21,'Tables - Part 2'!$CK$5:$CK$7,0),IF('HIC-SOHIC-H2S'!$J21='HIC-SOHIC-H2S'!$CC$2,2,1)),"")</f>
        <v/>
      </c>
      <c r="X21" s="238" t="str">
        <f>IF($I21=$X$3,INDEX('Tables - Part 2'!$CP$5:$CQ$7,MATCH('HIC-SOHIC-H2S'!$U21,'Tables - Part 2'!$CK$5:$CK$7,0),IF('HIC-SOHIC-H2S'!$J21='HIC-SOHIC-H2S'!$CC$2,2,1)),"")</f>
        <v/>
      </c>
      <c r="Y21" s="238" t="str">
        <f t="shared" si="1"/>
        <v/>
      </c>
      <c r="Z21" s="238" t="e">
        <f>IF(AND(D21=$CC$2,E21&lt;&gt;$CC$2),"Fitness-For-Service",INDEX('Tables - Part 2'!$CT$4:$CT$6,MATCH('HIC-SOHIC-H2S'!Y21,'Tables - Part 2'!$CS$4:$CS$6,0),))</f>
        <v>#N/A</v>
      </c>
      <c r="AA21" s="238">
        <f>IF(L21=0,(Thinning!G22-Thinning!F22)/365.25,(Thinning!G22-L21)/365.25)</f>
        <v>5.4757015742642025E-3</v>
      </c>
      <c r="AB21" s="238" t="e">
        <f>INDEX('Tables - Part 2'!$CW$4:$CW$7,MATCH('HIC-SOHIC-H2S'!K21,'Tables - Part 2'!$CV$4:$CV$7,0))</f>
        <v>#N/A</v>
      </c>
      <c r="AC21" s="248">
        <f t="shared" si="4"/>
        <v>0</v>
      </c>
      <c r="AD21" s="248">
        <f t="shared" si="5"/>
        <v>0</v>
      </c>
      <c r="AE21" s="247">
        <f t="shared" si="10"/>
        <v>0</v>
      </c>
      <c r="AF21" s="247">
        <f t="shared" si="7"/>
        <v>0</v>
      </c>
      <c r="AG21" s="248">
        <f>IF($S21=$AG$3,INDEX('Tables - Part 2'!$AX$6:$BA$13,MATCH('HIC-SOHIC-H2S'!Z21,'Tables - Part 2'!$AV$6:$AV$13,0),MATCH('HIC-SOHIC-H2S'!T21,'Tables - Part 2'!$AX$5:$BA$5,0)),0)</f>
        <v>0</v>
      </c>
      <c r="AH21" s="248">
        <f>IF($S21=$AH$3,(INDEX('Tables - Part 2'!$AX$6:$BA$13,MATCH('HIC-SOHIC-H2S'!Z21,'Tables - Part 2'!$AV$6:$AV$13,0),MATCH('HIC-SOHIC-H2S'!T21,'Tables - Part 2'!$AX$5:$BA$5,0))+(INDEX('Tables - Part 2'!$AX$6:$BA$13,MATCH('HIC-SOHIC-H2S'!Z21,'Tables - Part 2'!$AV$6:$AV$13,0),MATCH('HIC-SOHIC-H2S'!T21,'Tables - Part 2'!$AX$5:$BA$5,0))+((INDEX('Tables - Part 2'!$AX$6:$BA$13,MATCH('HIC-SOHIC-H2S'!Z21,'Tables - Part 2'!$AV$6:$AV$13,0),MATCH('HIC-SOHIC-H2S'!T21,'Tables - Part 2'!$AX$5:$BA$5,0))+INDEX('Tables - Part 2'!$BB$6:$BE$13,MATCH('HIC-SOHIC-H2S'!$Z21,'Tables - Part 2'!$AV$6:$AV$13,0),MATCH('HIC-SOHIC-H2S'!$T21,'Tables - Part 2'!$AX$5:$BA$5,0)))/2))/2)/2,0)</f>
        <v>0</v>
      </c>
      <c r="AI21" s="248">
        <f>IF($S21=$AI$3,(INDEX('Tables - Part 2'!$AX$6:$BA$13,MATCH('HIC-SOHIC-H2S'!Z21,'Tables - Part 2'!$AV$6:$AV$13,0),MATCH('HIC-SOHIC-H2S'!T21,'Tables - Part 2'!$AX$5:$BA$5,0))+((INDEX('Tables - Part 2'!$AX$6:$BA$13,MATCH('HIC-SOHIC-H2S'!Z21,'Tables - Part 2'!$AV$6:$AV$13,0),MATCH('HIC-SOHIC-H2S'!T21,'Tables - Part 2'!$AX$5:$BA$5,0))+INDEX('Tables - Part 2'!$BB$6:$BE$13,MATCH('HIC-SOHIC-H2S'!$Z21,'Tables - Part 2'!$AV$6:$AV$13,0),MATCH('HIC-SOHIC-H2S'!$T21,'Tables - Part 2'!$AX$5:$BA$5,0)))/2))/2,0)</f>
        <v>0</v>
      </c>
      <c r="AJ21" s="248">
        <f>IF($S21=$AJ$3,(((INDEX('Tables - Part 2'!$AX$6:$BA$13,MATCH('HIC-SOHIC-H2S'!Z21,'Tables - Part 2'!$AV$6:$AV$13,0),MATCH('HIC-SOHIC-H2S'!T21,'Tables - Part 2'!$AX$5:$BA$5,0))+((INDEX('Tables - Part 2'!$AX$6:$BA$13,MATCH('HIC-SOHIC-H2S'!Z21,'Tables - Part 2'!$AV$6:$AV$13,0),MATCH('HIC-SOHIC-H2S'!T21,'Tables - Part 2'!$AX$5:$BA$5,0))+INDEX('Tables - Part 2'!$BB$6:$BE$13,MATCH('HIC-SOHIC-H2S'!$Z21,'Tables - Part 2'!$AV$6:$AV$13,0),MATCH('HIC-SOHIC-H2S'!$T21,'Tables - Part 2'!$AX$5:$BA$5,0)))/2))/2)+(INDEX('Tables - Part 2'!$AX$6:$BA$13,MATCH('HIC-SOHIC-H2S'!Z21,'Tables - Part 2'!$AV$6:$AV$13,0),MATCH('HIC-SOHIC-H2S'!T21,'Tables - Part 2'!$AX$5:$BA$5,0))+INDEX('Tables - Part 2'!$BB$6:$BE$13,MATCH('HIC-SOHIC-H2S'!$Z21,'Tables - Part 2'!$AV$6:$AV$13,0),MATCH('HIC-SOHIC-H2S'!$T21,'Tables - Part 2'!$AX$5:$BA$5,0)))/2)/2,0)</f>
        <v>0</v>
      </c>
      <c r="AK21" s="248">
        <f>IF($S21=$AK$3,(INDEX('Tables - Part 2'!$AX$6:$BA$13,MATCH('HIC-SOHIC-H2S'!Z21,'Tables - Part 2'!$AV$6:$AV$13,0),MATCH('HIC-SOHIC-H2S'!T21,'Tables - Part 2'!$AX$5:$BA$5,0))+INDEX('Tables - Part 2'!$BB$6:$BE$13,MATCH('HIC-SOHIC-H2S'!$Z21,'Tables - Part 2'!$AV$6:$AV$13,0),MATCH('HIC-SOHIC-H2S'!$T21,'Tables - Part 2'!$AX$5:$BA$5,0)))/2,0)</f>
        <v>0</v>
      </c>
      <c r="AL21" s="248">
        <f>IF($S21=$AL$3,(((INDEX('Tables - Part 2'!$AX$6:$BA$13,MATCH('HIC-SOHIC-H2S'!Z21,'Tables - Part 2'!$AV$6:$AV$13,0),MATCH('HIC-SOHIC-H2S'!T21,'Tables - Part 2'!$AX$5:$BA$5,0))+INDEX('Tables - Part 2'!$BB$6:$BE$13,MATCH('HIC-SOHIC-H2S'!$Z21,'Tables - Part 2'!$AV$6:$AV$13,0),MATCH('HIC-SOHIC-H2S'!$T21,'Tables - Part 2'!$AX$5:$BA$5,0)))/2)+(((INDEX('Tables - Part 2'!$AX$6:$BA$13,MATCH('HIC-SOHIC-H2S'!Z21,'Tables - Part 2'!$AV$6:$AV$13,0),MATCH('HIC-SOHIC-H2S'!T21,'Tables - Part 2'!$AX$5:$BA$5,0))+INDEX('Tables - Part 2'!$BB$6:$BE$13,MATCH('HIC-SOHIC-H2S'!$Z21,'Tables - Part 2'!$AV$6:$AV$13,0),MATCH('HIC-SOHIC-H2S'!$T21,'Tables - Part 2'!$AX$5:$BA$5,0)))/2)+INDEX('Tables - Part 2'!$BB$6:$BE$13,MATCH('HIC-SOHIC-H2S'!$Z21,'Tables - Part 2'!$AV$6:$AV$13,0),MATCH('HIC-SOHIC-H2S'!$T21,'Tables - Part 2'!$AX$5:$BA$5,0)))/2)/2,0)</f>
        <v>0</v>
      </c>
      <c r="AM21" s="248">
        <f>IF($S21=$AM$3,(((INDEX('Tables - Part 2'!$AX$6:$BA$13,MATCH('HIC-SOHIC-H2S'!Z21,'Tables - Part 2'!$AV$6:$AV$13,0),MATCH('HIC-SOHIC-H2S'!T21,'Tables - Part 2'!$AX$5:$BA$5,0))+INDEX('Tables - Part 2'!$BB$6:$BE$13,MATCH('HIC-SOHIC-H2S'!$Z21,'Tables - Part 2'!$AV$6:$AV$13,0),MATCH('HIC-SOHIC-H2S'!$T21,'Tables - Part 2'!$AX$5:$BA$5,0)))/2)+INDEX('Tables - Part 2'!$BB$6:$BE$13,MATCH('HIC-SOHIC-H2S'!$Z21,'Tables - Part 2'!$AV$6:$AV$13,0),MATCH('HIC-SOHIC-H2S'!$T21,'Tables - Part 2'!$AX$5:$BA$5,0)))/2,0)</f>
        <v>0</v>
      </c>
      <c r="AN21" s="248">
        <f>IF($S21=$AN$3,(((((INDEX('Tables - Part 2'!$AX$6:$BA$13,MATCH('HIC-SOHIC-H2S'!Z21,'Tables - Part 2'!$AV$6:$AV$13,0),MATCH('HIC-SOHIC-H2S'!T21,'Tables - Part 2'!$AX$5:$BA$5,0))+INDEX('Tables - Part 2'!$BB$6:$BE$13,MATCH('HIC-SOHIC-H2S'!$Z21,'Tables - Part 2'!$AV$6:$AV$13,0),MATCH('HIC-SOHIC-H2S'!$T21,'Tables - Part 2'!$AX$5:$BA$5,0)))/2)+INDEX('Tables - Part 2'!$BB$6:$BE$13,MATCH('HIC-SOHIC-H2S'!$Z21,'Tables - Part 2'!$AV$6:$AV$13,0),MATCH('HIC-SOHIC-H2S'!$T21,'Tables - Part 2'!$AX$5:$BA$5,0)))/2)+INDEX('Tables - Part 2'!$BB$6:$BE$13,MATCH('HIC-SOHIC-H2S'!$Z21,'Tables - Part 2'!$AV$6:$AV$13,0),MATCH('HIC-SOHIC-H2S'!$T21,'Tables - Part 2'!$AX$5:$BA$5,0)))/2,0)</f>
        <v>0</v>
      </c>
      <c r="AO21" s="248">
        <f>IF($S21=$AO$3,INDEX('Tables - Part 2'!$BB$6:$BE$13,MATCH('HIC-SOHIC-H2S'!$Z21,'Tables - Part 2'!$AV$6:$AV$13,0),MATCH('HIC-SOHIC-H2S'!$T21,'Tables - Part 2'!$AX$5:$BA$5,0)),0)</f>
        <v>0</v>
      </c>
      <c r="AP21" s="248">
        <f>IF($S21=$AP$3,((INDEX('Tables - Part 2'!$BB$6:$BE$13,MATCH('HIC-SOHIC-H2S'!$Z21,'Tables - Part 2'!$AV$6:$AV$13,0),MATCH('HIC-SOHIC-H2S'!$T21,'Tables - Part 2'!$AX$5:$BA$5,0)))+(INDEX('Tables - Part 2'!$BB$6:$BE$13,MATCH('HIC-SOHIC-H2S'!$Z21,'Tables - Part 2'!$AV$6:$AV$13,0),MATCH('HIC-SOHIC-H2S'!$T21,'Tables - Part 2'!$AX$5:$BA$5,0))+(INDEX('Tables - Part 2'!$BB$6:$BE$13,MATCH('HIC-SOHIC-H2S'!$Z21,'Tables - Part 2'!$AV$6:$AV$13,0),MATCH('HIC-SOHIC-H2S'!$T21,'Tables - Part 2'!$AX$5:$BA$5,0))+INDEX('Tables - Part 2'!$BF$6:$BI$13,MATCH('HIC-SOHIC-H2S'!$Z21,'Tables - Part 2'!$AV$6:$AV$13,0),MATCH('HIC-SOHIC-H2S'!$T21,'Tables - Part 2'!$AX$5:$BA$5,0)))/2)/2)/2,0)</f>
        <v>0</v>
      </c>
      <c r="AQ21" s="248">
        <f>IF($S21=$AQ$3,(INDEX('Tables - Part 2'!$BB$6:$BE$13,MATCH('HIC-SOHIC-H2S'!$Z21,'Tables - Part 2'!$AV$6:$AV$13,0),MATCH('HIC-SOHIC-H2S'!$T21,'Tables - Part 2'!$AX$5:$BA$5,0))+(INDEX('Tables - Part 2'!$BB$6:$BE$13,MATCH('HIC-SOHIC-H2S'!$Z21,'Tables - Part 2'!$AV$6:$AV$13,0),MATCH('HIC-SOHIC-H2S'!$T21,'Tables - Part 2'!$AX$5:$BA$5,0))+INDEX('Tables - Part 2'!$BF$6:$BI$13,MATCH('HIC-SOHIC-H2S'!$Z21,'Tables - Part 2'!$AV$6:$AV$13,0),MATCH('HIC-SOHIC-H2S'!$T21,'Tables - Part 2'!$AX$5:$BA$5,0)))/2)/2,0)</f>
        <v>0</v>
      </c>
      <c r="AR21" s="248">
        <f>IF($S21=$AR$3,(((INDEX('Tables - Part 2'!$BB$6:$BE$13,MATCH('HIC-SOHIC-H2S'!$Z21,'Tables - Part 2'!$AV$6:$AV$13,0),MATCH('HIC-SOHIC-H2S'!$T21,'Tables - Part 2'!$AX$5:$BA$5,0))+(INDEX('Tables - Part 2'!$BB$6:$BE$13,MATCH('HIC-SOHIC-H2S'!$Z21,'Tables - Part 2'!$AV$6:$AV$13,0),MATCH('HIC-SOHIC-H2S'!$T21,'Tables - Part 2'!$AX$5:$BA$5,0))+INDEX('Tables - Part 2'!$BF$6:$BI$13,MATCH('HIC-SOHIC-H2S'!$Z21,'Tables - Part 2'!$AV$6:$AV$13,0),MATCH('HIC-SOHIC-H2S'!$T21,'Tables - Part 2'!$AX$5:$BA$5,0)))/2)/2)+((INDEX('Tables - Part 2'!$BB$6:$BE$13,MATCH('HIC-SOHIC-H2S'!$Z21,'Tables - Part 2'!$AV$6:$AV$13,0),MATCH('HIC-SOHIC-H2S'!$T21,'Tables - Part 2'!$AX$5:$BA$5,0))+INDEX('Tables - Part 2'!$BF$6:$BI$13,MATCH('HIC-SOHIC-H2S'!$Z21,'Tables - Part 2'!$AV$6:$AV$13,0),MATCH('HIC-SOHIC-H2S'!$T21,'Tables - Part 2'!$AX$5:$BA$5,0)))/2))/2,0)</f>
        <v>0</v>
      </c>
      <c r="AS21" s="248">
        <f>IF($S21=$AS$3,(INDEX('Tables - Part 2'!$BB$6:$BE$13,MATCH('HIC-SOHIC-H2S'!$Z21,'Tables - Part 2'!$AV$6:$AV$13,0),MATCH('HIC-SOHIC-H2S'!$T21,'Tables - Part 2'!$AX$5:$BA$5,0))+INDEX('Tables - Part 2'!$BF$6:$BI$13,MATCH('HIC-SOHIC-H2S'!$Z21,'Tables - Part 2'!$AV$6:$AV$13,0),MATCH('HIC-SOHIC-H2S'!$T21,'Tables - Part 2'!$AX$5:$BA$5,0)))/2,0)</f>
        <v>0</v>
      </c>
      <c r="AT21" s="248">
        <f>IF($S21=$AT$3,(((INDEX('Tables - Part 2'!$BB$6:$BE$13,MATCH('HIC-SOHIC-H2S'!$Z21,'Tables - Part 2'!$AV$6:$AV$13,0),MATCH('HIC-SOHIC-H2S'!$T21,'Tables - Part 2'!$AX$5:$BA$5,0))+INDEX('Tables - Part 2'!$BF$6:$BI$13,MATCH('HIC-SOHIC-H2S'!$Z21,'Tables - Part 2'!$AV$6:$AV$13,0),MATCH('HIC-SOHIC-H2S'!$T21,'Tables - Part 2'!$AX$5:$BA$5,0)))/2)+((((INDEX('Tables - Part 2'!$BB$6:$BE$13,MATCH('HIC-SOHIC-H2S'!$Z21,'Tables - Part 2'!$AV$6:$AV$13,0),MATCH('HIC-SOHIC-H2S'!$T21,'Tables - Part 2'!$AX$5:$BA$5,0))+INDEX('Tables - Part 2'!$BF$6:$BI$13,MATCH('HIC-SOHIC-H2S'!$Z21,'Tables - Part 2'!$AV$6:$AV$13,0),MATCH('HIC-SOHIC-H2S'!$T21,'Tables - Part 2'!$AX$5:$BA$5,0)))/2)+INDEX('Tables - Part 2'!$BF$6:$BI$13,MATCH('HIC-SOHIC-H2S'!$Z21,'Tables - Part 2'!$AV$6:$AV$13,0),MATCH('HIC-SOHIC-H2S'!$T21,'Tables - Part 2'!$AX$5:$BA$5,0)))/2))/2,0)</f>
        <v>0</v>
      </c>
      <c r="AU21" s="248">
        <f>IF($S21=$AU$3,(((INDEX('Tables - Part 2'!$BB$6:$BE$13,MATCH('HIC-SOHIC-H2S'!$Z21,'Tables - Part 2'!$AV$6:$AV$13,0),MATCH('HIC-SOHIC-H2S'!$T21,'Tables - Part 2'!$AX$5:$BA$5,0))+INDEX('Tables - Part 2'!$BF$6:$BI$13,MATCH('HIC-SOHIC-H2S'!$Z21,'Tables - Part 2'!$AV$6:$AV$13,0),MATCH('HIC-SOHIC-H2S'!$T21,'Tables - Part 2'!$AX$5:$BA$5,0)))/2)+INDEX('Tables - Part 2'!$BF$6:$BI$13,MATCH('HIC-SOHIC-H2S'!$Z21,'Tables - Part 2'!$AV$6:$AV$13,0),MATCH('HIC-SOHIC-H2S'!$T21,'Tables - Part 2'!$AX$5:$BA$5,0)))/2,0)</f>
        <v>0</v>
      </c>
      <c r="AV21" s="248">
        <f>IF($S21=$AV$3,(((((INDEX('Tables - Part 2'!$BB$6:$BE$13,MATCH('HIC-SOHIC-H2S'!$Z21,'Tables - Part 2'!$AV$6:$AV$13,0),MATCH('HIC-SOHIC-H2S'!$T21,'Tables - Part 2'!$AX$5:$BA$5,0))+INDEX('Tables - Part 2'!$BF$6:$BI$13,MATCH('HIC-SOHIC-H2S'!$Z21,'Tables - Part 2'!$AV$6:$AV$13,0),MATCH('HIC-SOHIC-H2S'!$T21,'Tables - Part 2'!$AX$5:$BA$5,0)))/2)+INDEX('Tables - Part 2'!$BF$6:$BI$13,MATCH('HIC-SOHIC-H2S'!$Z21,'Tables - Part 2'!$AV$6:$AV$13,0),MATCH('HIC-SOHIC-H2S'!$T21,'Tables - Part 2'!$AX$5:$BA$5,0)))/2)+INDEX('Tables - Part 2'!$BF$6:$BI$13,MATCH('HIC-SOHIC-H2S'!$Z21,'Tables - Part 2'!$AV$6:$AV$13,0),MATCH('HIC-SOHIC-H2S'!$T21,'Tables - Part 2'!$AX$5:$BA$5,0)))/2,0)</f>
        <v>0</v>
      </c>
      <c r="AW21" s="248">
        <f>IF($S21=$AW$3,INDEX('Tables - Part 2'!$BF$6:$BI$13,MATCH('HIC-SOHIC-H2S'!$Z21,'Tables - Part 2'!$AV$6:$AV$13,0),MATCH('HIC-SOHIC-H2S'!$T21,'Tables - Part 2'!$AX$5:$BA$5,0)),0)</f>
        <v>0</v>
      </c>
      <c r="AX21" s="248">
        <f>IF($S21=$AX$3,(INDEX('Tables - Part 2'!$BF$6:$BI$13,MATCH('HIC-SOHIC-H2S'!$Z21,'Tables - Part 2'!$AV$6:$AV$13,0),MATCH('HIC-SOHIC-H2S'!$T21,'Tables - Part 2'!$AX$5:$BA$5,0))+((INDEX('Tables - Part 2'!$BF$6:$BI$13,MATCH('HIC-SOHIC-H2S'!$Z21,'Tables - Part 2'!$AV$6:$AV$13,0),MATCH('HIC-SOHIC-H2S'!$T21,'Tables - Part 2'!$AX$5:$BA$5,0))+(INDEX('Tables - Part 2'!$BF$6:$BI$13,MATCH('HIC-SOHIC-H2S'!$Z21,'Tables - Part 2'!$AV$6:$AV$13,0),MATCH('HIC-SOHIC-H2S'!$T21,'Tables - Part 2'!$AX$5:$BA$5,0))+INDEX('Tables - Part 2'!$AX$17:$BA$24,MATCH('HIC-SOHIC-H2S'!$Z21,'Tables - Part 2'!$AV$6:$AV$13,0),MATCH('HIC-SOHIC-H2S'!$T21,'Tables - Part 2'!$AX$5:$BA$5,0)))/2)/2))/2,0)</f>
        <v>0</v>
      </c>
      <c r="AY21" s="248">
        <f>IF($S21=$AY$3,(INDEX('Tables - Part 2'!$BF$6:$BI$13,MATCH('HIC-SOHIC-H2S'!$Z21,'Tables - Part 2'!$AV$6:$AV$13,0),MATCH('HIC-SOHIC-H2S'!$T21,'Tables - Part 2'!$AX$5:$BA$5,0))+(INDEX('Tables - Part 2'!$BF$6:$BI$13,MATCH('HIC-SOHIC-H2S'!$Z21,'Tables - Part 2'!$AV$6:$AV$13,0),MATCH('HIC-SOHIC-H2S'!$T21,'Tables - Part 2'!$AX$5:$BA$5,0))+INDEX('Tables - Part 2'!$AX$17:$BA$24,MATCH('HIC-SOHIC-H2S'!$Z21,'Tables - Part 2'!$AV$6:$AV$13,0),MATCH('HIC-SOHIC-H2S'!$T21,'Tables - Part 2'!$AX$5:$BA$5,0)))/2)/2,0)</f>
        <v>0</v>
      </c>
      <c r="AZ21" s="248">
        <f>IF($S21=$AZ$3,(((INDEX('Tables - Part 2'!$BF$6:$BI$13,MATCH('HIC-SOHIC-H2S'!$Z21,'Tables - Part 2'!$AV$6:$AV$13,0),MATCH('HIC-SOHIC-H2S'!$T21,'Tables - Part 2'!$AX$5:$BA$5,0))+(INDEX('Tables - Part 2'!$BF$6:$BI$13,MATCH('HIC-SOHIC-H2S'!$Z21,'Tables - Part 2'!$AV$6:$AV$13,0),MATCH('HIC-SOHIC-H2S'!$T21,'Tables - Part 2'!$AX$5:$BA$5,0))+INDEX('Tables - Part 2'!$AX$17:$BA$24,MATCH('HIC-SOHIC-H2S'!$Z21,'Tables - Part 2'!$AV$6:$AV$13,0),MATCH('HIC-SOHIC-H2S'!$T21,'Tables - Part 2'!$AX$5:$BA$5,0)))/2)/2)+((INDEX('Tables - Part 2'!$BF$6:$BI$13,MATCH('HIC-SOHIC-H2S'!$Z21,'Tables - Part 2'!$AV$6:$AV$13,0),MATCH('HIC-SOHIC-H2S'!$T21,'Tables - Part 2'!$AX$5:$BA$5,0))+INDEX('Tables - Part 2'!$AX$17:$BA$24,MATCH('HIC-SOHIC-H2S'!$Z21,'Tables - Part 2'!$AV$6:$AV$13,0),MATCH('HIC-SOHIC-H2S'!$T21,'Tables - Part 2'!$AX$5:$BA$5,0)))/2))/2,0)</f>
        <v>0</v>
      </c>
      <c r="BA21" s="248">
        <f>IF($S21=$BA$3,(INDEX('Tables - Part 2'!$BF$6:$BI$13,MATCH('HIC-SOHIC-H2S'!$Z21,'Tables - Part 2'!$AV$6:$AV$13,0),MATCH('HIC-SOHIC-H2S'!$T21,'Tables - Part 2'!$AX$5:$BA$5,0))+INDEX('Tables - Part 2'!$AX$17:$BA$24,MATCH('HIC-SOHIC-H2S'!$Z21,'Tables - Part 2'!$AV$6:$AV$13,0),MATCH('HIC-SOHIC-H2S'!$T21,'Tables - Part 2'!$AX$5:$BA$5,0)))/2,0)</f>
        <v>0</v>
      </c>
      <c r="BB21" s="248">
        <f>IF($S21=$BB$3,(((INDEX('Tables - Part 2'!$BF$6:$BI$13,MATCH('HIC-SOHIC-H2S'!$Z21,'Tables - Part 2'!$AV$6:$AV$13,0),MATCH('HIC-SOHIC-H2S'!$T21,'Tables - Part 2'!$AX$5:$BA$5,0))+INDEX('Tables - Part 2'!$AX$17:$BA$24,MATCH('HIC-SOHIC-H2S'!$Z21,'Tables - Part 2'!$AV$6:$AV$13,0),MATCH('HIC-SOHIC-H2S'!$T21,'Tables - Part 2'!$AX$5:$BA$5,0)))/2)+((((INDEX('Tables - Part 2'!$BF$6:$BI$13,MATCH('HIC-SOHIC-H2S'!$Z21,'Tables - Part 2'!$AV$6:$AV$13,0),MATCH('HIC-SOHIC-H2S'!$T21,'Tables - Part 2'!$AX$5:$BA$5,0))+INDEX('Tables - Part 2'!$AX$17:$BA$24,MATCH('HIC-SOHIC-H2S'!$Z21,'Tables - Part 2'!$AV$6:$AV$13,0),MATCH('HIC-SOHIC-H2S'!$T21,'Tables - Part 2'!$AX$5:$BA$5,0)))/2)+INDEX('Tables - Part 2'!$AX$17:$BA$24,MATCH('HIC-SOHIC-H2S'!$Z21,'Tables - Part 2'!$AV$6:$AV$13,0),MATCH('HIC-SOHIC-H2S'!$T21,'Tables - Part 2'!$AX$5:$BA$5,0)))/2))/2,0)</f>
        <v>0</v>
      </c>
      <c r="BC21" s="248">
        <f>IF($S21=$BC$3,(((INDEX('Tables - Part 2'!$BF$6:$BI$13,MATCH('HIC-SOHIC-H2S'!$Z21,'Tables - Part 2'!$AV$6:$AV$13,0),MATCH('HIC-SOHIC-H2S'!$T21,'Tables - Part 2'!$AX$5:$BA$5,0))+INDEX('Tables - Part 2'!$AX$17:$BA$24,MATCH('HIC-SOHIC-H2S'!$Z21,'Tables - Part 2'!$AV$6:$AV$13,0),MATCH('HIC-SOHIC-H2S'!$T21,'Tables - Part 2'!$AX$5:$BA$5,0)))/2)+INDEX('Tables - Part 2'!$AX$17:$BA$24,MATCH('HIC-SOHIC-H2S'!$Z21,'Tables - Part 2'!$AV$6:$AV$13,0),MATCH('HIC-SOHIC-H2S'!$T21,'Tables - Part 2'!$AX$5:$BA$5,0)))/2,0)</f>
        <v>0</v>
      </c>
      <c r="BD21" s="248">
        <f>IF($S21=$BD$3,(((((INDEX('Tables - Part 2'!$BF$6:$BI$13,MATCH('HIC-SOHIC-H2S'!$Z21,'Tables - Part 2'!$AV$6:$AV$13,0),MATCH('HIC-SOHIC-H2S'!$T21,'Tables - Part 2'!$AX$5:$BA$5,0))+INDEX('Tables - Part 2'!$AX$17:$BA$24,MATCH('HIC-SOHIC-H2S'!$Z21,'Tables - Part 2'!$AV$6:$AV$13,0),MATCH('HIC-SOHIC-H2S'!$T21,'Tables - Part 2'!$AX$5:$BA$5,0)))/2)+INDEX('Tables - Part 2'!$AX$17:$BA$24,MATCH('HIC-SOHIC-H2S'!$Z21,'Tables - Part 2'!$AV$6:$AV$13,0),MATCH('HIC-SOHIC-H2S'!$T21,'Tables - Part 2'!$AX$5:$BA$5,0)))/2)+(INDEX('Tables - Part 2'!$AX$17:$BA$24,MATCH('HIC-SOHIC-H2S'!$Z21,'Tables - Part 2'!$AV$6:$AV$13,0),MATCH('HIC-SOHIC-H2S'!$T21,'Tables - Part 2'!$AX$5:$BA$5,0))))/2,0)</f>
        <v>0</v>
      </c>
      <c r="BE21" s="248">
        <f>IF($S21=$BE$3,INDEX('Tables - Part 2'!$AX$17:$BA$24,MATCH('HIC-SOHIC-H2S'!$Z21,'Tables - Part 2'!$AV$6:$AV$13,0),MATCH('HIC-SOHIC-H2S'!$T21,'Tables - Part 2'!$AX$5:$BA$5,0)),0)</f>
        <v>0</v>
      </c>
      <c r="BF21" s="248">
        <f>IF($S21=$BF$3,((INDEX('Tables - Part 2'!$AX$17:$BA$24,MATCH('HIC-SOHIC-H2S'!$Z21,'Tables - Part 2'!$AV$6:$AV$13,0),MATCH('HIC-SOHIC-H2S'!$T21,'Tables - Part 2'!$AX$5:$BA$5,0)))+(((INDEX('Tables - Part 2'!$AX$17:$BA$24,MATCH('HIC-SOHIC-H2S'!$Z21,'Tables - Part 2'!$AV$6:$AV$13,0),MATCH('HIC-SOHIC-H2S'!$T21,'Tables - Part 2'!$AX$5:$BA$5,0)))+(INDEX('Tables - Part 2'!$AX$17:$BA$24,MATCH('HIC-SOHIC-H2S'!$Z21,'Tables - Part 2'!$AV$6:$AV$13,0),MATCH('HIC-SOHIC-H2S'!$T21,'Tables - Part 2'!$AX$5:$BA$5,0))+INDEX('Tables - Part 2'!$BB$17:$BE$24,MATCH('HIC-SOHIC-H2S'!$Z21,'Tables - Part 2'!$AV$6:$AV$13,0),MATCH('HIC-SOHIC-H2S'!$T21,'Tables - Part 2'!$AX$5:$BA$5,0)))/2)/2))/2,0)</f>
        <v>0</v>
      </c>
      <c r="BG21" s="248">
        <f>IF($S21=$BG$3,((INDEX('Tables - Part 2'!$AX$17:$BA$24,MATCH('HIC-SOHIC-H2S'!$Z21,'Tables - Part 2'!$AV$6:$AV$13,0),MATCH('HIC-SOHIC-H2S'!$T21,'Tables - Part 2'!$AX$5:$BA$5,0)))+(INDEX('Tables - Part 2'!$AX$17:$BA$24,MATCH('HIC-SOHIC-H2S'!$Z21,'Tables - Part 2'!$AV$6:$AV$13,0),MATCH('HIC-SOHIC-H2S'!$T21,'Tables - Part 2'!$AX$5:$BA$5,0))+INDEX('Tables - Part 2'!$BB$17:$BE$24,MATCH('HIC-SOHIC-H2S'!$Z21,'Tables - Part 2'!$AV$6:$AV$13,0),MATCH('HIC-SOHIC-H2S'!$T21,'Tables - Part 2'!$AX$5:$BA$5,0)))/2)/2,0)</f>
        <v>0</v>
      </c>
      <c r="BH21" s="248">
        <f>IF($S21=$BH$3,((((INDEX('Tables - Part 2'!$AX$17:$BA$24,MATCH('HIC-SOHIC-H2S'!$Z21,'Tables - Part 2'!$AV$6:$AV$13,0),MATCH('HIC-SOHIC-H2S'!$T21,'Tables - Part 2'!$AX$5:$BA$5,0)))+(INDEX('Tables - Part 2'!$AX$17:$BA$24,MATCH('HIC-SOHIC-H2S'!$Z21,'Tables - Part 2'!$AV$6:$AV$13,0),MATCH('HIC-SOHIC-H2S'!$T21,'Tables - Part 2'!$AX$5:$BA$5,0))+INDEX('Tables - Part 2'!$BB$17:$BE$24,MATCH('HIC-SOHIC-H2S'!$Z21,'Tables - Part 2'!$AV$6:$AV$13,0),MATCH('HIC-SOHIC-H2S'!$T21,'Tables - Part 2'!$AX$5:$BA$5,0)))/2)/2)+((INDEX('Tables - Part 2'!$AX$17:$BA$24,MATCH('HIC-SOHIC-H2S'!$Z21,'Tables - Part 2'!$AV$6:$AV$13,0),MATCH('HIC-SOHIC-H2S'!$T21,'Tables - Part 2'!$AX$5:$BA$5,0))+INDEX('Tables - Part 2'!$BB$17:$BE$24,MATCH('HIC-SOHIC-H2S'!$Z21,'Tables - Part 2'!$AV$6:$AV$13,0),MATCH('HIC-SOHIC-H2S'!$T21,'Tables - Part 2'!$AX$5:$BA$5,0)))/2))/2,0)</f>
        <v>0</v>
      </c>
      <c r="BI21" s="248">
        <f>IF($S21=$BI$3,(INDEX('Tables - Part 2'!$AX$17:$BA$24,MATCH('HIC-SOHIC-H2S'!$Z21,'Tables - Part 2'!$AV$6:$AV$13,0),MATCH('HIC-SOHIC-H2S'!$T21,'Tables - Part 2'!$AX$5:$BA$5,0))+INDEX('Tables - Part 2'!$BB$17:$BE$24,MATCH('HIC-SOHIC-H2S'!$Z21,'Tables - Part 2'!$AV$6:$AV$13,0),MATCH('HIC-SOHIC-H2S'!$T21,'Tables - Part 2'!$AX$5:$BA$5,0)))/2,0)</f>
        <v>0</v>
      </c>
      <c r="BJ21" s="248">
        <f>IF($S21=$BJ$3,(((INDEX('Tables - Part 2'!$AX$17:$BA$24,MATCH('HIC-SOHIC-H2S'!$Z21,'Tables - Part 2'!$AV$6:$AV$13,0),MATCH('HIC-SOHIC-H2S'!$T21,'Tables - Part 2'!$AX$5:$BA$5,0))+INDEX('Tables - Part 2'!$BB$17:$BE$24,MATCH('HIC-SOHIC-H2S'!$Z21,'Tables - Part 2'!$AV$6:$AV$13,0),MATCH('HIC-SOHIC-H2S'!$T21,'Tables - Part 2'!$AX$5:$BA$5,0)))/2)+((((INDEX('Tables - Part 2'!$AX$17:$BA$24,MATCH('HIC-SOHIC-H2S'!$Z21,'Tables - Part 2'!$AV$6:$AV$13,0),MATCH('HIC-SOHIC-H2S'!$T21,'Tables - Part 2'!$AX$5:$BA$5,0))+INDEX('Tables - Part 2'!$BB$17:$BE$24,MATCH('HIC-SOHIC-H2S'!$Z21,'Tables - Part 2'!$AV$6:$AV$13,0),MATCH('HIC-SOHIC-H2S'!$T21,'Tables - Part 2'!$AX$5:$BA$5,0)))/2)+INDEX('Tables - Part 2'!$BB$17:$BE$24,MATCH('HIC-SOHIC-H2S'!$Z21,'Tables - Part 2'!$AV$6:$AV$13,0),MATCH('HIC-SOHIC-H2S'!$T21,'Tables - Part 2'!$AX$5:$BA$5,0)))/2))/2,0)</f>
        <v>0</v>
      </c>
      <c r="BK21" s="248">
        <f>IF($S21=$BK$3,(((INDEX('Tables - Part 2'!$AX$17:$BA$24,MATCH('HIC-SOHIC-H2S'!$Z21,'Tables - Part 2'!$AV$6:$AV$13,0),MATCH('HIC-SOHIC-H2S'!$T21,'Tables - Part 2'!$AX$5:$BA$5,0))+INDEX('Tables - Part 2'!$BB$17:$BE$24,MATCH('HIC-SOHIC-H2S'!$Z21,'Tables - Part 2'!$AV$6:$AV$13,0),MATCH('HIC-SOHIC-H2S'!$T21,'Tables - Part 2'!$AX$5:$BA$5,0)))/2)+INDEX('Tables - Part 2'!$BB$17:$BE$24,MATCH('HIC-SOHIC-H2S'!$Z21,'Tables - Part 2'!$AV$6:$AV$13,0),MATCH('HIC-SOHIC-H2S'!$T21,'Tables - Part 2'!$AX$5:$BA$5,0)))/2,0)</f>
        <v>0</v>
      </c>
      <c r="BL21" s="248">
        <f>IF($S21=$BL$3,(((((INDEX('Tables - Part 2'!$AX$17:$BA$24,MATCH('HIC-SOHIC-H2S'!$Z21,'Tables - Part 2'!$AV$6:$AV$13,0),MATCH('HIC-SOHIC-H2S'!$T21,'Tables - Part 2'!$AX$5:$BA$5,0))+INDEX('Tables - Part 2'!$BB$17:$BE$24,MATCH('HIC-SOHIC-H2S'!$Z21,'Tables - Part 2'!$AV$6:$AV$13,0),MATCH('HIC-SOHIC-H2S'!$T21,'Tables - Part 2'!$AX$5:$BA$5,0)))/2)+INDEX('Tables - Part 2'!$BB$17:$BE$24,MATCH('HIC-SOHIC-H2S'!$Z21,'Tables - Part 2'!$AV$6:$AV$13,0),MATCH('HIC-SOHIC-H2S'!$T21,'Tables - Part 2'!$AX$5:$BA$5,0)))/2)+(INDEX('Tables - Part 2'!$BB$17:$BE$24,MATCH('HIC-SOHIC-H2S'!$Z21,'Tables - Part 2'!$AV$6:$AV$13,0),MATCH('HIC-SOHIC-H2S'!$T21,'Tables - Part 2'!$AX$5:$BA$5,0))))/2,0)</f>
        <v>0</v>
      </c>
      <c r="BM21" s="248">
        <f>IF($S21=$BM$3,INDEX('Tables - Part 2'!$BB$17:$BE$24,MATCH('HIC-SOHIC-H2S'!$Z21,'Tables - Part 2'!$AV$6:$AV$13,0),MATCH('HIC-SOHIC-H2S'!$T21,'Tables - Part 2'!$AX$5:$BA$5,0)),0)</f>
        <v>0</v>
      </c>
      <c r="BN21" s="248">
        <f>IF($S21=$BN$3,((INDEX('Tables - Part 2'!$BB$17:$BE$24,MATCH('HIC-SOHIC-H2S'!$Z21,'Tables - Part 2'!$AV$6:$AV$13,0),MATCH('HIC-SOHIC-H2S'!$T21,'Tables - Part 2'!$AX$5:$BA$5,0)))+(((INDEX('Tables - Part 2'!$BB$17:$BE$24,MATCH('HIC-SOHIC-H2S'!$Z21,'Tables - Part 2'!$AV$6:$AV$13,0),MATCH('HIC-SOHIC-H2S'!$T21,'Tables - Part 2'!$AX$5:$BA$5,0)))+(INDEX('Tables - Part 2'!$BB$17:$BE$24,MATCH('HIC-SOHIC-H2S'!$Z21,'Tables - Part 2'!$AV$6:$AV$13,0),MATCH('HIC-SOHIC-H2S'!$T21,'Tables - Part 2'!$AX$5:$BA$5,0))+INDEX('Tables - Part 2'!$BF$17:$BI$24,MATCH('HIC-SOHIC-H2S'!$Z21,'Tables - Part 2'!$AV$6:$AV$13,0),MATCH('HIC-SOHIC-H2S'!$T21,'Tables - Part 2'!$AX$5:$BA$5,0)))/2)/2))/2,0)</f>
        <v>0</v>
      </c>
      <c r="BO21" s="248">
        <f>IF($S21=$BO$3,((INDEX('Tables - Part 2'!$BB$17:$BE$24,MATCH('HIC-SOHIC-H2S'!$Z21,'Tables - Part 2'!$AV$6:$AV$13,0),MATCH('HIC-SOHIC-H2S'!$T21,'Tables - Part 2'!$AX$5:$BA$5,0)))+(INDEX('Tables - Part 2'!$BB$17:$BE$24,MATCH('HIC-SOHIC-H2S'!$Z21,'Tables - Part 2'!$AV$6:$AV$13,0),MATCH('HIC-SOHIC-H2S'!$T21,'Tables - Part 2'!$AX$5:$BA$5,0))+INDEX('Tables - Part 2'!$BF$17:$BI$24,MATCH('HIC-SOHIC-H2S'!$Z21,'Tables - Part 2'!$AV$6:$AV$13,0),MATCH('HIC-SOHIC-H2S'!$T21,'Tables - Part 2'!$AX$5:$BA$5,0)))/2)/2,0)</f>
        <v>0</v>
      </c>
      <c r="BP21" s="248">
        <f>IF($S21=$BP$3,((((INDEX('Tables - Part 2'!$BB$17:$BE$24,MATCH('HIC-SOHIC-H2S'!$Z21,'Tables - Part 2'!$AV$6:$AV$13,0),MATCH('HIC-SOHIC-H2S'!$T21,'Tables - Part 2'!$AX$5:$BA$5,0)))+(INDEX('Tables - Part 2'!$BB$17:$BE$24,MATCH('HIC-SOHIC-H2S'!$Z21,'Tables - Part 2'!$AV$6:$AV$13,0),MATCH('HIC-SOHIC-H2S'!$T21,'Tables - Part 2'!$AX$5:$BA$5,0))+INDEX('Tables - Part 2'!$BF$17:$BI$24,MATCH('HIC-SOHIC-H2S'!$Z21,'Tables - Part 2'!$AV$6:$AV$13,0),MATCH('HIC-SOHIC-H2S'!$T21,'Tables - Part 2'!$AX$5:$BA$5,0)))/2)/2)+((INDEX('Tables - Part 2'!$BB$17:$BE$24,MATCH('HIC-SOHIC-H2S'!$Z21,'Tables - Part 2'!$AV$6:$AV$13,0),MATCH('HIC-SOHIC-H2S'!$T21,'Tables - Part 2'!$AX$5:$BA$5,0))+INDEX('Tables - Part 2'!$BF$17:$BI$24,MATCH('HIC-SOHIC-H2S'!$Z21,'Tables - Part 2'!$AV$6:$AV$13,0),MATCH('HIC-SOHIC-H2S'!$T21,'Tables - Part 2'!$AX$5:$BA$5,0)))/2))/2,0)</f>
        <v>0</v>
      </c>
      <c r="BQ21" s="248">
        <f>IF($S21=$BQ$3,(INDEX('Tables - Part 2'!$BB$17:$BE$24,MATCH('HIC-SOHIC-H2S'!$Z21,'Tables - Part 2'!$AV$6:$AV$13,0),MATCH('HIC-SOHIC-H2S'!$T21,'Tables - Part 2'!$AX$5:$BA$5,0))+INDEX('Tables - Part 2'!$BF$17:$BI$24,MATCH('HIC-SOHIC-H2S'!$Z21,'Tables - Part 2'!$AV$6:$AV$13,0),MATCH('HIC-SOHIC-H2S'!$T21,'Tables - Part 2'!$AX$5:$BA$5,0)))/2,0)</f>
        <v>0</v>
      </c>
      <c r="BR21" s="248">
        <f>IF($S21=$BR$3,(((INDEX('Tables - Part 2'!$BB$17:$BE$24,MATCH('HIC-SOHIC-H2S'!$Z21,'Tables - Part 2'!$AV$6:$AV$13,0),MATCH('HIC-SOHIC-H2S'!$T21,'Tables - Part 2'!$AX$5:$BA$5,0))+INDEX('Tables - Part 2'!$BF$17:$BI$24,MATCH('HIC-SOHIC-H2S'!$Z21,'Tables - Part 2'!$AV$6:$AV$13,0),MATCH('HIC-SOHIC-H2S'!$T21,'Tables - Part 2'!$AX$5:$BA$5,0)))/2)+((((INDEX('Tables - Part 2'!$BB$17:$BE$24,MATCH('HIC-SOHIC-H2S'!$Z21,'Tables - Part 2'!$AV$6:$AV$13,0),MATCH('HIC-SOHIC-H2S'!$T21,'Tables - Part 2'!$AX$5:$BA$5,0))+INDEX('Tables - Part 2'!$BF$17:$BI$24,MATCH('HIC-SOHIC-H2S'!$Z21,'Tables - Part 2'!$AV$6:$AV$13,0),MATCH('HIC-SOHIC-H2S'!$T21,'Tables - Part 2'!$AX$5:$BA$5,0)))/2)+INDEX('Tables - Part 2'!$BF$17:$BI$24,MATCH('HIC-SOHIC-H2S'!$Z21,'Tables - Part 2'!$AV$6:$AV$13,0),MATCH('HIC-SOHIC-H2S'!$T21,'Tables - Part 2'!$AX$5:$BA$5,0)))/2))/2,0)</f>
        <v>0</v>
      </c>
      <c r="BS21" s="248">
        <f>IF($S21=$BS$3,(((INDEX('Tables - Part 2'!$BB$17:$BE$24,MATCH('HIC-SOHIC-H2S'!$Z21,'Tables - Part 2'!$AV$6:$AV$13,0),MATCH('HIC-SOHIC-H2S'!$T21,'Tables - Part 2'!$AX$5:$BA$5,0))+INDEX('Tables - Part 2'!$BF$17:$BI$24,MATCH('HIC-SOHIC-H2S'!$Z21,'Tables - Part 2'!$AV$6:$AV$13,0),MATCH('HIC-SOHIC-H2S'!$T21,'Tables - Part 2'!$AX$5:$BA$5,0)))/2)+INDEX('Tables - Part 2'!$BF$17:$BI$24,MATCH('HIC-SOHIC-H2S'!$Z21,'Tables - Part 2'!$AV$6:$AV$13,0),MATCH('HIC-SOHIC-H2S'!$T21,'Tables - Part 2'!$AX$5:$BA$5,0)))/2,0)</f>
        <v>0</v>
      </c>
      <c r="BT21" s="248">
        <f>IF($S21=$BT$3,(((((INDEX('Tables - Part 2'!$BB$17:$BE$24,MATCH('HIC-SOHIC-H2S'!$Z21,'Tables - Part 2'!$AV$6:$AV$13,0),MATCH('HIC-SOHIC-H2S'!$T21,'Tables - Part 2'!$AX$5:$BA$5,0))+INDEX('Tables - Part 2'!$BF$17:$BI$24,MATCH('HIC-SOHIC-H2S'!$Z21,'Tables - Part 2'!$AV$6:$AV$13,0),MATCH('HIC-SOHIC-H2S'!$T21,'Tables - Part 2'!$AX$5:$BA$5,0)))/2)+INDEX('Tables - Part 2'!$BF$17:$BI$24,MATCH('HIC-SOHIC-H2S'!$Z21,'Tables - Part 2'!$AV$6:$AV$13,0),MATCH('HIC-SOHIC-H2S'!$T21,'Tables - Part 2'!$AX$5:$BA$5,0)))/2)+(INDEX('Tables - Part 2'!$BF$17:$BI$24,MATCH('HIC-SOHIC-H2S'!$Z21,'Tables - Part 2'!$AV$6:$AV$13,0),MATCH('HIC-SOHIC-H2S'!$T21,'Tables - Part 2'!$AX$5:$BA$5,0))))/2,0)</f>
        <v>0</v>
      </c>
      <c r="BU21" s="248">
        <f>IF($S21=$BU$3,INDEX('Tables - Part 2'!$BF$17:$BI$24,MATCH('HIC-SOHIC-H2S'!$Z21,'Tables - Part 2'!$AV$6:$AV$13,0),MATCH('HIC-SOHIC-H2S'!$T21,'Tables - Part 2'!$AX$5:$BA$5,0)),0)</f>
        <v>0</v>
      </c>
      <c r="BV21" s="248" t="e">
        <f t="shared" si="2"/>
        <v>#N/A</v>
      </c>
      <c r="BW21" s="238" t="e">
        <f t="shared" si="8"/>
        <v>#N/A</v>
      </c>
      <c r="BX21" s="238" t="e">
        <f t="shared" si="9"/>
        <v>#N/A</v>
      </c>
    </row>
    <row r="24" spans="2:76" x14ac:dyDescent="0.35">
      <c r="W24" s="442"/>
    </row>
    <row r="26" spans="2:76" x14ac:dyDescent="0.35">
      <c r="W26" s="442"/>
    </row>
  </sheetData>
  <mergeCells count="7">
    <mergeCell ref="AG2:BW2"/>
    <mergeCell ref="D2:H2"/>
    <mergeCell ref="I2:J2"/>
    <mergeCell ref="V2:Y2"/>
    <mergeCell ref="M2:P2"/>
    <mergeCell ref="Q2:T2"/>
    <mergeCell ref="AC2:AF2"/>
  </mergeCells>
  <pageMargins left="0.511811024" right="0.511811024" top="0.78740157499999996" bottom="0.78740157499999996" header="0.31496062000000002" footer="0.31496062000000002"/>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23">
    <tabColor rgb="FFFFFF00"/>
  </sheetPr>
  <dimension ref="B1:CC21"/>
  <sheetViews>
    <sheetView zoomScale="70" zoomScaleNormal="70" workbookViewId="0">
      <selection activeCell="I5" sqref="I5"/>
    </sheetView>
  </sheetViews>
  <sheetFormatPr defaultRowHeight="14.5" x14ac:dyDescent="0.35"/>
  <cols>
    <col min="1" max="1" width="1.26953125" customWidth="1"/>
    <col min="2" max="3" width="18.26953125" customWidth="1"/>
    <col min="4" max="4" width="21.26953125" customWidth="1"/>
    <col min="5" max="5" width="10.453125" customWidth="1"/>
    <col min="6" max="6" width="12.1796875" bestFit="1" customWidth="1"/>
    <col min="7" max="7" width="21.7265625" customWidth="1"/>
    <col min="8" max="8" width="7.26953125" customWidth="1"/>
    <col min="9" max="9" width="23.54296875" customWidth="1"/>
    <col min="10" max="10" width="13.453125" customWidth="1"/>
    <col min="11" max="13" width="12.81640625" customWidth="1"/>
    <col min="14" max="14" width="16.1796875" customWidth="1"/>
    <col min="15" max="15" width="12.81640625" customWidth="1"/>
    <col min="16" max="16" width="16.453125" customWidth="1"/>
    <col min="17" max="17" width="12.1796875" customWidth="1"/>
    <col min="18" max="18" width="25.26953125" bestFit="1" customWidth="1"/>
    <col min="19" max="19" width="11" customWidth="1"/>
    <col min="20" max="24" width="19.81640625" customWidth="1"/>
    <col min="25" max="25" width="5.7265625" bestFit="1" customWidth="1"/>
    <col min="26" max="26" width="6" customWidth="1"/>
    <col min="27" max="27" width="5.54296875" customWidth="1"/>
    <col min="28" max="28" width="6.7265625" customWidth="1"/>
    <col min="29" max="29" width="6" customWidth="1"/>
    <col min="30" max="30" width="6.7265625" customWidth="1"/>
    <col min="31" max="31" width="5.54296875" customWidth="1"/>
    <col min="32" max="32" width="6" customWidth="1"/>
    <col min="33" max="33" width="5.7265625" bestFit="1" customWidth="1"/>
    <col min="34" max="34" width="6.7265625" customWidth="1"/>
    <col min="35" max="35" width="6" customWidth="1"/>
    <col min="36" max="36" width="6.7265625" customWidth="1"/>
    <col min="37" max="37" width="4.81640625" customWidth="1"/>
    <col min="38" max="38" width="6" customWidth="1"/>
    <col min="39" max="39" width="5.54296875" customWidth="1"/>
    <col min="40" max="40" width="6.7265625" customWidth="1"/>
    <col min="41" max="41" width="6" customWidth="1"/>
    <col min="42" max="42" width="6.7265625" customWidth="1"/>
    <col min="43" max="45" width="6" customWidth="1"/>
    <col min="46" max="46" width="6.7265625" customWidth="1"/>
    <col min="47" max="47" width="6" customWidth="1"/>
    <col min="48" max="48" width="6.7265625" customWidth="1"/>
    <col min="49" max="51" width="6" customWidth="1"/>
    <col min="52" max="52" width="6.7265625" customWidth="1"/>
    <col min="53" max="53" width="6" customWidth="1"/>
    <col min="54" max="54" width="6.7265625" customWidth="1"/>
    <col min="55" max="57" width="6" customWidth="1"/>
    <col min="58" max="58" width="6.7265625" customWidth="1"/>
    <col min="59" max="59" width="6" customWidth="1"/>
    <col min="60" max="60" width="6.7265625" customWidth="1"/>
    <col min="61" max="61" width="4.81640625" customWidth="1"/>
    <col min="62" max="62" width="6" customWidth="1"/>
    <col min="63" max="63" width="5.54296875" customWidth="1"/>
    <col min="64" max="64" width="6.7265625" customWidth="1"/>
    <col min="65" max="66" width="4.81640625" customWidth="1"/>
    <col min="67" max="68" width="19.81640625" customWidth="1"/>
    <col min="69" max="70" width="9.1796875" customWidth="1"/>
    <col min="71" max="71" width="26.81640625" customWidth="1"/>
    <col min="72" max="72" width="23.54296875" customWidth="1"/>
    <col min="73" max="73" width="35.54296875" customWidth="1"/>
  </cols>
  <sheetData>
    <row r="1" spans="2:81" ht="3.75" customHeight="1" x14ac:dyDescent="0.35"/>
    <row r="2" spans="2:81" x14ac:dyDescent="0.35">
      <c r="U2" s="702" t="s">
        <v>897</v>
      </c>
      <c r="V2" s="702"/>
      <c r="W2" s="702"/>
      <c r="X2" s="702"/>
      <c r="Y2" s="449"/>
      <c r="Z2" s="450"/>
      <c r="AA2" s="450"/>
      <c r="AB2" s="450"/>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1"/>
      <c r="BP2" s="451"/>
      <c r="BS2" s="237" t="s">
        <v>839</v>
      </c>
      <c r="BU2" s="158" t="s">
        <v>244</v>
      </c>
      <c r="BZ2" s="208"/>
      <c r="CA2" s="208"/>
      <c r="CC2" s="208"/>
    </row>
    <row r="3" spans="2:81" ht="29.25" customHeight="1" x14ac:dyDescent="0.35">
      <c r="B3" s="346" t="s">
        <v>968</v>
      </c>
      <c r="C3" s="346" t="s">
        <v>969</v>
      </c>
      <c r="D3" s="139" t="s">
        <v>843</v>
      </c>
      <c r="E3" s="139" t="s">
        <v>860</v>
      </c>
      <c r="F3" s="139" t="s">
        <v>829</v>
      </c>
      <c r="G3" s="139" t="s">
        <v>1133</v>
      </c>
      <c r="H3" s="346" t="s">
        <v>858</v>
      </c>
      <c r="I3" s="139" t="s">
        <v>867</v>
      </c>
      <c r="J3" s="139" t="s">
        <v>893</v>
      </c>
      <c r="K3" s="139" t="s">
        <v>894</v>
      </c>
      <c r="L3" s="139" t="s">
        <v>895</v>
      </c>
      <c r="M3" s="139" t="s">
        <v>896</v>
      </c>
      <c r="N3" s="139" t="s">
        <v>882</v>
      </c>
      <c r="O3" s="139" t="s">
        <v>880</v>
      </c>
      <c r="P3" s="139" t="s">
        <v>882</v>
      </c>
      <c r="Q3" s="139" t="s">
        <v>880</v>
      </c>
      <c r="R3" s="346" t="s">
        <v>855</v>
      </c>
      <c r="S3" s="244" t="s">
        <v>861</v>
      </c>
      <c r="T3" s="346" t="s">
        <v>869</v>
      </c>
      <c r="U3" s="346" t="s">
        <v>278</v>
      </c>
      <c r="V3" s="346" t="s">
        <v>279</v>
      </c>
      <c r="W3" s="346" t="s">
        <v>280</v>
      </c>
      <c r="X3" s="346" t="s">
        <v>274</v>
      </c>
      <c r="Y3" s="346">
        <v>1</v>
      </c>
      <c r="Z3" s="252">
        <v>1.125</v>
      </c>
      <c r="AA3" s="346">
        <v>1.25</v>
      </c>
      <c r="AB3" s="346">
        <v>1.375</v>
      </c>
      <c r="AC3" s="254">
        <v>1.5</v>
      </c>
      <c r="AD3" s="346">
        <v>1.625</v>
      </c>
      <c r="AE3" s="346">
        <v>1.75</v>
      </c>
      <c r="AF3" s="252">
        <v>1.875</v>
      </c>
      <c r="AG3" s="346">
        <v>2</v>
      </c>
      <c r="AH3" s="346">
        <v>2.125</v>
      </c>
      <c r="AI3" s="252">
        <v>2.25</v>
      </c>
      <c r="AJ3" s="346">
        <v>2.375</v>
      </c>
      <c r="AK3" s="346">
        <v>2.5</v>
      </c>
      <c r="AL3" s="252">
        <v>2.625</v>
      </c>
      <c r="AM3" s="346">
        <v>2.75</v>
      </c>
      <c r="AN3" s="346">
        <v>2.875</v>
      </c>
      <c r="AO3" s="255">
        <v>3</v>
      </c>
      <c r="AP3" s="346">
        <v>3.125</v>
      </c>
      <c r="AQ3" s="346">
        <v>3.25</v>
      </c>
      <c r="AR3" s="252">
        <v>3.375</v>
      </c>
      <c r="AS3" s="346">
        <v>3.5</v>
      </c>
      <c r="AT3" s="346">
        <v>3.625</v>
      </c>
      <c r="AU3" s="252">
        <v>3.75</v>
      </c>
      <c r="AV3" s="346">
        <v>3.875</v>
      </c>
      <c r="AW3" s="346">
        <v>4</v>
      </c>
      <c r="AX3" s="252">
        <v>4.125</v>
      </c>
      <c r="AY3" s="346">
        <v>4.25</v>
      </c>
      <c r="AZ3" s="346">
        <v>4.375</v>
      </c>
      <c r="BA3" s="254">
        <v>4.5</v>
      </c>
      <c r="BB3" s="346">
        <v>4.625</v>
      </c>
      <c r="BC3" s="346">
        <v>4.75</v>
      </c>
      <c r="BD3" s="252">
        <v>4.875</v>
      </c>
      <c r="BE3" s="346">
        <v>5</v>
      </c>
      <c r="BF3" s="346">
        <v>5.125</v>
      </c>
      <c r="BG3" s="252">
        <v>5.25</v>
      </c>
      <c r="BH3" s="346">
        <v>5.375</v>
      </c>
      <c r="BI3" s="346">
        <v>5.5</v>
      </c>
      <c r="BJ3" s="252">
        <v>5.625</v>
      </c>
      <c r="BK3" s="346">
        <v>5.75</v>
      </c>
      <c r="BL3" s="346">
        <v>5.875</v>
      </c>
      <c r="BM3" s="346">
        <v>6</v>
      </c>
      <c r="BN3" s="346" t="s">
        <v>281</v>
      </c>
      <c r="BO3" s="346" t="s">
        <v>1135</v>
      </c>
      <c r="BP3" s="141" t="s">
        <v>1136</v>
      </c>
      <c r="BS3" s="237" t="s">
        <v>840</v>
      </c>
      <c r="BU3" s="158" t="s">
        <v>245</v>
      </c>
      <c r="BY3" s="208"/>
    </row>
    <row r="4" spans="2:81" x14ac:dyDescent="0.35">
      <c r="B4" s="161" t="str">
        <f>'Tratamento de Dados'!B12</f>
        <v>V-90</v>
      </c>
      <c r="C4" s="161" t="str">
        <f>'Tratamento de Dados'!D12</f>
        <v>Casco</v>
      </c>
      <c r="D4" s="209" t="s">
        <v>245</v>
      </c>
      <c r="E4" s="209" t="s">
        <v>61</v>
      </c>
      <c r="F4" s="209" t="s">
        <v>1134</v>
      </c>
      <c r="G4" s="209" t="s">
        <v>1132</v>
      </c>
      <c r="H4" s="209" t="s">
        <v>245</v>
      </c>
      <c r="I4" s="210">
        <v>39092</v>
      </c>
      <c r="J4" s="209">
        <v>0</v>
      </c>
      <c r="K4" s="209">
        <v>1</v>
      </c>
      <c r="L4" s="209">
        <v>1</v>
      </c>
      <c r="M4" s="209">
        <v>4</v>
      </c>
      <c r="N4" s="253">
        <f>'Tratamento de Dados'!DA12</f>
        <v>0</v>
      </c>
      <c r="O4" s="253">
        <f>'Tratamento de Dados'!DB12</f>
        <v>0</v>
      </c>
      <c r="P4" s="256">
        <f t="shared" ref="P4:P21" si="0">IF(N4=0,IF(U4&gt;=1,U4,IF(V4&gt;=1,V4,IF(W4&gt;=1,W4,IF(X4&gt;=1,X4,0)))),N4)</f>
        <v>2.5</v>
      </c>
      <c r="Q4" s="246" t="str">
        <f t="shared" ref="Q4:Q21" si="1">IF(O4=0,IF(U4&gt;=1,$U$3,IF(V4&gt;=1,$V$3,IF(W4&gt;=1,$W$3,IF(X4&gt;=1,$X$3,"E")))),O4)</f>
        <v>B</v>
      </c>
      <c r="R4" s="238" t="str">
        <f>IF(D4=$BU$2,$BS$4,IF(H4=$BU$2,$BS$5,INDEX('Tables - Part 2'!$DA$6:$DB$9,MATCH(SCC_Alkaline_Carbonate!F4,'Tables - Part 2'!$CY$6:$CY$9,0),MATCH(SCC_Alkaline_Carbonate!G4,'Tables - Part 2'!$DA$5:$DB$5,0))))</f>
        <v>Medium</v>
      </c>
      <c r="S4" s="238">
        <f>IF(AND(D4=$BU$2,E4&lt;&gt;$BU$2),"Fitness-For-Service",INDEX('Tables - Part 2'!$DE$4:$DE$7,MATCH(SCC_Alkaline_Carbonate!R4,'Tables - Part 2'!$DD$4:$DD$7,0),))</f>
        <v>100</v>
      </c>
      <c r="T4" s="238">
        <f>IF(I4=0,(Thinning!G5-Thinning!F5)/365.25,(Thinning!G5-I4)/365.25)</f>
        <v>12.980150581793293</v>
      </c>
      <c r="U4" s="248">
        <f t="shared" ref="U4:U21" si="2">IF(J4=0,0,_xlfn.FLOOR.MATH((V4/2)+J4,0.25))</f>
        <v>0</v>
      </c>
      <c r="V4" s="248">
        <f t="shared" ref="V4:V21" si="3">IF(AND(J4=0,K4=0),0,_xlfn.FLOOR.MATH((W4/2)+K4,0.25))</f>
        <v>2.5</v>
      </c>
      <c r="W4" s="248">
        <f t="shared" ref="W4:W21" si="4">_xlfn.FLOOR.MATH((X4/2)+L4,0.25)</f>
        <v>3</v>
      </c>
      <c r="X4" s="247">
        <f t="shared" ref="X4:X21" si="5">M4</f>
        <v>4</v>
      </c>
      <c r="Y4" s="248">
        <f>IF($P4=$Y$3,INDEX('Tables - Part 2'!$AX$6:$BA$13,MATCH(SCC_Alkaline_Carbonate!S4,'Tables - Part 2'!$AV$6:$AV$13,0),MATCH(SCC_Alkaline_Carbonate!Q4,'Tables - Part 2'!$AX$5:$BA$5,0)),0)</f>
        <v>0</v>
      </c>
      <c r="Z4" s="248">
        <f>IF($P4=$Z$3,(INDEX('Tables - Part 2'!$AX$6:$BA$13,MATCH(SCC_Alkaline_Carbonate!S4,'Tables - Part 2'!$AV$6:$AV$13,0),MATCH(SCC_Alkaline_Carbonate!Q4,'Tables - Part 2'!$AX$5:$BA$5,0))+(INDEX('Tables - Part 2'!$AX$6:$BA$13,MATCH(SCC_Alkaline_Carbonate!S4,'Tables - Part 2'!$AV$6:$AV$13,0),MATCH(SCC_Alkaline_Carbonate!Q4,'Tables - Part 2'!$AX$5:$BA$5,0))+((INDEX('Tables - Part 2'!$AX$6:$BA$13,MATCH(SCC_Alkaline_Carbonate!S4,'Tables - Part 2'!$AV$6:$AV$13,0),MATCH(SCC_Alkaline_Carbonate!Q4,'Tables - Part 2'!$AX$5:$BA$5,0))+INDEX('Tables - Part 2'!$BB$6:$BE$13,MATCH(SCC_Alkaline_Carbonate!$S4,'Tables - Part 2'!$AV$6:$AV$13,0),MATCH(SCC_Alkaline_Carbonate!$Q4,'Tables - Part 2'!$AX$5:$BA$5,0)))/2))/2)/2,0)</f>
        <v>0</v>
      </c>
      <c r="AA4" s="248">
        <f>IF($P4=$AA$3,(INDEX('Tables - Part 2'!$AX$6:$BA$13,MATCH(SCC_Alkaline_Carbonate!S4,'Tables - Part 2'!$AV$6:$AV$13,0),MATCH(SCC_Alkaline_Carbonate!Q4,'Tables - Part 2'!$AX$5:$BA$5,0))+((INDEX('Tables - Part 2'!$AX$6:$BA$13,MATCH(SCC_Alkaline_Carbonate!S4,'Tables - Part 2'!$AV$6:$AV$13,0),MATCH(SCC_Alkaline_Carbonate!Q4,'Tables - Part 2'!$AX$5:$BA$5,0))+INDEX('Tables - Part 2'!$BB$6:$BE$13,MATCH(SCC_Alkaline_Carbonate!$S4,'Tables - Part 2'!$AV$6:$AV$13,0),MATCH(SCC_Alkaline_Carbonate!$Q4,'Tables - Part 2'!$AX$5:$BA$5,0)))/2))/2,0)</f>
        <v>0</v>
      </c>
      <c r="AB4" s="248">
        <f>IF($P4=$AB$3,(((INDEX('Tables - Part 2'!$AX$6:$BA$13,MATCH(SCC_Alkaline_Carbonate!S4,'Tables - Part 2'!$AV$6:$AV$13,0),MATCH(SCC_Alkaline_Carbonate!Q4,'Tables - Part 2'!$AX$5:$BA$5,0))+((INDEX('Tables - Part 2'!$AX$6:$BA$13,MATCH(SCC_Alkaline_Carbonate!S4,'Tables - Part 2'!$AV$6:$AV$13,0),MATCH(SCC_Alkaline_Carbonate!Q4,'Tables - Part 2'!$AX$5:$BA$5,0))+INDEX('Tables - Part 2'!$BB$6:$BE$13,MATCH(SCC_Alkaline_Carbonate!$S4,'Tables - Part 2'!$AV$6:$AV$13,0),MATCH(SCC_Alkaline_Carbonate!$Q4,'Tables - Part 2'!$AX$5:$BA$5,0)))/2))/2)+(INDEX('Tables - Part 2'!$AX$6:$BA$13,MATCH(SCC_Alkaline_Carbonate!S4,'Tables - Part 2'!$AV$6:$AV$13,0),MATCH(SCC_Alkaline_Carbonate!Q4,'Tables - Part 2'!$AX$5:$BA$5,0))+INDEX('Tables - Part 2'!$BB$6:$BE$13,MATCH(SCC_Alkaline_Carbonate!$S4,'Tables - Part 2'!$AV$6:$AV$13,0),MATCH(SCC_Alkaline_Carbonate!$Q4,'Tables - Part 2'!$AX$5:$BA$5,0)))/2)/2,0)</f>
        <v>0</v>
      </c>
      <c r="AC4" s="248">
        <f>IF($P4=$AC$3,(INDEX('Tables - Part 2'!$AX$6:$BA$13,MATCH(SCC_Alkaline_Carbonate!S4,'Tables - Part 2'!$AV$6:$AV$13,0),MATCH(SCC_Alkaline_Carbonate!Q4,'Tables - Part 2'!$AX$5:$BA$5,0))+INDEX('Tables - Part 2'!$BB$6:$BE$13,MATCH(SCC_Alkaline_Carbonate!$S4,'Tables - Part 2'!$AV$6:$AV$13,0),MATCH(SCC_Alkaline_Carbonate!$Q4,'Tables - Part 2'!$AX$5:$BA$5,0)))/2,0)</f>
        <v>0</v>
      </c>
      <c r="AD4" s="248">
        <f>IF($P4=$AD$3,(((INDEX('Tables - Part 2'!$AX$6:$BA$13,MATCH(SCC_Alkaline_Carbonate!S4,'Tables - Part 2'!$AV$6:$AV$13,0),MATCH(SCC_Alkaline_Carbonate!Q4,'Tables - Part 2'!$AX$5:$BA$5,0))+INDEX('Tables - Part 2'!$BB$6:$BE$13,MATCH(SCC_Alkaline_Carbonate!$S4,'Tables - Part 2'!$AV$6:$AV$13,0),MATCH(SCC_Alkaline_Carbonate!$Q4,'Tables - Part 2'!$AX$5:$BA$5,0)))/2)+(((INDEX('Tables - Part 2'!$AX$6:$BA$13,MATCH(SCC_Alkaline_Carbonate!S4,'Tables - Part 2'!$AV$6:$AV$13,0),MATCH(SCC_Alkaline_Carbonate!Q4,'Tables - Part 2'!$AX$5:$BA$5,0))+INDEX('Tables - Part 2'!$BB$6:$BE$13,MATCH(SCC_Alkaline_Carbonate!$S4,'Tables - Part 2'!$AV$6:$AV$13,0),MATCH(SCC_Alkaline_Carbonate!$Q4,'Tables - Part 2'!$AX$5:$BA$5,0)))/2)+INDEX('Tables - Part 2'!$BB$6:$BE$13,MATCH(SCC_Alkaline_Carbonate!$S4,'Tables - Part 2'!$AV$6:$AV$13,0),MATCH(SCC_Alkaline_Carbonate!$Q4,'Tables - Part 2'!$AX$5:$BA$5,0)))/2)/2,0)</f>
        <v>0</v>
      </c>
      <c r="AE4" s="248">
        <f>IF($P4=$AE$3,(((INDEX('Tables - Part 2'!$AX$6:$BA$13,MATCH(SCC_Alkaline_Carbonate!S4,'Tables - Part 2'!$AV$6:$AV$13,0),MATCH(SCC_Alkaline_Carbonate!Q4,'Tables - Part 2'!$AX$5:$BA$5,0))+INDEX('Tables - Part 2'!$BB$6:$BE$13,MATCH(SCC_Alkaline_Carbonate!$S4,'Tables - Part 2'!$AV$6:$AV$13,0),MATCH(SCC_Alkaline_Carbonate!$Q4,'Tables - Part 2'!$AX$5:$BA$5,0)))/2)+INDEX('Tables - Part 2'!$BB$6:$BE$13,MATCH(SCC_Alkaline_Carbonate!$S4,'Tables - Part 2'!$AV$6:$AV$13,0),MATCH(SCC_Alkaline_Carbonate!$Q4,'Tables - Part 2'!$AX$5:$BA$5,0)))/2,0)</f>
        <v>0</v>
      </c>
      <c r="AF4" s="248">
        <f>IF($P4=$AF$3,(((((INDEX('Tables - Part 2'!$AX$6:$BA$13,MATCH(SCC_Alkaline_Carbonate!S4,'Tables - Part 2'!$AV$6:$AV$13,0),MATCH(SCC_Alkaline_Carbonate!Q4,'Tables - Part 2'!$AX$5:$BA$5,0))+INDEX('Tables - Part 2'!$BB$6:$BE$13,MATCH(SCC_Alkaline_Carbonate!$S4,'Tables - Part 2'!$AV$6:$AV$13,0),MATCH(SCC_Alkaline_Carbonate!$Q4,'Tables - Part 2'!$AX$5:$BA$5,0)))/2)+INDEX('Tables - Part 2'!$BB$6:$BE$13,MATCH(SCC_Alkaline_Carbonate!$S4,'Tables - Part 2'!$AV$6:$AV$13,0),MATCH(SCC_Alkaline_Carbonate!$Q4,'Tables - Part 2'!$AX$5:$BA$5,0)))/2)+INDEX('Tables - Part 2'!$BB$6:$BE$13,MATCH(SCC_Alkaline_Carbonate!$S4,'Tables - Part 2'!$AV$6:$AV$13,0),MATCH(SCC_Alkaline_Carbonate!$Q4,'Tables - Part 2'!$AX$5:$BA$5,0)))/2,0)</f>
        <v>0</v>
      </c>
      <c r="AG4" s="248">
        <f>IF($P4=$AG$3,INDEX('Tables - Part 2'!$BB$6:$BE$13,MATCH(SCC_Alkaline_Carbonate!$S4,'Tables - Part 2'!$AV$6:$AV$13,0),MATCH(SCC_Alkaline_Carbonate!$Q4,'Tables - Part 2'!$AX$5:$BA$5,0)),0)</f>
        <v>0</v>
      </c>
      <c r="AH4" s="248">
        <f>IF($P4=$AH$3,((INDEX('Tables - Part 2'!$BB$6:$BE$13,MATCH(SCC_Alkaline_Carbonate!$S4,'Tables - Part 2'!$AV$6:$AV$13,0),MATCH(SCC_Alkaline_Carbonate!$Q4,'Tables - Part 2'!$AX$5:$BA$5,0)))+(INDEX('Tables - Part 2'!$BB$6:$BE$13,MATCH(SCC_Alkaline_Carbonate!$S4,'Tables - Part 2'!$AV$6:$AV$13,0),MATCH(SCC_Alkaline_Carbonate!$Q4,'Tables - Part 2'!$AX$5:$BA$5,0))+(INDEX('Tables - Part 2'!$BB$6:$BE$13,MATCH(SCC_Alkaline_Carbonate!$S4,'Tables - Part 2'!$AV$6:$AV$13,0),MATCH(SCC_Alkaline_Carbonate!$Q4,'Tables - Part 2'!$AX$5:$BA$5,0))+INDEX('Tables - Part 2'!$BF$6:$BI$13,MATCH(SCC_Alkaline_Carbonate!$S4,'Tables - Part 2'!$AV$6:$AV$13,0),MATCH(SCC_Alkaline_Carbonate!$Q4,'Tables - Part 2'!$AX$5:$BA$5,0)))/2)/2)/2,0)</f>
        <v>0</v>
      </c>
      <c r="AI4" s="248">
        <f>IF($P4=$AI$3,(INDEX('Tables - Part 2'!$BB$6:$BE$13,MATCH(SCC_Alkaline_Carbonate!$S4,'Tables - Part 2'!$AV$6:$AV$13,0),MATCH(SCC_Alkaline_Carbonate!$Q4,'Tables - Part 2'!$AX$5:$BA$5,0))+(INDEX('Tables - Part 2'!$BB$6:$BE$13,MATCH(SCC_Alkaline_Carbonate!$S4,'Tables - Part 2'!$AV$6:$AV$13,0),MATCH(SCC_Alkaline_Carbonate!$Q4,'Tables - Part 2'!$AX$5:$BA$5,0))+INDEX('Tables - Part 2'!$BF$6:$BI$13,MATCH(SCC_Alkaline_Carbonate!$S4,'Tables - Part 2'!$AV$6:$AV$13,0),MATCH(SCC_Alkaline_Carbonate!$Q4,'Tables - Part 2'!$AX$5:$BA$5,0)))/2)/2,0)</f>
        <v>0</v>
      </c>
      <c r="AJ4" s="248">
        <f>IF($P4=$AJ$3,(((INDEX('Tables - Part 2'!$BB$6:$BE$13,MATCH(SCC_Alkaline_Carbonate!$S4,'Tables - Part 2'!$AV$6:$AV$13,0),MATCH(SCC_Alkaline_Carbonate!$Q4,'Tables - Part 2'!$AX$5:$BA$5,0))+(INDEX('Tables - Part 2'!$BB$6:$BE$13,MATCH(SCC_Alkaline_Carbonate!$S4,'Tables - Part 2'!$AV$6:$AV$13,0),MATCH(SCC_Alkaline_Carbonate!$Q4,'Tables - Part 2'!$AX$5:$BA$5,0))+INDEX('Tables - Part 2'!$BF$6:$BI$13,MATCH(SCC_Alkaline_Carbonate!$S4,'Tables - Part 2'!$AV$6:$AV$13,0),MATCH(SCC_Alkaline_Carbonate!$Q4,'Tables - Part 2'!$AX$5:$BA$5,0)))/2)/2)+((INDEX('Tables - Part 2'!$BB$6:$BE$13,MATCH(SCC_Alkaline_Carbonate!$S4,'Tables - Part 2'!$AV$6:$AV$13,0),MATCH(SCC_Alkaline_Carbonate!$Q4,'Tables - Part 2'!$AX$5:$BA$5,0))+INDEX('Tables - Part 2'!$BF$6:$BI$13,MATCH(SCC_Alkaline_Carbonate!$S4,'Tables - Part 2'!$AV$6:$AV$13,0),MATCH(SCC_Alkaline_Carbonate!$Q4,'Tables - Part 2'!$AX$5:$BA$5,0)))/2))/2,0)</f>
        <v>0</v>
      </c>
      <c r="AK4" s="248">
        <f>IF($P4=$AK$3,(INDEX('Tables - Part 2'!$BB$6:$BE$13,MATCH(SCC_Alkaline_Carbonate!$S4,'Tables - Part 2'!$AV$6:$AV$13,0),MATCH(SCC_Alkaline_Carbonate!$Q4,'Tables - Part 2'!$AX$5:$BA$5,0))+INDEX('Tables - Part 2'!$BF$6:$BI$13,MATCH(SCC_Alkaline_Carbonate!$S4,'Tables - Part 2'!$AV$6:$AV$13,0),MATCH(SCC_Alkaline_Carbonate!$Q4,'Tables - Part 2'!$AX$5:$BA$5,0)))/2,0)</f>
        <v>3</v>
      </c>
      <c r="AL4" s="248">
        <f>IF($P4=$AL$3,(((INDEX('Tables - Part 2'!$BB$6:$BE$13,MATCH(SCC_Alkaline_Carbonate!$S4,'Tables - Part 2'!$AV$6:$AV$13,0),MATCH(SCC_Alkaline_Carbonate!$Q4,'Tables - Part 2'!$AX$5:$BA$5,0))+INDEX('Tables - Part 2'!$BF$6:$BI$13,MATCH(SCC_Alkaline_Carbonate!$S4,'Tables - Part 2'!$AV$6:$AV$13,0),MATCH(SCC_Alkaline_Carbonate!$Q4,'Tables - Part 2'!$AX$5:$BA$5,0)))/2)+((((INDEX('Tables - Part 2'!$BB$6:$BE$13,MATCH(SCC_Alkaline_Carbonate!$S4,'Tables - Part 2'!$AV$6:$AV$13,0),MATCH(SCC_Alkaline_Carbonate!$Q4,'Tables - Part 2'!$AX$5:$BA$5,0))+INDEX('Tables - Part 2'!$BF$6:$BI$13,MATCH(SCC_Alkaline_Carbonate!$S4,'Tables - Part 2'!$AV$6:$AV$13,0),MATCH(SCC_Alkaline_Carbonate!$Q4,'Tables - Part 2'!$AX$5:$BA$5,0)))/2)+INDEX('Tables - Part 2'!$BF$6:$BI$13,MATCH(SCC_Alkaline_Carbonate!$S4,'Tables - Part 2'!$AV$6:$AV$13,0),MATCH(SCC_Alkaline_Carbonate!$Q4,'Tables - Part 2'!$AX$5:$BA$5,0)))/2))/2,0)</f>
        <v>0</v>
      </c>
      <c r="AM4" s="248">
        <f>IF($P4=$AM$3,(((INDEX('Tables - Part 2'!$BB$6:$BE$13,MATCH(SCC_Alkaline_Carbonate!$S4,'Tables - Part 2'!$AV$6:$AV$13,0),MATCH(SCC_Alkaline_Carbonate!$Q4,'Tables - Part 2'!$AX$5:$BA$5,0))+INDEX('Tables - Part 2'!$BF$6:$BI$13,MATCH(SCC_Alkaline_Carbonate!$S4,'Tables - Part 2'!$AV$6:$AV$13,0),MATCH(SCC_Alkaline_Carbonate!$Q4,'Tables - Part 2'!$AX$5:$BA$5,0)))/2)+INDEX('Tables - Part 2'!$BF$6:$BI$13,MATCH(SCC_Alkaline_Carbonate!$S4,'Tables - Part 2'!$AV$6:$AV$13,0),MATCH(SCC_Alkaline_Carbonate!$Q4,'Tables - Part 2'!$AX$5:$BA$5,0)))/2,0)</f>
        <v>0</v>
      </c>
      <c r="AN4" s="248">
        <f>IF($P4=$AN$3,(((((INDEX('Tables - Part 2'!$BB$6:$BE$13,MATCH(SCC_Alkaline_Carbonate!$S4,'Tables - Part 2'!$AV$6:$AV$13,0),MATCH(SCC_Alkaline_Carbonate!$Q4,'Tables - Part 2'!$AX$5:$BA$5,0))+INDEX('Tables - Part 2'!$BF$6:$BI$13,MATCH(SCC_Alkaline_Carbonate!$S4,'Tables - Part 2'!$AV$6:$AV$13,0),MATCH(SCC_Alkaline_Carbonate!$Q4,'Tables - Part 2'!$AX$5:$BA$5,0)))/2)+INDEX('Tables - Part 2'!$BF$6:$BI$13,MATCH(SCC_Alkaline_Carbonate!$S4,'Tables - Part 2'!$AV$6:$AV$13,0),MATCH(SCC_Alkaline_Carbonate!$Q4,'Tables - Part 2'!$AX$5:$BA$5,0)))/2)+INDEX('Tables - Part 2'!$BF$6:$BI$13,MATCH(SCC_Alkaline_Carbonate!$S4,'Tables - Part 2'!$AV$6:$AV$13,0),MATCH(SCC_Alkaline_Carbonate!$Q4,'Tables - Part 2'!$AX$5:$BA$5,0)))/2,0)</f>
        <v>0</v>
      </c>
      <c r="AO4" s="248">
        <f>IF($P4=$AO$3,INDEX('Tables - Part 2'!$BF$6:$BI$13,MATCH(SCC_Alkaline_Carbonate!$S4,'Tables - Part 2'!$AV$6:$AV$13,0),MATCH(SCC_Alkaline_Carbonate!$Q4,'Tables - Part 2'!$AX$5:$BA$5,0)),0)</f>
        <v>0</v>
      </c>
      <c r="AP4" s="248">
        <f>IF($P4=$AP$3,(INDEX('Tables - Part 2'!$BF$6:$BI$13,MATCH(SCC_Alkaline_Carbonate!$S4,'Tables - Part 2'!$AV$6:$AV$13,0),MATCH(SCC_Alkaline_Carbonate!$Q4,'Tables - Part 2'!$AX$5:$BA$5,0))+((INDEX('Tables - Part 2'!$BF$6:$BI$13,MATCH(SCC_Alkaline_Carbonate!$S4,'Tables - Part 2'!$AV$6:$AV$13,0),MATCH(SCC_Alkaline_Carbonate!$Q4,'Tables - Part 2'!$AX$5:$BA$5,0))+(INDEX('Tables - Part 2'!$BF$6:$BI$13,MATCH(SCC_Alkaline_Carbonate!$S4,'Tables - Part 2'!$AV$6:$AV$13,0),MATCH(SCC_Alkaline_Carbonate!$Q4,'Tables - Part 2'!$AX$5:$BA$5,0))+INDEX('Tables - Part 2'!$AX$17:$BA$24,MATCH(SCC_Alkaline_Carbonate!$S4,'Tables - Part 2'!$AV$6:$AV$13,0),MATCH(SCC_Alkaline_Carbonate!$Q4,'Tables - Part 2'!$AX$5:$BA$5,0)))/2)/2))/2,0)</f>
        <v>0</v>
      </c>
      <c r="AQ4" s="248">
        <f>IF($P4=$AQ$3,(INDEX('Tables - Part 2'!$BF$6:$BI$13,MATCH(SCC_Alkaline_Carbonate!$S4,'Tables - Part 2'!$AV$6:$AV$13,0),MATCH(SCC_Alkaline_Carbonate!$Q4,'Tables - Part 2'!$AX$5:$BA$5,0))+(INDEX('Tables - Part 2'!$BF$6:$BI$13,MATCH(SCC_Alkaline_Carbonate!$S4,'Tables - Part 2'!$AV$6:$AV$13,0),MATCH(SCC_Alkaline_Carbonate!$Q4,'Tables - Part 2'!$AX$5:$BA$5,0))+INDEX('Tables - Part 2'!$AX$17:$BA$24,MATCH(SCC_Alkaline_Carbonate!$S4,'Tables - Part 2'!$AV$6:$AV$13,0),MATCH(SCC_Alkaline_Carbonate!$Q4,'Tables - Part 2'!$AX$5:$BA$5,0)))/2)/2,0)</f>
        <v>0</v>
      </c>
      <c r="AR4" s="248">
        <f>IF($P4=$AR$3,(((INDEX('Tables - Part 2'!$BF$6:$BI$13,MATCH(SCC_Alkaline_Carbonate!$S4,'Tables - Part 2'!$AV$6:$AV$13,0),MATCH(SCC_Alkaline_Carbonate!$Q4,'Tables - Part 2'!$AX$5:$BA$5,0))+(INDEX('Tables - Part 2'!$BF$6:$BI$13,MATCH(SCC_Alkaline_Carbonate!$S4,'Tables - Part 2'!$AV$6:$AV$13,0),MATCH(SCC_Alkaline_Carbonate!$Q4,'Tables - Part 2'!$AX$5:$BA$5,0))+INDEX('Tables - Part 2'!$AX$17:$BA$24,MATCH(SCC_Alkaline_Carbonate!$S4,'Tables - Part 2'!$AV$6:$AV$13,0),MATCH(SCC_Alkaline_Carbonate!$Q4,'Tables - Part 2'!$AX$5:$BA$5,0)))/2)/2)+((INDEX('Tables - Part 2'!$BF$6:$BI$13,MATCH(SCC_Alkaline_Carbonate!$S4,'Tables - Part 2'!$AV$6:$AV$13,0),MATCH(SCC_Alkaline_Carbonate!$Q4,'Tables - Part 2'!$AX$5:$BA$5,0))+INDEX('Tables - Part 2'!$AX$17:$BA$24,MATCH(SCC_Alkaline_Carbonate!$S4,'Tables - Part 2'!$AV$6:$AV$13,0),MATCH(SCC_Alkaline_Carbonate!$Q4,'Tables - Part 2'!$AX$5:$BA$5,0)))/2))/2,0)</f>
        <v>0</v>
      </c>
      <c r="AS4" s="248">
        <f>IF($P4=$AS$3,(INDEX('Tables - Part 2'!$BF$6:$BI$13,MATCH(SCC_Alkaline_Carbonate!$S4,'Tables - Part 2'!$AV$6:$AV$13,0),MATCH(SCC_Alkaline_Carbonate!$Q4,'Tables - Part 2'!$AX$5:$BA$5,0))+INDEX('Tables - Part 2'!$AX$17:$BA$24,MATCH(SCC_Alkaline_Carbonate!$S4,'Tables - Part 2'!$AV$6:$AV$13,0),MATCH(SCC_Alkaline_Carbonate!$Q4,'Tables - Part 2'!$AX$5:$BA$5,0)))/2,0)</f>
        <v>0</v>
      </c>
      <c r="AT4" s="248">
        <f>IF($P4=$AT$3,(((INDEX('Tables - Part 2'!$BF$6:$BI$13,MATCH(SCC_Alkaline_Carbonate!$S4,'Tables - Part 2'!$AV$6:$AV$13,0),MATCH(SCC_Alkaline_Carbonate!$Q4,'Tables - Part 2'!$AX$5:$BA$5,0))+INDEX('Tables - Part 2'!$AX$17:$BA$24,MATCH(SCC_Alkaline_Carbonate!$S4,'Tables - Part 2'!$AV$6:$AV$13,0),MATCH(SCC_Alkaline_Carbonate!$Q4,'Tables - Part 2'!$AX$5:$BA$5,0)))/2)+((((INDEX('Tables - Part 2'!$BF$6:$BI$13,MATCH(SCC_Alkaline_Carbonate!$S4,'Tables - Part 2'!$AV$6:$AV$13,0),MATCH(SCC_Alkaline_Carbonate!$Q4,'Tables - Part 2'!$AX$5:$BA$5,0))+INDEX('Tables - Part 2'!$AX$17:$BA$24,MATCH(SCC_Alkaline_Carbonate!$S4,'Tables - Part 2'!$AV$6:$AV$13,0),MATCH(SCC_Alkaline_Carbonate!$Q4,'Tables - Part 2'!$AX$5:$BA$5,0)))/2)+INDEX('Tables - Part 2'!$AX$17:$BA$24,MATCH(SCC_Alkaline_Carbonate!$S4,'Tables - Part 2'!$AV$6:$AV$13,0),MATCH(SCC_Alkaline_Carbonate!$Q4,'Tables - Part 2'!$AX$5:$BA$5,0)))/2))/2,0)</f>
        <v>0</v>
      </c>
      <c r="AU4" s="248">
        <f>IF($P4=$AU$3,(((INDEX('Tables - Part 2'!$BF$6:$BI$13,MATCH(SCC_Alkaline_Carbonate!$S4,'Tables - Part 2'!$AV$6:$AV$13,0),MATCH(SCC_Alkaline_Carbonate!$Q4,'Tables - Part 2'!$AX$5:$BA$5,0))+INDEX('Tables - Part 2'!$AX$17:$BA$24,MATCH(SCC_Alkaline_Carbonate!$S4,'Tables - Part 2'!$AV$6:$AV$13,0),MATCH(SCC_Alkaline_Carbonate!$Q4,'Tables - Part 2'!$AX$5:$BA$5,0)))/2)+INDEX('Tables - Part 2'!$AX$17:$BA$24,MATCH(SCC_Alkaline_Carbonate!$S4,'Tables - Part 2'!$AV$6:$AV$13,0),MATCH(SCC_Alkaline_Carbonate!$Q4,'Tables - Part 2'!$AX$5:$BA$5,0)))/2,0)</f>
        <v>0</v>
      </c>
      <c r="AV4" s="248">
        <f>IF($P4=$AV$3,(((((INDEX('Tables - Part 2'!$BF$6:$BI$13,MATCH(SCC_Alkaline_Carbonate!$S4,'Tables - Part 2'!$AV$6:$AV$13,0),MATCH(SCC_Alkaline_Carbonate!$Q4,'Tables - Part 2'!$AX$5:$BA$5,0))+INDEX('Tables - Part 2'!$AX$17:$BA$24,MATCH(SCC_Alkaline_Carbonate!$S4,'Tables - Part 2'!$AV$6:$AV$13,0),MATCH(SCC_Alkaline_Carbonate!$Q4,'Tables - Part 2'!$AX$5:$BA$5,0)))/2)+INDEX('Tables - Part 2'!$AX$17:$BA$24,MATCH(SCC_Alkaline_Carbonate!$S4,'Tables - Part 2'!$AV$6:$AV$13,0),MATCH(SCC_Alkaline_Carbonate!$Q4,'Tables - Part 2'!$AX$5:$BA$5,0)))/2)+(INDEX('Tables - Part 2'!$AX$17:$BA$24,MATCH(SCC_Alkaline_Carbonate!$S4,'Tables - Part 2'!$AV$6:$AV$13,0),MATCH(SCC_Alkaline_Carbonate!$Q4,'Tables - Part 2'!$AX$5:$BA$5,0))))/2,0)</f>
        <v>0</v>
      </c>
      <c r="AW4" s="248">
        <f>IF($P4=$AW$3,INDEX('Tables - Part 2'!$AX$17:$BA$24,MATCH(SCC_Alkaline_Carbonate!$S4,'Tables - Part 2'!$AV$6:$AV$13,0),MATCH(SCC_Alkaline_Carbonate!$Q4,'Tables - Part 2'!$AX$5:$BA$5,0)),0)</f>
        <v>0</v>
      </c>
      <c r="AX4" s="248">
        <f>IF($P4=$AX$3,((INDEX('Tables - Part 2'!$AX$17:$BA$24,MATCH(SCC_Alkaline_Carbonate!$S4,'Tables - Part 2'!$AV$6:$AV$13,0),MATCH(SCC_Alkaline_Carbonate!$Q4,'Tables - Part 2'!$AX$5:$BA$5,0)))+(((INDEX('Tables - Part 2'!$AX$17:$BA$24,MATCH(SCC_Alkaline_Carbonate!$S4,'Tables - Part 2'!$AV$6:$AV$13,0),MATCH(SCC_Alkaline_Carbonate!$Q4,'Tables - Part 2'!$AX$5:$BA$5,0)))+(INDEX('Tables - Part 2'!$AX$17:$BA$24,MATCH(SCC_Alkaline_Carbonate!$S4,'Tables - Part 2'!$AV$6:$AV$13,0),MATCH(SCC_Alkaline_Carbonate!$Q4,'Tables - Part 2'!$AX$5:$BA$5,0))+INDEX('Tables - Part 2'!$BB$17:$BE$24,MATCH(SCC_Alkaline_Carbonate!$S4,'Tables - Part 2'!$AV$6:$AV$13,0),MATCH(SCC_Alkaline_Carbonate!$Q4,'Tables - Part 2'!$AX$5:$BA$5,0)))/2)/2))/2,0)</f>
        <v>0</v>
      </c>
      <c r="AY4" s="248">
        <f>IF($P4=$AY$3,((INDEX('Tables - Part 2'!$AX$17:$BA$24,MATCH(SCC_Alkaline_Carbonate!$S4,'Tables - Part 2'!$AV$6:$AV$13,0),MATCH(SCC_Alkaline_Carbonate!$Q4,'Tables - Part 2'!$AX$5:$BA$5,0)))+(INDEX('Tables - Part 2'!$AX$17:$BA$24,MATCH(SCC_Alkaline_Carbonate!$S4,'Tables - Part 2'!$AV$6:$AV$13,0),MATCH(SCC_Alkaline_Carbonate!$Q4,'Tables - Part 2'!$AX$5:$BA$5,0))+INDEX('Tables - Part 2'!$BB$17:$BE$24,MATCH(SCC_Alkaline_Carbonate!$S4,'Tables - Part 2'!$AV$6:$AV$13,0),MATCH(SCC_Alkaline_Carbonate!$Q4,'Tables - Part 2'!$AX$5:$BA$5,0)))/2)/2,0)</f>
        <v>0</v>
      </c>
      <c r="AZ4" s="248">
        <f>IF($P4=$AZ$3,((((INDEX('Tables - Part 2'!$AX$17:$BA$24,MATCH(SCC_Alkaline_Carbonate!$S4,'Tables - Part 2'!$AV$6:$AV$13,0),MATCH(SCC_Alkaline_Carbonate!$Q4,'Tables - Part 2'!$AX$5:$BA$5,0)))+(INDEX('Tables - Part 2'!$AX$17:$BA$24,MATCH(SCC_Alkaline_Carbonate!$S4,'Tables - Part 2'!$AV$6:$AV$13,0),MATCH(SCC_Alkaline_Carbonate!$Q4,'Tables - Part 2'!$AX$5:$BA$5,0))+INDEX('Tables - Part 2'!$BB$17:$BE$24,MATCH(SCC_Alkaline_Carbonate!$S4,'Tables - Part 2'!$AV$6:$AV$13,0),MATCH(SCC_Alkaline_Carbonate!$Q4,'Tables - Part 2'!$AX$5:$BA$5,0)))/2)/2)+((INDEX('Tables - Part 2'!$AX$17:$BA$24,MATCH(SCC_Alkaline_Carbonate!$S4,'Tables - Part 2'!$AV$6:$AV$13,0),MATCH(SCC_Alkaline_Carbonate!$Q4,'Tables - Part 2'!$AX$5:$BA$5,0))+INDEX('Tables - Part 2'!$BB$17:$BE$24,MATCH(SCC_Alkaline_Carbonate!$S4,'Tables - Part 2'!$AV$6:$AV$13,0),MATCH(SCC_Alkaline_Carbonate!$Q4,'Tables - Part 2'!$AX$5:$BA$5,0)))/2))/2,0)</f>
        <v>0</v>
      </c>
      <c r="BA4" s="248">
        <f>IF($P4=$BA$3,(INDEX('Tables - Part 2'!$AX$17:$BA$24,MATCH(SCC_Alkaline_Carbonate!$S4,'Tables - Part 2'!$AV$6:$AV$13,0),MATCH(SCC_Alkaline_Carbonate!$Q4,'Tables - Part 2'!$AX$5:$BA$5,0))+INDEX('Tables - Part 2'!$BB$17:$BE$24,MATCH(SCC_Alkaline_Carbonate!$S4,'Tables - Part 2'!$AV$6:$AV$13,0),MATCH(SCC_Alkaline_Carbonate!$Q4,'Tables - Part 2'!$AX$5:$BA$5,0)))/2,0)</f>
        <v>0</v>
      </c>
      <c r="BB4" s="248">
        <f>IF($P4=$BB$3,(((INDEX('Tables - Part 2'!$AX$17:$BA$24,MATCH(SCC_Alkaline_Carbonate!$S4,'Tables - Part 2'!$AV$6:$AV$13,0),MATCH(SCC_Alkaline_Carbonate!$Q4,'Tables - Part 2'!$AX$5:$BA$5,0))+INDEX('Tables - Part 2'!$BB$17:$BE$24,MATCH(SCC_Alkaline_Carbonate!$S4,'Tables - Part 2'!$AV$6:$AV$13,0),MATCH(SCC_Alkaline_Carbonate!$Q4,'Tables - Part 2'!$AX$5:$BA$5,0)))/2)+((((INDEX('Tables - Part 2'!$AX$17:$BA$24,MATCH(SCC_Alkaline_Carbonate!$S4,'Tables - Part 2'!$AV$6:$AV$13,0),MATCH(SCC_Alkaline_Carbonate!$Q4,'Tables - Part 2'!$AX$5:$BA$5,0))+INDEX('Tables - Part 2'!$BB$17:$BE$24,MATCH(SCC_Alkaline_Carbonate!$S4,'Tables - Part 2'!$AV$6:$AV$13,0),MATCH(SCC_Alkaline_Carbonate!$Q4,'Tables - Part 2'!$AX$5:$BA$5,0)))/2)+INDEX('Tables - Part 2'!$BB$17:$BE$24,MATCH(SCC_Alkaline_Carbonate!$S4,'Tables - Part 2'!$AV$6:$AV$13,0),MATCH(SCC_Alkaline_Carbonate!$Q4,'Tables - Part 2'!$AX$5:$BA$5,0)))/2))/2,0)</f>
        <v>0</v>
      </c>
      <c r="BC4" s="248">
        <f>IF($P4=$BC$3,(((INDEX('Tables - Part 2'!$AX$17:$BA$24,MATCH(SCC_Alkaline_Carbonate!$S4,'Tables - Part 2'!$AV$6:$AV$13,0),MATCH(SCC_Alkaline_Carbonate!$Q4,'Tables - Part 2'!$AX$5:$BA$5,0))+INDEX('Tables - Part 2'!$BB$17:$BE$24,MATCH(SCC_Alkaline_Carbonate!$S4,'Tables - Part 2'!$AV$6:$AV$13,0),MATCH(SCC_Alkaline_Carbonate!$Q4,'Tables - Part 2'!$AX$5:$BA$5,0)))/2)+INDEX('Tables - Part 2'!$BB$17:$BE$24,MATCH(SCC_Alkaline_Carbonate!$S4,'Tables - Part 2'!$AV$6:$AV$13,0),MATCH(SCC_Alkaline_Carbonate!$Q4,'Tables - Part 2'!$AX$5:$BA$5,0)))/2,0)</f>
        <v>0</v>
      </c>
      <c r="BD4" s="248">
        <f>IF($P4=$BD$3,(((((INDEX('Tables - Part 2'!$AX$17:$BA$24,MATCH(SCC_Alkaline_Carbonate!$S4,'Tables - Part 2'!$AV$6:$AV$13,0),MATCH(SCC_Alkaline_Carbonate!$Q4,'Tables - Part 2'!$AX$5:$BA$5,0))+INDEX('Tables - Part 2'!$BB$17:$BE$24,MATCH(SCC_Alkaline_Carbonate!$S4,'Tables - Part 2'!$AV$6:$AV$13,0),MATCH(SCC_Alkaline_Carbonate!$Q4,'Tables - Part 2'!$AX$5:$BA$5,0)))/2)+INDEX('Tables - Part 2'!$BB$17:$BE$24,MATCH(SCC_Alkaline_Carbonate!$S4,'Tables - Part 2'!$AV$6:$AV$13,0),MATCH(SCC_Alkaline_Carbonate!$Q4,'Tables - Part 2'!$AX$5:$BA$5,0)))/2)+(INDEX('Tables - Part 2'!$BB$17:$BE$24,MATCH(SCC_Alkaline_Carbonate!$S4,'Tables - Part 2'!$AV$6:$AV$13,0),MATCH(SCC_Alkaline_Carbonate!$Q4,'Tables - Part 2'!$AX$5:$BA$5,0))))/2,0)</f>
        <v>0</v>
      </c>
      <c r="BE4" s="248">
        <f>IF($P4=$BE$3,INDEX('Tables - Part 2'!$BB$17:$BE$24,MATCH(SCC_Alkaline_Carbonate!$S4,'Tables - Part 2'!$AV$6:$AV$13,0),MATCH(SCC_Alkaline_Carbonate!$Q4,'Tables - Part 2'!$AX$5:$BA$5,0)),0)</f>
        <v>0</v>
      </c>
      <c r="BF4" s="248">
        <f>IF($P4=$BF$3,((INDEX('Tables - Part 2'!$BB$17:$BE$24,MATCH(SCC_Alkaline_Carbonate!$S4,'Tables - Part 2'!$AV$6:$AV$13,0),MATCH(SCC_Alkaline_Carbonate!$Q4,'Tables - Part 2'!$AX$5:$BA$5,0)))+(((INDEX('Tables - Part 2'!$BB$17:$BE$24,MATCH(SCC_Alkaline_Carbonate!$S4,'Tables - Part 2'!$AV$6:$AV$13,0),MATCH(SCC_Alkaline_Carbonate!$Q4,'Tables - Part 2'!$AX$5:$BA$5,0)))+(INDEX('Tables - Part 2'!$BB$17:$BE$24,MATCH(SCC_Alkaline_Carbonate!$S4,'Tables - Part 2'!$AV$6:$AV$13,0),MATCH(SCC_Alkaline_Carbonate!$Q4,'Tables - Part 2'!$AX$5:$BA$5,0))+INDEX('Tables - Part 2'!$BF$17:$BI$24,MATCH(SCC_Alkaline_Carbonate!$S4,'Tables - Part 2'!$AV$6:$AV$13,0),MATCH(SCC_Alkaline_Carbonate!$Q4,'Tables - Part 2'!$AX$5:$BA$5,0)))/2)/2))/2,0)</f>
        <v>0</v>
      </c>
      <c r="BG4" s="248">
        <f>IF($P4=$BG$3,((INDEX('Tables - Part 2'!$BB$17:$BE$24,MATCH(SCC_Alkaline_Carbonate!$S4,'Tables - Part 2'!$AV$6:$AV$13,0),MATCH(SCC_Alkaline_Carbonate!$Q4,'Tables - Part 2'!$AX$5:$BA$5,0)))+(INDEX('Tables - Part 2'!$BB$17:$BE$24,MATCH(SCC_Alkaline_Carbonate!$S4,'Tables - Part 2'!$AV$6:$AV$13,0),MATCH(SCC_Alkaline_Carbonate!$Q4,'Tables - Part 2'!$AX$5:$BA$5,0))+INDEX('Tables - Part 2'!$BF$17:$BI$24,MATCH(SCC_Alkaline_Carbonate!$S4,'Tables - Part 2'!$AV$6:$AV$13,0),MATCH(SCC_Alkaline_Carbonate!$Q4,'Tables - Part 2'!$AX$5:$BA$5,0)))/2)/2,0)</f>
        <v>0</v>
      </c>
      <c r="BH4" s="248">
        <f>IF($P4=$BH$3,((((INDEX('Tables - Part 2'!$BB$17:$BE$24,MATCH(SCC_Alkaline_Carbonate!$S4,'Tables - Part 2'!$AV$6:$AV$13,0),MATCH(SCC_Alkaline_Carbonate!$Q4,'Tables - Part 2'!$AX$5:$BA$5,0)))+(INDEX('Tables - Part 2'!$BB$17:$BE$24,MATCH(SCC_Alkaline_Carbonate!$S4,'Tables - Part 2'!$AV$6:$AV$13,0),MATCH(SCC_Alkaline_Carbonate!$Q4,'Tables - Part 2'!$AX$5:$BA$5,0))+INDEX('Tables - Part 2'!$BF$17:$BI$24,MATCH(SCC_Alkaline_Carbonate!$S4,'Tables - Part 2'!$AV$6:$AV$13,0),MATCH(SCC_Alkaline_Carbonate!$Q4,'Tables - Part 2'!$AX$5:$BA$5,0)))/2)/2)+((INDEX('Tables - Part 2'!$BB$17:$BE$24,MATCH(SCC_Alkaline_Carbonate!$S4,'Tables - Part 2'!$AV$6:$AV$13,0),MATCH(SCC_Alkaline_Carbonate!$Q4,'Tables - Part 2'!$AX$5:$BA$5,0))+INDEX('Tables - Part 2'!$BF$17:$BI$24,MATCH(SCC_Alkaline_Carbonate!$S4,'Tables - Part 2'!$AV$6:$AV$13,0),MATCH(SCC_Alkaline_Carbonate!$Q4,'Tables - Part 2'!$AX$5:$BA$5,0)))/2))/2,0)</f>
        <v>0</v>
      </c>
      <c r="BI4" s="248">
        <f>IF($P4=$BI$3,(INDEX('Tables - Part 2'!$BB$17:$BE$24,MATCH(SCC_Alkaline_Carbonate!$S4,'Tables - Part 2'!$AV$6:$AV$13,0),MATCH(SCC_Alkaline_Carbonate!$Q4,'Tables - Part 2'!$AX$5:$BA$5,0))+INDEX('Tables - Part 2'!$BF$17:$BI$24,MATCH(SCC_Alkaline_Carbonate!$S4,'Tables - Part 2'!$AV$6:$AV$13,0),MATCH(SCC_Alkaline_Carbonate!$Q4,'Tables - Part 2'!$AX$5:$BA$5,0)))/2,0)</f>
        <v>0</v>
      </c>
      <c r="BJ4" s="248">
        <f>IF($P4=$BJ$3,(((INDEX('Tables - Part 2'!$BB$17:$BE$24,MATCH(SCC_Alkaline_Carbonate!$S4,'Tables - Part 2'!$AV$6:$AV$13,0),MATCH(SCC_Alkaline_Carbonate!$Q4,'Tables - Part 2'!$AX$5:$BA$5,0))+INDEX('Tables - Part 2'!$BF$17:$BI$24,MATCH(SCC_Alkaline_Carbonate!$S4,'Tables - Part 2'!$AV$6:$AV$13,0),MATCH(SCC_Alkaline_Carbonate!$Q4,'Tables - Part 2'!$AX$5:$BA$5,0)))/2)+((((INDEX('Tables - Part 2'!$BB$17:$BE$24,MATCH(SCC_Alkaline_Carbonate!$S4,'Tables - Part 2'!$AV$6:$AV$13,0),MATCH(SCC_Alkaline_Carbonate!$Q4,'Tables - Part 2'!$AX$5:$BA$5,0))+INDEX('Tables - Part 2'!$BF$17:$BI$24,MATCH(SCC_Alkaline_Carbonate!$S4,'Tables - Part 2'!$AV$6:$AV$13,0),MATCH(SCC_Alkaline_Carbonate!$Q4,'Tables - Part 2'!$AX$5:$BA$5,0)))/2)+INDEX('Tables - Part 2'!$BF$17:$BI$24,MATCH(SCC_Alkaline_Carbonate!$S4,'Tables - Part 2'!$AV$6:$AV$13,0),MATCH(SCC_Alkaline_Carbonate!$Q4,'Tables - Part 2'!$AX$5:$BA$5,0)))/2))/2,0)</f>
        <v>0</v>
      </c>
      <c r="BK4" s="248">
        <f>IF($P4=$BK$3,(((INDEX('Tables - Part 2'!$BB$17:$BE$24,MATCH(SCC_Alkaline_Carbonate!$S4,'Tables - Part 2'!$AV$6:$AV$13,0),MATCH(SCC_Alkaline_Carbonate!$Q4,'Tables - Part 2'!$AX$5:$BA$5,0))+INDEX('Tables - Part 2'!$BF$17:$BI$24,MATCH(SCC_Alkaline_Carbonate!$S4,'Tables - Part 2'!$AV$6:$AV$13,0),MATCH(SCC_Alkaline_Carbonate!$Q4,'Tables - Part 2'!$AX$5:$BA$5,0)))/2)+INDEX('Tables - Part 2'!$BF$17:$BI$24,MATCH(SCC_Alkaline_Carbonate!$S4,'Tables - Part 2'!$AV$6:$AV$13,0),MATCH(SCC_Alkaline_Carbonate!$Q4,'Tables - Part 2'!$AX$5:$BA$5,0)))/2,0)</f>
        <v>0</v>
      </c>
      <c r="BL4" s="248">
        <f>IF($P4=$BL$3,(((((INDEX('Tables - Part 2'!$BB$17:$BE$24,MATCH(SCC_Alkaline_Carbonate!$S4,'Tables - Part 2'!$AV$6:$AV$13,0),MATCH(SCC_Alkaline_Carbonate!$Q4,'Tables - Part 2'!$AX$5:$BA$5,0))+INDEX('Tables - Part 2'!$BF$17:$BI$24,MATCH(SCC_Alkaline_Carbonate!$S4,'Tables - Part 2'!$AV$6:$AV$13,0),MATCH(SCC_Alkaline_Carbonate!$Q4,'Tables - Part 2'!$AX$5:$BA$5,0)))/2)+INDEX('Tables - Part 2'!$BF$17:$BI$24,MATCH(SCC_Alkaline_Carbonate!$S4,'Tables - Part 2'!$AV$6:$AV$13,0),MATCH(SCC_Alkaline_Carbonate!$Q4,'Tables - Part 2'!$AX$5:$BA$5,0)))/2)+(INDEX('Tables - Part 2'!$BF$17:$BI$24,MATCH(SCC_Alkaline_Carbonate!$S4,'Tables - Part 2'!$AV$6:$AV$13,0),MATCH(SCC_Alkaline_Carbonate!$Q4,'Tables - Part 2'!$AX$5:$BA$5,0))))/2,0)</f>
        <v>0</v>
      </c>
      <c r="BM4" s="248">
        <f>IF($P4=$BM$3,INDEX('Tables - Part 2'!$BF$17:$BI$24,MATCH(SCC_Alkaline_Carbonate!$S4,'Tables - Part 2'!$AV$6:$AV$13,0),MATCH(SCC_Alkaline_Carbonate!$Q4,'Tables - Part 2'!$AX$5:$BA$5,0)),0)</f>
        <v>0</v>
      </c>
      <c r="BN4" s="248">
        <f t="shared" ref="BN4:BN21" si="6">IF(P4=0,S4,0)</f>
        <v>0</v>
      </c>
      <c r="BO4" s="238">
        <f>SUM(Y4:BN4)</f>
        <v>3</v>
      </c>
      <c r="BP4" s="238">
        <f t="shared" ref="BP4:BP21" si="7">IF(B4="",0,MIN(BO4*POWER(MAX(T4,1),1.1),5000))</f>
        <v>50.318647405225171</v>
      </c>
      <c r="BS4" s="237" t="s">
        <v>841</v>
      </c>
      <c r="BU4" t="s">
        <v>61</v>
      </c>
      <c r="BY4" s="208"/>
    </row>
    <row r="5" spans="2:81" x14ac:dyDescent="0.35">
      <c r="B5" s="161" t="str">
        <f>'Tratamento de Dados'!B13</f>
        <v>V-07</v>
      </c>
      <c r="C5" s="161" t="str">
        <f>'Tratamento de Dados'!D13</f>
        <v>Tampo_Sul</v>
      </c>
      <c r="D5" s="209" t="s">
        <v>245</v>
      </c>
      <c r="E5" s="209" t="s">
        <v>61</v>
      </c>
      <c r="F5" s="209" t="s">
        <v>1134</v>
      </c>
      <c r="G5" s="209" t="s">
        <v>1132</v>
      </c>
      <c r="H5" s="209" t="s">
        <v>245</v>
      </c>
      <c r="I5" s="210">
        <v>39092</v>
      </c>
      <c r="J5" s="209">
        <v>0</v>
      </c>
      <c r="K5" s="209">
        <v>1</v>
      </c>
      <c r="L5" s="209">
        <v>1</v>
      </c>
      <c r="M5" s="209">
        <v>4</v>
      </c>
      <c r="N5" s="253">
        <f>'Tratamento de Dados'!DA13</f>
        <v>0</v>
      </c>
      <c r="O5" s="253">
        <f>'Tratamento de Dados'!DB13</f>
        <v>0</v>
      </c>
      <c r="P5" s="256">
        <f t="shared" si="0"/>
        <v>2.5</v>
      </c>
      <c r="Q5" s="246" t="str">
        <f t="shared" si="1"/>
        <v>B</v>
      </c>
      <c r="R5" s="238" t="str">
        <f>IF(D5=$BU$2,$BS$4,IF(H5=$BU$2,$BS$5,INDEX('Tables - Part 2'!$DA$6:$DB$9,MATCH(SCC_Alkaline_Carbonate!F5,'Tables - Part 2'!$CY$6:$CY$9,0),MATCH(SCC_Alkaline_Carbonate!G5,'Tables - Part 2'!$DA$5:$DB$5,0))))</f>
        <v>Medium</v>
      </c>
      <c r="S5" s="238">
        <f>IF(AND(D5=$BU$2,E5&lt;&gt;$BU$2),"Fitness-For-Service",INDEX('Tables - Part 2'!$DE$4:$DE$7,MATCH(SCC_Alkaline_Carbonate!R5,'Tables - Part 2'!$DD$4:$DD$7,0),))</f>
        <v>100</v>
      </c>
      <c r="T5" s="238">
        <f>IF(I5=0,(Thinning!G6-Thinning!F6)/365.25,(Thinning!G6-I5)/365.25)</f>
        <v>13.390828199863108</v>
      </c>
      <c r="U5" s="248">
        <f t="shared" si="2"/>
        <v>0</v>
      </c>
      <c r="V5" s="248">
        <f t="shared" si="3"/>
        <v>2.5</v>
      </c>
      <c r="W5" s="248">
        <f t="shared" si="4"/>
        <v>3</v>
      </c>
      <c r="X5" s="247">
        <f t="shared" si="5"/>
        <v>4</v>
      </c>
      <c r="Y5" s="248">
        <f>IF($P5=$Y$3,INDEX('Tables - Part 2'!$AX$6:$BA$13,MATCH(SCC_Alkaline_Carbonate!S5,'Tables - Part 2'!$AV$6:$AV$13,0),MATCH(SCC_Alkaline_Carbonate!Q5,'Tables - Part 2'!$AX$5:$BA$5,0)),0)</f>
        <v>0</v>
      </c>
      <c r="Z5" s="248">
        <f>IF($P5=$Z$3,(INDEX('Tables - Part 2'!$AX$6:$BA$13,MATCH(SCC_Alkaline_Carbonate!S5,'Tables - Part 2'!$AV$6:$AV$13,0),MATCH(SCC_Alkaline_Carbonate!Q5,'Tables - Part 2'!$AX$5:$BA$5,0))+(INDEX('Tables - Part 2'!$AX$6:$BA$13,MATCH(SCC_Alkaline_Carbonate!S5,'Tables - Part 2'!$AV$6:$AV$13,0),MATCH(SCC_Alkaline_Carbonate!Q5,'Tables - Part 2'!$AX$5:$BA$5,0))+((INDEX('Tables - Part 2'!$AX$6:$BA$13,MATCH(SCC_Alkaline_Carbonate!S5,'Tables - Part 2'!$AV$6:$AV$13,0),MATCH(SCC_Alkaline_Carbonate!Q5,'Tables - Part 2'!$AX$5:$BA$5,0))+INDEX('Tables - Part 2'!$BB$6:$BE$13,MATCH(SCC_Alkaline_Carbonate!$S5,'Tables - Part 2'!$AV$6:$AV$13,0),MATCH(SCC_Alkaline_Carbonate!$Q5,'Tables - Part 2'!$AX$5:$BA$5,0)))/2))/2)/2,0)</f>
        <v>0</v>
      </c>
      <c r="AA5" s="248">
        <f>IF($P5=$AA$3,(INDEX('Tables - Part 2'!$AX$6:$BA$13,MATCH(SCC_Alkaline_Carbonate!S5,'Tables - Part 2'!$AV$6:$AV$13,0),MATCH(SCC_Alkaline_Carbonate!Q5,'Tables - Part 2'!$AX$5:$BA$5,0))+((INDEX('Tables - Part 2'!$AX$6:$BA$13,MATCH(SCC_Alkaline_Carbonate!S5,'Tables - Part 2'!$AV$6:$AV$13,0),MATCH(SCC_Alkaline_Carbonate!Q5,'Tables - Part 2'!$AX$5:$BA$5,0))+INDEX('Tables - Part 2'!$BB$6:$BE$13,MATCH(SCC_Alkaline_Carbonate!$S5,'Tables - Part 2'!$AV$6:$AV$13,0),MATCH(SCC_Alkaline_Carbonate!$Q5,'Tables - Part 2'!$AX$5:$BA$5,0)))/2))/2,0)</f>
        <v>0</v>
      </c>
      <c r="AB5" s="248">
        <f>IF($P5=$AB$3,(((INDEX('Tables - Part 2'!$AX$6:$BA$13,MATCH(SCC_Alkaline_Carbonate!S5,'Tables - Part 2'!$AV$6:$AV$13,0),MATCH(SCC_Alkaline_Carbonate!Q5,'Tables - Part 2'!$AX$5:$BA$5,0))+((INDEX('Tables - Part 2'!$AX$6:$BA$13,MATCH(SCC_Alkaline_Carbonate!S5,'Tables - Part 2'!$AV$6:$AV$13,0),MATCH(SCC_Alkaline_Carbonate!Q5,'Tables - Part 2'!$AX$5:$BA$5,0))+INDEX('Tables - Part 2'!$BB$6:$BE$13,MATCH(SCC_Alkaline_Carbonate!$S5,'Tables - Part 2'!$AV$6:$AV$13,0),MATCH(SCC_Alkaline_Carbonate!$Q5,'Tables - Part 2'!$AX$5:$BA$5,0)))/2))/2)+(INDEX('Tables - Part 2'!$AX$6:$BA$13,MATCH(SCC_Alkaline_Carbonate!S5,'Tables - Part 2'!$AV$6:$AV$13,0),MATCH(SCC_Alkaline_Carbonate!Q5,'Tables - Part 2'!$AX$5:$BA$5,0))+INDEX('Tables - Part 2'!$BB$6:$BE$13,MATCH(SCC_Alkaline_Carbonate!$S5,'Tables - Part 2'!$AV$6:$AV$13,0),MATCH(SCC_Alkaline_Carbonate!$Q5,'Tables - Part 2'!$AX$5:$BA$5,0)))/2)/2,0)</f>
        <v>0</v>
      </c>
      <c r="AC5" s="248">
        <f>IF($P5=$AC$3,(INDEX('Tables - Part 2'!$AX$6:$BA$13,MATCH(SCC_Alkaline_Carbonate!S5,'Tables - Part 2'!$AV$6:$AV$13,0),MATCH(SCC_Alkaline_Carbonate!Q5,'Tables - Part 2'!$AX$5:$BA$5,0))+INDEX('Tables - Part 2'!$BB$6:$BE$13,MATCH(SCC_Alkaline_Carbonate!$S5,'Tables - Part 2'!$AV$6:$AV$13,0),MATCH(SCC_Alkaline_Carbonate!$Q5,'Tables - Part 2'!$AX$5:$BA$5,0)))/2,0)</f>
        <v>0</v>
      </c>
      <c r="AD5" s="248">
        <f>IF($P5=$AD$3,(((INDEX('Tables - Part 2'!$AX$6:$BA$13,MATCH(SCC_Alkaline_Carbonate!S5,'Tables - Part 2'!$AV$6:$AV$13,0),MATCH(SCC_Alkaline_Carbonate!Q5,'Tables - Part 2'!$AX$5:$BA$5,0))+INDEX('Tables - Part 2'!$BB$6:$BE$13,MATCH(SCC_Alkaline_Carbonate!$S5,'Tables - Part 2'!$AV$6:$AV$13,0),MATCH(SCC_Alkaline_Carbonate!$Q5,'Tables - Part 2'!$AX$5:$BA$5,0)))/2)+(((INDEX('Tables - Part 2'!$AX$6:$BA$13,MATCH(SCC_Alkaline_Carbonate!S5,'Tables - Part 2'!$AV$6:$AV$13,0),MATCH(SCC_Alkaline_Carbonate!Q5,'Tables - Part 2'!$AX$5:$BA$5,0))+INDEX('Tables - Part 2'!$BB$6:$BE$13,MATCH(SCC_Alkaline_Carbonate!$S5,'Tables - Part 2'!$AV$6:$AV$13,0),MATCH(SCC_Alkaline_Carbonate!$Q5,'Tables - Part 2'!$AX$5:$BA$5,0)))/2)+INDEX('Tables - Part 2'!$BB$6:$BE$13,MATCH(SCC_Alkaline_Carbonate!$S5,'Tables - Part 2'!$AV$6:$AV$13,0),MATCH(SCC_Alkaline_Carbonate!$Q5,'Tables - Part 2'!$AX$5:$BA$5,0)))/2)/2,0)</f>
        <v>0</v>
      </c>
      <c r="AE5" s="248">
        <f>IF($P5=$AE$3,(((INDEX('Tables - Part 2'!$AX$6:$BA$13,MATCH(SCC_Alkaline_Carbonate!S5,'Tables - Part 2'!$AV$6:$AV$13,0),MATCH(SCC_Alkaline_Carbonate!Q5,'Tables - Part 2'!$AX$5:$BA$5,0))+INDEX('Tables - Part 2'!$BB$6:$BE$13,MATCH(SCC_Alkaline_Carbonate!$S5,'Tables - Part 2'!$AV$6:$AV$13,0),MATCH(SCC_Alkaline_Carbonate!$Q5,'Tables - Part 2'!$AX$5:$BA$5,0)))/2)+INDEX('Tables - Part 2'!$BB$6:$BE$13,MATCH(SCC_Alkaline_Carbonate!$S5,'Tables - Part 2'!$AV$6:$AV$13,0),MATCH(SCC_Alkaline_Carbonate!$Q5,'Tables - Part 2'!$AX$5:$BA$5,0)))/2,0)</f>
        <v>0</v>
      </c>
      <c r="AF5" s="248">
        <f>IF($P5=$AF$3,(((((INDEX('Tables - Part 2'!$AX$6:$BA$13,MATCH(SCC_Alkaline_Carbonate!S5,'Tables - Part 2'!$AV$6:$AV$13,0),MATCH(SCC_Alkaline_Carbonate!Q5,'Tables - Part 2'!$AX$5:$BA$5,0))+INDEX('Tables - Part 2'!$BB$6:$BE$13,MATCH(SCC_Alkaline_Carbonate!$S5,'Tables - Part 2'!$AV$6:$AV$13,0),MATCH(SCC_Alkaline_Carbonate!$Q5,'Tables - Part 2'!$AX$5:$BA$5,0)))/2)+INDEX('Tables - Part 2'!$BB$6:$BE$13,MATCH(SCC_Alkaline_Carbonate!$S5,'Tables - Part 2'!$AV$6:$AV$13,0),MATCH(SCC_Alkaline_Carbonate!$Q5,'Tables - Part 2'!$AX$5:$BA$5,0)))/2)+INDEX('Tables - Part 2'!$BB$6:$BE$13,MATCH(SCC_Alkaline_Carbonate!$S5,'Tables - Part 2'!$AV$6:$AV$13,0),MATCH(SCC_Alkaline_Carbonate!$Q5,'Tables - Part 2'!$AX$5:$BA$5,0)))/2,0)</f>
        <v>0</v>
      </c>
      <c r="AG5" s="248">
        <f>IF($P5=$AG$3,INDEX('Tables - Part 2'!$BB$6:$BE$13,MATCH(SCC_Alkaline_Carbonate!$S5,'Tables - Part 2'!$AV$6:$AV$13,0),MATCH(SCC_Alkaline_Carbonate!$Q5,'Tables - Part 2'!$AX$5:$BA$5,0)),0)</f>
        <v>0</v>
      </c>
      <c r="AH5" s="248">
        <f>IF($P5=$AH$3,((INDEX('Tables - Part 2'!$BB$6:$BE$13,MATCH(SCC_Alkaline_Carbonate!$S5,'Tables - Part 2'!$AV$6:$AV$13,0),MATCH(SCC_Alkaline_Carbonate!$Q5,'Tables - Part 2'!$AX$5:$BA$5,0)))+(INDEX('Tables - Part 2'!$BB$6:$BE$13,MATCH(SCC_Alkaline_Carbonate!$S5,'Tables - Part 2'!$AV$6:$AV$13,0),MATCH(SCC_Alkaline_Carbonate!$Q5,'Tables - Part 2'!$AX$5:$BA$5,0))+(INDEX('Tables - Part 2'!$BB$6:$BE$13,MATCH(SCC_Alkaline_Carbonate!$S5,'Tables - Part 2'!$AV$6:$AV$13,0),MATCH(SCC_Alkaline_Carbonate!$Q5,'Tables - Part 2'!$AX$5:$BA$5,0))+INDEX('Tables - Part 2'!$BF$6:$BI$13,MATCH(SCC_Alkaline_Carbonate!$S5,'Tables - Part 2'!$AV$6:$AV$13,0),MATCH(SCC_Alkaline_Carbonate!$Q5,'Tables - Part 2'!$AX$5:$BA$5,0)))/2)/2)/2,0)</f>
        <v>0</v>
      </c>
      <c r="AI5" s="248">
        <f>IF($P5=$AI$3,(INDEX('Tables - Part 2'!$BB$6:$BE$13,MATCH(SCC_Alkaline_Carbonate!$S5,'Tables - Part 2'!$AV$6:$AV$13,0),MATCH(SCC_Alkaline_Carbonate!$Q5,'Tables - Part 2'!$AX$5:$BA$5,0))+(INDEX('Tables - Part 2'!$BB$6:$BE$13,MATCH(SCC_Alkaline_Carbonate!$S5,'Tables - Part 2'!$AV$6:$AV$13,0),MATCH(SCC_Alkaline_Carbonate!$Q5,'Tables - Part 2'!$AX$5:$BA$5,0))+INDEX('Tables - Part 2'!$BF$6:$BI$13,MATCH(SCC_Alkaline_Carbonate!$S5,'Tables - Part 2'!$AV$6:$AV$13,0),MATCH(SCC_Alkaline_Carbonate!$Q5,'Tables - Part 2'!$AX$5:$BA$5,0)))/2)/2,0)</f>
        <v>0</v>
      </c>
      <c r="AJ5" s="248">
        <f>IF($P5=$AJ$3,(((INDEX('Tables - Part 2'!$BB$6:$BE$13,MATCH(SCC_Alkaline_Carbonate!$S5,'Tables - Part 2'!$AV$6:$AV$13,0),MATCH(SCC_Alkaline_Carbonate!$Q5,'Tables - Part 2'!$AX$5:$BA$5,0))+(INDEX('Tables - Part 2'!$BB$6:$BE$13,MATCH(SCC_Alkaline_Carbonate!$S5,'Tables - Part 2'!$AV$6:$AV$13,0),MATCH(SCC_Alkaline_Carbonate!$Q5,'Tables - Part 2'!$AX$5:$BA$5,0))+INDEX('Tables - Part 2'!$BF$6:$BI$13,MATCH(SCC_Alkaline_Carbonate!$S5,'Tables - Part 2'!$AV$6:$AV$13,0),MATCH(SCC_Alkaline_Carbonate!$Q5,'Tables - Part 2'!$AX$5:$BA$5,0)))/2)/2)+((INDEX('Tables - Part 2'!$BB$6:$BE$13,MATCH(SCC_Alkaline_Carbonate!$S5,'Tables - Part 2'!$AV$6:$AV$13,0),MATCH(SCC_Alkaline_Carbonate!$Q5,'Tables - Part 2'!$AX$5:$BA$5,0))+INDEX('Tables - Part 2'!$BF$6:$BI$13,MATCH(SCC_Alkaline_Carbonate!$S5,'Tables - Part 2'!$AV$6:$AV$13,0),MATCH(SCC_Alkaline_Carbonate!$Q5,'Tables - Part 2'!$AX$5:$BA$5,0)))/2))/2,0)</f>
        <v>0</v>
      </c>
      <c r="AK5" s="248">
        <f>IF($P5=$AK$3,(INDEX('Tables - Part 2'!$BB$6:$BE$13,MATCH(SCC_Alkaline_Carbonate!$S5,'Tables - Part 2'!$AV$6:$AV$13,0),MATCH(SCC_Alkaline_Carbonate!$Q5,'Tables - Part 2'!$AX$5:$BA$5,0))+INDEX('Tables - Part 2'!$BF$6:$BI$13,MATCH(SCC_Alkaline_Carbonate!$S5,'Tables - Part 2'!$AV$6:$AV$13,0),MATCH(SCC_Alkaline_Carbonate!$Q5,'Tables - Part 2'!$AX$5:$BA$5,0)))/2,0)</f>
        <v>3</v>
      </c>
      <c r="AL5" s="248">
        <f>IF($P5=$AL$3,(((INDEX('Tables - Part 2'!$BB$6:$BE$13,MATCH(SCC_Alkaline_Carbonate!$S5,'Tables - Part 2'!$AV$6:$AV$13,0),MATCH(SCC_Alkaline_Carbonate!$Q5,'Tables - Part 2'!$AX$5:$BA$5,0))+INDEX('Tables - Part 2'!$BF$6:$BI$13,MATCH(SCC_Alkaline_Carbonate!$S5,'Tables - Part 2'!$AV$6:$AV$13,0),MATCH(SCC_Alkaline_Carbonate!$Q5,'Tables - Part 2'!$AX$5:$BA$5,0)))/2)+((((INDEX('Tables - Part 2'!$BB$6:$BE$13,MATCH(SCC_Alkaline_Carbonate!$S5,'Tables - Part 2'!$AV$6:$AV$13,0),MATCH(SCC_Alkaline_Carbonate!$Q5,'Tables - Part 2'!$AX$5:$BA$5,0))+INDEX('Tables - Part 2'!$BF$6:$BI$13,MATCH(SCC_Alkaline_Carbonate!$S5,'Tables - Part 2'!$AV$6:$AV$13,0),MATCH(SCC_Alkaline_Carbonate!$Q5,'Tables - Part 2'!$AX$5:$BA$5,0)))/2)+INDEX('Tables - Part 2'!$BF$6:$BI$13,MATCH(SCC_Alkaline_Carbonate!$S5,'Tables - Part 2'!$AV$6:$AV$13,0),MATCH(SCC_Alkaline_Carbonate!$Q5,'Tables - Part 2'!$AX$5:$BA$5,0)))/2))/2,0)</f>
        <v>0</v>
      </c>
      <c r="AM5" s="248">
        <f>IF($P5=$AM$3,(((INDEX('Tables - Part 2'!$BB$6:$BE$13,MATCH(SCC_Alkaline_Carbonate!$S5,'Tables - Part 2'!$AV$6:$AV$13,0),MATCH(SCC_Alkaline_Carbonate!$Q5,'Tables - Part 2'!$AX$5:$BA$5,0))+INDEX('Tables - Part 2'!$BF$6:$BI$13,MATCH(SCC_Alkaline_Carbonate!$S5,'Tables - Part 2'!$AV$6:$AV$13,0),MATCH(SCC_Alkaline_Carbonate!$Q5,'Tables - Part 2'!$AX$5:$BA$5,0)))/2)+INDEX('Tables - Part 2'!$BF$6:$BI$13,MATCH(SCC_Alkaline_Carbonate!$S5,'Tables - Part 2'!$AV$6:$AV$13,0),MATCH(SCC_Alkaline_Carbonate!$Q5,'Tables - Part 2'!$AX$5:$BA$5,0)))/2,0)</f>
        <v>0</v>
      </c>
      <c r="AN5" s="248">
        <f>IF($P5=$AN$3,(((((INDEX('Tables - Part 2'!$BB$6:$BE$13,MATCH(SCC_Alkaline_Carbonate!$S5,'Tables - Part 2'!$AV$6:$AV$13,0),MATCH(SCC_Alkaline_Carbonate!$Q5,'Tables - Part 2'!$AX$5:$BA$5,0))+INDEX('Tables - Part 2'!$BF$6:$BI$13,MATCH(SCC_Alkaline_Carbonate!$S5,'Tables - Part 2'!$AV$6:$AV$13,0),MATCH(SCC_Alkaline_Carbonate!$Q5,'Tables - Part 2'!$AX$5:$BA$5,0)))/2)+INDEX('Tables - Part 2'!$BF$6:$BI$13,MATCH(SCC_Alkaline_Carbonate!$S5,'Tables - Part 2'!$AV$6:$AV$13,0),MATCH(SCC_Alkaline_Carbonate!$Q5,'Tables - Part 2'!$AX$5:$BA$5,0)))/2)+INDEX('Tables - Part 2'!$BF$6:$BI$13,MATCH(SCC_Alkaline_Carbonate!$S5,'Tables - Part 2'!$AV$6:$AV$13,0),MATCH(SCC_Alkaline_Carbonate!$Q5,'Tables - Part 2'!$AX$5:$BA$5,0)))/2,0)</f>
        <v>0</v>
      </c>
      <c r="AO5" s="248">
        <f>IF($P5=$AO$3,INDEX('Tables - Part 2'!$BF$6:$BI$13,MATCH(SCC_Alkaline_Carbonate!$S5,'Tables - Part 2'!$AV$6:$AV$13,0),MATCH(SCC_Alkaline_Carbonate!$Q5,'Tables - Part 2'!$AX$5:$BA$5,0)),0)</f>
        <v>0</v>
      </c>
      <c r="AP5" s="248">
        <f>IF($P5=$AP$3,(INDEX('Tables - Part 2'!$BF$6:$BI$13,MATCH(SCC_Alkaline_Carbonate!$S5,'Tables - Part 2'!$AV$6:$AV$13,0),MATCH(SCC_Alkaline_Carbonate!$Q5,'Tables - Part 2'!$AX$5:$BA$5,0))+((INDEX('Tables - Part 2'!$BF$6:$BI$13,MATCH(SCC_Alkaline_Carbonate!$S5,'Tables - Part 2'!$AV$6:$AV$13,0),MATCH(SCC_Alkaline_Carbonate!$Q5,'Tables - Part 2'!$AX$5:$BA$5,0))+(INDEX('Tables - Part 2'!$BF$6:$BI$13,MATCH(SCC_Alkaline_Carbonate!$S5,'Tables - Part 2'!$AV$6:$AV$13,0),MATCH(SCC_Alkaline_Carbonate!$Q5,'Tables - Part 2'!$AX$5:$BA$5,0))+INDEX('Tables - Part 2'!$AX$17:$BA$24,MATCH(SCC_Alkaline_Carbonate!$S5,'Tables - Part 2'!$AV$6:$AV$13,0),MATCH(SCC_Alkaline_Carbonate!$Q5,'Tables - Part 2'!$AX$5:$BA$5,0)))/2)/2))/2,0)</f>
        <v>0</v>
      </c>
      <c r="AQ5" s="248">
        <f>IF($P5=$AQ$3,(INDEX('Tables - Part 2'!$BF$6:$BI$13,MATCH(SCC_Alkaline_Carbonate!$S5,'Tables - Part 2'!$AV$6:$AV$13,0),MATCH(SCC_Alkaline_Carbonate!$Q5,'Tables - Part 2'!$AX$5:$BA$5,0))+(INDEX('Tables - Part 2'!$BF$6:$BI$13,MATCH(SCC_Alkaline_Carbonate!$S5,'Tables - Part 2'!$AV$6:$AV$13,0),MATCH(SCC_Alkaline_Carbonate!$Q5,'Tables - Part 2'!$AX$5:$BA$5,0))+INDEX('Tables - Part 2'!$AX$17:$BA$24,MATCH(SCC_Alkaline_Carbonate!$S5,'Tables - Part 2'!$AV$6:$AV$13,0),MATCH(SCC_Alkaline_Carbonate!$Q5,'Tables - Part 2'!$AX$5:$BA$5,0)))/2)/2,0)</f>
        <v>0</v>
      </c>
      <c r="AR5" s="248">
        <f>IF($P5=$AR$3,(((INDEX('Tables - Part 2'!$BF$6:$BI$13,MATCH(SCC_Alkaline_Carbonate!$S5,'Tables - Part 2'!$AV$6:$AV$13,0),MATCH(SCC_Alkaline_Carbonate!$Q5,'Tables - Part 2'!$AX$5:$BA$5,0))+(INDEX('Tables - Part 2'!$BF$6:$BI$13,MATCH(SCC_Alkaline_Carbonate!$S5,'Tables - Part 2'!$AV$6:$AV$13,0),MATCH(SCC_Alkaline_Carbonate!$Q5,'Tables - Part 2'!$AX$5:$BA$5,0))+INDEX('Tables - Part 2'!$AX$17:$BA$24,MATCH(SCC_Alkaline_Carbonate!$S5,'Tables - Part 2'!$AV$6:$AV$13,0),MATCH(SCC_Alkaline_Carbonate!$Q5,'Tables - Part 2'!$AX$5:$BA$5,0)))/2)/2)+((INDEX('Tables - Part 2'!$BF$6:$BI$13,MATCH(SCC_Alkaline_Carbonate!$S5,'Tables - Part 2'!$AV$6:$AV$13,0),MATCH(SCC_Alkaline_Carbonate!$Q5,'Tables - Part 2'!$AX$5:$BA$5,0))+INDEX('Tables - Part 2'!$AX$17:$BA$24,MATCH(SCC_Alkaline_Carbonate!$S5,'Tables - Part 2'!$AV$6:$AV$13,0),MATCH(SCC_Alkaline_Carbonate!$Q5,'Tables - Part 2'!$AX$5:$BA$5,0)))/2))/2,0)</f>
        <v>0</v>
      </c>
      <c r="AS5" s="248">
        <f>IF($P5=$AS$3,(INDEX('Tables - Part 2'!$BF$6:$BI$13,MATCH(SCC_Alkaline_Carbonate!$S5,'Tables - Part 2'!$AV$6:$AV$13,0),MATCH(SCC_Alkaline_Carbonate!$Q5,'Tables - Part 2'!$AX$5:$BA$5,0))+INDEX('Tables - Part 2'!$AX$17:$BA$24,MATCH(SCC_Alkaline_Carbonate!$S5,'Tables - Part 2'!$AV$6:$AV$13,0),MATCH(SCC_Alkaline_Carbonate!$Q5,'Tables - Part 2'!$AX$5:$BA$5,0)))/2,0)</f>
        <v>0</v>
      </c>
      <c r="AT5" s="248">
        <f>IF($P5=$AT$3,(((INDEX('Tables - Part 2'!$BF$6:$BI$13,MATCH(SCC_Alkaline_Carbonate!$S5,'Tables - Part 2'!$AV$6:$AV$13,0),MATCH(SCC_Alkaline_Carbonate!$Q5,'Tables - Part 2'!$AX$5:$BA$5,0))+INDEX('Tables - Part 2'!$AX$17:$BA$24,MATCH(SCC_Alkaline_Carbonate!$S5,'Tables - Part 2'!$AV$6:$AV$13,0),MATCH(SCC_Alkaline_Carbonate!$Q5,'Tables - Part 2'!$AX$5:$BA$5,0)))/2)+((((INDEX('Tables - Part 2'!$BF$6:$BI$13,MATCH(SCC_Alkaline_Carbonate!$S5,'Tables - Part 2'!$AV$6:$AV$13,0),MATCH(SCC_Alkaline_Carbonate!$Q5,'Tables - Part 2'!$AX$5:$BA$5,0))+INDEX('Tables - Part 2'!$AX$17:$BA$24,MATCH(SCC_Alkaline_Carbonate!$S5,'Tables - Part 2'!$AV$6:$AV$13,0),MATCH(SCC_Alkaline_Carbonate!$Q5,'Tables - Part 2'!$AX$5:$BA$5,0)))/2)+INDEX('Tables - Part 2'!$AX$17:$BA$24,MATCH(SCC_Alkaline_Carbonate!$S5,'Tables - Part 2'!$AV$6:$AV$13,0),MATCH(SCC_Alkaline_Carbonate!$Q5,'Tables - Part 2'!$AX$5:$BA$5,0)))/2))/2,0)</f>
        <v>0</v>
      </c>
      <c r="AU5" s="248">
        <f>IF($P5=$AU$3,(((INDEX('Tables - Part 2'!$BF$6:$BI$13,MATCH(SCC_Alkaline_Carbonate!$S5,'Tables - Part 2'!$AV$6:$AV$13,0),MATCH(SCC_Alkaline_Carbonate!$Q5,'Tables - Part 2'!$AX$5:$BA$5,0))+INDEX('Tables - Part 2'!$AX$17:$BA$24,MATCH(SCC_Alkaline_Carbonate!$S5,'Tables - Part 2'!$AV$6:$AV$13,0),MATCH(SCC_Alkaline_Carbonate!$Q5,'Tables - Part 2'!$AX$5:$BA$5,0)))/2)+INDEX('Tables - Part 2'!$AX$17:$BA$24,MATCH(SCC_Alkaline_Carbonate!$S5,'Tables - Part 2'!$AV$6:$AV$13,0),MATCH(SCC_Alkaline_Carbonate!$Q5,'Tables - Part 2'!$AX$5:$BA$5,0)))/2,0)</f>
        <v>0</v>
      </c>
      <c r="AV5" s="248">
        <f>IF($P5=$AV$3,(((((INDEX('Tables - Part 2'!$BF$6:$BI$13,MATCH(SCC_Alkaline_Carbonate!$S5,'Tables - Part 2'!$AV$6:$AV$13,0),MATCH(SCC_Alkaline_Carbonate!$Q5,'Tables - Part 2'!$AX$5:$BA$5,0))+INDEX('Tables - Part 2'!$AX$17:$BA$24,MATCH(SCC_Alkaline_Carbonate!$S5,'Tables - Part 2'!$AV$6:$AV$13,0),MATCH(SCC_Alkaline_Carbonate!$Q5,'Tables - Part 2'!$AX$5:$BA$5,0)))/2)+INDEX('Tables - Part 2'!$AX$17:$BA$24,MATCH(SCC_Alkaline_Carbonate!$S5,'Tables - Part 2'!$AV$6:$AV$13,0),MATCH(SCC_Alkaline_Carbonate!$Q5,'Tables - Part 2'!$AX$5:$BA$5,0)))/2)+(INDEX('Tables - Part 2'!$AX$17:$BA$24,MATCH(SCC_Alkaline_Carbonate!$S5,'Tables - Part 2'!$AV$6:$AV$13,0),MATCH(SCC_Alkaline_Carbonate!$Q5,'Tables - Part 2'!$AX$5:$BA$5,0))))/2,0)</f>
        <v>0</v>
      </c>
      <c r="AW5" s="248">
        <f>IF($P5=$AW$3,INDEX('Tables - Part 2'!$AX$17:$BA$24,MATCH(SCC_Alkaline_Carbonate!$S5,'Tables - Part 2'!$AV$6:$AV$13,0),MATCH(SCC_Alkaline_Carbonate!$Q5,'Tables - Part 2'!$AX$5:$BA$5,0)),0)</f>
        <v>0</v>
      </c>
      <c r="AX5" s="248">
        <f>IF($P5=$AX$3,((INDEX('Tables - Part 2'!$AX$17:$BA$24,MATCH(SCC_Alkaline_Carbonate!$S5,'Tables - Part 2'!$AV$6:$AV$13,0),MATCH(SCC_Alkaline_Carbonate!$Q5,'Tables - Part 2'!$AX$5:$BA$5,0)))+(((INDEX('Tables - Part 2'!$AX$17:$BA$24,MATCH(SCC_Alkaline_Carbonate!$S5,'Tables - Part 2'!$AV$6:$AV$13,0),MATCH(SCC_Alkaline_Carbonate!$Q5,'Tables - Part 2'!$AX$5:$BA$5,0)))+(INDEX('Tables - Part 2'!$AX$17:$BA$24,MATCH(SCC_Alkaline_Carbonate!$S5,'Tables - Part 2'!$AV$6:$AV$13,0),MATCH(SCC_Alkaline_Carbonate!$Q5,'Tables - Part 2'!$AX$5:$BA$5,0))+INDEX('Tables - Part 2'!$BB$17:$BE$24,MATCH(SCC_Alkaline_Carbonate!$S5,'Tables - Part 2'!$AV$6:$AV$13,0),MATCH(SCC_Alkaline_Carbonate!$Q5,'Tables - Part 2'!$AX$5:$BA$5,0)))/2)/2))/2,0)</f>
        <v>0</v>
      </c>
      <c r="AY5" s="248">
        <f>IF($P5=$AY$3,((INDEX('Tables - Part 2'!$AX$17:$BA$24,MATCH(SCC_Alkaline_Carbonate!$S5,'Tables - Part 2'!$AV$6:$AV$13,0),MATCH(SCC_Alkaline_Carbonate!$Q5,'Tables - Part 2'!$AX$5:$BA$5,0)))+(INDEX('Tables - Part 2'!$AX$17:$BA$24,MATCH(SCC_Alkaline_Carbonate!$S5,'Tables - Part 2'!$AV$6:$AV$13,0),MATCH(SCC_Alkaline_Carbonate!$Q5,'Tables - Part 2'!$AX$5:$BA$5,0))+INDEX('Tables - Part 2'!$BB$17:$BE$24,MATCH(SCC_Alkaline_Carbonate!$S5,'Tables - Part 2'!$AV$6:$AV$13,0),MATCH(SCC_Alkaline_Carbonate!$Q5,'Tables - Part 2'!$AX$5:$BA$5,0)))/2)/2,0)</f>
        <v>0</v>
      </c>
      <c r="AZ5" s="248">
        <f>IF($P5=$AZ$3,((((INDEX('Tables - Part 2'!$AX$17:$BA$24,MATCH(SCC_Alkaline_Carbonate!$S5,'Tables - Part 2'!$AV$6:$AV$13,0),MATCH(SCC_Alkaline_Carbonate!$Q5,'Tables - Part 2'!$AX$5:$BA$5,0)))+(INDEX('Tables - Part 2'!$AX$17:$BA$24,MATCH(SCC_Alkaline_Carbonate!$S5,'Tables - Part 2'!$AV$6:$AV$13,0),MATCH(SCC_Alkaline_Carbonate!$Q5,'Tables - Part 2'!$AX$5:$BA$5,0))+INDEX('Tables - Part 2'!$BB$17:$BE$24,MATCH(SCC_Alkaline_Carbonate!$S5,'Tables - Part 2'!$AV$6:$AV$13,0),MATCH(SCC_Alkaline_Carbonate!$Q5,'Tables - Part 2'!$AX$5:$BA$5,0)))/2)/2)+((INDEX('Tables - Part 2'!$AX$17:$BA$24,MATCH(SCC_Alkaline_Carbonate!$S5,'Tables - Part 2'!$AV$6:$AV$13,0),MATCH(SCC_Alkaline_Carbonate!$Q5,'Tables - Part 2'!$AX$5:$BA$5,0))+INDEX('Tables - Part 2'!$BB$17:$BE$24,MATCH(SCC_Alkaline_Carbonate!$S5,'Tables - Part 2'!$AV$6:$AV$13,0),MATCH(SCC_Alkaline_Carbonate!$Q5,'Tables - Part 2'!$AX$5:$BA$5,0)))/2))/2,0)</f>
        <v>0</v>
      </c>
      <c r="BA5" s="248">
        <f>IF($P5=$BA$3,(INDEX('Tables - Part 2'!$AX$17:$BA$24,MATCH(SCC_Alkaline_Carbonate!$S5,'Tables - Part 2'!$AV$6:$AV$13,0),MATCH(SCC_Alkaline_Carbonate!$Q5,'Tables - Part 2'!$AX$5:$BA$5,0))+INDEX('Tables - Part 2'!$BB$17:$BE$24,MATCH(SCC_Alkaline_Carbonate!$S5,'Tables - Part 2'!$AV$6:$AV$13,0),MATCH(SCC_Alkaline_Carbonate!$Q5,'Tables - Part 2'!$AX$5:$BA$5,0)))/2,0)</f>
        <v>0</v>
      </c>
      <c r="BB5" s="248">
        <f>IF($P5=$BB$3,(((INDEX('Tables - Part 2'!$AX$17:$BA$24,MATCH(SCC_Alkaline_Carbonate!$S5,'Tables - Part 2'!$AV$6:$AV$13,0),MATCH(SCC_Alkaline_Carbonate!$Q5,'Tables - Part 2'!$AX$5:$BA$5,0))+INDEX('Tables - Part 2'!$BB$17:$BE$24,MATCH(SCC_Alkaline_Carbonate!$S5,'Tables - Part 2'!$AV$6:$AV$13,0),MATCH(SCC_Alkaline_Carbonate!$Q5,'Tables - Part 2'!$AX$5:$BA$5,0)))/2)+((((INDEX('Tables - Part 2'!$AX$17:$BA$24,MATCH(SCC_Alkaline_Carbonate!$S5,'Tables - Part 2'!$AV$6:$AV$13,0),MATCH(SCC_Alkaline_Carbonate!$Q5,'Tables - Part 2'!$AX$5:$BA$5,0))+INDEX('Tables - Part 2'!$BB$17:$BE$24,MATCH(SCC_Alkaline_Carbonate!$S5,'Tables - Part 2'!$AV$6:$AV$13,0),MATCH(SCC_Alkaline_Carbonate!$Q5,'Tables - Part 2'!$AX$5:$BA$5,0)))/2)+INDEX('Tables - Part 2'!$BB$17:$BE$24,MATCH(SCC_Alkaline_Carbonate!$S5,'Tables - Part 2'!$AV$6:$AV$13,0),MATCH(SCC_Alkaline_Carbonate!$Q5,'Tables - Part 2'!$AX$5:$BA$5,0)))/2))/2,0)</f>
        <v>0</v>
      </c>
      <c r="BC5" s="248">
        <f>IF($P5=$BC$3,(((INDEX('Tables - Part 2'!$AX$17:$BA$24,MATCH(SCC_Alkaline_Carbonate!$S5,'Tables - Part 2'!$AV$6:$AV$13,0),MATCH(SCC_Alkaline_Carbonate!$Q5,'Tables - Part 2'!$AX$5:$BA$5,0))+INDEX('Tables - Part 2'!$BB$17:$BE$24,MATCH(SCC_Alkaline_Carbonate!$S5,'Tables - Part 2'!$AV$6:$AV$13,0),MATCH(SCC_Alkaline_Carbonate!$Q5,'Tables - Part 2'!$AX$5:$BA$5,0)))/2)+INDEX('Tables - Part 2'!$BB$17:$BE$24,MATCH(SCC_Alkaline_Carbonate!$S5,'Tables - Part 2'!$AV$6:$AV$13,0),MATCH(SCC_Alkaline_Carbonate!$Q5,'Tables - Part 2'!$AX$5:$BA$5,0)))/2,0)</f>
        <v>0</v>
      </c>
      <c r="BD5" s="248">
        <f>IF($P5=$BD$3,(((((INDEX('Tables - Part 2'!$AX$17:$BA$24,MATCH(SCC_Alkaline_Carbonate!$S5,'Tables - Part 2'!$AV$6:$AV$13,0),MATCH(SCC_Alkaline_Carbonate!$Q5,'Tables - Part 2'!$AX$5:$BA$5,0))+INDEX('Tables - Part 2'!$BB$17:$BE$24,MATCH(SCC_Alkaline_Carbonate!$S5,'Tables - Part 2'!$AV$6:$AV$13,0),MATCH(SCC_Alkaline_Carbonate!$Q5,'Tables - Part 2'!$AX$5:$BA$5,0)))/2)+INDEX('Tables - Part 2'!$BB$17:$BE$24,MATCH(SCC_Alkaline_Carbonate!$S5,'Tables - Part 2'!$AV$6:$AV$13,0),MATCH(SCC_Alkaline_Carbonate!$Q5,'Tables - Part 2'!$AX$5:$BA$5,0)))/2)+(INDEX('Tables - Part 2'!$BB$17:$BE$24,MATCH(SCC_Alkaline_Carbonate!$S5,'Tables - Part 2'!$AV$6:$AV$13,0),MATCH(SCC_Alkaline_Carbonate!$Q5,'Tables - Part 2'!$AX$5:$BA$5,0))))/2,0)</f>
        <v>0</v>
      </c>
      <c r="BE5" s="248">
        <f>IF($P5=$BE$3,INDEX('Tables - Part 2'!$BB$17:$BE$24,MATCH(SCC_Alkaline_Carbonate!$S5,'Tables - Part 2'!$AV$6:$AV$13,0),MATCH(SCC_Alkaline_Carbonate!$Q5,'Tables - Part 2'!$AX$5:$BA$5,0)),0)</f>
        <v>0</v>
      </c>
      <c r="BF5" s="248">
        <f>IF($P5=$BF$3,((INDEX('Tables - Part 2'!$BB$17:$BE$24,MATCH(SCC_Alkaline_Carbonate!$S5,'Tables - Part 2'!$AV$6:$AV$13,0),MATCH(SCC_Alkaline_Carbonate!$Q5,'Tables - Part 2'!$AX$5:$BA$5,0)))+(((INDEX('Tables - Part 2'!$BB$17:$BE$24,MATCH(SCC_Alkaline_Carbonate!$S5,'Tables - Part 2'!$AV$6:$AV$13,0),MATCH(SCC_Alkaline_Carbonate!$Q5,'Tables - Part 2'!$AX$5:$BA$5,0)))+(INDEX('Tables - Part 2'!$BB$17:$BE$24,MATCH(SCC_Alkaline_Carbonate!$S5,'Tables - Part 2'!$AV$6:$AV$13,0),MATCH(SCC_Alkaline_Carbonate!$Q5,'Tables - Part 2'!$AX$5:$BA$5,0))+INDEX('Tables - Part 2'!$BF$17:$BI$24,MATCH(SCC_Alkaline_Carbonate!$S5,'Tables - Part 2'!$AV$6:$AV$13,0),MATCH(SCC_Alkaline_Carbonate!$Q5,'Tables - Part 2'!$AX$5:$BA$5,0)))/2)/2))/2,0)</f>
        <v>0</v>
      </c>
      <c r="BG5" s="248">
        <f>IF($P5=$BG$3,((INDEX('Tables - Part 2'!$BB$17:$BE$24,MATCH(SCC_Alkaline_Carbonate!$S5,'Tables - Part 2'!$AV$6:$AV$13,0),MATCH(SCC_Alkaline_Carbonate!$Q5,'Tables - Part 2'!$AX$5:$BA$5,0)))+(INDEX('Tables - Part 2'!$BB$17:$BE$24,MATCH(SCC_Alkaline_Carbonate!$S5,'Tables - Part 2'!$AV$6:$AV$13,0),MATCH(SCC_Alkaline_Carbonate!$Q5,'Tables - Part 2'!$AX$5:$BA$5,0))+INDEX('Tables - Part 2'!$BF$17:$BI$24,MATCH(SCC_Alkaline_Carbonate!$S5,'Tables - Part 2'!$AV$6:$AV$13,0),MATCH(SCC_Alkaline_Carbonate!$Q5,'Tables - Part 2'!$AX$5:$BA$5,0)))/2)/2,0)</f>
        <v>0</v>
      </c>
      <c r="BH5" s="248">
        <f>IF($P5=$BH$3,((((INDEX('Tables - Part 2'!$BB$17:$BE$24,MATCH(SCC_Alkaline_Carbonate!$S5,'Tables - Part 2'!$AV$6:$AV$13,0),MATCH(SCC_Alkaline_Carbonate!$Q5,'Tables - Part 2'!$AX$5:$BA$5,0)))+(INDEX('Tables - Part 2'!$BB$17:$BE$24,MATCH(SCC_Alkaline_Carbonate!$S5,'Tables - Part 2'!$AV$6:$AV$13,0),MATCH(SCC_Alkaline_Carbonate!$Q5,'Tables - Part 2'!$AX$5:$BA$5,0))+INDEX('Tables - Part 2'!$BF$17:$BI$24,MATCH(SCC_Alkaline_Carbonate!$S5,'Tables - Part 2'!$AV$6:$AV$13,0),MATCH(SCC_Alkaline_Carbonate!$Q5,'Tables - Part 2'!$AX$5:$BA$5,0)))/2)/2)+((INDEX('Tables - Part 2'!$BB$17:$BE$24,MATCH(SCC_Alkaline_Carbonate!$S5,'Tables - Part 2'!$AV$6:$AV$13,0),MATCH(SCC_Alkaline_Carbonate!$Q5,'Tables - Part 2'!$AX$5:$BA$5,0))+INDEX('Tables - Part 2'!$BF$17:$BI$24,MATCH(SCC_Alkaline_Carbonate!$S5,'Tables - Part 2'!$AV$6:$AV$13,0),MATCH(SCC_Alkaline_Carbonate!$Q5,'Tables - Part 2'!$AX$5:$BA$5,0)))/2))/2,0)</f>
        <v>0</v>
      </c>
      <c r="BI5" s="248">
        <f>IF($P5=$BI$3,(INDEX('Tables - Part 2'!$BB$17:$BE$24,MATCH(SCC_Alkaline_Carbonate!$S5,'Tables - Part 2'!$AV$6:$AV$13,0),MATCH(SCC_Alkaline_Carbonate!$Q5,'Tables - Part 2'!$AX$5:$BA$5,0))+INDEX('Tables - Part 2'!$BF$17:$BI$24,MATCH(SCC_Alkaline_Carbonate!$S5,'Tables - Part 2'!$AV$6:$AV$13,0),MATCH(SCC_Alkaline_Carbonate!$Q5,'Tables - Part 2'!$AX$5:$BA$5,0)))/2,0)</f>
        <v>0</v>
      </c>
      <c r="BJ5" s="248">
        <f>IF($P5=$BJ$3,(((INDEX('Tables - Part 2'!$BB$17:$BE$24,MATCH(SCC_Alkaline_Carbonate!$S5,'Tables - Part 2'!$AV$6:$AV$13,0),MATCH(SCC_Alkaline_Carbonate!$Q5,'Tables - Part 2'!$AX$5:$BA$5,0))+INDEX('Tables - Part 2'!$BF$17:$BI$24,MATCH(SCC_Alkaline_Carbonate!$S5,'Tables - Part 2'!$AV$6:$AV$13,0),MATCH(SCC_Alkaline_Carbonate!$Q5,'Tables - Part 2'!$AX$5:$BA$5,0)))/2)+((((INDEX('Tables - Part 2'!$BB$17:$BE$24,MATCH(SCC_Alkaline_Carbonate!$S5,'Tables - Part 2'!$AV$6:$AV$13,0),MATCH(SCC_Alkaline_Carbonate!$Q5,'Tables - Part 2'!$AX$5:$BA$5,0))+INDEX('Tables - Part 2'!$BF$17:$BI$24,MATCH(SCC_Alkaline_Carbonate!$S5,'Tables - Part 2'!$AV$6:$AV$13,0),MATCH(SCC_Alkaline_Carbonate!$Q5,'Tables - Part 2'!$AX$5:$BA$5,0)))/2)+INDEX('Tables - Part 2'!$BF$17:$BI$24,MATCH(SCC_Alkaline_Carbonate!$S5,'Tables - Part 2'!$AV$6:$AV$13,0),MATCH(SCC_Alkaline_Carbonate!$Q5,'Tables - Part 2'!$AX$5:$BA$5,0)))/2))/2,0)</f>
        <v>0</v>
      </c>
      <c r="BK5" s="248">
        <f>IF($P5=$BK$3,(((INDEX('Tables - Part 2'!$BB$17:$BE$24,MATCH(SCC_Alkaline_Carbonate!$S5,'Tables - Part 2'!$AV$6:$AV$13,0),MATCH(SCC_Alkaline_Carbonate!$Q5,'Tables - Part 2'!$AX$5:$BA$5,0))+INDEX('Tables - Part 2'!$BF$17:$BI$24,MATCH(SCC_Alkaline_Carbonate!$S5,'Tables - Part 2'!$AV$6:$AV$13,0),MATCH(SCC_Alkaline_Carbonate!$Q5,'Tables - Part 2'!$AX$5:$BA$5,0)))/2)+INDEX('Tables - Part 2'!$BF$17:$BI$24,MATCH(SCC_Alkaline_Carbonate!$S5,'Tables - Part 2'!$AV$6:$AV$13,0),MATCH(SCC_Alkaline_Carbonate!$Q5,'Tables - Part 2'!$AX$5:$BA$5,0)))/2,0)</f>
        <v>0</v>
      </c>
      <c r="BL5" s="248">
        <f>IF($P5=$BL$3,(((((INDEX('Tables - Part 2'!$BB$17:$BE$24,MATCH(SCC_Alkaline_Carbonate!$S5,'Tables - Part 2'!$AV$6:$AV$13,0),MATCH(SCC_Alkaline_Carbonate!$Q5,'Tables - Part 2'!$AX$5:$BA$5,0))+INDEX('Tables - Part 2'!$BF$17:$BI$24,MATCH(SCC_Alkaline_Carbonate!$S5,'Tables - Part 2'!$AV$6:$AV$13,0),MATCH(SCC_Alkaline_Carbonate!$Q5,'Tables - Part 2'!$AX$5:$BA$5,0)))/2)+INDEX('Tables - Part 2'!$BF$17:$BI$24,MATCH(SCC_Alkaline_Carbonate!$S5,'Tables - Part 2'!$AV$6:$AV$13,0),MATCH(SCC_Alkaline_Carbonate!$Q5,'Tables - Part 2'!$AX$5:$BA$5,0)))/2)+(INDEX('Tables - Part 2'!$BF$17:$BI$24,MATCH(SCC_Alkaline_Carbonate!$S5,'Tables - Part 2'!$AV$6:$AV$13,0),MATCH(SCC_Alkaline_Carbonate!$Q5,'Tables - Part 2'!$AX$5:$BA$5,0))))/2,0)</f>
        <v>0</v>
      </c>
      <c r="BM5" s="248">
        <f>IF($P5=$BM$3,INDEX('Tables - Part 2'!$BF$17:$BI$24,MATCH(SCC_Alkaline_Carbonate!$S5,'Tables - Part 2'!$AV$6:$AV$13,0),MATCH(SCC_Alkaline_Carbonate!$Q5,'Tables - Part 2'!$AX$5:$BA$5,0)),0)</f>
        <v>0</v>
      </c>
      <c r="BN5" s="248">
        <f t="shared" si="6"/>
        <v>0</v>
      </c>
      <c r="BO5" s="238">
        <f t="shared" ref="BO5:BO21" si="8">SUM(Y5:BN5)</f>
        <v>3</v>
      </c>
      <c r="BP5" s="238">
        <f t="shared" si="7"/>
        <v>52.072620873645036</v>
      </c>
      <c r="BS5" s="438" t="s">
        <v>898</v>
      </c>
    </row>
    <row r="6" spans="2:81" x14ac:dyDescent="0.35">
      <c r="B6" s="161" t="str">
        <f>'Tratamento de Dados'!B14</f>
        <v>V-10</v>
      </c>
      <c r="C6" s="161" t="str">
        <f>'Tratamento de Dados'!D14</f>
        <v>Casco</v>
      </c>
      <c r="D6" s="209" t="s">
        <v>245</v>
      </c>
      <c r="E6" s="209" t="s">
        <v>61</v>
      </c>
      <c r="F6" s="209" t="s">
        <v>1134</v>
      </c>
      <c r="G6" s="209" t="s">
        <v>1132</v>
      </c>
      <c r="H6" s="209" t="s">
        <v>245</v>
      </c>
      <c r="I6" s="210">
        <v>39092</v>
      </c>
      <c r="J6" s="209">
        <v>0</v>
      </c>
      <c r="K6" s="209">
        <v>1</v>
      </c>
      <c r="L6" s="209">
        <v>1</v>
      </c>
      <c r="M6" s="209">
        <v>4</v>
      </c>
      <c r="N6" s="253">
        <f>'Tratamento de Dados'!DA14</f>
        <v>0</v>
      </c>
      <c r="O6" s="253">
        <f>'Tratamento de Dados'!DB14</f>
        <v>0</v>
      </c>
      <c r="P6" s="256">
        <f t="shared" si="0"/>
        <v>2.5</v>
      </c>
      <c r="Q6" s="246" t="str">
        <f t="shared" si="1"/>
        <v>B</v>
      </c>
      <c r="R6" s="238" t="str">
        <f>IF(D6=$BU$2,$BS$4,IF(H6=$BU$2,$BS$5,INDEX('Tables - Part 2'!$DA$6:$DB$9,MATCH(SCC_Alkaline_Carbonate!F6,'Tables - Part 2'!$CY$6:$CY$9,0),MATCH(SCC_Alkaline_Carbonate!G6,'Tables - Part 2'!$DA$5:$DB$5,0))))</f>
        <v>Medium</v>
      </c>
      <c r="S6" s="238">
        <f>IF(AND(D6=$BU$2,E6&lt;&gt;$BU$2),"Fitness-For-Service",INDEX('Tables - Part 2'!$DE$4:$DE$7,MATCH(SCC_Alkaline_Carbonate!R6,'Tables - Part 2'!$DD$4:$DD$7,0),))</f>
        <v>100</v>
      </c>
      <c r="T6" s="238">
        <f>IF(I6=0,(Thinning!G7-Thinning!F7)/365.25,(Thinning!G7-I6)/365.25)</f>
        <v>12.980150581793293</v>
      </c>
      <c r="U6" s="248">
        <f t="shared" si="2"/>
        <v>0</v>
      </c>
      <c r="V6" s="248">
        <f t="shared" si="3"/>
        <v>2.5</v>
      </c>
      <c r="W6" s="248">
        <f t="shared" si="4"/>
        <v>3</v>
      </c>
      <c r="X6" s="247">
        <f t="shared" si="5"/>
        <v>4</v>
      </c>
      <c r="Y6" s="248">
        <f>IF($P6=$Y$3,INDEX('Tables - Part 2'!$AX$6:$BA$13,MATCH(SCC_Alkaline_Carbonate!S6,'Tables - Part 2'!$AV$6:$AV$13,0),MATCH(SCC_Alkaline_Carbonate!Q6,'Tables - Part 2'!$AX$5:$BA$5,0)),0)</f>
        <v>0</v>
      </c>
      <c r="Z6" s="248">
        <f>IF($P6=$Z$3,(INDEX('Tables - Part 2'!$AX$6:$BA$13,MATCH(SCC_Alkaline_Carbonate!S6,'Tables - Part 2'!$AV$6:$AV$13,0),MATCH(SCC_Alkaline_Carbonate!Q6,'Tables - Part 2'!$AX$5:$BA$5,0))+(INDEX('Tables - Part 2'!$AX$6:$BA$13,MATCH(SCC_Alkaline_Carbonate!S6,'Tables - Part 2'!$AV$6:$AV$13,0),MATCH(SCC_Alkaline_Carbonate!Q6,'Tables - Part 2'!$AX$5:$BA$5,0))+((INDEX('Tables - Part 2'!$AX$6:$BA$13,MATCH(SCC_Alkaline_Carbonate!S6,'Tables - Part 2'!$AV$6:$AV$13,0),MATCH(SCC_Alkaline_Carbonate!Q6,'Tables - Part 2'!$AX$5:$BA$5,0))+INDEX('Tables - Part 2'!$BB$6:$BE$13,MATCH(SCC_Alkaline_Carbonate!$S6,'Tables - Part 2'!$AV$6:$AV$13,0),MATCH(SCC_Alkaline_Carbonate!$Q6,'Tables - Part 2'!$AX$5:$BA$5,0)))/2))/2)/2,0)</f>
        <v>0</v>
      </c>
      <c r="AA6" s="248">
        <f>IF($P6=$AA$3,(INDEX('Tables - Part 2'!$AX$6:$BA$13,MATCH(SCC_Alkaline_Carbonate!S6,'Tables - Part 2'!$AV$6:$AV$13,0),MATCH(SCC_Alkaline_Carbonate!Q6,'Tables - Part 2'!$AX$5:$BA$5,0))+((INDEX('Tables - Part 2'!$AX$6:$BA$13,MATCH(SCC_Alkaline_Carbonate!S6,'Tables - Part 2'!$AV$6:$AV$13,0),MATCH(SCC_Alkaline_Carbonate!Q6,'Tables - Part 2'!$AX$5:$BA$5,0))+INDEX('Tables - Part 2'!$BB$6:$BE$13,MATCH(SCC_Alkaline_Carbonate!$S6,'Tables - Part 2'!$AV$6:$AV$13,0),MATCH(SCC_Alkaline_Carbonate!$Q6,'Tables - Part 2'!$AX$5:$BA$5,0)))/2))/2,0)</f>
        <v>0</v>
      </c>
      <c r="AB6" s="248">
        <f>IF($P6=$AB$3,(((INDEX('Tables - Part 2'!$AX$6:$BA$13,MATCH(SCC_Alkaline_Carbonate!S6,'Tables - Part 2'!$AV$6:$AV$13,0),MATCH(SCC_Alkaline_Carbonate!Q6,'Tables - Part 2'!$AX$5:$BA$5,0))+((INDEX('Tables - Part 2'!$AX$6:$BA$13,MATCH(SCC_Alkaline_Carbonate!S6,'Tables - Part 2'!$AV$6:$AV$13,0),MATCH(SCC_Alkaline_Carbonate!Q6,'Tables - Part 2'!$AX$5:$BA$5,0))+INDEX('Tables - Part 2'!$BB$6:$BE$13,MATCH(SCC_Alkaline_Carbonate!$S6,'Tables - Part 2'!$AV$6:$AV$13,0),MATCH(SCC_Alkaline_Carbonate!$Q6,'Tables - Part 2'!$AX$5:$BA$5,0)))/2))/2)+(INDEX('Tables - Part 2'!$AX$6:$BA$13,MATCH(SCC_Alkaline_Carbonate!S6,'Tables - Part 2'!$AV$6:$AV$13,0),MATCH(SCC_Alkaline_Carbonate!Q6,'Tables - Part 2'!$AX$5:$BA$5,0))+INDEX('Tables - Part 2'!$BB$6:$BE$13,MATCH(SCC_Alkaline_Carbonate!$S6,'Tables - Part 2'!$AV$6:$AV$13,0),MATCH(SCC_Alkaline_Carbonate!$Q6,'Tables - Part 2'!$AX$5:$BA$5,0)))/2)/2,0)</f>
        <v>0</v>
      </c>
      <c r="AC6" s="248">
        <f>IF($P6=$AC$3,(INDEX('Tables - Part 2'!$AX$6:$BA$13,MATCH(SCC_Alkaline_Carbonate!S6,'Tables - Part 2'!$AV$6:$AV$13,0),MATCH(SCC_Alkaline_Carbonate!Q6,'Tables - Part 2'!$AX$5:$BA$5,0))+INDEX('Tables - Part 2'!$BB$6:$BE$13,MATCH(SCC_Alkaline_Carbonate!$S6,'Tables - Part 2'!$AV$6:$AV$13,0),MATCH(SCC_Alkaline_Carbonate!$Q6,'Tables - Part 2'!$AX$5:$BA$5,0)))/2,0)</f>
        <v>0</v>
      </c>
      <c r="AD6" s="248">
        <f>IF($P6=$AD$3,(((INDEX('Tables - Part 2'!$AX$6:$BA$13,MATCH(SCC_Alkaline_Carbonate!S6,'Tables - Part 2'!$AV$6:$AV$13,0),MATCH(SCC_Alkaline_Carbonate!Q6,'Tables - Part 2'!$AX$5:$BA$5,0))+INDEX('Tables - Part 2'!$BB$6:$BE$13,MATCH(SCC_Alkaline_Carbonate!$S6,'Tables - Part 2'!$AV$6:$AV$13,0),MATCH(SCC_Alkaline_Carbonate!$Q6,'Tables - Part 2'!$AX$5:$BA$5,0)))/2)+(((INDEX('Tables - Part 2'!$AX$6:$BA$13,MATCH(SCC_Alkaline_Carbonate!S6,'Tables - Part 2'!$AV$6:$AV$13,0),MATCH(SCC_Alkaline_Carbonate!Q6,'Tables - Part 2'!$AX$5:$BA$5,0))+INDEX('Tables - Part 2'!$BB$6:$BE$13,MATCH(SCC_Alkaline_Carbonate!$S6,'Tables - Part 2'!$AV$6:$AV$13,0),MATCH(SCC_Alkaline_Carbonate!$Q6,'Tables - Part 2'!$AX$5:$BA$5,0)))/2)+INDEX('Tables - Part 2'!$BB$6:$BE$13,MATCH(SCC_Alkaline_Carbonate!$S6,'Tables - Part 2'!$AV$6:$AV$13,0),MATCH(SCC_Alkaline_Carbonate!$Q6,'Tables - Part 2'!$AX$5:$BA$5,0)))/2)/2,0)</f>
        <v>0</v>
      </c>
      <c r="AE6" s="248">
        <f>IF($P6=$AE$3,(((INDEX('Tables - Part 2'!$AX$6:$BA$13,MATCH(SCC_Alkaline_Carbonate!S6,'Tables - Part 2'!$AV$6:$AV$13,0),MATCH(SCC_Alkaline_Carbonate!Q6,'Tables - Part 2'!$AX$5:$BA$5,0))+INDEX('Tables - Part 2'!$BB$6:$BE$13,MATCH(SCC_Alkaline_Carbonate!$S6,'Tables - Part 2'!$AV$6:$AV$13,0),MATCH(SCC_Alkaline_Carbonate!$Q6,'Tables - Part 2'!$AX$5:$BA$5,0)))/2)+INDEX('Tables - Part 2'!$BB$6:$BE$13,MATCH(SCC_Alkaline_Carbonate!$S6,'Tables - Part 2'!$AV$6:$AV$13,0),MATCH(SCC_Alkaline_Carbonate!$Q6,'Tables - Part 2'!$AX$5:$BA$5,0)))/2,0)</f>
        <v>0</v>
      </c>
      <c r="AF6" s="248">
        <f>IF($P6=$AF$3,(((((INDEX('Tables - Part 2'!$AX$6:$BA$13,MATCH(SCC_Alkaline_Carbonate!S6,'Tables - Part 2'!$AV$6:$AV$13,0),MATCH(SCC_Alkaline_Carbonate!Q6,'Tables - Part 2'!$AX$5:$BA$5,0))+INDEX('Tables - Part 2'!$BB$6:$BE$13,MATCH(SCC_Alkaline_Carbonate!$S6,'Tables - Part 2'!$AV$6:$AV$13,0),MATCH(SCC_Alkaline_Carbonate!$Q6,'Tables - Part 2'!$AX$5:$BA$5,0)))/2)+INDEX('Tables - Part 2'!$BB$6:$BE$13,MATCH(SCC_Alkaline_Carbonate!$S6,'Tables - Part 2'!$AV$6:$AV$13,0),MATCH(SCC_Alkaline_Carbonate!$Q6,'Tables - Part 2'!$AX$5:$BA$5,0)))/2)+INDEX('Tables - Part 2'!$BB$6:$BE$13,MATCH(SCC_Alkaline_Carbonate!$S6,'Tables - Part 2'!$AV$6:$AV$13,0),MATCH(SCC_Alkaline_Carbonate!$Q6,'Tables - Part 2'!$AX$5:$BA$5,0)))/2,0)</f>
        <v>0</v>
      </c>
      <c r="AG6" s="248">
        <f>IF($P6=$AG$3,INDEX('Tables - Part 2'!$BB$6:$BE$13,MATCH(SCC_Alkaline_Carbonate!$S6,'Tables - Part 2'!$AV$6:$AV$13,0),MATCH(SCC_Alkaline_Carbonate!$Q6,'Tables - Part 2'!$AX$5:$BA$5,0)),0)</f>
        <v>0</v>
      </c>
      <c r="AH6" s="248">
        <f>IF($P6=$AH$3,((INDEX('Tables - Part 2'!$BB$6:$BE$13,MATCH(SCC_Alkaline_Carbonate!$S6,'Tables - Part 2'!$AV$6:$AV$13,0),MATCH(SCC_Alkaline_Carbonate!$Q6,'Tables - Part 2'!$AX$5:$BA$5,0)))+(INDEX('Tables - Part 2'!$BB$6:$BE$13,MATCH(SCC_Alkaline_Carbonate!$S6,'Tables - Part 2'!$AV$6:$AV$13,0),MATCH(SCC_Alkaline_Carbonate!$Q6,'Tables - Part 2'!$AX$5:$BA$5,0))+(INDEX('Tables - Part 2'!$BB$6:$BE$13,MATCH(SCC_Alkaline_Carbonate!$S6,'Tables - Part 2'!$AV$6:$AV$13,0),MATCH(SCC_Alkaline_Carbonate!$Q6,'Tables - Part 2'!$AX$5:$BA$5,0))+INDEX('Tables - Part 2'!$BF$6:$BI$13,MATCH(SCC_Alkaline_Carbonate!$S6,'Tables - Part 2'!$AV$6:$AV$13,0),MATCH(SCC_Alkaline_Carbonate!$Q6,'Tables - Part 2'!$AX$5:$BA$5,0)))/2)/2)/2,0)</f>
        <v>0</v>
      </c>
      <c r="AI6" s="248">
        <f>IF($P6=$AI$3,(INDEX('Tables - Part 2'!$BB$6:$BE$13,MATCH(SCC_Alkaline_Carbonate!$S6,'Tables - Part 2'!$AV$6:$AV$13,0),MATCH(SCC_Alkaline_Carbonate!$Q6,'Tables - Part 2'!$AX$5:$BA$5,0))+(INDEX('Tables - Part 2'!$BB$6:$BE$13,MATCH(SCC_Alkaline_Carbonate!$S6,'Tables - Part 2'!$AV$6:$AV$13,0),MATCH(SCC_Alkaline_Carbonate!$Q6,'Tables - Part 2'!$AX$5:$BA$5,0))+INDEX('Tables - Part 2'!$BF$6:$BI$13,MATCH(SCC_Alkaline_Carbonate!$S6,'Tables - Part 2'!$AV$6:$AV$13,0),MATCH(SCC_Alkaline_Carbonate!$Q6,'Tables - Part 2'!$AX$5:$BA$5,0)))/2)/2,0)</f>
        <v>0</v>
      </c>
      <c r="AJ6" s="248">
        <f>IF($P6=$AJ$3,(((INDEX('Tables - Part 2'!$BB$6:$BE$13,MATCH(SCC_Alkaline_Carbonate!$S6,'Tables - Part 2'!$AV$6:$AV$13,0),MATCH(SCC_Alkaline_Carbonate!$Q6,'Tables - Part 2'!$AX$5:$BA$5,0))+(INDEX('Tables - Part 2'!$BB$6:$BE$13,MATCH(SCC_Alkaline_Carbonate!$S6,'Tables - Part 2'!$AV$6:$AV$13,0),MATCH(SCC_Alkaline_Carbonate!$Q6,'Tables - Part 2'!$AX$5:$BA$5,0))+INDEX('Tables - Part 2'!$BF$6:$BI$13,MATCH(SCC_Alkaline_Carbonate!$S6,'Tables - Part 2'!$AV$6:$AV$13,0),MATCH(SCC_Alkaline_Carbonate!$Q6,'Tables - Part 2'!$AX$5:$BA$5,0)))/2)/2)+((INDEX('Tables - Part 2'!$BB$6:$BE$13,MATCH(SCC_Alkaline_Carbonate!$S6,'Tables - Part 2'!$AV$6:$AV$13,0),MATCH(SCC_Alkaline_Carbonate!$Q6,'Tables - Part 2'!$AX$5:$BA$5,0))+INDEX('Tables - Part 2'!$BF$6:$BI$13,MATCH(SCC_Alkaline_Carbonate!$S6,'Tables - Part 2'!$AV$6:$AV$13,0),MATCH(SCC_Alkaline_Carbonate!$Q6,'Tables - Part 2'!$AX$5:$BA$5,0)))/2))/2,0)</f>
        <v>0</v>
      </c>
      <c r="AK6" s="248">
        <f>IF($P6=$AK$3,(INDEX('Tables - Part 2'!$BB$6:$BE$13,MATCH(SCC_Alkaline_Carbonate!$S6,'Tables - Part 2'!$AV$6:$AV$13,0),MATCH(SCC_Alkaline_Carbonate!$Q6,'Tables - Part 2'!$AX$5:$BA$5,0))+INDEX('Tables - Part 2'!$BF$6:$BI$13,MATCH(SCC_Alkaline_Carbonate!$S6,'Tables - Part 2'!$AV$6:$AV$13,0),MATCH(SCC_Alkaline_Carbonate!$Q6,'Tables - Part 2'!$AX$5:$BA$5,0)))/2,0)</f>
        <v>3</v>
      </c>
      <c r="AL6" s="248">
        <f>IF($P6=$AL$3,(((INDEX('Tables - Part 2'!$BB$6:$BE$13,MATCH(SCC_Alkaline_Carbonate!$S6,'Tables - Part 2'!$AV$6:$AV$13,0),MATCH(SCC_Alkaline_Carbonate!$Q6,'Tables - Part 2'!$AX$5:$BA$5,0))+INDEX('Tables - Part 2'!$BF$6:$BI$13,MATCH(SCC_Alkaline_Carbonate!$S6,'Tables - Part 2'!$AV$6:$AV$13,0),MATCH(SCC_Alkaline_Carbonate!$Q6,'Tables - Part 2'!$AX$5:$BA$5,0)))/2)+((((INDEX('Tables - Part 2'!$BB$6:$BE$13,MATCH(SCC_Alkaline_Carbonate!$S6,'Tables - Part 2'!$AV$6:$AV$13,0),MATCH(SCC_Alkaline_Carbonate!$Q6,'Tables - Part 2'!$AX$5:$BA$5,0))+INDEX('Tables - Part 2'!$BF$6:$BI$13,MATCH(SCC_Alkaline_Carbonate!$S6,'Tables - Part 2'!$AV$6:$AV$13,0),MATCH(SCC_Alkaline_Carbonate!$Q6,'Tables - Part 2'!$AX$5:$BA$5,0)))/2)+INDEX('Tables - Part 2'!$BF$6:$BI$13,MATCH(SCC_Alkaline_Carbonate!$S6,'Tables - Part 2'!$AV$6:$AV$13,0),MATCH(SCC_Alkaline_Carbonate!$Q6,'Tables - Part 2'!$AX$5:$BA$5,0)))/2))/2,0)</f>
        <v>0</v>
      </c>
      <c r="AM6" s="248">
        <f>IF($P6=$AM$3,(((INDEX('Tables - Part 2'!$BB$6:$BE$13,MATCH(SCC_Alkaline_Carbonate!$S6,'Tables - Part 2'!$AV$6:$AV$13,0),MATCH(SCC_Alkaline_Carbonate!$Q6,'Tables - Part 2'!$AX$5:$BA$5,0))+INDEX('Tables - Part 2'!$BF$6:$BI$13,MATCH(SCC_Alkaline_Carbonate!$S6,'Tables - Part 2'!$AV$6:$AV$13,0),MATCH(SCC_Alkaline_Carbonate!$Q6,'Tables - Part 2'!$AX$5:$BA$5,0)))/2)+INDEX('Tables - Part 2'!$BF$6:$BI$13,MATCH(SCC_Alkaline_Carbonate!$S6,'Tables - Part 2'!$AV$6:$AV$13,0),MATCH(SCC_Alkaline_Carbonate!$Q6,'Tables - Part 2'!$AX$5:$BA$5,0)))/2,0)</f>
        <v>0</v>
      </c>
      <c r="AN6" s="248">
        <f>IF($P6=$AN$3,(((((INDEX('Tables - Part 2'!$BB$6:$BE$13,MATCH(SCC_Alkaline_Carbonate!$S6,'Tables - Part 2'!$AV$6:$AV$13,0),MATCH(SCC_Alkaline_Carbonate!$Q6,'Tables - Part 2'!$AX$5:$BA$5,0))+INDEX('Tables - Part 2'!$BF$6:$BI$13,MATCH(SCC_Alkaline_Carbonate!$S6,'Tables - Part 2'!$AV$6:$AV$13,0),MATCH(SCC_Alkaline_Carbonate!$Q6,'Tables - Part 2'!$AX$5:$BA$5,0)))/2)+INDEX('Tables - Part 2'!$BF$6:$BI$13,MATCH(SCC_Alkaline_Carbonate!$S6,'Tables - Part 2'!$AV$6:$AV$13,0),MATCH(SCC_Alkaline_Carbonate!$Q6,'Tables - Part 2'!$AX$5:$BA$5,0)))/2)+INDEX('Tables - Part 2'!$BF$6:$BI$13,MATCH(SCC_Alkaline_Carbonate!$S6,'Tables - Part 2'!$AV$6:$AV$13,0),MATCH(SCC_Alkaline_Carbonate!$Q6,'Tables - Part 2'!$AX$5:$BA$5,0)))/2,0)</f>
        <v>0</v>
      </c>
      <c r="AO6" s="248">
        <f>IF($P6=$AO$3,INDEX('Tables - Part 2'!$BF$6:$BI$13,MATCH(SCC_Alkaline_Carbonate!$S6,'Tables - Part 2'!$AV$6:$AV$13,0),MATCH(SCC_Alkaline_Carbonate!$Q6,'Tables - Part 2'!$AX$5:$BA$5,0)),0)</f>
        <v>0</v>
      </c>
      <c r="AP6" s="248">
        <f>IF($P6=$AP$3,(INDEX('Tables - Part 2'!$BF$6:$BI$13,MATCH(SCC_Alkaline_Carbonate!$S6,'Tables - Part 2'!$AV$6:$AV$13,0),MATCH(SCC_Alkaline_Carbonate!$Q6,'Tables - Part 2'!$AX$5:$BA$5,0))+((INDEX('Tables - Part 2'!$BF$6:$BI$13,MATCH(SCC_Alkaline_Carbonate!$S6,'Tables - Part 2'!$AV$6:$AV$13,0),MATCH(SCC_Alkaline_Carbonate!$Q6,'Tables - Part 2'!$AX$5:$BA$5,0))+(INDEX('Tables - Part 2'!$BF$6:$BI$13,MATCH(SCC_Alkaline_Carbonate!$S6,'Tables - Part 2'!$AV$6:$AV$13,0),MATCH(SCC_Alkaline_Carbonate!$Q6,'Tables - Part 2'!$AX$5:$BA$5,0))+INDEX('Tables - Part 2'!$AX$17:$BA$24,MATCH(SCC_Alkaline_Carbonate!$S6,'Tables - Part 2'!$AV$6:$AV$13,0),MATCH(SCC_Alkaline_Carbonate!$Q6,'Tables - Part 2'!$AX$5:$BA$5,0)))/2)/2))/2,0)</f>
        <v>0</v>
      </c>
      <c r="AQ6" s="248">
        <f>IF($P6=$AQ$3,(INDEX('Tables - Part 2'!$BF$6:$BI$13,MATCH(SCC_Alkaline_Carbonate!$S6,'Tables - Part 2'!$AV$6:$AV$13,0),MATCH(SCC_Alkaline_Carbonate!$Q6,'Tables - Part 2'!$AX$5:$BA$5,0))+(INDEX('Tables - Part 2'!$BF$6:$BI$13,MATCH(SCC_Alkaline_Carbonate!$S6,'Tables - Part 2'!$AV$6:$AV$13,0),MATCH(SCC_Alkaline_Carbonate!$Q6,'Tables - Part 2'!$AX$5:$BA$5,0))+INDEX('Tables - Part 2'!$AX$17:$BA$24,MATCH(SCC_Alkaline_Carbonate!$S6,'Tables - Part 2'!$AV$6:$AV$13,0),MATCH(SCC_Alkaline_Carbonate!$Q6,'Tables - Part 2'!$AX$5:$BA$5,0)))/2)/2,0)</f>
        <v>0</v>
      </c>
      <c r="AR6" s="248">
        <f>IF($P6=$AR$3,(((INDEX('Tables - Part 2'!$BF$6:$BI$13,MATCH(SCC_Alkaline_Carbonate!$S6,'Tables - Part 2'!$AV$6:$AV$13,0),MATCH(SCC_Alkaline_Carbonate!$Q6,'Tables - Part 2'!$AX$5:$BA$5,0))+(INDEX('Tables - Part 2'!$BF$6:$BI$13,MATCH(SCC_Alkaline_Carbonate!$S6,'Tables - Part 2'!$AV$6:$AV$13,0),MATCH(SCC_Alkaline_Carbonate!$Q6,'Tables - Part 2'!$AX$5:$BA$5,0))+INDEX('Tables - Part 2'!$AX$17:$BA$24,MATCH(SCC_Alkaline_Carbonate!$S6,'Tables - Part 2'!$AV$6:$AV$13,0),MATCH(SCC_Alkaline_Carbonate!$Q6,'Tables - Part 2'!$AX$5:$BA$5,0)))/2)/2)+((INDEX('Tables - Part 2'!$BF$6:$BI$13,MATCH(SCC_Alkaline_Carbonate!$S6,'Tables - Part 2'!$AV$6:$AV$13,0),MATCH(SCC_Alkaline_Carbonate!$Q6,'Tables - Part 2'!$AX$5:$BA$5,0))+INDEX('Tables - Part 2'!$AX$17:$BA$24,MATCH(SCC_Alkaline_Carbonate!$S6,'Tables - Part 2'!$AV$6:$AV$13,0),MATCH(SCC_Alkaline_Carbonate!$Q6,'Tables - Part 2'!$AX$5:$BA$5,0)))/2))/2,0)</f>
        <v>0</v>
      </c>
      <c r="AS6" s="248">
        <f>IF($P6=$AS$3,(INDEX('Tables - Part 2'!$BF$6:$BI$13,MATCH(SCC_Alkaline_Carbonate!$S6,'Tables - Part 2'!$AV$6:$AV$13,0),MATCH(SCC_Alkaline_Carbonate!$Q6,'Tables - Part 2'!$AX$5:$BA$5,0))+INDEX('Tables - Part 2'!$AX$17:$BA$24,MATCH(SCC_Alkaline_Carbonate!$S6,'Tables - Part 2'!$AV$6:$AV$13,0),MATCH(SCC_Alkaline_Carbonate!$Q6,'Tables - Part 2'!$AX$5:$BA$5,0)))/2,0)</f>
        <v>0</v>
      </c>
      <c r="AT6" s="248">
        <f>IF($P6=$AT$3,(((INDEX('Tables - Part 2'!$BF$6:$BI$13,MATCH(SCC_Alkaline_Carbonate!$S6,'Tables - Part 2'!$AV$6:$AV$13,0),MATCH(SCC_Alkaline_Carbonate!$Q6,'Tables - Part 2'!$AX$5:$BA$5,0))+INDEX('Tables - Part 2'!$AX$17:$BA$24,MATCH(SCC_Alkaline_Carbonate!$S6,'Tables - Part 2'!$AV$6:$AV$13,0),MATCH(SCC_Alkaline_Carbonate!$Q6,'Tables - Part 2'!$AX$5:$BA$5,0)))/2)+((((INDEX('Tables - Part 2'!$BF$6:$BI$13,MATCH(SCC_Alkaline_Carbonate!$S6,'Tables - Part 2'!$AV$6:$AV$13,0),MATCH(SCC_Alkaline_Carbonate!$Q6,'Tables - Part 2'!$AX$5:$BA$5,0))+INDEX('Tables - Part 2'!$AX$17:$BA$24,MATCH(SCC_Alkaline_Carbonate!$S6,'Tables - Part 2'!$AV$6:$AV$13,0),MATCH(SCC_Alkaline_Carbonate!$Q6,'Tables - Part 2'!$AX$5:$BA$5,0)))/2)+INDEX('Tables - Part 2'!$AX$17:$BA$24,MATCH(SCC_Alkaline_Carbonate!$S6,'Tables - Part 2'!$AV$6:$AV$13,0),MATCH(SCC_Alkaline_Carbonate!$Q6,'Tables - Part 2'!$AX$5:$BA$5,0)))/2))/2,0)</f>
        <v>0</v>
      </c>
      <c r="AU6" s="248">
        <f>IF($P6=$AU$3,(((INDEX('Tables - Part 2'!$BF$6:$BI$13,MATCH(SCC_Alkaline_Carbonate!$S6,'Tables - Part 2'!$AV$6:$AV$13,0),MATCH(SCC_Alkaline_Carbonate!$Q6,'Tables - Part 2'!$AX$5:$BA$5,0))+INDEX('Tables - Part 2'!$AX$17:$BA$24,MATCH(SCC_Alkaline_Carbonate!$S6,'Tables - Part 2'!$AV$6:$AV$13,0),MATCH(SCC_Alkaline_Carbonate!$Q6,'Tables - Part 2'!$AX$5:$BA$5,0)))/2)+INDEX('Tables - Part 2'!$AX$17:$BA$24,MATCH(SCC_Alkaline_Carbonate!$S6,'Tables - Part 2'!$AV$6:$AV$13,0),MATCH(SCC_Alkaline_Carbonate!$Q6,'Tables - Part 2'!$AX$5:$BA$5,0)))/2,0)</f>
        <v>0</v>
      </c>
      <c r="AV6" s="248">
        <f>IF($P6=$AV$3,(((((INDEX('Tables - Part 2'!$BF$6:$BI$13,MATCH(SCC_Alkaline_Carbonate!$S6,'Tables - Part 2'!$AV$6:$AV$13,0),MATCH(SCC_Alkaline_Carbonate!$Q6,'Tables - Part 2'!$AX$5:$BA$5,0))+INDEX('Tables - Part 2'!$AX$17:$BA$24,MATCH(SCC_Alkaline_Carbonate!$S6,'Tables - Part 2'!$AV$6:$AV$13,0),MATCH(SCC_Alkaline_Carbonate!$Q6,'Tables - Part 2'!$AX$5:$BA$5,0)))/2)+INDEX('Tables - Part 2'!$AX$17:$BA$24,MATCH(SCC_Alkaline_Carbonate!$S6,'Tables - Part 2'!$AV$6:$AV$13,0),MATCH(SCC_Alkaline_Carbonate!$Q6,'Tables - Part 2'!$AX$5:$BA$5,0)))/2)+(INDEX('Tables - Part 2'!$AX$17:$BA$24,MATCH(SCC_Alkaline_Carbonate!$S6,'Tables - Part 2'!$AV$6:$AV$13,0),MATCH(SCC_Alkaline_Carbonate!$Q6,'Tables - Part 2'!$AX$5:$BA$5,0))))/2,0)</f>
        <v>0</v>
      </c>
      <c r="AW6" s="248">
        <f>IF($P6=$AW$3,INDEX('Tables - Part 2'!$AX$17:$BA$24,MATCH(SCC_Alkaline_Carbonate!$S6,'Tables - Part 2'!$AV$6:$AV$13,0),MATCH(SCC_Alkaline_Carbonate!$Q6,'Tables - Part 2'!$AX$5:$BA$5,0)),0)</f>
        <v>0</v>
      </c>
      <c r="AX6" s="248">
        <f>IF($P6=$AX$3,((INDEX('Tables - Part 2'!$AX$17:$BA$24,MATCH(SCC_Alkaline_Carbonate!$S6,'Tables - Part 2'!$AV$6:$AV$13,0),MATCH(SCC_Alkaline_Carbonate!$Q6,'Tables - Part 2'!$AX$5:$BA$5,0)))+(((INDEX('Tables - Part 2'!$AX$17:$BA$24,MATCH(SCC_Alkaline_Carbonate!$S6,'Tables - Part 2'!$AV$6:$AV$13,0),MATCH(SCC_Alkaline_Carbonate!$Q6,'Tables - Part 2'!$AX$5:$BA$5,0)))+(INDEX('Tables - Part 2'!$AX$17:$BA$24,MATCH(SCC_Alkaline_Carbonate!$S6,'Tables - Part 2'!$AV$6:$AV$13,0),MATCH(SCC_Alkaline_Carbonate!$Q6,'Tables - Part 2'!$AX$5:$BA$5,0))+INDEX('Tables - Part 2'!$BB$17:$BE$24,MATCH(SCC_Alkaline_Carbonate!$S6,'Tables - Part 2'!$AV$6:$AV$13,0),MATCH(SCC_Alkaline_Carbonate!$Q6,'Tables - Part 2'!$AX$5:$BA$5,0)))/2)/2))/2,0)</f>
        <v>0</v>
      </c>
      <c r="AY6" s="248">
        <f>IF($P6=$AY$3,((INDEX('Tables - Part 2'!$AX$17:$BA$24,MATCH(SCC_Alkaline_Carbonate!$S6,'Tables - Part 2'!$AV$6:$AV$13,0),MATCH(SCC_Alkaline_Carbonate!$Q6,'Tables - Part 2'!$AX$5:$BA$5,0)))+(INDEX('Tables - Part 2'!$AX$17:$BA$24,MATCH(SCC_Alkaline_Carbonate!$S6,'Tables - Part 2'!$AV$6:$AV$13,0),MATCH(SCC_Alkaline_Carbonate!$Q6,'Tables - Part 2'!$AX$5:$BA$5,0))+INDEX('Tables - Part 2'!$BB$17:$BE$24,MATCH(SCC_Alkaline_Carbonate!$S6,'Tables - Part 2'!$AV$6:$AV$13,0),MATCH(SCC_Alkaline_Carbonate!$Q6,'Tables - Part 2'!$AX$5:$BA$5,0)))/2)/2,0)</f>
        <v>0</v>
      </c>
      <c r="AZ6" s="248">
        <f>IF($P6=$AZ$3,((((INDEX('Tables - Part 2'!$AX$17:$BA$24,MATCH(SCC_Alkaline_Carbonate!$S6,'Tables - Part 2'!$AV$6:$AV$13,0),MATCH(SCC_Alkaline_Carbonate!$Q6,'Tables - Part 2'!$AX$5:$BA$5,0)))+(INDEX('Tables - Part 2'!$AX$17:$BA$24,MATCH(SCC_Alkaline_Carbonate!$S6,'Tables - Part 2'!$AV$6:$AV$13,0),MATCH(SCC_Alkaline_Carbonate!$Q6,'Tables - Part 2'!$AX$5:$BA$5,0))+INDEX('Tables - Part 2'!$BB$17:$BE$24,MATCH(SCC_Alkaline_Carbonate!$S6,'Tables - Part 2'!$AV$6:$AV$13,0),MATCH(SCC_Alkaline_Carbonate!$Q6,'Tables - Part 2'!$AX$5:$BA$5,0)))/2)/2)+((INDEX('Tables - Part 2'!$AX$17:$BA$24,MATCH(SCC_Alkaline_Carbonate!$S6,'Tables - Part 2'!$AV$6:$AV$13,0),MATCH(SCC_Alkaline_Carbonate!$Q6,'Tables - Part 2'!$AX$5:$BA$5,0))+INDEX('Tables - Part 2'!$BB$17:$BE$24,MATCH(SCC_Alkaline_Carbonate!$S6,'Tables - Part 2'!$AV$6:$AV$13,0),MATCH(SCC_Alkaline_Carbonate!$Q6,'Tables - Part 2'!$AX$5:$BA$5,0)))/2))/2,0)</f>
        <v>0</v>
      </c>
      <c r="BA6" s="248">
        <f>IF($P6=$BA$3,(INDEX('Tables - Part 2'!$AX$17:$BA$24,MATCH(SCC_Alkaline_Carbonate!$S6,'Tables - Part 2'!$AV$6:$AV$13,0),MATCH(SCC_Alkaline_Carbonate!$Q6,'Tables - Part 2'!$AX$5:$BA$5,0))+INDEX('Tables - Part 2'!$BB$17:$BE$24,MATCH(SCC_Alkaline_Carbonate!$S6,'Tables - Part 2'!$AV$6:$AV$13,0),MATCH(SCC_Alkaline_Carbonate!$Q6,'Tables - Part 2'!$AX$5:$BA$5,0)))/2,0)</f>
        <v>0</v>
      </c>
      <c r="BB6" s="248">
        <f>IF($P6=$BB$3,(((INDEX('Tables - Part 2'!$AX$17:$BA$24,MATCH(SCC_Alkaline_Carbonate!$S6,'Tables - Part 2'!$AV$6:$AV$13,0),MATCH(SCC_Alkaline_Carbonate!$Q6,'Tables - Part 2'!$AX$5:$BA$5,0))+INDEX('Tables - Part 2'!$BB$17:$BE$24,MATCH(SCC_Alkaline_Carbonate!$S6,'Tables - Part 2'!$AV$6:$AV$13,0),MATCH(SCC_Alkaline_Carbonate!$Q6,'Tables - Part 2'!$AX$5:$BA$5,0)))/2)+((((INDEX('Tables - Part 2'!$AX$17:$BA$24,MATCH(SCC_Alkaline_Carbonate!$S6,'Tables - Part 2'!$AV$6:$AV$13,0),MATCH(SCC_Alkaline_Carbonate!$Q6,'Tables - Part 2'!$AX$5:$BA$5,0))+INDEX('Tables - Part 2'!$BB$17:$BE$24,MATCH(SCC_Alkaline_Carbonate!$S6,'Tables - Part 2'!$AV$6:$AV$13,0),MATCH(SCC_Alkaline_Carbonate!$Q6,'Tables - Part 2'!$AX$5:$BA$5,0)))/2)+INDEX('Tables - Part 2'!$BB$17:$BE$24,MATCH(SCC_Alkaline_Carbonate!$S6,'Tables - Part 2'!$AV$6:$AV$13,0),MATCH(SCC_Alkaline_Carbonate!$Q6,'Tables - Part 2'!$AX$5:$BA$5,0)))/2))/2,0)</f>
        <v>0</v>
      </c>
      <c r="BC6" s="248">
        <f>IF($P6=$BC$3,(((INDEX('Tables - Part 2'!$AX$17:$BA$24,MATCH(SCC_Alkaline_Carbonate!$S6,'Tables - Part 2'!$AV$6:$AV$13,0),MATCH(SCC_Alkaline_Carbonate!$Q6,'Tables - Part 2'!$AX$5:$BA$5,0))+INDEX('Tables - Part 2'!$BB$17:$BE$24,MATCH(SCC_Alkaline_Carbonate!$S6,'Tables - Part 2'!$AV$6:$AV$13,0),MATCH(SCC_Alkaline_Carbonate!$Q6,'Tables - Part 2'!$AX$5:$BA$5,0)))/2)+INDEX('Tables - Part 2'!$BB$17:$BE$24,MATCH(SCC_Alkaline_Carbonate!$S6,'Tables - Part 2'!$AV$6:$AV$13,0),MATCH(SCC_Alkaline_Carbonate!$Q6,'Tables - Part 2'!$AX$5:$BA$5,0)))/2,0)</f>
        <v>0</v>
      </c>
      <c r="BD6" s="248">
        <f>IF($P6=$BD$3,(((((INDEX('Tables - Part 2'!$AX$17:$BA$24,MATCH(SCC_Alkaline_Carbonate!$S6,'Tables - Part 2'!$AV$6:$AV$13,0),MATCH(SCC_Alkaline_Carbonate!$Q6,'Tables - Part 2'!$AX$5:$BA$5,0))+INDEX('Tables - Part 2'!$BB$17:$BE$24,MATCH(SCC_Alkaline_Carbonate!$S6,'Tables - Part 2'!$AV$6:$AV$13,0),MATCH(SCC_Alkaline_Carbonate!$Q6,'Tables - Part 2'!$AX$5:$BA$5,0)))/2)+INDEX('Tables - Part 2'!$BB$17:$BE$24,MATCH(SCC_Alkaline_Carbonate!$S6,'Tables - Part 2'!$AV$6:$AV$13,0),MATCH(SCC_Alkaline_Carbonate!$Q6,'Tables - Part 2'!$AX$5:$BA$5,0)))/2)+(INDEX('Tables - Part 2'!$BB$17:$BE$24,MATCH(SCC_Alkaline_Carbonate!$S6,'Tables - Part 2'!$AV$6:$AV$13,0),MATCH(SCC_Alkaline_Carbonate!$Q6,'Tables - Part 2'!$AX$5:$BA$5,0))))/2,0)</f>
        <v>0</v>
      </c>
      <c r="BE6" s="248">
        <f>IF($P6=$BE$3,INDEX('Tables - Part 2'!$BB$17:$BE$24,MATCH(SCC_Alkaline_Carbonate!$S6,'Tables - Part 2'!$AV$6:$AV$13,0),MATCH(SCC_Alkaline_Carbonate!$Q6,'Tables - Part 2'!$AX$5:$BA$5,0)),0)</f>
        <v>0</v>
      </c>
      <c r="BF6" s="248">
        <f>IF($P6=$BF$3,((INDEX('Tables - Part 2'!$BB$17:$BE$24,MATCH(SCC_Alkaline_Carbonate!$S6,'Tables - Part 2'!$AV$6:$AV$13,0),MATCH(SCC_Alkaline_Carbonate!$Q6,'Tables - Part 2'!$AX$5:$BA$5,0)))+(((INDEX('Tables - Part 2'!$BB$17:$BE$24,MATCH(SCC_Alkaline_Carbonate!$S6,'Tables - Part 2'!$AV$6:$AV$13,0),MATCH(SCC_Alkaline_Carbonate!$Q6,'Tables - Part 2'!$AX$5:$BA$5,0)))+(INDEX('Tables - Part 2'!$BB$17:$BE$24,MATCH(SCC_Alkaline_Carbonate!$S6,'Tables - Part 2'!$AV$6:$AV$13,0),MATCH(SCC_Alkaline_Carbonate!$Q6,'Tables - Part 2'!$AX$5:$BA$5,0))+INDEX('Tables - Part 2'!$BF$17:$BI$24,MATCH(SCC_Alkaline_Carbonate!$S6,'Tables - Part 2'!$AV$6:$AV$13,0),MATCH(SCC_Alkaline_Carbonate!$Q6,'Tables - Part 2'!$AX$5:$BA$5,0)))/2)/2))/2,0)</f>
        <v>0</v>
      </c>
      <c r="BG6" s="248">
        <f>IF($P6=$BG$3,((INDEX('Tables - Part 2'!$BB$17:$BE$24,MATCH(SCC_Alkaline_Carbonate!$S6,'Tables - Part 2'!$AV$6:$AV$13,0),MATCH(SCC_Alkaline_Carbonate!$Q6,'Tables - Part 2'!$AX$5:$BA$5,0)))+(INDEX('Tables - Part 2'!$BB$17:$BE$24,MATCH(SCC_Alkaline_Carbonate!$S6,'Tables - Part 2'!$AV$6:$AV$13,0),MATCH(SCC_Alkaline_Carbonate!$Q6,'Tables - Part 2'!$AX$5:$BA$5,0))+INDEX('Tables - Part 2'!$BF$17:$BI$24,MATCH(SCC_Alkaline_Carbonate!$S6,'Tables - Part 2'!$AV$6:$AV$13,0),MATCH(SCC_Alkaline_Carbonate!$Q6,'Tables - Part 2'!$AX$5:$BA$5,0)))/2)/2,0)</f>
        <v>0</v>
      </c>
      <c r="BH6" s="248">
        <f>IF($P6=$BH$3,((((INDEX('Tables - Part 2'!$BB$17:$BE$24,MATCH(SCC_Alkaline_Carbonate!$S6,'Tables - Part 2'!$AV$6:$AV$13,0),MATCH(SCC_Alkaline_Carbonate!$Q6,'Tables - Part 2'!$AX$5:$BA$5,0)))+(INDEX('Tables - Part 2'!$BB$17:$BE$24,MATCH(SCC_Alkaline_Carbonate!$S6,'Tables - Part 2'!$AV$6:$AV$13,0),MATCH(SCC_Alkaline_Carbonate!$Q6,'Tables - Part 2'!$AX$5:$BA$5,0))+INDEX('Tables - Part 2'!$BF$17:$BI$24,MATCH(SCC_Alkaline_Carbonate!$S6,'Tables - Part 2'!$AV$6:$AV$13,0),MATCH(SCC_Alkaline_Carbonate!$Q6,'Tables - Part 2'!$AX$5:$BA$5,0)))/2)/2)+((INDEX('Tables - Part 2'!$BB$17:$BE$24,MATCH(SCC_Alkaline_Carbonate!$S6,'Tables - Part 2'!$AV$6:$AV$13,0),MATCH(SCC_Alkaline_Carbonate!$Q6,'Tables - Part 2'!$AX$5:$BA$5,0))+INDEX('Tables - Part 2'!$BF$17:$BI$24,MATCH(SCC_Alkaline_Carbonate!$S6,'Tables - Part 2'!$AV$6:$AV$13,0),MATCH(SCC_Alkaline_Carbonate!$Q6,'Tables - Part 2'!$AX$5:$BA$5,0)))/2))/2,0)</f>
        <v>0</v>
      </c>
      <c r="BI6" s="248">
        <f>IF($P6=$BI$3,(INDEX('Tables - Part 2'!$BB$17:$BE$24,MATCH(SCC_Alkaline_Carbonate!$S6,'Tables - Part 2'!$AV$6:$AV$13,0),MATCH(SCC_Alkaline_Carbonate!$Q6,'Tables - Part 2'!$AX$5:$BA$5,0))+INDEX('Tables - Part 2'!$BF$17:$BI$24,MATCH(SCC_Alkaline_Carbonate!$S6,'Tables - Part 2'!$AV$6:$AV$13,0),MATCH(SCC_Alkaline_Carbonate!$Q6,'Tables - Part 2'!$AX$5:$BA$5,0)))/2,0)</f>
        <v>0</v>
      </c>
      <c r="BJ6" s="248">
        <f>IF($P6=$BJ$3,(((INDEX('Tables - Part 2'!$BB$17:$BE$24,MATCH(SCC_Alkaline_Carbonate!$S6,'Tables - Part 2'!$AV$6:$AV$13,0),MATCH(SCC_Alkaline_Carbonate!$Q6,'Tables - Part 2'!$AX$5:$BA$5,0))+INDEX('Tables - Part 2'!$BF$17:$BI$24,MATCH(SCC_Alkaline_Carbonate!$S6,'Tables - Part 2'!$AV$6:$AV$13,0),MATCH(SCC_Alkaline_Carbonate!$Q6,'Tables - Part 2'!$AX$5:$BA$5,0)))/2)+((((INDEX('Tables - Part 2'!$BB$17:$BE$24,MATCH(SCC_Alkaline_Carbonate!$S6,'Tables - Part 2'!$AV$6:$AV$13,0),MATCH(SCC_Alkaline_Carbonate!$Q6,'Tables - Part 2'!$AX$5:$BA$5,0))+INDEX('Tables - Part 2'!$BF$17:$BI$24,MATCH(SCC_Alkaline_Carbonate!$S6,'Tables - Part 2'!$AV$6:$AV$13,0),MATCH(SCC_Alkaline_Carbonate!$Q6,'Tables - Part 2'!$AX$5:$BA$5,0)))/2)+INDEX('Tables - Part 2'!$BF$17:$BI$24,MATCH(SCC_Alkaline_Carbonate!$S6,'Tables - Part 2'!$AV$6:$AV$13,0),MATCH(SCC_Alkaline_Carbonate!$Q6,'Tables - Part 2'!$AX$5:$BA$5,0)))/2))/2,0)</f>
        <v>0</v>
      </c>
      <c r="BK6" s="248">
        <f>IF($P6=$BK$3,(((INDEX('Tables - Part 2'!$BB$17:$BE$24,MATCH(SCC_Alkaline_Carbonate!$S6,'Tables - Part 2'!$AV$6:$AV$13,0),MATCH(SCC_Alkaline_Carbonate!$Q6,'Tables - Part 2'!$AX$5:$BA$5,0))+INDEX('Tables - Part 2'!$BF$17:$BI$24,MATCH(SCC_Alkaline_Carbonate!$S6,'Tables - Part 2'!$AV$6:$AV$13,0),MATCH(SCC_Alkaline_Carbonate!$Q6,'Tables - Part 2'!$AX$5:$BA$5,0)))/2)+INDEX('Tables - Part 2'!$BF$17:$BI$24,MATCH(SCC_Alkaline_Carbonate!$S6,'Tables - Part 2'!$AV$6:$AV$13,0),MATCH(SCC_Alkaline_Carbonate!$Q6,'Tables - Part 2'!$AX$5:$BA$5,0)))/2,0)</f>
        <v>0</v>
      </c>
      <c r="BL6" s="248">
        <f>IF($P6=$BL$3,(((((INDEX('Tables - Part 2'!$BB$17:$BE$24,MATCH(SCC_Alkaline_Carbonate!$S6,'Tables - Part 2'!$AV$6:$AV$13,0),MATCH(SCC_Alkaline_Carbonate!$Q6,'Tables - Part 2'!$AX$5:$BA$5,0))+INDEX('Tables - Part 2'!$BF$17:$BI$24,MATCH(SCC_Alkaline_Carbonate!$S6,'Tables - Part 2'!$AV$6:$AV$13,0),MATCH(SCC_Alkaline_Carbonate!$Q6,'Tables - Part 2'!$AX$5:$BA$5,0)))/2)+INDEX('Tables - Part 2'!$BF$17:$BI$24,MATCH(SCC_Alkaline_Carbonate!$S6,'Tables - Part 2'!$AV$6:$AV$13,0),MATCH(SCC_Alkaline_Carbonate!$Q6,'Tables - Part 2'!$AX$5:$BA$5,0)))/2)+(INDEX('Tables - Part 2'!$BF$17:$BI$24,MATCH(SCC_Alkaline_Carbonate!$S6,'Tables - Part 2'!$AV$6:$AV$13,0),MATCH(SCC_Alkaline_Carbonate!$Q6,'Tables - Part 2'!$AX$5:$BA$5,0))))/2,0)</f>
        <v>0</v>
      </c>
      <c r="BM6" s="248">
        <f>IF($P6=$BM$3,INDEX('Tables - Part 2'!$BF$17:$BI$24,MATCH(SCC_Alkaline_Carbonate!$S6,'Tables - Part 2'!$AV$6:$AV$13,0),MATCH(SCC_Alkaline_Carbonate!$Q6,'Tables - Part 2'!$AX$5:$BA$5,0)),0)</f>
        <v>0</v>
      </c>
      <c r="BN6" s="248">
        <f t="shared" si="6"/>
        <v>0</v>
      </c>
      <c r="BO6" s="238">
        <f t="shared" si="8"/>
        <v>3</v>
      </c>
      <c r="BP6" s="238">
        <f t="shared" si="7"/>
        <v>50.318647405225171</v>
      </c>
    </row>
    <row r="7" spans="2:81" x14ac:dyDescent="0.35">
      <c r="B7" s="161" t="str">
        <f>'Tratamento de Dados'!B15</f>
        <v>V-11</v>
      </c>
      <c r="C7" s="161" t="str">
        <f>'Tratamento de Dados'!D15</f>
        <v>Casco</v>
      </c>
      <c r="D7" s="209" t="s">
        <v>245</v>
      </c>
      <c r="E7" s="209" t="s">
        <v>61</v>
      </c>
      <c r="F7" s="209" t="s">
        <v>1134</v>
      </c>
      <c r="G7" s="209" t="s">
        <v>1132</v>
      </c>
      <c r="H7" s="209" t="s">
        <v>245</v>
      </c>
      <c r="I7" s="210">
        <v>39092</v>
      </c>
      <c r="J7" s="209">
        <v>0</v>
      </c>
      <c r="K7" s="209">
        <v>1</v>
      </c>
      <c r="L7" s="209">
        <v>1</v>
      </c>
      <c r="M7" s="209">
        <v>4</v>
      </c>
      <c r="N7" s="253">
        <f>'Tratamento de Dados'!DA15</f>
        <v>0</v>
      </c>
      <c r="O7" s="253">
        <f>'Tratamento de Dados'!DB15</f>
        <v>0</v>
      </c>
      <c r="P7" s="256">
        <f t="shared" si="0"/>
        <v>2.5</v>
      </c>
      <c r="Q7" s="246" t="str">
        <f t="shared" si="1"/>
        <v>B</v>
      </c>
      <c r="R7" s="238" t="str">
        <f>IF(D7=$BU$2,$BS$4,IF(H7=$BU$2,$BS$5,INDEX('Tables - Part 2'!$DA$6:$DB$9,MATCH(SCC_Alkaline_Carbonate!F7,'Tables - Part 2'!$CY$6:$CY$9,0),MATCH(SCC_Alkaline_Carbonate!G7,'Tables - Part 2'!$DA$5:$DB$5,0))))</f>
        <v>Medium</v>
      </c>
      <c r="S7" s="238">
        <f>IF(AND(D7=$BU$2,E7&lt;&gt;$BU$2),"Fitness-For-Service",INDEX('Tables - Part 2'!$DE$4:$DE$7,MATCH(SCC_Alkaline_Carbonate!R7,'Tables - Part 2'!$DD$4:$DD$7,0),))</f>
        <v>100</v>
      </c>
      <c r="T7" s="238">
        <f>IF(I7=0,(Thinning!G8-Thinning!F8)/365.25,(Thinning!G8-I7)/365.25)</f>
        <v>12.980150581793293</v>
      </c>
      <c r="U7" s="248">
        <f t="shared" si="2"/>
        <v>0</v>
      </c>
      <c r="V7" s="248">
        <f t="shared" si="3"/>
        <v>2.5</v>
      </c>
      <c r="W7" s="248">
        <f t="shared" si="4"/>
        <v>3</v>
      </c>
      <c r="X7" s="247">
        <f t="shared" si="5"/>
        <v>4</v>
      </c>
      <c r="Y7" s="248">
        <f>IF($P7=$Y$3,INDEX('Tables - Part 2'!$AX$6:$BA$13,MATCH(SCC_Alkaline_Carbonate!S7,'Tables - Part 2'!$AV$6:$AV$13,0),MATCH(SCC_Alkaline_Carbonate!Q7,'Tables - Part 2'!$AX$5:$BA$5,0)),0)</f>
        <v>0</v>
      </c>
      <c r="Z7" s="248">
        <f>IF($P7=$Z$3,(INDEX('Tables - Part 2'!$AX$6:$BA$13,MATCH(SCC_Alkaline_Carbonate!S7,'Tables - Part 2'!$AV$6:$AV$13,0),MATCH(SCC_Alkaline_Carbonate!Q7,'Tables - Part 2'!$AX$5:$BA$5,0))+(INDEX('Tables - Part 2'!$AX$6:$BA$13,MATCH(SCC_Alkaline_Carbonate!S7,'Tables - Part 2'!$AV$6:$AV$13,0),MATCH(SCC_Alkaline_Carbonate!Q7,'Tables - Part 2'!$AX$5:$BA$5,0))+((INDEX('Tables - Part 2'!$AX$6:$BA$13,MATCH(SCC_Alkaline_Carbonate!S7,'Tables - Part 2'!$AV$6:$AV$13,0),MATCH(SCC_Alkaline_Carbonate!Q7,'Tables - Part 2'!$AX$5:$BA$5,0))+INDEX('Tables - Part 2'!$BB$6:$BE$13,MATCH(SCC_Alkaline_Carbonate!$S7,'Tables - Part 2'!$AV$6:$AV$13,0),MATCH(SCC_Alkaline_Carbonate!$Q7,'Tables - Part 2'!$AX$5:$BA$5,0)))/2))/2)/2,0)</f>
        <v>0</v>
      </c>
      <c r="AA7" s="248">
        <f>IF($P7=$AA$3,(INDEX('Tables - Part 2'!$AX$6:$BA$13,MATCH(SCC_Alkaline_Carbonate!S7,'Tables - Part 2'!$AV$6:$AV$13,0),MATCH(SCC_Alkaline_Carbonate!Q7,'Tables - Part 2'!$AX$5:$BA$5,0))+((INDEX('Tables - Part 2'!$AX$6:$BA$13,MATCH(SCC_Alkaline_Carbonate!S7,'Tables - Part 2'!$AV$6:$AV$13,0),MATCH(SCC_Alkaline_Carbonate!Q7,'Tables - Part 2'!$AX$5:$BA$5,0))+INDEX('Tables - Part 2'!$BB$6:$BE$13,MATCH(SCC_Alkaline_Carbonate!$S7,'Tables - Part 2'!$AV$6:$AV$13,0),MATCH(SCC_Alkaline_Carbonate!$Q7,'Tables - Part 2'!$AX$5:$BA$5,0)))/2))/2,0)</f>
        <v>0</v>
      </c>
      <c r="AB7" s="248">
        <f>IF($P7=$AB$3,(((INDEX('Tables - Part 2'!$AX$6:$BA$13,MATCH(SCC_Alkaline_Carbonate!S7,'Tables - Part 2'!$AV$6:$AV$13,0),MATCH(SCC_Alkaline_Carbonate!Q7,'Tables - Part 2'!$AX$5:$BA$5,0))+((INDEX('Tables - Part 2'!$AX$6:$BA$13,MATCH(SCC_Alkaline_Carbonate!S7,'Tables - Part 2'!$AV$6:$AV$13,0),MATCH(SCC_Alkaline_Carbonate!Q7,'Tables - Part 2'!$AX$5:$BA$5,0))+INDEX('Tables - Part 2'!$BB$6:$BE$13,MATCH(SCC_Alkaline_Carbonate!$S7,'Tables - Part 2'!$AV$6:$AV$13,0),MATCH(SCC_Alkaline_Carbonate!$Q7,'Tables - Part 2'!$AX$5:$BA$5,0)))/2))/2)+(INDEX('Tables - Part 2'!$AX$6:$BA$13,MATCH(SCC_Alkaline_Carbonate!S7,'Tables - Part 2'!$AV$6:$AV$13,0),MATCH(SCC_Alkaline_Carbonate!Q7,'Tables - Part 2'!$AX$5:$BA$5,0))+INDEX('Tables - Part 2'!$BB$6:$BE$13,MATCH(SCC_Alkaline_Carbonate!$S7,'Tables - Part 2'!$AV$6:$AV$13,0),MATCH(SCC_Alkaline_Carbonate!$Q7,'Tables - Part 2'!$AX$5:$BA$5,0)))/2)/2,0)</f>
        <v>0</v>
      </c>
      <c r="AC7" s="248">
        <f>IF($P7=$AC$3,(INDEX('Tables - Part 2'!$AX$6:$BA$13,MATCH(SCC_Alkaline_Carbonate!S7,'Tables - Part 2'!$AV$6:$AV$13,0),MATCH(SCC_Alkaline_Carbonate!Q7,'Tables - Part 2'!$AX$5:$BA$5,0))+INDEX('Tables - Part 2'!$BB$6:$BE$13,MATCH(SCC_Alkaline_Carbonate!$S7,'Tables - Part 2'!$AV$6:$AV$13,0),MATCH(SCC_Alkaline_Carbonate!$Q7,'Tables - Part 2'!$AX$5:$BA$5,0)))/2,0)</f>
        <v>0</v>
      </c>
      <c r="AD7" s="248">
        <f>IF($P7=$AD$3,(((INDEX('Tables - Part 2'!$AX$6:$BA$13,MATCH(SCC_Alkaline_Carbonate!S7,'Tables - Part 2'!$AV$6:$AV$13,0),MATCH(SCC_Alkaline_Carbonate!Q7,'Tables - Part 2'!$AX$5:$BA$5,0))+INDEX('Tables - Part 2'!$BB$6:$BE$13,MATCH(SCC_Alkaline_Carbonate!$S7,'Tables - Part 2'!$AV$6:$AV$13,0),MATCH(SCC_Alkaline_Carbonate!$Q7,'Tables - Part 2'!$AX$5:$BA$5,0)))/2)+(((INDEX('Tables - Part 2'!$AX$6:$BA$13,MATCH(SCC_Alkaline_Carbonate!S7,'Tables - Part 2'!$AV$6:$AV$13,0),MATCH(SCC_Alkaline_Carbonate!Q7,'Tables - Part 2'!$AX$5:$BA$5,0))+INDEX('Tables - Part 2'!$BB$6:$BE$13,MATCH(SCC_Alkaline_Carbonate!$S7,'Tables - Part 2'!$AV$6:$AV$13,0),MATCH(SCC_Alkaline_Carbonate!$Q7,'Tables - Part 2'!$AX$5:$BA$5,0)))/2)+INDEX('Tables - Part 2'!$BB$6:$BE$13,MATCH(SCC_Alkaline_Carbonate!$S7,'Tables - Part 2'!$AV$6:$AV$13,0),MATCH(SCC_Alkaline_Carbonate!$Q7,'Tables - Part 2'!$AX$5:$BA$5,0)))/2)/2,0)</f>
        <v>0</v>
      </c>
      <c r="AE7" s="248">
        <f>IF($P7=$AE$3,(((INDEX('Tables - Part 2'!$AX$6:$BA$13,MATCH(SCC_Alkaline_Carbonate!S7,'Tables - Part 2'!$AV$6:$AV$13,0),MATCH(SCC_Alkaline_Carbonate!Q7,'Tables - Part 2'!$AX$5:$BA$5,0))+INDEX('Tables - Part 2'!$BB$6:$BE$13,MATCH(SCC_Alkaline_Carbonate!$S7,'Tables - Part 2'!$AV$6:$AV$13,0),MATCH(SCC_Alkaline_Carbonate!$Q7,'Tables - Part 2'!$AX$5:$BA$5,0)))/2)+INDEX('Tables - Part 2'!$BB$6:$BE$13,MATCH(SCC_Alkaline_Carbonate!$S7,'Tables - Part 2'!$AV$6:$AV$13,0),MATCH(SCC_Alkaline_Carbonate!$Q7,'Tables - Part 2'!$AX$5:$BA$5,0)))/2,0)</f>
        <v>0</v>
      </c>
      <c r="AF7" s="248">
        <f>IF($P7=$AF$3,(((((INDEX('Tables - Part 2'!$AX$6:$BA$13,MATCH(SCC_Alkaline_Carbonate!S7,'Tables - Part 2'!$AV$6:$AV$13,0),MATCH(SCC_Alkaline_Carbonate!Q7,'Tables - Part 2'!$AX$5:$BA$5,0))+INDEX('Tables - Part 2'!$BB$6:$BE$13,MATCH(SCC_Alkaline_Carbonate!$S7,'Tables - Part 2'!$AV$6:$AV$13,0),MATCH(SCC_Alkaline_Carbonate!$Q7,'Tables - Part 2'!$AX$5:$BA$5,0)))/2)+INDEX('Tables - Part 2'!$BB$6:$BE$13,MATCH(SCC_Alkaline_Carbonate!$S7,'Tables - Part 2'!$AV$6:$AV$13,0),MATCH(SCC_Alkaline_Carbonate!$Q7,'Tables - Part 2'!$AX$5:$BA$5,0)))/2)+INDEX('Tables - Part 2'!$BB$6:$BE$13,MATCH(SCC_Alkaline_Carbonate!$S7,'Tables - Part 2'!$AV$6:$AV$13,0),MATCH(SCC_Alkaline_Carbonate!$Q7,'Tables - Part 2'!$AX$5:$BA$5,0)))/2,0)</f>
        <v>0</v>
      </c>
      <c r="AG7" s="248">
        <f>IF($P7=$AG$3,INDEX('Tables - Part 2'!$BB$6:$BE$13,MATCH(SCC_Alkaline_Carbonate!$S7,'Tables - Part 2'!$AV$6:$AV$13,0),MATCH(SCC_Alkaline_Carbonate!$Q7,'Tables - Part 2'!$AX$5:$BA$5,0)),0)</f>
        <v>0</v>
      </c>
      <c r="AH7" s="248">
        <f>IF($P7=$AH$3,((INDEX('Tables - Part 2'!$BB$6:$BE$13,MATCH(SCC_Alkaline_Carbonate!$S7,'Tables - Part 2'!$AV$6:$AV$13,0),MATCH(SCC_Alkaline_Carbonate!$Q7,'Tables - Part 2'!$AX$5:$BA$5,0)))+(INDEX('Tables - Part 2'!$BB$6:$BE$13,MATCH(SCC_Alkaline_Carbonate!$S7,'Tables - Part 2'!$AV$6:$AV$13,0),MATCH(SCC_Alkaline_Carbonate!$Q7,'Tables - Part 2'!$AX$5:$BA$5,0))+(INDEX('Tables - Part 2'!$BB$6:$BE$13,MATCH(SCC_Alkaline_Carbonate!$S7,'Tables - Part 2'!$AV$6:$AV$13,0),MATCH(SCC_Alkaline_Carbonate!$Q7,'Tables - Part 2'!$AX$5:$BA$5,0))+INDEX('Tables - Part 2'!$BF$6:$BI$13,MATCH(SCC_Alkaline_Carbonate!$S7,'Tables - Part 2'!$AV$6:$AV$13,0),MATCH(SCC_Alkaline_Carbonate!$Q7,'Tables - Part 2'!$AX$5:$BA$5,0)))/2)/2)/2,0)</f>
        <v>0</v>
      </c>
      <c r="AI7" s="248">
        <f>IF($P7=$AI$3,(INDEX('Tables - Part 2'!$BB$6:$BE$13,MATCH(SCC_Alkaline_Carbonate!$S7,'Tables - Part 2'!$AV$6:$AV$13,0),MATCH(SCC_Alkaline_Carbonate!$Q7,'Tables - Part 2'!$AX$5:$BA$5,0))+(INDEX('Tables - Part 2'!$BB$6:$BE$13,MATCH(SCC_Alkaline_Carbonate!$S7,'Tables - Part 2'!$AV$6:$AV$13,0),MATCH(SCC_Alkaline_Carbonate!$Q7,'Tables - Part 2'!$AX$5:$BA$5,0))+INDEX('Tables - Part 2'!$BF$6:$BI$13,MATCH(SCC_Alkaline_Carbonate!$S7,'Tables - Part 2'!$AV$6:$AV$13,0),MATCH(SCC_Alkaline_Carbonate!$Q7,'Tables - Part 2'!$AX$5:$BA$5,0)))/2)/2,0)</f>
        <v>0</v>
      </c>
      <c r="AJ7" s="248">
        <f>IF($P7=$AJ$3,(((INDEX('Tables - Part 2'!$BB$6:$BE$13,MATCH(SCC_Alkaline_Carbonate!$S7,'Tables - Part 2'!$AV$6:$AV$13,0),MATCH(SCC_Alkaline_Carbonate!$Q7,'Tables - Part 2'!$AX$5:$BA$5,0))+(INDEX('Tables - Part 2'!$BB$6:$BE$13,MATCH(SCC_Alkaline_Carbonate!$S7,'Tables - Part 2'!$AV$6:$AV$13,0),MATCH(SCC_Alkaline_Carbonate!$Q7,'Tables - Part 2'!$AX$5:$BA$5,0))+INDEX('Tables - Part 2'!$BF$6:$BI$13,MATCH(SCC_Alkaline_Carbonate!$S7,'Tables - Part 2'!$AV$6:$AV$13,0),MATCH(SCC_Alkaline_Carbonate!$Q7,'Tables - Part 2'!$AX$5:$BA$5,0)))/2)/2)+((INDEX('Tables - Part 2'!$BB$6:$BE$13,MATCH(SCC_Alkaline_Carbonate!$S7,'Tables - Part 2'!$AV$6:$AV$13,0),MATCH(SCC_Alkaline_Carbonate!$Q7,'Tables - Part 2'!$AX$5:$BA$5,0))+INDEX('Tables - Part 2'!$BF$6:$BI$13,MATCH(SCC_Alkaline_Carbonate!$S7,'Tables - Part 2'!$AV$6:$AV$13,0),MATCH(SCC_Alkaline_Carbonate!$Q7,'Tables - Part 2'!$AX$5:$BA$5,0)))/2))/2,0)</f>
        <v>0</v>
      </c>
      <c r="AK7" s="248">
        <f>IF($P7=$AK$3,(INDEX('Tables - Part 2'!$BB$6:$BE$13,MATCH(SCC_Alkaline_Carbonate!$S7,'Tables - Part 2'!$AV$6:$AV$13,0),MATCH(SCC_Alkaline_Carbonate!$Q7,'Tables - Part 2'!$AX$5:$BA$5,0))+INDEX('Tables - Part 2'!$BF$6:$BI$13,MATCH(SCC_Alkaline_Carbonate!$S7,'Tables - Part 2'!$AV$6:$AV$13,0),MATCH(SCC_Alkaline_Carbonate!$Q7,'Tables - Part 2'!$AX$5:$BA$5,0)))/2,0)</f>
        <v>3</v>
      </c>
      <c r="AL7" s="248">
        <f>IF($P7=$AL$3,(((INDEX('Tables - Part 2'!$BB$6:$BE$13,MATCH(SCC_Alkaline_Carbonate!$S7,'Tables - Part 2'!$AV$6:$AV$13,0),MATCH(SCC_Alkaline_Carbonate!$Q7,'Tables - Part 2'!$AX$5:$BA$5,0))+INDEX('Tables - Part 2'!$BF$6:$BI$13,MATCH(SCC_Alkaline_Carbonate!$S7,'Tables - Part 2'!$AV$6:$AV$13,0),MATCH(SCC_Alkaline_Carbonate!$Q7,'Tables - Part 2'!$AX$5:$BA$5,0)))/2)+((((INDEX('Tables - Part 2'!$BB$6:$BE$13,MATCH(SCC_Alkaline_Carbonate!$S7,'Tables - Part 2'!$AV$6:$AV$13,0),MATCH(SCC_Alkaline_Carbonate!$Q7,'Tables - Part 2'!$AX$5:$BA$5,0))+INDEX('Tables - Part 2'!$BF$6:$BI$13,MATCH(SCC_Alkaline_Carbonate!$S7,'Tables - Part 2'!$AV$6:$AV$13,0),MATCH(SCC_Alkaline_Carbonate!$Q7,'Tables - Part 2'!$AX$5:$BA$5,0)))/2)+INDEX('Tables - Part 2'!$BF$6:$BI$13,MATCH(SCC_Alkaline_Carbonate!$S7,'Tables - Part 2'!$AV$6:$AV$13,0),MATCH(SCC_Alkaline_Carbonate!$Q7,'Tables - Part 2'!$AX$5:$BA$5,0)))/2))/2,0)</f>
        <v>0</v>
      </c>
      <c r="AM7" s="248">
        <f>IF($P7=$AM$3,(((INDEX('Tables - Part 2'!$BB$6:$BE$13,MATCH(SCC_Alkaline_Carbonate!$S7,'Tables - Part 2'!$AV$6:$AV$13,0),MATCH(SCC_Alkaline_Carbonate!$Q7,'Tables - Part 2'!$AX$5:$BA$5,0))+INDEX('Tables - Part 2'!$BF$6:$BI$13,MATCH(SCC_Alkaline_Carbonate!$S7,'Tables - Part 2'!$AV$6:$AV$13,0),MATCH(SCC_Alkaline_Carbonate!$Q7,'Tables - Part 2'!$AX$5:$BA$5,0)))/2)+INDEX('Tables - Part 2'!$BF$6:$BI$13,MATCH(SCC_Alkaline_Carbonate!$S7,'Tables - Part 2'!$AV$6:$AV$13,0),MATCH(SCC_Alkaline_Carbonate!$Q7,'Tables - Part 2'!$AX$5:$BA$5,0)))/2,0)</f>
        <v>0</v>
      </c>
      <c r="AN7" s="248">
        <f>IF($P7=$AN$3,(((((INDEX('Tables - Part 2'!$BB$6:$BE$13,MATCH(SCC_Alkaline_Carbonate!$S7,'Tables - Part 2'!$AV$6:$AV$13,0),MATCH(SCC_Alkaline_Carbonate!$Q7,'Tables - Part 2'!$AX$5:$BA$5,0))+INDEX('Tables - Part 2'!$BF$6:$BI$13,MATCH(SCC_Alkaline_Carbonate!$S7,'Tables - Part 2'!$AV$6:$AV$13,0),MATCH(SCC_Alkaline_Carbonate!$Q7,'Tables - Part 2'!$AX$5:$BA$5,0)))/2)+INDEX('Tables - Part 2'!$BF$6:$BI$13,MATCH(SCC_Alkaline_Carbonate!$S7,'Tables - Part 2'!$AV$6:$AV$13,0),MATCH(SCC_Alkaline_Carbonate!$Q7,'Tables - Part 2'!$AX$5:$BA$5,0)))/2)+INDEX('Tables - Part 2'!$BF$6:$BI$13,MATCH(SCC_Alkaline_Carbonate!$S7,'Tables - Part 2'!$AV$6:$AV$13,0),MATCH(SCC_Alkaline_Carbonate!$Q7,'Tables - Part 2'!$AX$5:$BA$5,0)))/2,0)</f>
        <v>0</v>
      </c>
      <c r="AO7" s="248">
        <f>IF($P7=$AO$3,INDEX('Tables - Part 2'!$BF$6:$BI$13,MATCH(SCC_Alkaline_Carbonate!$S7,'Tables - Part 2'!$AV$6:$AV$13,0),MATCH(SCC_Alkaline_Carbonate!$Q7,'Tables - Part 2'!$AX$5:$BA$5,0)),0)</f>
        <v>0</v>
      </c>
      <c r="AP7" s="248">
        <f>IF($P7=$AP$3,(INDEX('Tables - Part 2'!$BF$6:$BI$13,MATCH(SCC_Alkaline_Carbonate!$S7,'Tables - Part 2'!$AV$6:$AV$13,0),MATCH(SCC_Alkaline_Carbonate!$Q7,'Tables - Part 2'!$AX$5:$BA$5,0))+((INDEX('Tables - Part 2'!$BF$6:$BI$13,MATCH(SCC_Alkaline_Carbonate!$S7,'Tables - Part 2'!$AV$6:$AV$13,0),MATCH(SCC_Alkaline_Carbonate!$Q7,'Tables - Part 2'!$AX$5:$BA$5,0))+(INDEX('Tables - Part 2'!$BF$6:$BI$13,MATCH(SCC_Alkaline_Carbonate!$S7,'Tables - Part 2'!$AV$6:$AV$13,0),MATCH(SCC_Alkaline_Carbonate!$Q7,'Tables - Part 2'!$AX$5:$BA$5,0))+INDEX('Tables - Part 2'!$AX$17:$BA$24,MATCH(SCC_Alkaline_Carbonate!$S7,'Tables - Part 2'!$AV$6:$AV$13,0),MATCH(SCC_Alkaline_Carbonate!$Q7,'Tables - Part 2'!$AX$5:$BA$5,0)))/2)/2))/2,0)</f>
        <v>0</v>
      </c>
      <c r="AQ7" s="248">
        <f>IF($P7=$AQ$3,(INDEX('Tables - Part 2'!$BF$6:$BI$13,MATCH(SCC_Alkaline_Carbonate!$S7,'Tables - Part 2'!$AV$6:$AV$13,0),MATCH(SCC_Alkaline_Carbonate!$Q7,'Tables - Part 2'!$AX$5:$BA$5,0))+(INDEX('Tables - Part 2'!$BF$6:$BI$13,MATCH(SCC_Alkaline_Carbonate!$S7,'Tables - Part 2'!$AV$6:$AV$13,0),MATCH(SCC_Alkaline_Carbonate!$Q7,'Tables - Part 2'!$AX$5:$BA$5,0))+INDEX('Tables - Part 2'!$AX$17:$BA$24,MATCH(SCC_Alkaline_Carbonate!$S7,'Tables - Part 2'!$AV$6:$AV$13,0),MATCH(SCC_Alkaline_Carbonate!$Q7,'Tables - Part 2'!$AX$5:$BA$5,0)))/2)/2,0)</f>
        <v>0</v>
      </c>
      <c r="AR7" s="248">
        <f>IF($P7=$AR$3,(((INDEX('Tables - Part 2'!$BF$6:$BI$13,MATCH(SCC_Alkaline_Carbonate!$S7,'Tables - Part 2'!$AV$6:$AV$13,0),MATCH(SCC_Alkaline_Carbonate!$Q7,'Tables - Part 2'!$AX$5:$BA$5,0))+(INDEX('Tables - Part 2'!$BF$6:$BI$13,MATCH(SCC_Alkaline_Carbonate!$S7,'Tables - Part 2'!$AV$6:$AV$13,0),MATCH(SCC_Alkaline_Carbonate!$Q7,'Tables - Part 2'!$AX$5:$BA$5,0))+INDEX('Tables - Part 2'!$AX$17:$BA$24,MATCH(SCC_Alkaline_Carbonate!$S7,'Tables - Part 2'!$AV$6:$AV$13,0),MATCH(SCC_Alkaline_Carbonate!$Q7,'Tables - Part 2'!$AX$5:$BA$5,0)))/2)/2)+((INDEX('Tables - Part 2'!$BF$6:$BI$13,MATCH(SCC_Alkaline_Carbonate!$S7,'Tables - Part 2'!$AV$6:$AV$13,0),MATCH(SCC_Alkaline_Carbonate!$Q7,'Tables - Part 2'!$AX$5:$BA$5,0))+INDEX('Tables - Part 2'!$AX$17:$BA$24,MATCH(SCC_Alkaline_Carbonate!$S7,'Tables - Part 2'!$AV$6:$AV$13,0),MATCH(SCC_Alkaline_Carbonate!$Q7,'Tables - Part 2'!$AX$5:$BA$5,0)))/2))/2,0)</f>
        <v>0</v>
      </c>
      <c r="AS7" s="248">
        <f>IF($P7=$AS$3,(INDEX('Tables - Part 2'!$BF$6:$BI$13,MATCH(SCC_Alkaline_Carbonate!$S7,'Tables - Part 2'!$AV$6:$AV$13,0),MATCH(SCC_Alkaline_Carbonate!$Q7,'Tables - Part 2'!$AX$5:$BA$5,0))+INDEX('Tables - Part 2'!$AX$17:$BA$24,MATCH(SCC_Alkaline_Carbonate!$S7,'Tables - Part 2'!$AV$6:$AV$13,0),MATCH(SCC_Alkaline_Carbonate!$Q7,'Tables - Part 2'!$AX$5:$BA$5,0)))/2,0)</f>
        <v>0</v>
      </c>
      <c r="AT7" s="248">
        <f>IF($P7=$AT$3,(((INDEX('Tables - Part 2'!$BF$6:$BI$13,MATCH(SCC_Alkaline_Carbonate!$S7,'Tables - Part 2'!$AV$6:$AV$13,0),MATCH(SCC_Alkaline_Carbonate!$Q7,'Tables - Part 2'!$AX$5:$BA$5,0))+INDEX('Tables - Part 2'!$AX$17:$BA$24,MATCH(SCC_Alkaline_Carbonate!$S7,'Tables - Part 2'!$AV$6:$AV$13,0),MATCH(SCC_Alkaline_Carbonate!$Q7,'Tables - Part 2'!$AX$5:$BA$5,0)))/2)+((((INDEX('Tables - Part 2'!$BF$6:$BI$13,MATCH(SCC_Alkaline_Carbonate!$S7,'Tables - Part 2'!$AV$6:$AV$13,0),MATCH(SCC_Alkaline_Carbonate!$Q7,'Tables - Part 2'!$AX$5:$BA$5,0))+INDEX('Tables - Part 2'!$AX$17:$BA$24,MATCH(SCC_Alkaline_Carbonate!$S7,'Tables - Part 2'!$AV$6:$AV$13,0),MATCH(SCC_Alkaline_Carbonate!$Q7,'Tables - Part 2'!$AX$5:$BA$5,0)))/2)+INDEX('Tables - Part 2'!$AX$17:$BA$24,MATCH(SCC_Alkaline_Carbonate!$S7,'Tables - Part 2'!$AV$6:$AV$13,0),MATCH(SCC_Alkaline_Carbonate!$Q7,'Tables - Part 2'!$AX$5:$BA$5,0)))/2))/2,0)</f>
        <v>0</v>
      </c>
      <c r="AU7" s="248">
        <f>IF($P7=$AU$3,(((INDEX('Tables - Part 2'!$BF$6:$BI$13,MATCH(SCC_Alkaline_Carbonate!$S7,'Tables - Part 2'!$AV$6:$AV$13,0),MATCH(SCC_Alkaline_Carbonate!$Q7,'Tables - Part 2'!$AX$5:$BA$5,0))+INDEX('Tables - Part 2'!$AX$17:$BA$24,MATCH(SCC_Alkaline_Carbonate!$S7,'Tables - Part 2'!$AV$6:$AV$13,0),MATCH(SCC_Alkaline_Carbonate!$Q7,'Tables - Part 2'!$AX$5:$BA$5,0)))/2)+INDEX('Tables - Part 2'!$AX$17:$BA$24,MATCH(SCC_Alkaline_Carbonate!$S7,'Tables - Part 2'!$AV$6:$AV$13,0),MATCH(SCC_Alkaline_Carbonate!$Q7,'Tables - Part 2'!$AX$5:$BA$5,0)))/2,0)</f>
        <v>0</v>
      </c>
      <c r="AV7" s="248">
        <f>IF($P7=$AV$3,(((((INDEX('Tables - Part 2'!$BF$6:$BI$13,MATCH(SCC_Alkaline_Carbonate!$S7,'Tables - Part 2'!$AV$6:$AV$13,0),MATCH(SCC_Alkaline_Carbonate!$Q7,'Tables - Part 2'!$AX$5:$BA$5,0))+INDEX('Tables - Part 2'!$AX$17:$BA$24,MATCH(SCC_Alkaline_Carbonate!$S7,'Tables - Part 2'!$AV$6:$AV$13,0),MATCH(SCC_Alkaline_Carbonate!$Q7,'Tables - Part 2'!$AX$5:$BA$5,0)))/2)+INDEX('Tables - Part 2'!$AX$17:$BA$24,MATCH(SCC_Alkaline_Carbonate!$S7,'Tables - Part 2'!$AV$6:$AV$13,0),MATCH(SCC_Alkaline_Carbonate!$Q7,'Tables - Part 2'!$AX$5:$BA$5,0)))/2)+(INDEX('Tables - Part 2'!$AX$17:$BA$24,MATCH(SCC_Alkaline_Carbonate!$S7,'Tables - Part 2'!$AV$6:$AV$13,0),MATCH(SCC_Alkaline_Carbonate!$Q7,'Tables - Part 2'!$AX$5:$BA$5,0))))/2,0)</f>
        <v>0</v>
      </c>
      <c r="AW7" s="248">
        <f>IF($P7=$AW$3,INDEX('Tables - Part 2'!$AX$17:$BA$24,MATCH(SCC_Alkaline_Carbonate!$S7,'Tables - Part 2'!$AV$6:$AV$13,0),MATCH(SCC_Alkaline_Carbonate!$Q7,'Tables - Part 2'!$AX$5:$BA$5,0)),0)</f>
        <v>0</v>
      </c>
      <c r="AX7" s="248">
        <f>IF($P7=$AX$3,((INDEX('Tables - Part 2'!$AX$17:$BA$24,MATCH(SCC_Alkaline_Carbonate!$S7,'Tables - Part 2'!$AV$6:$AV$13,0),MATCH(SCC_Alkaline_Carbonate!$Q7,'Tables - Part 2'!$AX$5:$BA$5,0)))+(((INDEX('Tables - Part 2'!$AX$17:$BA$24,MATCH(SCC_Alkaline_Carbonate!$S7,'Tables - Part 2'!$AV$6:$AV$13,0),MATCH(SCC_Alkaline_Carbonate!$Q7,'Tables - Part 2'!$AX$5:$BA$5,0)))+(INDEX('Tables - Part 2'!$AX$17:$BA$24,MATCH(SCC_Alkaline_Carbonate!$S7,'Tables - Part 2'!$AV$6:$AV$13,0),MATCH(SCC_Alkaline_Carbonate!$Q7,'Tables - Part 2'!$AX$5:$BA$5,0))+INDEX('Tables - Part 2'!$BB$17:$BE$24,MATCH(SCC_Alkaline_Carbonate!$S7,'Tables - Part 2'!$AV$6:$AV$13,0),MATCH(SCC_Alkaline_Carbonate!$Q7,'Tables - Part 2'!$AX$5:$BA$5,0)))/2)/2))/2,0)</f>
        <v>0</v>
      </c>
      <c r="AY7" s="248">
        <f>IF($P7=$AY$3,((INDEX('Tables - Part 2'!$AX$17:$BA$24,MATCH(SCC_Alkaline_Carbonate!$S7,'Tables - Part 2'!$AV$6:$AV$13,0),MATCH(SCC_Alkaline_Carbonate!$Q7,'Tables - Part 2'!$AX$5:$BA$5,0)))+(INDEX('Tables - Part 2'!$AX$17:$BA$24,MATCH(SCC_Alkaline_Carbonate!$S7,'Tables - Part 2'!$AV$6:$AV$13,0),MATCH(SCC_Alkaline_Carbonate!$Q7,'Tables - Part 2'!$AX$5:$BA$5,0))+INDEX('Tables - Part 2'!$BB$17:$BE$24,MATCH(SCC_Alkaline_Carbonate!$S7,'Tables - Part 2'!$AV$6:$AV$13,0),MATCH(SCC_Alkaline_Carbonate!$Q7,'Tables - Part 2'!$AX$5:$BA$5,0)))/2)/2,0)</f>
        <v>0</v>
      </c>
      <c r="AZ7" s="248">
        <f>IF($P7=$AZ$3,((((INDEX('Tables - Part 2'!$AX$17:$BA$24,MATCH(SCC_Alkaline_Carbonate!$S7,'Tables - Part 2'!$AV$6:$AV$13,0),MATCH(SCC_Alkaline_Carbonate!$Q7,'Tables - Part 2'!$AX$5:$BA$5,0)))+(INDEX('Tables - Part 2'!$AX$17:$BA$24,MATCH(SCC_Alkaline_Carbonate!$S7,'Tables - Part 2'!$AV$6:$AV$13,0),MATCH(SCC_Alkaline_Carbonate!$Q7,'Tables - Part 2'!$AX$5:$BA$5,0))+INDEX('Tables - Part 2'!$BB$17:$BE$24,MATCH(SCC_Alkaline_Carbonate!$S7,'Tables - Part 2'!$AV$6:$AV$13,0),MATCH(SCC_Alkaline_Carbonate!$Q7,'Tables - Part 2'!$AX$5:$BA$5,0)))/2)/2)+((INDEX('Tables - Part 2'!$AX$17:$BA$24,MATCH(SCC_Alkaline_Carbonate!$S7,'Tables - Part 2'!$AV$6:$AV$13,0),MATCH(SCC_Alkaline_Carbonate!$Q7,'Tables - Part 2'!$AX$5:$BA$5,0))+INDEX('Tables - Part 2'!$BB$17:$BE$24,MATCH(SCC_Alkaline_Carbonate!$S7,'Tables - Part 2'!$AV$6:$AV$13,0),MATCH(SCC_Alkaline_Carbonate!$Q7,'Tables - Part 2'!$AX$5:$BA$5,0)))/2))/2,0)</f>
        <v>0</v>
      </c>
      <c r="BA7" s="248">
        <f>IF($P7=$BA$3,(INDEX('Tables - Part 2'!$AX$17:$BA$24,MATCH(SCC_Alkaline_Carbonate!$S7,'Tables - Part 2'!$AV$6:$AV$13,0),MATCH(SCC_Alkaline_Carbonate!$Q7,'Tables - Part 2'!$AX$5:$BA$5,0))+INDEX('Tables - Part 2'!$BB$17:$BE$24,MATCH(SCC_Alkaline_Carbonate!$S7,'Tables - Part 2'!$AV$6:$AV$13,0),MATCH(SCC_Alkaline_Carbonate!$Q7,'Tables - Part 2'!$AX$5:$BA$5,0)))/2,0)</f>
        <v>0</v>
      </c>
      <c r="BB7" s="248">
        <f>IF($P7=$BB$3,(((INDEX('Tables - Part 2'!$AX$17:$BA$24,MATCH(SCC_Alkaline_Carbonate!$S7,'Tables - Part 2'!$AV$6:$AV$13,0),MATCH(SCC_Alkaline_Carbonate!$Q7,'Tables - Part 2'!$AX$5:$BA$5,0))+INDEX('Tables - Part 2'!$BB$17:$BE$24,MATCH(SCC_Alkaline_Carbonate!$S7,'Tables - Part 2'!$AV$6:$AV$13,0),MATCH(SCC_Alkaline_Carbonate!$Q7,'Tables - Part 2'!$AX$5:$BA$5,0)))/2)+((((INDEX('Tables - Part 2'!$AX$17:$BA$24,MATCH(SCC_Alkaline_Carbonate!$S7,'Tables - Part 2'!$AV$6:$AV$13,0),MATCH(SCC_Alkaline_Carbonate!$Q7,'Tables - Part 2'!$AX$5:$BA$5,0))+INDEX('Tables - Part 2'!$BB$17:$BE$24,MATCH(SCC_Alkaline_Carbonate!$S7,'Tables - Part 2'!$AV$6:$AV$13,0),MATCH(SCC_Alkaline_Carbonate!$Q7,'Tables - Part 2'!$AX$5:$BA$5,0)))/2)+INDEX('Tables - Part 2'!$BB$17:$BE$24,MATCH(SCC_Alkaline_Carbonate!$S7,'Tables - Part 2'!$AV$6:$AV$13,0),MATCH(SCC_Alkaline_Carbonate!$Q7,'Tables - Part 2'!$AX$5:$BA$5,0)))/2))/2,0)</f>
        <v>0</v>
      </c>
      <c r="BC7" s="248">
        <f>IF($P7=$BC$3,(((INDEX('Tables - Part 2'!$AX$17:$BA$24,MATCH(SCC_Alkaline_Carbonate!$S7,'Tables - Part 2'!$AV$6:$AV$13,0),MATCH(SCC_Alkaline_Carbonate!$Q7,'Tables - Part 2'!$AX$5:$BA$5,0))+INDEX('Tables - Part 2'!$BB$17:$BE$24,MATCH(SCC_Alkaline_Carbonate!$S7,'Tables - Part 2'!$AV$6:$AV$13,0),MATCH(SCC_Alkaline_Carbonate!$Q7,'Tables - Part 2'!$AX$5:$BA$5,0)))/2)+INDEX('Tables - Part 2'!$BB$17:$BE$24,MATCH(SCC_Alkaline_Carbonate!$S7,'Tables - Part 2'!$AV$6:$AV$13,0),MATCH(SCC_Alkaline_Carbonate!$Q7,'Tables - Part 2'!$AX$5:$BA$5,0)))/2,0)</f>
        <v>0</v>
      </c>
      <c r="BD7" s="248">
        <f>IF($P7=$BD$3,(((((INDEX('Tables - Part 2'!$AX$17:$BA$24,MATCH(SCC_Alkaline_Carbonate!$S7,'Tables - Part 2'!$AV$6:$AV$13,0),MATCH(SCC_Alkaline_Carbonate!$Q7,'Tables - Part 2'!$AX$5:$BA$5,0))+INDEX('Tables - Part 2'!$BB$17:$BE$24,MATCH(SCC_Alkaline_Carbonate!$S7,'Tables - Part 2'!$AV$6:$AV$13,0),MATCH(SCC_Alkaline_Carbonate!$Q7,'Tables - Part 2'!$AX$5:$BA$5,0)))/2)+INDEX('Tables - Part 2'!$BB$17:$BE$24,MATCH(SCC_Alkaline_Carbonate!$S7,'Tables - Part 2'!$AV$6:$AV$13,0),MATCH(SCC_Alkaline_Carbonate!$Q7,'Tables - Part 2'!$AX$5:$BA$5,0)))/2)+(INDEX('Tables - Part 2'!$BB$17:$BE$24,MATCH(SCC_Alkaline_Carbonate!$S7,'Tables - Part 2'!$AV$6:$AV$13,0),MATCH(SCC_Alkaline_Carbonate!$Q7,'Tables - Part 2'!$AX$5:$BA$5,0))))/2,0)</f>
        <v>0</v>
      </c>
      <c r="BE7" s="248">
        <f>IF($P7=$BE$3,INDEX('Tables - Part 2'!$BB$17:$BE$24,MATCH(SCC_Alkaline_Carbonate!$S7,'Tables - Part 2'!$AV$6:$AV$13,0),MATCH(SCC_Alkaline_Carbonate!$Q7,'Tables - Part 2'!$AX$5:$BA$5,0)),0)</f>
        <v>0</v>
      </c>
      <c r="BF7" s="248">
        <f>IF($P7=$BF$3,((INDEX('Tables - Part 2'!$BB$17:$BE$24,MATCH(SCC_Alkaline_Carbonate!$S7,'Tables - Part 2'!$AV$6:$AV$13,0),MATCH(SCC_Alkaline_Carbonate!$Q7,'Tables - Part 2'!$AX$5:$BA$5,0)))+(((INDEX('Tables - Part 2'!$BB$17:$BE$24,MATCH(SCC_Alkaline_Carbonate!$S7,'Tables - Part 2'!$AV$6:$AV$13,0),MATCH(SCC_Alkaline_Carbonate!$Q7,'Tables - Part 2'!$AX$5:$BA$5,0)))+(INDEX('Tables - Part 2'!$BB$17:$BE$24,MATCH(SCC_Alkaline_Carbonate!$S7,'Tables - Part 2'!$AV$6:$AV$13,0),MATCH(SCC_Alkaline_Carbonate!$Q7,'Tables - Part 2'!$AX$5:$BA$5,0))+INDEX('Tables - Part 2'!$BF$17:$BI$24,MATCH(SCC_Alkaline_Carbonate!$S7,'Tables - Part 2'!$AV$6:$AV$13,0),MATCH(SCC_Alkaline_Carbonate!$Q7,'Tables - Part 2'!$AX$5:$BA$5,0)))/2)/2))/2,0)</f>
        <v>0</v>
      </c>
      <c r="BG7" s="248">
        <f>IF($P7=$BG$3,((INDEX('Tables - Part 2'!$BB$17:$BE$24,MATCH(SCC_Alkaline_Carbonate!$S7,'Tables - Part 2'!$AV$6:$AV$13,0),MATCH(SCC_Alkaline_Carbonate!$Q7,'Tables - Part 2'!$AX$5:$BA$5,0)))+(INDEX('Tables - Part 2'!$BB$17:$BE$24,MATCH(SCC_Alkaline_Carbonate!$S7,'Tables - Part 2'!$AV$6:$AV$13,0),MATCH(SCC_Alkaline_Carbonate!$Q7,'Tables - Part 2'!$AX$5:$BA$5,0))+INDEX('Tables - Part 2'!$BF$17:$BI$24,MATCH(SCC_Alkaline_Carbonate!$S7,'Tables - Part 2'!$AV$6:$AV$13,0),MATCH(SCC_Alkaline_Carbonate!$Q7,'Tables - Part 2'!$AX$5:$BA$5,0)))/2)/2,0)</f>
        <v>0</v>
      </c>
      <c r="BH7" s="248">
        <f>IF($P7=$BH$3,((((INDEX('Tables - Part 2'!$BB$17:$BE$24,MATCH(SCC_Alkaline_Carbonate!$S7,'Tables - Part 2'!$AV$6:$AV$13,0),MATCH(SCC_Alkaline_Carbonate!$Q7,'Tables - Part 2'!$AX$5:$BA$5,0)))+(INDEX('Tables - Part 2'!$BB$17:$BE$24,MATCH(SCC_Alkaline_Carbonate!$S7,'Tables - Part 2'!$AV$6:$AV$13,0),MATCH(SCC_Alkaline_Carbonate!$Q7,'Tables - Part 2'!$AX$5:$BA$5,0))+INDEX('Tables - Part 2'!$BF$17:$BI$24,MATCH(SCC_Alkaline_Carbonate!$S7,'Tables - Part 2'!$AV$6:$AV$13,0),MATCH(SCC_Alkaline_Carbonate!$Q7,'Tables - Part 2'!$AX$5:$BA$5,0)))/2)/2)+((INDEX('Tables - Part 2'!$BB$17:$BE$24,MATCH(SCC_Alkaline_Carbonate!$S7,'Tables - Part 2'!$AV$6:$AV$13,0),MATCH(SCC_Alkaline_Carbonate!$Q7,'Tables - Part 2'!$AX$5:$BA$5,0))+INDEX('Tables - Part 2'!$BF$17:$BI$24,MATCH(SCC_Alkaline_Carbonate!$S7,'Tables - Part 2'!$AV$6:$AV$13,0),MATCH(SCC_Alkaline_Carbonate!$Q7,'Tables - Part 2'!$AX$5:$BA$5,0)))/2))/2,0)</f>
        <v>0</v>
      </c>
      <c r="BI7" s="248">
        <f>IF($P7=$BI$3,(INDEX('Tables - Part 2'!$BB$17:$BE$24,MATCH(SCC_Alkaline_Carbonate!$S7,'Tables - Part 2'!$AV$6:$AV$13,0),MATCH(SCC_Alkaline_Carbonate!$Q7,'Tables - Part 2'!$AX$5:$BA$5,0))+INDEX('Tables - Part 2'!$BF$17:$BI$24,MATCH(SCC_Alkaline_Carbonate!$S7,'Tables - Part 2'!$AV$6:$AV$13,0),MATCH(SCC_Alkaline_Carbonate!$Q7,'Tables - Part 2'!$AX$5:$BA$5,0)))/2,0)</f>
        <v>0</v>
      </c>
      <c r="BJ7" s="248">
        <f>IF($P7=$BJ$3,(((INDEX('Tables - Part 2'!$BB$17:$BE$24,MATCH(SCC_Alkaline_Carbonate!$S7,'Tables - Part 2'!$AV$6:$AV$13,0),MATCH(SCC_Alkaline_Carbonate!$Q7,'Tables - Part 2'!$AX$5:$BA$5,0))+INDEX('Tables - Part 2'!$BF$17:$BI$24,MATCH(SCC_Alkaline_Carbonate!$S7,'Tables - Part 2'!$AV$6:$AV$13,0),MATCH(SCC_Alkaline_Carbonate!$Q7,'Tables - Part 2'!$AX$5:$BA$5,0)))/2)+((((INDEX('Tables - Part 2'!$BB$17:$BE$24,MATCH(SCC_Alkaline_Carbonate!$S7,'Tables - Part 2'!$AV$6:$AV$13,0),MATCH(SCC_Alkaline_Carbonate!$Q7,'Tables - Part 2'!$AX$5:$BA$5,0))+INDEX('Tables - Part 2'!$BF$17:$BI$24,MATCH(SCC_Alkaline_Carbonate!$S7,'Tables - Part 2'!$AV$6:$AV$13,0),MATCH(SCC_Alkaline_Carbonate!$Q7,'Tables - Part 2'!$AX$5:$BA$5,0)))/2)+INDEX('Tables - Part 2'!$BF$17:$BI$24,MATCH(SCC_Alkaline_Carbonate!$S7,'Tables - Part 2'!$AV$6:$AV$13,0),MATCH(SCC_Alkaline_Carbonate!$Q7,'Tables - Part 2'!$AX$5:$BA$5,0)))/2))/2,0)</f>
        <v>0</v>
      </c>
      <c r="BK7" s="248">
        <f>IF($P7=$BK$3,(((INDEX('Tables - Part 2'!$BB$17:$BE$24,MATCH(SCC_Alkaline_Carbonate!$S7,'Tables - Part 2'!$AV$6:$AV$13,0),MATCH(SCC_Alkaline_Carbonate!$Q7,'Tables - Part 2'!$AX$5:$BA$5,0))+INDEX('Tables - Part 2'!$BF$17:$BI$24,MATCH(SCC_Alkaline_Carbonate!$S7,'Tables - Part 2'!$AV$6:$AV$13,0),MATCH(SCC_Alkaline_Carbonate!$Q7,'Tables - Part 2'!$AX$5:$BA$5,0)))/2)+INDEX('Tables - Part 2'!$BF$17:$BI$24,MATCH(SCC_Alkaline_Carbonate!$S7,'Tables - Part 2'!$AV$6:$AV$13,0),MATCH(SCC_Alkaline_Carbonate!$Q7,'Tables - Part 2'!$AX$5:$BA$5,0)))/2,0)</f>
        <v>0</v>
      </c>
      <c r="BL7" s="248">
        <f>IF($P7=$BL$3,(((((INDEX('Tables - Part 2'!$BB$17:$BE$24,MATCH(SCC_Alkaline_Carbonate!$S7,'Tables - Part 2'!$AV$6:$AV$13,0),MATCH(SCC_Alkaline_Carbonate!$Q7,'Tables - Part 2'!$AX$5:$BA$5,0))+INDEX('Tables - Part 2'!$BF$17:$BI$24,MATCH(SCC_Alkaline_Carbonate!$S7,'Tables - Part 2'!$AV$6:$AV$13,0),MATCH(SCC_Alkaline_Carbonate!$Q7,'Tables - Part 2'!$AX$5:$BA$5,0)))/2)+INDEX('Tables - Part 2'!$BF$17:$BI$24,MATCH(SCC_Alkaline_Carbonate!$S7,'Tables - Part 2'!$AV$6:$AV$13,0),MATCH(SCC_Alkaline_Carbonate!$Q7,'Tables - Part 2'!$AX$5:$BA$5,0)))/2)+(INDEX('Tables - Part 2'!$BF$17:$BI$24,MATCH(SCC_Alkaline_Carbonate!$S7,'Tables - Part 2'!$AV$6:$AV$13,0),MATCH(SCC_Alkaline_Carbonate!$Q7,'Tables - Part 2'!$AX$5:$BA$5,0))))/2,0)</f>
        <v>0</v>
      </c>
      <c r="BM7" s="248">
        <f>IF($P7=$BM$3,INDEX('Tables - Part 2'!$BF$17:$BI$24,MATCH(SCC_Alkaline_Carbonate!$S7,'Tables - Part 2'!$AV$6:$AV$13,0),MATCH(SCC_Alkaline_Carbonate!$Q7,'Tables - Part 2'!$AX$5:$BA$5,0)),0)</f>
        <v>0</v>
      </c>
      <c r="BN7" s="248">
        <f t="shared" si="6"/>
        <v>0</v>
      </c>
      <c r="BO7" s="238">
        <f t="shared" si="8"/>
        <v>3</v>
      </c>
      <c r="BP7" s="238">
        <f t="shared" si="7"/>
        <v>50.318647405225171</v>
      </c>
    </row>
    <row r="8" spans="2:81" x14ac:dyDescent="0.35">
      <c r="B8" s="161" t="str">
        <f>'Tratamento de Dados'!B16</f>
        <v>V-13</v>
      </c>
      <c r="C8" s="161" t="str">
        <f>'Tratamento de Dados'!D16</f>
        <v>Casco</v>
      </c>
      <c r="D8" s="209" t="s">
        <v>245</v>
      </c>
      <c r="E8" s="209" t="s">
        <v>61</v>
      </c>
      <c r="F8" s="209" t="s">
        <v>1134</v>
      </c>
      <c r="G8" s="209" t="s">
        <v>1132</v>
      </c>
      <c r="H8" s="209" t="s">
        <v>245</v>
      </c>
      <c r="I8" s="210">
        <v>39092</v>
      </c>
      <c r="J8" s="209">
        <v>0</v>
      </c>
      <c r="K8" s="209">
        <v>1</v>
      </c>
      <c r="L8" s="209">
        <v>1</v>
      </c>
      <c r="M8" s="209">
        <v>4</v>
      </c>
      <c r="N8" s="253">
        <f>'Tratamento de Dados'!DA16</f>
        <v>0</v>
      </c>
      <c r="O8" s="253">
        <f>'Tratamento de Dados'!DB16</f>
        <v>0</v>
      </c>
      <c r="P8" s="256">
        <f t="shared" si="0"/>
        <v>2.5</v>
      </c>
      <c r="Q8" s="246" t="str">
        <f t="shared" si="1"/>
        <v>B</v>
      </c>
      <c r="R8" s="238" t="str">
        <f>IF(D8=$BU$2,$BS$4,IF(H8=$BU$2,$BS$5,INDEX('Tables - Part 2'!$DA$6:$DB$9,MATCH(SCC_Alkaline_Carbonate!F8,'Tables - Part 2'!$CY$6:$CY$9,0),MATCH(SCC_Alkaline_Carbonate!G8,'Tables - Part 2'!$DA$5:$DB$5,0))))</f>
        <v>Medium</v>
      </c>
      <c r="S8" s="238">
        <f>IF(AND(D8=$BU$2,E8&lt;&gt;$BU$2),"Fitness-For-Service",INDEX('Tables - Part 2'!$DE$4:$DE$7,MATCH(SCC_Alkaline_Carbonate!R8,'Tables - Part 2'!$DD$4:$DD$7,0),))</f>
        <v>100</v>
      </c>
      <c r="T8" s="238">
        <f>IF(I8=0,(Thinning!G9-Thinning!F9)/365.25,(Thinning!G9-I8)/365.25)</f>
        <v>12.980150581793293</v>
      </c>
      <c r="U8" s="248">
        <f t="shared" si="2"/>
        <v>0</v>
      </c>
      <c r="V8" s="248">
        <f t="shared" si="3"/>
        <v>2.5</v>
      </c>
      <c r="W8" s="248">
        <f t="shared" si="4"/>
        <v>3</v>
      </c>
      <c r="X8" s="247">
        <f t="shared" si="5"/>
        <v>4</v>
      </c>
      <c r="Y8" s="248">
        <f>IF($P8=$Y$3,INDEX('Tables - Part 2'!$AX$6:$BA$13,MATCH(SCC_Alkaline_Carbonate!S8,'Tables - Part 2'!$AV$6:$AV$13,0),MATCH(SCC_Alkaline_Carbonate!Q8,'Tables - Part 2'!$AX$5:$BA$5,0)),0)</f>
        <v>0</v>
      </c>
      <c r="Z8" s="248">
        <f>IF($P8=$Z$3,(INDEX('Tables - Part 2'!$AX$6:$BA$13,MATCH(SCC_Alkaline_Carbonate!S8,'Tables - Part 2'!$AV$6:$AV$13,0),MATCH(SCC_Alkaline_Carbonate!Q8,'Tables - Part 2'!$AX$5:$BA$5,0))+(INDEX('Tables - Part 2'!$AX$6:$BA$13,MATCH(SCC_Alkaline_Carbonate!S8,'Tables - Part 2'!$AV$6:$AV$13,0),MATCH(SCC_Alkaline_Carbonate!Q8,'Tables - Part 2'!$AX$5:$BA$5,0))+((INDEX('Tables - Part 2'!$AX$6:$BA$13,MATCH(SCC_Alkaline_Carbonate!S8,'Tables - Part 2'!$AV$6:$AV$13,0),MATCH(SCC_Alkaline_Carbonate!Q8,'Tables - Part 2'!$AX$5:$BA$5,0))+INDEX('Tables - Part 2'!$BB$6:$BE$13,MATCH(SCC_Alkaline_Carbonate!$S8,'Tables - Part 2'!$AV$6:$AV$13,0),MATCH(SCC_Alkaline_Carbonate!$Q8,'Tables - Part 2'!$AX$5:$BA$5,0)))/2))/2)/2,0)</f>
        <v>0</v>
      </c>
      <c r="AA8" s="248">
        <f>IF($P8=$AA$3,(INDEX('Tables - Part 2'!$AX$6:$BA$13,MATCH(SCC_Alkaline_Carbonate!S8,'Tables - Part 2'!$AV$6:$AV$13,0),MATCH(SCC_Alkaline_Carbonate!Q8,'Tables - Part 2'!$AX$5:$BA$5,0))+((INDEX('Tables - Part 2'!$AX$6:$BA$13,MATCH(SCC_Alkaline_Carbonate!S8,'Tables - Part 2'!$AV$6:$AV$13,0),MATCH(SCC_Alkaline_Carbonate!Q8,'Tables - Part 2'!$AX$5:$BA$5,0))+INDEX('Tables - Part 2'!$BB$6:$BE$13,MATCH(SCC_Alkaline_Carbonate!$S8,'Tables - Part 2'!$AV$6:$AV$13,0),MATCH(SCC_Alkaline_Carbonate!$Q8,'Tables - Part 2'!$AX$5:$BA$5,0)))/2))/2,0)</f>
        <v>0</v>
      </c>
      <c r="AB8" s="248">
        <f>IF($P8=$AB$3,(((INDEX('Tables - Part 2'!$AX$6:$BA$13,MATCH(SCC_Alkaline_Carbonate!S8,'Tables - Part 2'!$AV$6:$AV$13,0),MATCH(SCC_Alkaline_Carbonate!Q8,'Tables - Part 2'!$AX$5:$BA$5,0))+((INDEX('Tables - Part 2'!$AX$6:$BA$13,MATCH(SCC_Alkaline_Carbonate!S8,'Tables - Part 2'!$AV$6:$AV$13,0),MATCH(SCC_Alkaline_Carbonate!Q8,'Tables - Part 2'!$AX$5:$BA$5,0))+INDEX('Tables - Part 2'!$BB$6:$BE$13,MATCH(SCC_Alkaline_Carbonate!$S8,'Tables - Part 2'!$AV$6:$AV$13,0),MATCH(SCC_Alkaline_Carbonate!$Q8,'Tables - Part 2'!$AX$5:$BA$5,0)))/2))/2)+(INDEX('Tables - Part 2'!$AX$6:$BA$13,MATCH(SCC_Alkaline_Carbonate!S8,'Tables - Part 2'!$AV$6:$AV$13,0),MATCH(SCC_Alkaline_Carbonate!Q8,'Tables - Part 2'!$AX$5:$BA$5,0))+INDEX('Tables - Part 2'!$BB$6:$BE$13,MATCH(SCC_Alkaline_Carbonate!$S8,'Tables - Part 2'!$AV$6:$AV$13,0),MATCH(SCC_Alkaline_Carbonate!$Q8,'Tables - Part 2'!$AX$5:$BA$5,0)))/2)/2,0)</f>
        <v>0</v>
      </c>
      <c r="AC8" s="248">
        <f>IF($P8=$AC$3,(INDEX('Tables - Part 2'!$AX$6:$BA$13,MATCH(SCC_Alkaline_Carbonate!S8,'Tables - Part 2'!$AV$6:$AV$13,0),MATCH(SCC_Alkaline_Carbonate!Q8,'Tables - Part 2'!$AX$5:$BA$5,0))+INDEX('Tables - Part 2'!$BB$6:$BE$13,MATCH(SCC_Alkaline_Carbonate!$S8,'Tables - Part 2'!$AV$6:$AV$13,0),MATCH(SCC_Alkaline_Carbonate!$Q8,'Tables - Part 2'!$AX$5:$BA$5,0)))/2,0)</f>
        <v>0</v>
      </c>
      <c r="AD8" s="248">
        <f>IF($P8=$AD$3,(((INDEX('Tables - Part 2'!$AX$6:$BA$13,MATCH(SCC_Alkaline_Carbonate!S8,'Tables - Part 2'!$AV$6:$AV$13,0),MATCH(SCC_Alkaline_Carbonate!Q8,'Tables - Part 2'!$AX$5:$BA$5,0))+INDEX('Tables - Part 2'!$BB$6:$BE$13,MATCH(SCC_Alkaline_Carbonate!$S8,'Tables - Part 2'!$AV$6:$AV$13,0),MATCH(SCC_Alkaline_Carbonate!$Q8,'Tables - Part 2'!$AX$5:$BA$5,0)))/2)+(((INDEX('Tables - Part 2'!$AX$6:$BA$13,MATCH(SCC_Alkaline_Carbonate!S8,'Tables - Part 2'!$AV$6:$AV$13,0),MATCH(SCC_Alkaline_Carbonate!Q8,'Tables - Part 2'!$AX$5:$BA$5,0))+INDEX('Tables - Part 2'!$BB$6:$BE$13,MATCH(SCC_Alkaline_Carbonate!$S8,'Tables - Part 2'!$AV$6:$AV$13,0),MATCH(SCC_Alkaline_Carbonate!$Q8,'Tables - Part 2'!$AX$5:$BA$5,0)))/2)+INDEX('Tables - Part 2'!$BB$6:$BE$13,MATCH(SCC_Alkaline_Carbonate!$S8,'Tables - Part 2'!$AV$6:$AV$13,0),MATCH(SCC_Alkaline_Carbonate!$Q8,'Tables - Part 2'!$AX$5:$BA$5,0)))/2)/2,0)</f>
        <v>0</v>
      </c>
      <c r="AE8" s="248">
        <f>IF($P8=$AE$3,(((INDEX('Tables - Part 2'!$AX$6:$BA$13,MATCH(SCC_Alkaline_Carbonate!S8,'Tables - Part 2'!$AV$6:$AV$13,0),MATCH(SCC_Alkaline_Carbonate!Q8,'Tables - Part 2'!$AX$5:$BA$5,0))+INDEX('Tables - Part 2'!$BB$6:$BE$13,MATCH(SCC_Alkaline_Carbonate!$S8,'Tables - Part 2'!$AV$6:$AV$13,0),MATCH(SCC_Alkaline_Carbonate!$Q8,'Tables - Part 2'!$AX$5:$BA$5,0)))/2)+INDEX('Tables - Part 2'!$BB$6:$BE$13,MATCH(SCC_Alkaline_Carbonate!$S8,'Tables - Part 2'!$AV$6:$AV$13,0),MATCH(SCC_Alkaline_Carbonate!$Q8,'Tables - Part 2'!$AX$5:$BA$5,0)))/2,0)</f>
        <v>0</v>
      </c>
      <c r="AF8" s="248">
        <f>IF($P8=$AF$3,(((((INDEX('Tables - Part 2'!$AX$6:$BA$13,MATCH(SCC_Alkaline_Carbonate!S8,'Tables - Part 2'!$AV$6:$AV$13,0),MATCH(SCC_Alkaline_Carbonate!Q8,'Tables - Part 2'!$AX$5:$BA$5,0))+INDEX('Tables - Part 2'!$BB$6:$BE$13,MATCH(SCC_Alkaline_Carbonate!$S8,'Tables - Part 2'!$AV$6:$AV$13,0),MATCH(SCC_Alkaline_Carbonate!$Q8,'Tables - Part 2'!$AX$5:$BA$5,0)))/2)+INDEX('Tables - Part 2'!$BB$6:$BE$13,MATCH(SCC_Alkaline_Carbonate!$S8,'Tables - Part 2'!$AV$6:$AV$13,0),MATCH(SCC_Alkaline_Carbonate!$Q8,'Tables - Part 2'!$AX$5:$BA$5,0)))/2)+INDEX('Tables - Part 2'!$BB$6:$BE$13,MATCH(SCC_Alkaline_Carbonate!$S8,'Tables - Part 2'!$AV$6:$AV$13,0),MATCH(SCC_Alkaline_Carbonate!$Q8,'Tables - Part 2'!$AX$5:$BA$5,0)))/2,0)</f>
        <v>0</v>
      </c>
      <c r="AG8" s="248">
        <f>IF($P8=$AG$3,INDEX('Tables - Part 2'!$BB$6:$BE$13,MATCH(SCC_Alkaline_Carbonate!$S8,'Tables - Part 2'!$AV$6:$AV$13,0),MATCH(SCC_Alkaline_Carbonate!$Q8,'Tables - Part 2'!$AX$5:$BA$5,0)),0)</f>
        <v>0</v>
      </c>
      <c r="AH8" s="248">
        <f>IF($P8=$AH$3,((INDEX('Tables - Part 2'!$BB$6:$BE$13,MATCH(SCC_Alkaline_Carbonate!$S8,'Tables - Part 2'!$AV$6:$AV$13,0),MATCH(SCC_Alkaline_Carbonate!$Q8,'Tables - Part 2'!$AX$5:$BA$5,0)))+(INDEX('Tables - Part 2'!$BB$6:$BE$13,MATCH(SCC_Alkaline_Carbonate!$S8,'Tables - Part 2'!$AV$6:$AV$13,0),MATCH(SCC_Alkaline_Carbonate!$Q8,'Tables - Part 2'!$AX$5:$BA$5,0))+(INDEX('Tables - Part 2'!$BB$6:$BE$13,MATCH(SCC_Alkaline_Carbonate!$S8,'Tables - Part 2'!$AV$6:$AV$13,0),MATCH(SCC_Alkaline_Carbonate!$Q8,'Tables - Part 2'!$AX$5:$BA$5,0))+INDEX('Tables - Part 2'!$BF$6:$BI$13,MATCH(SCC_Alkaline_Carbonate!$S8,'Tables - Part 2'!$AV$6:$AV$13,0),MATCH(SCC_Alkaline_Carbonate!$Q8,'Tables - Part 2'!$AX$5:$BA$5,0)))/2)/2)/2,0)</f>
        <v>0</v>
      </c>
      <c r="AI8" s="248">
        <f>IF($P8=$AI$3,(INDEX('Tables - Part 2'!$BB$6:$BE$13,MATCH(SCC_Alkaline_Carbonate!$S8,'Tables - Part 2'!$AV$6:$AV$13,0),MATCH(SCC_Alkaline_Carbonate!$Q8,'Tables - Part 2'!$AX$5:$BA$5,0))+(INDEX('Tables - Part 2'!$BB$6:$BE$13,MATCH(SCC_Alkaline_Carbonate!$S8,'Tables - Part 2'!$AV$6:$AV$13,0),MATCH(SCC_Alkaline_Carbonate!$Q8,'Tables - Part 2'!$AX$5:$BA$5,0))+INDEX('Tables - Part 2'!$BF$6:$BI$13,MATCH(SCC_Alkaline_Carbonate!$S8,'Tables - Part 2'!$AV$6:$AV$13,0),MATCH(SCC_Alkaline_Carbonate!$Q8,'Tables - Part 2'!$AX$5:$BA$5,0)))/2)/2,0)</f>
        <v>0</v>
      </c>
      <c r="AJ8" s="248">
        <f>IF($P8=$AJ$3,(((INDEX('Tables - Part 2'!$BB$6:$BE$13,MATCH(SCC_Alkaline_Carbonate!$S8,'Tables - Part 2'!$AV$6:$AV$13,0),MATCH(SCC_Alkaline_Carbonate!$Q8,'Tables - Part 2'!$AX$5:$BA$5,0))+(INDEX('Tables - Part 2'!$BB$6:$BE$13,MATCH(SCC_Alkaline_Carbonate!$S8,'Tables - Part 2'!$AV$6:$AV$13,0),MATCH(SCC_Alkaline_Carbonate!$Q8,'Tables - Part 2'!$AX$5:$BA$5,0))+INDEX('Tables - Part 2'!$BF$6:$BI$13,MATCH(SCC_Alkaline_Carbonate!$S8,'Tables - Part 2'!$AV$6:$AV$13,0),MATCH(SCC_Alkaline_Carbonate!$Q8,'Tables - Part 2'!$AX$5:$BA$5,0)))/2)/2)+((INDEX('Tables - Part 2'!$BB$6:$BE$13,MATCH(SCC_Alkaline_Carbonate!$S8,'Tables - Part 2'!$AV$6:$AV$13,0),MATCH(SCC_Alkaline_Carbonate!$Q8,'Tables - Part 2'!$AX$5:$BA$5,0))+INDEX('Tables - Part 2'!$BF$6:$BI$13,MATCH(SCC_Alkaline_Carbonate!$S8,'Tables - Part 2'!$AV$6:$AV$13,0),MATCH(SCC_Alkaline_Carbonate!$Q8,'Tables - Part 2'!$AX$5:$BA$5,0)))/2))/2,0)</f>
        <v>0</v>
      </c>
      <c r="AK8" s="248">
        <f>IF($P8=$AK$3,(INDEX('Tables - Part 2'!$BB$6:$BE$13,MATCH(SCC_Alkaline_Carbonate!$S8,'Tables - Part 2'!$AV$6:$AV$13,0),MATCH(SCC_Alkaline_Carbonate!$Q8,'Tables - Part 2'!$AX$5:$BA$5,0))+INDEX('Tables - Part 2'!$BF$6:$BI$13,MATCH(SCC_Alkaline_Carbonate!$S8,'Tables - Part 2'!$AV$6:$AV$13,0),MATCH(SCC_Alkaline_Carbonate!$Q8,'Tables - Part 2'!$AX$5:$BA$5,0)))/2,0)</f>
        <v>3</v>
      </c>
      <c r="AL8" s="248">
        <f>IF($P8=$AL$3,(((INDEX('Tables - Part 2'!$BB$6:$BE$13,MATCH(SCC_Alkaline_Carbonate!$S8,'Tables - Part 2'!$AV$6:$AV$13,0),MATCH(SCC_Alkaline_Carbonate!$Q8,'Tables - Part 2'!$AX$5:$BA$5,0))+INDEX('Tables - Part 2'!$BF$6:$BI$13,MATCH(SCC_Alkaline_Carbonate!$S8,'Tables - Part 2'!$AV$6:$AV$13,0),MATCH(SCC_Alkaline_Carbonate!$Q8,'Tables - Part 2'!$AX$5:$BA$5,0)))/2)+((((INDEX('Tables - Part 2'!$BB$6:$BE$13,MATCH(SCC_Alkaline_Carbonate!$S8,'Tables - Part 2'!$AV$6:$AV$13,0),MATCH(SCC_Alkaline_Carbonate!$Q8,'Tables - Part 2'!$AX$5:$BA$5,0))+INDEX('Tables - Part 2'!$BF$6:$BI$13,MATCH(SCC_Alkaline_Carbonate!$S8,'Tables - Part 2'!$AV$6:$AV$13,0),MATCH(SCC_Alkaline_Carbonate!$Q8,'Tables - Part 2'!$AX$5:$BA$5,0)))/2)+INDEX('Tables - Part 2'!$BF$6:$BI$13,MATCH(SCC_Alkaline_Carbonate!$S8,'Tables - Part 2'!$AV$6:$AV$13,0),MATCH(SCC_Alkaline_Carbonate!$Q8,'Tables - Part 2'!$AX$5:$BA$5,0)))/2))/2,0)</f>
        <v>0</v>
      </c>
      <c r="AM8" s="248">
        <f>IF($P8=$AM$3,(((INDEX('Tables - Part 2'!$BB$6:$BE$13,MATCH(SCC_Alkaline_Carbonate!$S8,'Tables - Part 2'!$AV$6:$AV$13,0),MATCH(SCC_Alkaline_Carbonate!$Q8,'Tables - Part 2'!$AX$5:$BA$5,0))+INDEX('Tables - Part 2'!$BF$6:$BI$13,MATCH(SCC_Alkaline_Carbonate!$S8,'Tables - Part 2'!$AV$6:$AV$13,0),MATCH(SCC_Alkaline_Carbonate!$Q8,'Tables - Part 2'!$AX$5:$BA$5,0)))/2)+INDEX('Tables - Part 2'!$BF$6:$BI$13,MATCH(SCC_Alkaline_Carbonate!$S8,'Tables - Part 2'!$AV$6:$AV$13,0),MATCH(SCC_Alkaline_Carbonate!$Q8,'Tables - Part 2'!$AX$5:$BA$5,0)))/2,0)</f>
        <v>0</v>
      </c>
      <c r="AN8" s="248">
        <f>IF($P8=$AN$3,(((((INDEX('Tables - Part 2'!$BB$6:$BE$13,MATCH(SCC_Alkaline_Carbonate!$S8,'Tables - Part 2'!$AV$6:$AV$13,0),MATCH(SCC_Alkaline_Carbonate!$Q8,'Tables - Part 2'!$AX$5:$BA$5,0))+INDEX('Tables - Part 2'!$BF$6:$BI$13,MATCH(SCC_Alkaline_Carbonate!$S8,'Tables - Part 2'!$AV$6:$AV$13,0),MATCH(SCC_Alkaline_Carbonate!$Q8,'Tables - Part 2'!$AX$5:$BA$5,0)))/2)+INDEX('Tables - Part 2'!$BF$6:$BI$13,MATCH(SCC_Alkaline_Carbonate!$S8,'Tables - Part 2'!$AV$6:$AV$13,0),MATCH(SCC_Alkaline_Carbonate!$Q8,'Tables - Part 2'!$AX$5:$BA$5,0)))/2)+INDEX('Tables - Part 2'!$BF$6:$BI$13,MATCH(SCC_Alkaline_Carbonate!$S8,'Tables - Part 2'!$AV$6:$AV$13,0),MATCH(SCC_Alkaline_Carbonate!$Q8,'Tables - Part 2'!$AX$5:$BA$5,0)))/2,0)</f>
        <v>0</v>
      </c>
      <c r="AO8" s="248">
        <f>IF($P8=$AO$3,INDEX('Tables - Part 2'!$BF$6:$BI$13,MATCH(SCC_Alkaline_Carbonate!$S8,'Tables - Part 2'!$AV$6:$AV$13,0),MATCH(SCC_Alkaline_Carbonate!$Q8,'Tables - Part 2'!$AX$5:$BA$5,0)),0)</f>
        <v>0</v>
      </c>
      <c r="AP8" s="248">
        <f>IF($P8=$AP$3,(INDEX('Tables - Part 2'!$BF$6:$BI$13,MATCH(SCC_Alkaline_Carbonate!$S8,'Tables - Part 2'!$AV$6:$AV$13,0),MATCH(SCC_Alkaline_Carbonate!$Q8,'Tables - Part 2'!$AX$5:$BA$5,0))+((INDEX('Tables - Part 2'!$BF$6:$BI$13,MATCH(SCC_Alkaline_Carbonate!$S8,'Tables - Part 2'!$AV$6:$AV$13,0),MATCH(SCC_Alkaline_Carbonate!$Q8,'Tables - Part 2'!$AX$5:$BA$5,0))+(INDEX('Tables - Part 2'!$BF$6:$BI$13,MATCH(SCC_Alkaline_Carbonate!$S8,'Tables - Part 2'!$AV$6:$AV$13,0),MATCH(SCC_Alkaline_Carbonate!$Q8,'Tables - Part 2'!$AX$5:$BA$5,0))+INDEX('Tables - Part 2'!$AX$17:$BA$24,MATCH(SCC_Alkaline_Carbonate!$S8,'Tables - Part 2'!$AV$6:$AV$13,0),MATCH(SCC_Alkaline_Carbonate!$Q8,'Tables - Part 2'!$AX$5:$BA$5,0)))/2)/2))/2,0)</f>
        <v>0</v>
      </c>
      <c r="AQ8" s="248">
        <f>IF($P8=$AQ$3,(INDEX('Tables - Part 2'!$BF$6:$BI$13,MATCH(SCC_Alkaline_Carbonate!$S8,'Tables - Part 2'!$AV$6:$AV$13,0),MATCH(SCC_Alkaline_Carbonate!$Q8,'Tables - Part 2'!$AX$5:$BA$5,0))+(INDEX('Tables - Part 2'!$BF$6:$BI$13,MATCH(SCC_Alkaline_Carbonate!$S8,'Tables - Part 2'!$AV$6:$AV$13,0),MATCH(SCC_Alkaline_Carbonate!$Q8,'Tables - Part 2'!$AX$5:$BA$5,0))+INDEX('Tables - Part 2'!$AX$17:$BA$24,MATCH(SCC_Alkaline_Carbonate!$S8,'Tables - Part 2'!$AV$6:$AV$13,0),MATCH(SCC_Alkaline_Carbonate!$Q8,'Tables - Part 2'!$AX$5:$BA$5,0)))/2)/2,0)</f>
        <v>0</v>
      </c>
      <c r="AR8" s="248">
        <f>IF($P8=$AR$3,(((INDEX('Tables - Part 2'!$BF$6:$BI$13,MATCH(SCC_Alkaline_Carbonate!$S8,'Tables - Part 2'!$AV$6:$AV$13,0),MATCH(SCC_Alkaline_Carbonate!$Q8,'Tables - Part 2'!$AX$5:$BA$5,0))+(INDEX('Tables - Part 2'!$BF$6:$BI$13,MATCH(SCC_Alkaline_Carbonate!$S8,'Tables - Part 2'!$AV$6:$AV$13,0),MATCH(SCC_Alkaline_Carbonate!$Q8,'Tables - Part 2'!$AX$5:$BA$5,0))+INDEX('Tables - Part 2'!$AX$17:$BA$24,MATCH(SCC_Alkaline_Carbonate!$S8,'Tables - Part 2'!$AV$6:$AV$13,0),MATCH(SCC_Alkaline_Carbonate!$Q8,'Tables - Part 2'!$AX$5:$BA$5,0)))/2)/2)+((INDEX('Tables - Part 2'!$BF$6:$BI$13,MATCH(SCC_Alkaline_Carbonate!$S8,'Tables - Part 2'!$AV$6:$AV$13,0),MATCH(SCC_Alkaline_Carbonate!$Q8,'Tables - Part 2'!$AX$5:$BA$5,0))+INDEX('Tables - Part 2'!$AX$17:$BA$24,MATCH(SCC_Alkaline_Carbonate!$S8,'Tables - Part 2'!$AV$6:$AV$13,0),MATCH(SCC_Alkaline_Carbonate!$Q8,'Tables - Part 2'!$AX$5:$BA$5,0)))/2))/2,0)</f>
        <v>0</v>
      </c>
      <c r="AS8" s="248">
        <f>IF($P8=$AS$3,(INDEX('Tables - Part 2'!$BF$6:$BI$13,MATCH(SCC_Alkaline_Carbonate!$S8,'Tables - Part 2'!$AV$6:$AV$13,0),MATCH(SCC_Alkaline_Carbonate!$Q8,'Tables - Part 2'!$AX$5:$BA$5,0))+INDEX('Tables - Part 2'!$AX$17:$BA$24,MATCH(SCC_Alkaline_Carbonate!$S8,'Tables - Part 2'!$AV$6:$AV$13,0),MATCH(SCC_Alkaline_Carbonate!$Q8,'Tables - Part 2'!$AX$5:$BA$5,0)))/2,0)</f>
        <v>0</v>
      </c>
      <c r="AT8" s="248">
        <f>IF($P8=$AT$3,(((INDEX('Tables - Part 2'!$BF$6:$BI$13,MATCH(SCC_Alkaline_Carbonate!$S8,'Tables - Part 2'!$AV$6:$AV$13,0),MATCH(SCC_Alkaline_Carbonate!$Q8,'Tables - Part 2'!$AX$5:$BA$5,0))+INDEX('Tables - Part 2'!$AX$17:$BA$24,MATCH(SCC_Alkaline_Carbonate!$S8,'Tables - Part 2'!$AV$6:$AV$13,0),MATCH(SCC_Alkaline_Carbonate!$Q8,'Tables - Part 2'!$AX$5:$BA$5,0)))/2)+((((INDEX('Tables - Part 2'!$BF$6:$BI$13,MATCH(SCC_Alkaline_Carbonate!$S8,'Tables - Part 2'!$AV$6:$AV$13,0),MATCH(SCC_Alkaline_Carbonate!$Q8,'Tables - Part 2'!$AX$5:$BA$5,0))+INDEX('Tables - Part 2'!$AX$17:$BA$24,MATCH(SCC_Alkaline_Carbonate!$S8,'Tables - Part 2'!$AV$6:$AV$13,0),MATCH(SCC_Alkaline_Carbonate!$Q8,'Tables - Part 2'!$AX$5:$BA$5,0)))/2)+INDEX('Tables - Part 2'!$AX$17:$BA$24,MATCH(SCC_Alkaline_Carbonate!$S8,'Tables - Part 2'!$AV$6:$AV$13,0),MATCH(SCC_Alkaline_Carbonate!$Q8,'Tables - Part 2'!$AX$5:$BA$5,0)))/2))/2,0)</f>
        <v>0</v>
      </c>
      <c r="AU8" s="248">
        <f>IF($P8=$AU$3,(((INDEX('Tables - Part 2'!$BF$6:$BI$13,MATCH(SCC_Alkaline_Carbonate!$S8,'Tables - Part 2'!$AV$6:$AV$13,0),MATCH(SCC_Alkaline_Carbonate!$Q8,'Tables - Part 2'!$AX$5:$BA$5,0))+INDEX('Tables - Part 2'!$AX$17:$BA$24,MATCH(SCC_Alkaline_Carbonate!$S8,'Tables - Part 2'!$AV$6:$AV$13,0),MATCH(SCC_Alkaline_Carbonate!$Q8,'Tables - Part 2'!$AX$5:$BA$5,0)))/2)+INDEX('Tables - Part 2'!$AX$17:$BA$24,MATCH(SCC_Alkaline_Carbonate!$S8,'Tables - Part 2'!$AV$6:$AV$13,0),MATCH(SCC_Alkaline_Carbonate!$Q8,'Tables - Part 2'!$AX$5:$BA$5,0)))/2,0)</f>
        <v>0</v>
      </c>
      <c r="AV8" s="248">
        <f>IF($P8=$AV$3,(((((INDEX('Tables - Part 2'!$BF$6:$BI$13,MATCH(SCC_Alkaline_Carbonate!$S8,'Tables - Part 2'!$AV$6:$AV$13,0),MATCH(SCC_Alkaline_Carbonate!$Q8,'Tables - Part 2'!$AX$5:$BA$5,0))+INDEX('Tables - Part 2'!$AX$17:$BA$24,MATCH(SCC_Alkaline_Carbonate!$S8,'Tables - Part 2'!$AV$6:$AV$13,0),MATCH(SCC_Alkaline_Carbonate!$Q8,'Tables - Part 2'!$AX$5:$BA$5,0)))/2)+INDEX('Tables - Part 2'!$AX$17:$BA$24,MATCH(SCC_Alkaline_Carbonate!$S8,'Tables - Part 2'!$AV$6:$AV$13,0),MATCH(SCC_Alkaline_Carbonate!$Q8,'Tables - Part 2'!$AX$5:$BA$5,0)))/2)+(INDEX('Tables - Part 2'!$AX$17:$BA$24,MATCH(SCC_Alkaline_Carbonate!$S8,'Tables - Part 2'!$AV$6:$AV$13,0),MATCH(SCC_Alkaline_Carbonate!$Q8,'Tables - Part 2'!$AX$5:$BA$5,0))))/2,0)</f>
        <v>0</v>
      </c>
      <c r="AW8" s="248">
        <f>IF($P8=$AW$3,INDEX('Tables - Part 2'!$AX$17:$BA$24,MATCH(SCC_Alkaline_Carbonate!$S8,'Tables - Part 2'!$AV$6:$AV$13,0),MATCH(SCC_Alkaline_Carbonate!$Q8,'Tables - Part 2'!$AX$5:$BA$5,0)),0)</f>
        <v>0</v>
      </c>
      <c r="AX8" s="248">
        <f>IF($P8=$AX$3,((INDEX('Tables - Part 2'!$AX$17:$BA$24,MATCH(SCC_Alkaline_Carbonate!$S8,'Tables - Part 2'!$AV$6:$AV$13,0),MATCH(SCC_Alkaline_Carbonate!$Q8,'Tables - Part 2'!$AX$5:$BA$5,0)))+(((INDEX('Tables - Part 2'!$AX$17:$BA$24,MATCH(SCC_Alkaline_Carbonate!$S8,'Tables - Part 2'!$AV$6:$AV$13,0),MATCH(SCC_Alkaline_Carbonate!$Q8,'Tables - Part 2'!$AX$5:$BA$5,0)))+(INDEX('Tables - Part 2'!$AX$17:$BA$24,MATCH(SCC_Alkaline_Carbonate!$S8,'Tables - Part 2'!$AV$6:$AV$13,0),MATCH(SCC_Alkaline_Carbonate!$Q8,'Tables - Part 2'!$AX$5:$BA$5,0))+INDEX('Tables - Part 2'!$BB$17:$BE$24,MATCH(SCC_Alkaline_Carbonate!$S8,'Tables - Part 2'!$AV$6:$AV$13,0),MATCH(SCC_Alkaline_Carbonate!$Q8,'Tables - Part 2'!$AX$5:$BA$5,0)))/2)/2))/2,0)</f>
        <v>0</v>
      </c>
      <c r="AY8" s="248">
        <f>IF($P8=$AY$3,((INDEX('Tables - Part 2'!$AX$17:$BA$24,MATCH(SCC_Alkaline_Carbonate!$S8,'Tables - Part 2'!$AV$6:$AV$13,0),MATCH(SCC_Alkaline_Carbonate!$Q8,'Tables - Part 2'!$AX$5:$BA$5,0)))+(INDEX('Tables - Part 2'!$AX$17:$BA$24,MATCH(SCC_Alkaline_Carbonate!$S8,'Tables - Part 2'!$AV$6:$AV$13,0),MATCH(SCC_Alkaline_Carbonate!$Q8,'Tables - Part 2'!$AX$5:$BA$5,0))+INDEX('Tables - Part 2'!$BB$17:$BE$24,MATCH(SCC_Alkaline_Carbonate!$S8,'Tables - Part 2'!$AV$6:$AV$13,0),MATCH(SCC_Alkaline_Carbonate!$Q8,'Tables - Part 2'!$AX$5:$BA$5,0)))/2)/2,0)</f>
        <v>0</v>
      </c>
      <c r="AZ8" s="248">
        <f>IF($P8=$AZ$3,((((INDEX('Tables - Part 2'!$AX$17:$BA$24,MATCH(SCC_Alkaline_Carbonate!$S8,'Tables - Part 2'!$AV$6:$AV$13,0),MATCH(SCC_Alkaline_Carbonate!$Q8,'Tables - Part 2'!$AX$5:$BA$5,0)))+(INDEX('Tables - Part 2'!$AX$17:$BA$24,MATCH(SCC_Alkaline_Carbonate!$S8,'Tables - Part 2'!$AV$6:$AV$13,0),MATCH(SCC_Alkaline_Carbonate!$Q8,'Tables - Part 2'!$AX$5:$BA$5,0))+INDEX('Tables - Part 2'!$BB$17:$BE$24,MATCH(SCC_Alkaline_Carbonate!$S8,'Tables - Part 2'!$AV$6:$AV$13,0),MATCH(SCC_Alkaline_Carbonate!$Q8,'Tables - Part 2'!$AX$5:$BA$5,0)))/2)/2)+((INDEX('Tables - Part 2'!$AX$17:$BA$24,MATCH(SCC_Alkaline_Carbonate!$S8,'Tables - Part 2'!$AV$6:$AV$13,0),MATCH(SCC_Alkaline_Carbonate!$Q8,'Tables - Part 2'!$AX$5:$BA$5,0))+INDEX('Tables - Part 2'!$BB$17:$BE$24,MATCH(SCC_Alkaline_Carbonate!$S8,'Tables - Part 2'!$AV$6:$AV$13,0),MATCH(SCC_Alkaline_Carbonate!$Q8,'Tables - Part 2'!$AX$5:$BA$5,0)))/2))/2,0)</f>
        <v>0</v>
      </c>
      <c r="BA8" s="248">
        <f>IF($P8=$BA$3,(INDEX('Tables - Part 2'!$AX$17:$BA$24,MATCH(SCC_Alkaline_Carbonate!$S8,'Tables - Part 2'!$AV$6:$AV$13,0),MATCH(SCC_Alkaline_Carbonate!$Q8,'Tables - Part 2'!$AX$5:$BA$5,0))+INDEX('Tables - Part 2'!$BB$17:$BE$24,MATCH(SCC_Alkaline_Carbonate!$S8,'Tables - Part 2'!$AV$6:$AV$13,0),MATCH(SCC_Alkaline_Carbonate!$Q8,'Tables - Part 2'!$AX$5:$BA$5,0)))/2,0)</f>
        <v>0</v>
      </c>
      <c r="BB8" s="248">
        <f>IF($P8=$BB$3,(((INDEX('Tables - Part 2'!$AX$17:$BA$24,MATCH(SCC_Alkaline_Carbonate!$S8,'Tables - Part 2'!$AV$6:$AV$13,0),MATCH(SCC_Alkaline_Carbonate!$Q8,'Tables - Part 2'!$AX$5:$BA$5,0))+INDEX('Tables - Part 2'!$BB$17:$BE$24,MATCH(SCC_Alkaline_Carbonate!$S8,'Tables - Part 2'!$AV$6:$AV$13,0),MATCH(SCC_Alkaline_Carbonate!$Q8,'Tables - Part 2'!$AX$5:$BA$5,0)))/2)+((((INDEX('Tables - Part 2'!$AX$17:$BA$24,MATCH(SCC_Alkaline_Carbonate!$S8,'Tables - Part 2'!$AV$6:$AV$13,0),MATCH(SCC_Alkaline_Carbonate!$Q8,'Tables - Part 2'!$AX$5:$BA$5,0))+INDEX('Tables - Part 2'!$BB$17:$BE$24,MATCH(SCC_Alkaline_Carbonate!$S8,'Tables - Part 2'!$AV$6:$AV$13,0),MATCH(SCC_Alkaline_Carbonate!$Q8,'Tables - Part 2'!$AX$5:$BA$5,0)))/2)+INDEX('Tables - Part 2'!$BB$17:$BE$24,MATCH(SCC_Alkaline_Carbonate!$S8,'Tables - Part 2'!$AV$6:$AV$13,0),MATCH(SCC_Alkaline_Carbonate!$Q8,'Tables - Part 2'!$AX$5:$BA$5,0)))/2))/2,0)</f>
        <v>0</v>
      </c>
      <c r="BC8" s="248">
        <f>IF($P8=$BC$3,(((INDEX('Tables - Part 2'!$AX$17:$BA$24,MATCH(SCC_Alkaline_Carbonate!$S8,'Tables - Part 2'!$AV$6:$AV$13,0),MATCH(SCC_Alkaline_Carbonate!$Q8,'Tables - Part 2'!$AX$5:$BA$5,0))+INDEX('Tables - Part 2'!$BB$17:$BE$24,MATCH(SCC_Alkaline_Carbonate!$S8,'Tables - Part 2'!$AV$6:$AV$13,0),MATCH(SCC_Alkaline_Carbonate!$Q8,'Tables - Part 2'!$AX$5:$BA$5,0)))/2)+INDEX('Tables - Part 2'!$BB$17:$BE$24,MATCH(SCC_Alkaline_Carbonate!$S8,'Tables - Part 2'!$AV$6:$AV$13,0),MATCH(SCC_Alkaline_Carbonate!$Q8,'Tables - Part 2'!$AX$5:$BA$5,0)))/2,0)</f>
        <v>0</v>
      </c>
      <c r="BD8" s="248">
        <f>IF($P8=$BD$3,(((((INDEX('Tables - Part 2'!$AX$17:$BA$24,MATCH(SCC_Alkaline_Carbonate!$S8,'Tables - Part 2'!$AV$6:$AV$13,0),MATCH(SCC_Alkaline_Carbonate!$Q8,'Tables - Part 2'!$AX$5:$BA$5,0))+INDEX('Tables - Part 2'!$BB$17:$BE$24,MATCH(SCC_Alkaline_Carbonate!$S8,'Tables - Part 2'!$AV$6:$AV$13,0),MATCH(SCC_Alkaline_Carbonate!$Q8,'Tables - Part 2'!$AX$5:$BA$5,0)))/2)+INDEX('Tables - Part 2'!$BB$17:$BE$24,MATCH(SCC_Alkaline_Carbonate!$S8,'Tables - Part 2'!$AV$6:$AV$13,0),MATCH(SCC_Alkaline_Carbonate!$Q8,'Tables - Part 2'!$AX$5:$BA$5,0)))/2)+(INDEX('Tables - Part 2'!$BB$17:$BE$24,MATCH(SCC_Alkaline_Carbonate!$S8,'Tables - Part 2'!$AV$6:$AV$13,0),MATCH(SCC_Alkaline_Carbonate!$Q8,'Tables - Part 2'!$AX$5:$BA$5,0))))/2,0)</f>
        <v>0</v>
      </c>
      <c r="BE8" s="248">
        <f>IF($P8=$BE$3,INDEX('Tables - Part 2'!$BB$17:$BE$24,MATCH(SCC_Alkaline_Carbonate!$S8,'Tables - Part 2'!$AV$6:$AV$13,0),MATCH(SCC_Alkaline_Carbonate!$Q8,'Tables - Part 2'!$AX$5:$BA$5,0)),0)</f>
        <v>0</v>
      </c>
      <c r="BF8" s="248">
        <f>IF($P8=$BF$3,((INDEX('Tables - Part 2'!$BB$17:$BE$24,MATCH(SCC_Alkaline_Carbonate!$S8,'Tables - Part 2'!$AV$6:$AV$13,0),MATCH(SCC_Alkaline_Carbonate!$Q8,'Tables - Part 2'!$AX$5:$BA$5,0)))+(((INDEX('Tables - Part 2'!$BB$17:$BE$24,MATCH(SCC_Alkaline_Carbonate!$S8,'Tables - Part 2'!$AV$6:$AV$13,0),MATCH(SCC_Alkaline_Carbonate!$Q8,'Tables - Part 2'!$AX$5:$BA$5,0)))+(INDEX('Tables - Part 2'!$BB$17:$BE$24,MATCH(SCC_Alkaline_Carbonate!$S8,'Tables - Part 2'!$AV$6:$AV$13,0),MATCH(SCC_Alkaline_Carbonate!$Q8,'Tables - Part 2'!$AX$5:$BA$5,0))+INDEX('Tables - Part 2'!$BF$17:$BI$24,MATCH(SCC_Alkaline_Carbonate!$S8,'Tables - Part 2'!$AV$6:$AV$13,0),MATCH(SCC_Alkaline_Carbonate!$Q8,'Tables - Part 2'!$AX$5:$BA$5,0)))/2)/2))/2,0)</f>
        <v>0</v>
      </c>
      <c r="BG8" s="248">
        <f>IF($P8=$BG$3,((INDEX('Tables - Part 2'!$BB$17:$BE$24,MATCH(SCC_Alkaline_Carbonate!$S8,'Tables - Part 2'!$AV$6:$AV$13,0),MATCH(SCC_Alkaline_Carbonate!$Q8,'Tables - Part 2'!$AX$5:$BA$5,0)))+(INDEX('Tables - Part 2'!$BB$17:$BE$24,MATCH(SCC_Alkaline_Carbonate!$S8,'Tables - Part 2'!$AV$6:$AV$13,0),MATCH(SCC_Alkaline_Carbonate!$Q8,'Tables - Part 2'!$AX$5:$BA$5,0))+INDEX('Tables - Part 2'!$BF$17:$BI$24,MATCH(SCC_Alkaline_Carbonate!$S8,'Tables - Part 2'!$AV$6:$AV$13,0),MATCH(SCC_Alkaline_Carbonate!$Q8,'Tables - Part 2'!$AX$5:$BA$5,0)))/2)/2,0)</f>
        <v>0</v>
      </c>
      <c r="BH8" s="248">
        <f>IF($P8=$BH$3,((((INDEX('Tables - Part 2'!$BB$17:$BE$24,MATCH(SCC_Alkaline_Carbonate!$S8,'Tables - Part 2'!$AV$6:$AV$13,0),MATCH(SCC_Alkaline_Carbonate!$Q8,'Tables - Part 2'!$AX$5:$BA$5,0)))+(INDEX('Tables - Part 2'!$BB$17:$BE$24,MATCH(SCC_Alkaline_Carbonate!$S8,'Tables - Part 2'!$AV$6:$AV$13,0),MATCH(SCC_Alkaline_Carbonate!$Q8,'Tables - Part 2'!$AX$5:$BA$5,0))+INDEX('Tables - Part 2'!$BF$17:$BI$24,MATCH(SCC_Alkaline_Carbonate!$S8,'Tables - Part 2'!$AV$6:$AV$13,0),MATCH(SCC_Alkaline_Carbonate!$Q8,'Tables - Part 2'!$AX$5:$BA$5,0)))/2)/2)+((INDEX('Tables - Part 2'!$BB$17:$BE$24,MATCH(SCC_Alkaline_Carbonate!$S8,'Tables - Part 2'!$AV$6:$AV$13,0),MATCH(SCC_Alkaline_Carbonate!$Q8,'Tables - Part 2'!$AX$5:$BA$5,0))+INDEX('Tables - Part 2'!$BF$17:$BI$24,MATCH(SCC_Alkaline_Carbonate!$S8,'Tables - Part 2'!$AV$6:$AV$13,0),MATCH(SCC_Alkaline_Carbonate!$Q8,'Tables - Part 2'!$AX$5:$BA$5,0)))/2))/2,0)</f>
        <v>0</v>
      </c>
      <c r="BI8" s="248">
        <f>IF($P8=$BI$3,(INDEX('Tables - Part 2'!$BB$17:$BE$24,MATCH(SCC_Alkaline_Carbonate!$S8,'Tables - Part 2'!$AV$6:$AV$13,0),MATCH(SCC_Alkaline_Carbonate!$Q8,'Tables - Part 2'!$AX$5:$BA$5,0))+INDEX('Tables - Part 2'!$BF$17:$BI$24,MATCH(SCC_Alkaline_Carbonate!$S8,'Tables - Part 2'!$AV$6:$AV$13,0),MATCH(SCC_Alkaline_Carbonate!$Q8,'Tables - Part 2'!$AX$5:$BA$5,0)))/2,0)</f>
        <v>0</v>
      </c>
      <c r="BJ8" s="248">
        <f>IF($P8=$BJ$3,(((INDEX('Tables - Part 2'!$BB$17:$BE$24,MATCH(SCC_Alkaline_Carbonate!$S8,'Tables - Part 2'!$AV$6:$AV$13,0),MATCH(SCC_Alkaline_Carbonate!$Q8,'Tables - Part 2'!$AX$5:$BA$5,0))+INDEX('Tables - Part 2'!$BF$17:$BI$24,MATCH(SCC_Alkaline_Carbonate!$S8,'Tables - Part 2'!$AV$6:$AV$13,0),MATCH(SCC_Alkaline_Carbonate!$Q8,'Tables - Part 2'!$AX$5:$BA$5,0)))/2)+((((INDEX('Tables - Part 2'!$BB$17:$BE$24,MATCH(SCC_Alkaline_Carbonate!$S8,'Tables - Part 2'!$AV$6:$AV$13,0),MATCH(SCC_Alkaline_Carbonate!$Q8,'Tables - Part 2'!$AX$5:$BA$5,0))+INDEX('Tables - Part 2'!$BF$17:$BI$24,MATCH(SCC_Alkaline_Carbonate!$S8,'Tables - Part 2'!$AV$6:$AV$13,0),MATCH(SCC_Alkaline_Carbonate!$Q8,'Tables - Part 2'!$AX$5:$BA$5,0)))/2)+INDEX('Tables - Part 2'!$BF$17:$BI$24,MATCH(SCC_Alkaline_Carbonate!$S8,'Tables - Part 2'!$AV$6:$AV$13,0),MATCH(SCC_Alkaline_Carbonate!$Q8,'Tables - Part 2'!$AX$5:$BA$5,0)))/2))/2,0)</f>
        <v>0</v>
      </c>
      <c r="BK8" s="248">
        <f>IF($P8=$BK$3,(((INDEX('Tables - Part 2'!$BB$17:$BE$24,MATCH(SCC_Alkaline_Carbonate!$S8,'Tables - Part 2'!$AV$6:$AV$13,0),MATCH(SCC_Alkaline_Carbonate!$Q8,'Tables - Part 2'!$AX$5:$BA$5,0))+INDEX('Tables - Part 2'!$BF$17:$BI$24,MATCH(SCC_Alkaline_Carbonate!$S8,'Tables - Part 2'!$AV$6:$AV$13,0),MATCH(SCC_Alkaline_Carbonate!$Q8,'Tables - Part 2'!$AX$5:$BA$5,0)))/2)+INDEX('Tables - Part 2'!$BF$17:$BI$24,MATCH(SCC_Alkaline_Carbonate!$S8,'Tables - Part 2'!$AV$6:$AV$13,0),MATCH(SCC_Alkaline_Carbonate!$Q8,'Tables - Part 2'!$AX$5:$BA$5,0)))/2,0)</f>
        <v>0</v>
      </c>
      <c r="BL8" s="248">
        <f>IF($P8=$BL$3,(((((INDEX('Tables - Part 2'!$BB$17:$BE$24,MATCH(SCC_Alkaline_Carbonate!$S8,'Tables - Part 2'!$AV$6:$AV$13,0),MATCH(SCC_Alkaline_Carbonate!$Q8,'Tables - Part 2'!$AX$5:$BA$5,0))+INDEX('Tables - Part 2'!$BF$17:$BI$24,MATCH(SCC_Alkaline_Carbonate!$S8,'Tables - Part 2'!$AV$6:$AV$13,0),MATCH(SCC_Alkaline_Carbonate!$Q8,'Tables - Part 2'!$AX$5:$BA$5,0)))/2)+INDEX('Tables - Part 2'!$BF$17:$BI$24,MATCH(SCC_Alkaline_Carbonate!$S8,'Tables - Part 2'!$AV$6:$AV$13,0),MATCH(SCC_Alkaline_Carbonate!$Q8,'Tables - Part 2'!$AX$5:$BA$5,0)))/2)+(INDEX('Tables - Part 2'!$BF$17:$BI$24,MATCH(SCC_Alkaline_Carbonate!$S8,'Tables - Part 2'!$AV$6:$AV$13,0),MATCH(SCC_Alkaline_Carbonate!$Q8,'Tables - Part 2'!$AX$5:$BA$5,0))))/2,0)</f>
        <v>0</v>
      </c>
      <c r="BM8" s="248">
        <f>IF($P8=$BM$3,INDEX('Tables - Part 2'!$BF$17:$BI$24,MATCH(SCC_Alkaline_Carbonate!$S8,'Tables - Part 2'!$AV$6:$AV$13,0),MATCH(SCC_Alkaline_Carbonate!$Q8,'Tables - Part 2'!$AX$5:$BA$5,0)),0)</f>
        <v>0</v>
      </c>
      <c r="BN8" s="248">
        <f t="shared" si="6"/>
        <v>0</v>
      </c>
      <c r="BO8" s="238">
        <f t="shared" si="8"/>
        <v>3</v>
      </c>
      <c r="BP8" s="238">
        <f t="shared" si="7"/>
        <v>50.318647405225171</v>
      </c>
    </row>
    <row r="9" spans="2:81" x14ac:dyDescent="0.35">
      <c r="B9" s="161" t="str">
        <f>'Tratamento de Dados'!B17</f>
        <v>V-14</v>
      </c>
      <c r="C9" s="161" t="str">
        <f>'Tratamento de Dados'!D17</f>
        <v>Casco</v>
      </c>
      <c r="D9" s="209" t="s">
        <v>245</v>
      </c>
      <c r="E9" s="209" t="s">
        <v>61</v>
      </c>
      <c r="F9" s="209" t="s">
        <v>1134</v>
      </c>
      <c r="G9" s="209" t="s">
        <v>1132</v>
      </c>
      <c r="H9" s="209" t="s">
        <v>245</v>
      </c>
      <c r="I9" s="210">
        <v>39092</v>
      </c>
      <c r="J9" s="209">
        <v>0</v>
      </c>
      <c r="K9" s="209">
        <v>1</v>
      </c>
      <c r="L9" s="209">
        <v>1</v>
      </c>
      <c r="M9" s="209">
        <v>4</v>
      </c>
      <c r="N9" s="253">
        <f>'Tratamento de Dados'!DA17</f>
        <v>0</v>
      </c>
      <c r="O9" s="253">
        <f>'Tratamento de Dados'!DB17</f>
        <v>0</v>
      </c>
      <c r="P9" s="256">
        <f t="shared" si="0"/>
        <v>2.5</v>
      </c>
      <c r="Q9" s="246" t="str">
        <f t="shared" si="1"/>
        <v>B</v>
      </c>
      <c r="R9" s="238" t="str">
        <f>IF(D9=$BU$2,$BS$4,IF(H9=$BU$2,$BS$5,INDEX('Tables - Part 2'!$DA$6:$DB$9,MATCH(SCC_Alkaline_Carbonate!F9,'Tables - Part 2'!$CY$6:$CY$9,0),MATCH(SCC_Alkaline_Carbonate!G9,'Tables - Part 2'!$DA$5:$DB$5,0))))</f>
        <v>Medium</v>
      </c>
      <c r="S9" s="238">
        <f>IF(AND(D9=$BU$2,E9&lt;&gt;$BU$2),"Fitness-For-Service",INDEX('Tables - Part 2'!$DE$4:$DE$7,MATCH(SCC_Alkaline_Carbonate!R9,'Tables - Part 2'!$DD$4:$DD$7,0),))</f>
        <v>100</v>
      </c>
      <c r="T9" s="238">
        <f>IF(I9=0,(Thinning!G10-Thinning!F10)/365.25,(Thinning!G10-I9)/365.25)</f>
        <v>12.980150581793293</v>
      </c>
      <c r="U9" s="248">
        <f t="shared" si="2"/>
        <v>0</v>
      </c>
      <c r="V9" s="248">
        <f t="shared" si="3"/>
        <v>2.5</v>
      </c>
      <c r="W9" s="248">
        <f t="shared" si="4"/>
        <v>3</v>
      </c>
      <c r="X9" s="247">
        <f t="shared" si="5"/>
        <v>4</v>
      </c>
      <c r="Y9" s="248">
        <f>IF($P9=$Y$3,INDEX('Tables - Part 2'!$AX$6:$BA$13,MATCH(SCC_Alkaline_Carbonate!S9,'Tables - Part 2'!$AV$6:$AV$13,0),MATCH(SCC_Alkaline_Carbonate!Q9,'Tables - Part 2'!$AX$5:$BA$5,0)),0)</f>
        <v>0</v>
      </c>
      <c r="Z9" s="248">
        <f>IF($P9=$Z$3,(INDEX('Tables - Part 2'!$AX$6:$BA$13,MATCH(SCC_Alkaline_Carbonate!S9,'Tables - Part 2'!$AV$6:$AV$13,0),MATCH(SCC_Alkaline_Carbonate!Q9,'Tables - Part 2'!$AX$5:$BA$5,0))+(INDEX('Tables - Part 2'!$AX$6:$BA$13,MATCH(SCC_Alkaline_Carbonate!S9,'Tables - Part 2'!$AV$6:$AV$13,0),MATCH(SCC_Alkaline_Carbonate!Q9,'Tables - Part 2'!$AX$5:$BA$5,0))+((INDEX('Tables - Part 2'!$AX$6:$BA$13,MATCH(SCC_Alkaline_Carbonate!S9,'Tables - Part 2'!$AV$6:$AV$13,0),MATCH(SCC_Alkaline_Carbonate!Q9,'Tables - Part 2'!$AX$5:$BA$5,0))+INDEX('Tables - Part 2'!$BB$6:$BE$13,MATCH(SCC_Alkaline_Carbonate!$S9,'Tables - Part 2'!$AV$6:$AV$13,0),MATCH(SCC_Alkaline_Carbonate!$Q9,'Tables - Part 2'!$AX$5:$BA$5,0)))/2))/2)/2,0)</f>
        <v>0</v>
      </c>
      <c r="AA9" s="248">
        <f>IF($P9=$AA$3,(INDEX('Tables - Part 2'!$AX$6:$BA$13,MATCH(SCC_Alkaline_Carbonate!S9,'Tables - Part 2'!$AV$6:$AV$13,0),MATCH(SCC_Alkaline_Carbonate!Q9,'Tables - Part 2'!$AX$5:$BA$5,0))+((INDEX('Tables - Part 2'!$AX$6:$BA$13,MATCH(SCC_Alkaline_Carbonate!S9,'Tables - Part 2'!$AV$6:$AV$13,0),MATCH(SCC_Alkaline_Carbonate!Q9,'Tables - Part 2'!$AX$5:$BA$5,0))+INDEX('Tables - Part 2'!$BB$6:$BE$13,MATCH(SCC_Alkaline_Carbonate!$S9,'Tables - Part 2'!$AV$6:$AV$13,0),MATCH(SCC_Alkaline_Carbonate!$Q9,'Tables - Part 2'!$AX$5:$BA$5,0)))/2))/2,0)</f>
        <v>0</v>
      </c>
      <c r="AB9" s="248">
        <f>IF($P9=$AB$3,(((INDEX('Tables - Part 2'!$AX$6:$BA$13,MATCH(SCC_Alkaline_Carbonate!S9,'Tables - Part 2'!$AV$6:$AV$13,0),MATCH(SCC_Alkaline_Carbonate!Q9,'Tables - Part 2'!$AX$5:$BA$5,0))+((INDEX('Tables - Part 2'!$AX$6:$BA$13,MATCH(SCC_Alkaline_Carbonate!S9,'Tables - Part 2'!$AV$6:$AV$13,0),MATCH(SCC_Alkaline_Carbonate!Q9,'Tables - Part 2'!$AX$5:$BA$5,0))+INDEX('Tables - Part 2'!$BB$6:$BE$13,MATCH(SCC_Alkaline_Carbonate!$S9,'Tables - Part 2'!$AV$6:$AV$13,0),MATCH(SCC_Alkaline_Carbonate!$Q9,'Tables - Part 2'!$AX$5:$BA$5,0)))/2))/2)+(INDEX('Tables - Part 2'!$AX$6:$BA$13,MATCH(SCC_Alkaline_Carbonate!S9,'Tables - Part 2'!$AV$6:$AV$13,0),MATCH(SCC_Alkaline_Carbonate!Q9,'Tables - Part 2'!$AX$5:$BA$5,0))+INDEX('Tables - Part 2'!$BB$6:$BE$13,MATCH(SCC_Alkaline_Carbonate!$S9,'Tables - Part 2'!$AV$6:$AV$13,0),MATCH(SCC_Alkaline_Carbonate!$Q9,'Tables - Part 2'!$AX$5:$BA$5,0)))/2)/2,0)</f>
        <v>0</v>
      </c>
      <c r="AC9" s="248">
        <f>IF($P9=$AC$3,(INDEX('Tables - Part 2'!$AX$6:$BA$13,MATCH(SCC_Alkaline_Carbonate!S9,'Tables - Part 2'!$AV$6:$AV$13,0),MATCH(SCC_Alkaline_Carbonate!Q9,'Tables - Part 2'!$AX$5:$BA$5,0))+INDEX('Tables - Part 2'!$BB$6:$BE$13,MATCH(SCC_Alkaline_Carbonate!$S9,'Tables - Part 2'!$AV$6:$AV$13,0),MATCH(SCC_Alkaline_Carbonate!$Q9,'Tables - Part 2'!$AX$5:$BA$5,0)))/2,0)</f>
        <v>0</v>
      </c>
      <c r="AD9" s="248">
        <f>IF($P9=$AD$3,(((INDEX('Tables - Part 2'!$AX$6:$BA$13,MATCH(SCC_Alkaline_Carbonate!S9,'Tables - Part 2'!$AV$6:$AV$13,0),MATCH(SCC_Alkaline_Carbonate!Q9,'Tables - Part 2'!$AX$5:$BA$5,0))+INDEX('Tables - Part 2'!$BB$6:$BE$13,MATCH(SCC_Alkaline_Carbonate!$S9,'Tables - Part 2'!$AV$6:$AV$13,0),MATCH(SCC_Alkaline_Carbonate!$Q9,'Tables - Part 2'!$AX$5:$BA$5,0)))/2)+(((INDEX('Tables - Part 2'!$AX$6:$BA$13,MATCH(SCC_Alkaline_Carbonate!S9,'Tables - Part 2'!$AV$6:$AV$13,0),MATCH(SCC_Alkaline_Carbonate!Q9,'Tables - Part 2'!$AX$5:$BA$5,0))+INDEX('Tables - Part 2'!$BB$6:$BE$13,MATCH(SCC_Alkaline_Carbonate!$S9,'Tables - Part 2'!$AV$6:$AV$13,0),MATCH(SCC_Alkaline_Carbonate!$Q9,'Tables - Part 2'!$AX$5:$BA$5,0)))/2)+INDEX('Tables - Part 2'!$BB$6:$BE$13,MATCH(SCC_Alkaline_Carbonate!$S9,'Tables - Part 2'!$AV$6:$AV$13,0),MATCH(SCC_Alkaline_Carbonate!$Q9,'Tables - Part 2'!$AX$5:$BA$5,0)))/2)/2,0)</f>
        <v>0</v>
      </c>
      <c r="AE9" s="248">
        <f>IF($P9=$AE$3,(((INDEX('Tables - Part 2'!$AX$6:$BA$13,MATCH(SCC_Alkaline_Carbonate!S9,'Tables - Part 2'!$AV$6:$AV$13,0),MATCH(SCC_Alkaline_Carbonate!Q9,'Tables - Part 2'!$AX$5:$BA$5,0))+INDEX('Tables - Part 2'!$BB$6:$BE$13,MATCH(SCC_Alkaline_Carbonate!$S9,'Tables - Part 2'!$AV$6:$AV$13,0),MATCH(SCC_Alkaline_Carbonate!$Q9,'Tables - Part 2'!$AX$5:$BA$5,0)))/2)+INDEX('Tables - Part 2'!$BB$6:$BE$13,MATCH(SCC_Alkaline_Carbonate!$S9,'Tables - Part 2'!$AV$6:$AV$13,0),MATCH(SCC_Alkaline_Carbonate!$Q9,'Tables - Part 2'!$AX$5:$BA$5,0)))/2,0)</f>
        <v>0</v>
      </c>
      <c r="AF9" s="248">
        <f>IF($P9=$AF$3,(((((INDEX('Tables - Part 2'!$AX$6:$BA$13,MATCH(SCC_Alkaline_Carbonate!S9,'Tables - Part 2'!$AV$6:$AV$13,0),MATCH(SCC_Alkaline_Carbonate!Q9,'Tables - Part 2'!$AX$5:$BA$5,0))+INDEX('Tables - Part 2'!$BB$6:$BE$13,MATCH(SCC_Alkaline_Carbonate!$S9,'Tables - Part 2'!$AV$6:$AV$13,0),MATCH(SCC_Alkaline_Carbonate!$Q9,'Tables - Part 2'!$AX$5:$BA$5,0)))/2)+INDEX('Tables - Part 2'!$BB$6:$BE$13,MATCH(SCC_Alkaline_Carbonate!$S9,'Tables - Part 2'!$AV$6:$AV$13,0),MATCH(SCC_Alkaline_Carbonate!$Q9,'Tables - Part 2'!$AX$5:$BA$5,0)))/2)+INDEX('Tables - Part 2'!$BB$6:$BE$13,MATCH(SCC_Alkaline_Carbonate!$S9,'Tables - Part 2'!$AV$6:$AV$13,0),MATCH(SCC_Alkaline_Carbonate!$Q9,'Tables - Part 2'!$AX$5:$BA$5,0)))/2,0)</f>
        <v>0</v>
      </c>
      <c r="AG9" s="248">
        <f>IF($P9=$AG$3,INDEX('Tables - Part 2'!$BB$6:$BE$13,MATCH(SCC_Alkaline_Carbonate!$S9,'Tables - Part 2'!$AV$6:$AV$13,0),MATCH(SCC_Alkaline_Carbonate!$Q9,'Tables - Part 2'!$AX$5:$BA$5,0)),0)</f>
        <v>0</v>
      </c>
      <c r="AH9" s="248">
        <f>IF($P9=$AH$3,((INDEX('Tables - Part 2'!$BB$6:$BE$13,MATCH(SCC_Alkaline_Carbonate!$S9,'Tables - Part 2'!$AV$6:$AV$13,0),MATCH(SCC_Alkaline_Carbonate!$Q9,'Tables - Part 2'!$AX$5:$BA$5,0)))+(INDEX('Tables - Part 2'!$BB$6:$BE$13,MATCH(SCC_Alkaline_Carbonate!$S9,'Tables - Part 2'!$AV$6:$AV$13,0),MATCH(SCC_Alkaline_Carbonate!$Q9,'Tables - Part 2'!$AX$5:$BA$5,0))+(INDEX('Tables - Part 2'!$BB$6:$BE$13,MATCH(SCC_Alkaline_Carbonate!$S9,'Tables - Part 2'!$AV$6:$AV$13,0),MATCH(SCC_Alkaline_Carbonate!$Q9,'Tables - Part 2'!$AX$5:$BA$5,0))+INDEX('Tables - Part 2'!$BF$6:$BI$13,MATCH(SCC_Alkaline_Carbonate!$S9,'Tables - Part 2'!$AV$6:$AV$13,0),MATCH(SCC_Alkaline_Carbonate!$Q9,'Tables - Part 2'!$AX$5:$BA$5,0)))/2)/2)/2,0)</f>
        <v>0</v>
      </c>
      <c r="AI9" s="248">
        <f>IF($P9=$AI$3,(INDEX('Tables - Part 2'!$BB$6:$BE$13,MATCH(SCC_Alkaline_Carbonate!$S9,'Tables - Part 2'!$AV$6:$AV$13,0),MATCH(SCC_Alkaline_Carbonate!$Q9,'Tables - Part 2'!$AX$5:$BA$5,0))+(INDEX('Tables - Part 2'!$BB$6:$BE$13,MATCH(SCC_Alkaline_Carbonate!$S9,'Tables - Part 2'!$AV$6:$AV$13,0),MATCH(SCC_Alkaline_Carbonate!$Q9,'Tables - Part 2'!$AX$5:$BA$5,0))+INDEX('Tables - Part 2'!$BF$6:$BI$13,MATCH(SCC_Alkaline_Carbonate!$S9,'Tables - Part 2'!$AV$6:$AV$13,0),MATCH(SCC_Alkaline_Carbonate!$Q9,'Tables - Part 2'!$AX$5:$BA$5,0)))/2)/2,0)</f>
        <v>0</v>
      </c>
      <c r="AJ9" s="248">
        <f>IF($P9=$AJ$3,(((INDEX('Tables - Part 2'!$BB$6:$BE$13,MATCH(SCC_Alkaline_Carbonate!$S9,'Tables - Part 2'!$AV$6:$AV$13,0),MATCH(SCC_Alkaline_Carbonate!$Q9,'Tables - Part 2'!$AX$5:$BA$5,0))+(INDEX('Tables - Part 2'!$BB$6:$BE$13,MATCH(SCC_Alkaline_Carbonate!$S9,'Tables - Part 2'!$AV$6:$AV$13,0),MATCH(SCC_Alkaline_Carbonate!$Q9,'Tables - Part 2'!$AX$5:$BA$5,0))+INDEX('Tables - Part 2'!$BF$6:$BI$13,MATCH(SCC_Alkaline_Carbonate!$S9,'Tables - Part 2'!$AV$6:$AV$13,0),MATCH(SCC_Alkaline_Carbonate!$Q9,'Tables - Part 2'!$AX$5:$BA$5,0)))/2)/2)+((INDEX('Tables - Part 2'!$BB$6:$BE$13,MATCH(SCC_Alkaline_Carbonate!$S9,'Tables - Part 2'!$AV$6:$AV$13,0),MATCH(SCC_Alkaline_Carbonate!$Q9,'Tables - Part 2'!$AX$5:$BA$5,0))+INDEX('Tables - Part 2'!$BF$6:$BI$13,MATCH(SCC_Alkaline_Carbonate!$S9,'Tables - Part 2'!$AV$6:$AV$13,0),MATCH(SCC_Alkaline_Carbonate!$Q9,'Tables - Part 2'!$AX$5:$BA$5,0)))/2))/2,0)</f>
        <v>0</v>
      </c>
      <c r="AK9" s="248">
        <f>IF($P9=$AK$3,(INDEX('Tables - Part 2'!$BB$6:$BE$13,MATCH(SCC_Alkaline_Carbonate!$S9,'Tables - Part 2'!$AV$6:$AV$13,0),MATCH(SCC_Alkaline_Carbonate!$Q9,'Tables - Part 2'!$AX$5:$BA$5,0))+INDEX('Tables - Part 2'!$BF$6:$BI$13,MATCH(SCC_Alkaline_Carbonate!$S9,'Tables - Part 2'!$AV$6:$AV$13,0),MATCH(SCC_Alkaline_Carbonate!$Q9,'Tables - Part 2'!$AX$5:$BA$5,0)))/2,0)</f>
        <v>3</v>
      </c>
      <c r="AL9" s="248">
        <f>IF($P9=$AL$3,(((INDEX('Tables - Part 2'!$BB$6:$BE$13,MATCH(SCC_Alkaline_Carbonate!$S9,'Tables - Part 2'!$AV$6:$AV$13,0),MATCH(SCC_Alkaline_Carbonate!$Q9,'Tables - Part 2'!$AX$5:$BA$5,0))+INDEX('Tables - Part 2'!$BF$6:$BI$13,MATCH(SCC_Alkaline_Carbonate!$S9,'Tables - Part 2'!$AV$6:$AV$13,0),MATCH(SCC_Alkaline_Carbonate!$Q9,'Tables - Part 2'!$AX$5:$BA$5,0)))/2)+((((INDEX('Tables - Part 2'!$BB$6:$BE$13,MATCH(SCC_Alkaline_Carbonate!$S9,'Tables - Part 2'!$AV$6:$AV$13,0),MATCH(SCC_Alkaline_Carbonate!$Q9,'Tables - Part 2'!$AX$5:$BA$5,0))+INDEX('Tables - Part 2'!$BF$6:$BI$13,MATCH(SCC_Alkaline_Carbonate!$S9,'Tables - Part 2'!$AV$6:$AV$13,0),MATCH(SCC_Alkaline_Carbonate!$Q9,'Tables - Part 2'!$AX$5:$BA$5,0)))/2)+INDEX('Tables - Part 2'!$BF$6:$BI$13,MATCH(SCC_Alkaline_Carbonate!$S9,'Tables - Part 2'!$AV$6:$AV$13,0),MATCH(SCC_Alkaline_Carbonate!$Q9,'Tables - Part 2'!$AX$5:$BA$5,0)))/2))/2,0)</f>
        <v>0</v>
      </c>
      <c r="AM9" s="248">
        <f>IF($P9=$AM$3,(((INDEX('Tables - Part 2'!$BB$6:$BE$13,MATCH(SCC_Alkaline_Carbonate!$S9,'Tables - Part 2'!$AV$6:$AV$13,0),MATCH(SCC_Alkaline_Carbonate!$Q9,'Tables - Part 2'!$AX$5:$BA$5,0))+INDEX('Tables - Part 2'!$BF$6:$BI$13,MATCH(SCC_Alkaline_Carbonate!$S9,'Tables - Part 2'!$AV$6:$AV$13,0),MATCH(SCC_Alkaline_Carbonate!$Q9,'Tables - Part 2'!$AX$5:$BA$5,0)))/2)+INDEX('Tables - Part 2'!$BF$6:$BI$13,MATCH(SCC_Alkaline_Carbonate!$S9,'Tables - Part 2'!$AV$6:$AV$13,0),MATCH(SCC_Alkaline_Carbonate!$Q9,'Tables - Part 2'!$AX$5:$BA$5,0)))/2,0)</f>
        <v>0</v>
      </c>
      <c r="AN9" s="248">
        <f>IF($P9=$AN$3,(((((INDEX('Tables - Part 2'!$BB$6:$BE$13,MATCH(SCC_Alkaline_Carbonate!$S9,'Tables - Part 2'!$AV$6:$AV$13,0),MATCH(SCC_Alkaline_Carbonate!$Q9,'Tables - Part 2'!$AX$5:$BA$5,0))+INDEX('Tables - Part 2'!$BF$6:$BI$13,MATCH(SCC_Alkaline_Carbonate!$S9,'Tables - Part 2'!$AV$6:$AV$13,0),MATCH(SCC_Alkaline_Carbonate!$Q9,'Tables - Part 2'!$AX$5:$BA$5,0)))/2)+INDEX('Tables - Part 2'!$BF$6:$BI$13,MATCH(SCC_Alkaline_Carbonate!$S9,'Tables - Part 2'!$AV$6:$AV$13,0),MATCH(SCC_Alkaline_Carbonate!$Q9,'Tables - Part 2'!$AX$5:$BA$5,0)))/2)+INDEX('Tables - Part 2'!$BF$6:$BI$13,MATCH(SCC_Alkaline_Carbonate!$S9,'Tables - Part 2'!$AV$6:$AV$13,0),MATCH(SCC_Alkaline_Carbonate!$Q9,'Tables - Part 2'!$AX$5:$BA$5,0)))/2,0)</f>
        <v>0</v>
      </c>
      <c r="AO9" s="248">
        <f>IF($P9=$AO$3,INDEX('Tables - Part 2'!$BF$6:$BI$13,MATCH(SCC_Alkaline_Carbonate!$S9,'Tables - Part 2'!$AV$6:$AV$13,0),MATCH(SCC_Alkaline_Carbonate!$Q9,'Tables - Part 2'!$AX$5:$BA$5,0)),0)</f>
        <v>0</v>
      </c>
      <c r="AP9" s="248">
        <f>IF($P9=$AP$3,(INDEX('Tables - Part 2'!$BF$6:$BI$13,MATCH(SCC_Alkaline_Carbonate!$S9,'Tables - Part 2'!$AV$6:$AV$13,0),MATCH(SCC_Alkaline_Carbonate!$Q9,'Tables - Part 2'!$AX$5:$BA$5,0))+((INDEX('Tables - Part 2'!$BF$6:$BI$13,MATCH(SCC_Alkaline_Carbonate!$S9,'Tables - Part 2'!$AV$6:$AV$13,0),MATCH(SCC_Alkaline_Carbonate!$Q9,'Tables - Part 2'!$AX$5:$BA$5,0))+(INDEX('Tables - Part 2'!$BF$6:$BI$13,MATCH(SCC_Alkaline_Carbonate!$S9,'Tables - Part 2'!$AV$6:$AV$13,0),MATCH(SCC_Alkaline_Carbonate!$Q9,'Tables - Part 2'!$AX$5:$BA$5,0))+INDEX('Tables - Part 2'!$AX$17:$BA$24,MATCH(SCC_Alkaline_Carbonate!$S9,'Tables - Part 2'!$AV$6:$AV$13,0),MATCH(SCC_Alkaline_Carbonate!$Q9,'Tables - Part 2'!$AX$5:$BA$5,0)))/2)/2))/2,0)</f>
        <v>0</v>
      </c>
      <c r="AQ9" s="248">
        <f>IF($P9=$AQ$3,(INDEX('Tables - Part 2'!$BF$6:$BI$13,MATCH(SCC_Alkaline_Carbonate!$S9,'Tables - Part 2'!$AV$6:$AV$13,0),MATCH(SCC_Alkaline_Carbonate!$Q9,'Tables - Part 2'!$AX$5:$BA$5,0))+(INDEX('Tables - Part 2'!$BF$6:$BI$13,MATCH(SCC_Alkaline_Carbonate!$S9,'Tables - Part 2'!$AV$6:$AV$13,0),MATCH(SCC_Alkaline_Carbonate!$Q9,'Tables - Part 2'!$AX$5:$BA$5,0))+INDEX('Tables - Part 2'!$AX$17:$BA$24,MATCH(SCC_Alkaline_Carbonate!$S9,'Tables - Part 2'!$AV$6:$AV$13,0),MATCH(SCC_Alkaline_Carbonate!$Q9,'Tables - Part 2'!$AX$5:$BA$5,0)))/2)/2,0)</f>
        <v>0</v>
      </c>
      <c r="AR9" s="248">
        <f>IF($P9=$AR$3,(((INDEX('Tables - Part 2'!$BF$6:$BI$13,MATCH(SCC_Alkaline_Carbonate!$S9,'Tables - Part 2'!$AV$6:$AV$13,0),MATCH(SCC_Alkaline_Carbonate!$Q9,'Tables - Part 2'!$AX$5:$BA$5,0))+(INDEX('Tables - Part 2'!$BF$6:$BI$13,MATCH(SCC_Alkaline_Carbonate!$S9,'Tables - Part 2'!$AV$6:$AV$13,0),MATCH(SCC_Alkaline_Carbonate!$Q9,'Tables - Part 2'!$AX$5:$BA$5,0))+INDEX('Tables - Part 2'!$AX$17:$BA$24,MATCH(SCC_Alkaline_Carbonate!$S9,'Tables - Part 2'!$AV$6:$AV$13,0),MATCH(SCC_Alkaline_Carbonate!$Q9,'Tables - Part 2'!$AX$5:$BA$5,0)))/2)/2)+((INDEX('Tables - Part 2'!$BF$6:$BI$13,MATCH(SCC_Alkaline_Carbonate!$S9,'Tables - Part 2'!$AV$6:$AV$13,0),MATCH(SCC_Alkaline_Carbonate!$Q9,'Tables - Part 2'!$AX$5:$BA$5,0))+INDEX('Tables - Part 2'!$AX$17:$BA$24,MATCH(SCC_Alkaline_Carbonate!$S9,'Tables - Part 2'!$AV$6:$AV$13,0),MATCH(SCC_Alkaline_Carbonate!$Q9,'Tables - Part 2'!$AX$5:$BA$5,0)))/2))/2,0)</f>
        <v>0</v>
      </c>
      <c r="AS9" s="248">
        <f>IF($P9=$AS$3,(INDEX('Tables - Part 2'!$BF$6:$BI$13,MATCH(SCC_Alkaline_Carbonate!$S9,'Tables - Part 2'!$AV$6:$AV$13,0),MATCH(SCC_Alkaline_Carbonate!$Q9,'Tables - Part 2'!$AX$5:$BA$5,0))+INDEX('Tables - Part 2'!$AX$17:$BA$24,MATCH(SCC_Alkaline_Carbonate!$S9,'Tables - Part 2'!$AV$6:$AV$13,0),MATCH(SCC_Alkaline_Carbonate!$Q9,'Tables - Part 2'!$AX$5:$BA$5,0)))/2,0)</f>
        <v>0</v>
      </c>
      <c r="AT9" s="248">
        <f>IF($P9=$AT$3,(((INDEX('Tables - Part 2'!$BF$6:$BI$13,MATCH(SCC_Alkaline_Carbonate!$S9,'Tables - Part 2'!$AV$6:$AV$13,0),MATCH(SCC_Alkaline_Carbonate!$Q9,'Tables - Part 2'!$AX$5:$BA$5,0))+INDEX('Tables - Part 2'!$AX$17:$BA$24,MATCH(SCC_Alkaline_Carbonate!$S9,'Tables - Part 2'!$AV$6:$AV$13,0),MATCH(SCC_Alkaline_Carbonate!$Q9,'Tables - Part 2'!$AX$5:$BA$5,0)))/2)+((((INDEX('Tables - Part 2'!$BF$6:$BI$13,MATCH(SCC_Alkaline_Carbonate!$S9,'Tables - Part 2'!$AV$6:$AV$13,0),MATCH(SCC_Alkaline_Carbonate!$Q9,'Tables - Part 2'!$AX$5:$BA$5,0))+INDEX('Tables - Part 2'!$AX$17:$BA$24,MATCH(SCC_Alkaline_Carbonate!$S9,'Tables - Part 2'!$AV$6:$AV$13,0),MATCH(SCC_Alkaline_Carbonate!$Q9,'Tables - Part 2'!$AX$5:$BA$5,0)))/2)+INDEX('Tables - Part 2'!$AX$17:$BA$24,MATCH(SCC_Alkaline_Carbonate!$S9,'Tables - Part 2'!$AV$6:$AV$13,0),MATCH(SCC_Alkaline_Carbonate!$Q9,'Tables - Part 2'!$AX$5:$BA$5,0)))/2))/2,0)</f>
        <v>0</v>
      </c>
      <c r="AU9" s="248">
        <f>IF($P9=$AU$3,(((INDEX('Tables - Part 2'!$BF$6:$BI$13,MATCH(SCC_Alkaline_Carbonate!$S9,'Tables - Part 2'!$AV$6:$AV$13,0),MATCH(SCC_Alkaline_Carbonate!$Q9,'Tables - Part 2'!$AX$5:$BA$5,0))+INDEX('Tables - Part 2'!$AX$17:$BA$24,MATCH(SCC_Alkaline_Carbonate!$S9,'Tables - Part 2'!$AV$6:$AV$13,0),MATCH(SCC_Alkaline_Carbonate!$Q9,'Tables - Part 2'!$AX$5:$BA$5,0)))/2)+INDEX('Tables - Part 2'!$AX$17:$BA$24,MATCH(SCC_Alkaline_Carbonate!$S9,'Tables - Part 2'!$AV$6:$AV$13,0),MATCH(SCC_Alkaline_Carbonate!$Q9,'Tables - Part 2'!$AX$5:$BA$5,0)))/2,0)</f>
        <v>0</v>
      </c>
      <c r="AV9" s="248">
        <f>IF($P9=$AV$3,(((((INDEX('Tables - Part 2'!$BF$6:$BI$13,MATCH(SCC_Alkaline_Carbonate!$S9,'Tables - Part 2'!$AV$6:$AV$13,0),MATCH(SCC_Alkaline_Carbonate!$Q9,'Tables - Part 2'!$AX$5:$BA$5,0))+INDEX('Tables - Part 2'!$AX$17:$BA$24,MATCH(SCC_Alkaline_Carbonate!$S9,'Tables - Part 2'!$AV$6:$AV$13,0),MATCH(SCC_Alkaline_Carbonate!$Q9,'Tables - Part 2'!$AX$5:$BA$5,0)))/2)+INDEX('Tables - Part 2'!$AX$17:$BA$24,MATCH(SCC_Alkaline_Carbonate!$S9,'Tables - Part 2'!$AV$6:$AV$13,0),MATCH(SCC_Alkaline_Carbonate!$Q9,'Tables - Part 2'!$AX$5:$BA$5,0)))/2)+(INDEX('Tables - Part 2'!$AX$17:$BA$24,MATCH(SCC_Alkaline_Carbonate!$S9,'Tables - Part 2'!$AV$6:$AV$13,0),MATCH(SCC_Alkaline_Carbonate!$Q9,'Tables - Part 2'!$AX$5:$BA$5,0))))/2,0)</f>
        <v>0</v>
      </c>
      <c r="AW9" s="248">
        <f>IF($P9=$AW$3,INDEX('Tables - Part 2'!$AX$17:$BA$24,MATCH(SCC_Alkaline_Carbonate!$S9,'Tables - Part 2'!$AV$6:$AV$13,0),MATCH(SCC_Alkaline_Carbonate!$Q9,'Tables - Part 2'!$AX$5:$BA$5,0)),0)</f>
        <v>0</v>
      </c>
      <c r="AX9" s="248">
        <f>IF($P9=$AX$3,((INDEX('Tables - Part 2'!$AX$17:$BA$24,MATCH(SCC_Alkaline_Carbonate!$S9,'Tables - Part 2'!$AV$6:$AV$13,0),MATCH(SCC_Alkaline_Carbonate!$Q9,'Tables - Part 2'!$AX$5:$BA$5,0)))+(((INDEX('Tables - Part 2'!$AX$17:$BA$24,MATCH(SCC_Alkaline_Carbonate!$S9,'Tables - Part 2'!$AV$6:$AV$13,0),MATCH(SCC_Alkaline_Carbonate!$Q9,'Tables - Part 2'!$AX$5:$BA$5,0)))+(INDEX('Tables - Part 2'!$AX$17:$BA$24,MATCH(SCC_Alkaline_Carbonate!$S9,'Tables - Part 2'!$AV$6:$AV$13,0),MATCH(SCC_Alkaline_Carbonate!$Q9,'Tables - Part 2'!$AX$5:$BA$5,0))+INDEX('Tables - Part 2'!$BB$17:$BE$24,MATCH(SCC_Alkaline_Carbonate!$S9,'Tables - Part 2'!$AV$6:$AV$13,0),MATCH(SCC_Alkaline_Carbonate!$Q9,'Tables - Part 2'!$AX$5:$BA$5,0)))/2)/2))/2,0)</f>
        <v>0</v>
      </c>
      <c r="AY9" s="248">
        <f>IF($P9=$AY$3,((INDEX('Tables - Part 2'!$AX$17:$BA$24,MATCH(SCC_Alkaline_Carbonate!$S9,'Tables - Part 2'!$AV$6:$AV$13,0),MATCH(SCC_Alkaline_Carbonate!$Q9,'Tables - Part 2'!$AX$5:$BA$5,0)))+(INDEX('Tables - Part 2'!$AX$17:$BA$24,MATCH(SCC_Alkaline_Carbonate!$S9,'Tables - Part 2'!$AV$6:$AV$13,0),MATCH(SCC_Alkaline_Carbonate!$Q9,'Tables - Part 2'!$AX$5:$BA$5,0))+INDEX('Tables - Part 2'!$BB$17:$BE$24,MATCH(SCC_Alkaline_Carbonate!$S9,'Tables - Part 2'!$AV$6:$AV$13,0),MATCH(SCC_Alkaline_Carbonate!$Q9,'Tables - Part 2'!$AX$5:$BA$5,0)))/2)/2,0)</f>
        <v>0</v>
      </c>
      <c r="AZ9" s="248">
        <f>IF($P9=$AZ$3,((((INDEX('Tables - Part 2'!$AX$17:$BA$24,MATCH(SCC_Alkaline_Carbonate!$S9,'Tables - Part 2'!$AV$6:$AV$13,0),MATCH(SCC_Alkaline_Carbonate!$Q9,'Tables - Part 2'!$AX$5:$BA$5,0)))+(INDEX('Tables - Part 2'!$AX$17:$BA$24,MATCH(SCC_Alkaline_Carbonate!$S9,'Tables - Part 2'!$AV$6:$AV$13,0),MATCH(SCC_Alkaline_Carbonate!$Q9,'Tables - Part 2'!$AX$5:$BA$5,0))+INDEX('Tables - Part 2'!$BB$17:$BE$24,MATCH(SCC_Alkaline_Carbonate!$S9,'Tables - Part 2'!$AV$6:$AV$13,0),MATCH(SCC_Alkaline_Carbonate!$Q9,'Tables - Part 2'!$AX$5:$BA$5,0)))/2)/2)+((INDEX('Tables - Part 2'!$AX$17:$BA$24,MATCH(SCC_Alkaline_Carbonate!$S9,'Tables - Part 2'!$AV$6:$AV$13,0),MATCH(SCC_Alkaline_Carbonate!$Q9,'Tables - Part 2'!$AX$5:$BA$5,0))+INDEX('Tables - Part 2'!$BB$17:$BE$24,MATCH(SCC_Alkaline_Carbonate!$S9,'Tables - Part 2'!$AV$6:$AV$13,0),MATCH(SCC_Alkaline_Carbonate!$Q9,'Tables - Part 2'!$AX$5:$BA$5,0)))/2))/2,0)</f>
        <v>0</v>
      </c>
      <c r="BA9" s="248">
        <f>IF($P9=$BA$3,(INDEX('Tables - Part 2'!$AX$17:$BA$24,MATCH(SCC_Alkaline_Carbonate!$S9,'Tables - Part 2'!$AV$6:$AV$13,0),MATCH(SCC_Alkaline_Carbonate!$Q9,'Tables - Part 2'!$AX$5:$BA$5,0))+INDEX('Tables - Part 2'!$BB$17:$BE$24,MATCH(SCC_Alkaline_Carbonate!$S9,'Tables - Part 2'!$AV$6:$AV$13,0),MATCH(SCC_Alkaline_Carbonate!$Q9,'Tables - Part 2'!$AX$5:$BA$5,0)))/2,0)</f>
        <v>0</v>
      </c>
      <c r="BB9" s="248">
        <f>IF($P9=$BB$3,(((INDEX('Tables - Part 2'!$AX$17:$BA$24,MATCH(SCC_Alkaline_Carbonate!$S9,'Tables - Part 2'!$AV$6:$AV$13,0),MATCH(SCC_Alkaline_Carbonate!$Q9,'Tables - Part 2'!$AX$5:$BA$5,0))+INDEX('Tables - Part 2'!$BB$17:$BE$24,MATCH(SCC_Alkaline_Carbonate!$S9,'Tables - Part 2'!$AV$6:$AV$13,0),MATCH(SCC_Alkaline_Carbonate!$Q9,'Tables - Part 2'!$AX$5:$BA$5,0)))/2)+((((INDEX('Tables - Part 2'!$AX$17:$BA$24,MATCH(SCC_Alkaline_Carbonate!$S9,'Tables - Part 2'!$AV$6:$AV$13,0),MATCH(SCC_Alkaline_Carbonate!$Q9,'Tables - Part 2'!$AX$5:$BA$5,0))+INDEX('Tables - Part 2'!$BB$17:$BE$24,MATCH(SCC_Alkaline_Carbonate!$S9,'Tables - Part 2'!$AV$6:$AV$13,0),MATCH(SCC_Alkaline_Carbonate!$Q9,'Tables - Part 2'!$AX$5:$BA$5,0)))/2)+INDEX('Tables - Part 2'!$BB$17:$BE$24,MATCH(SCC_Alkaline_Carbonate!$S9,'Tables - Part 2'!$AV$6:$AV$13,0),MATCH(SCC_Alkaline_Carbonate!$Q9,'Tables - Part 2'!$AX$5:$BA$5,0)))/2))/2,0)</f>
        <v>0</v>
      </c>
      <c r="BC9" s="248">
        <f>IF($P9=$BC$3,(((INDEX('Tables - Part 2'!$AX$17:$BA$24,MATCH(SCC_Alkaline_Carbonate!$S9,'Tables - Part 2'!$AV$6:$AV$13,0),MATCH(SCC_Alkaline_Carbonate!$Q9,'Tables - Part 2'!$AX$5:$BA$5,0))+INDEX('Tables - Part 2'!$BB$17:$BE$24,MATCH(SCC_Alkaline_Carbonate!$S9,'Tables - Part 2'!$AV$6:$AV$13,0),MATCH(SCC_Alkaline_Carbonate!$Q9,'Tables - Part 2'!$AX$5:$BA$5,0)))/2)+INDEX('Tables - Part 2'!$BB$17:$BE$24,MATCH(SCC_Alkaline_Carbonate!$S9,'Tables - Part 2'!$AV$6:$AV$13,0),MATCH(SCC_Alkaline_Carbonate!$Q9,'Tables - Part 2'!$AX$5:$BA$5,0)))/2,0)</f>
        <v>0</v>
      </c>
      <c r="BD9" s="248">
        <f>IF($P9=$BD$3,(((((INDEX('Tables - Part 2'!$AX$17:$BA$24,MATCH(SCC_Alkaline_Carbonate!$S9,'Tables - Part 2'!$AV$6:$AV$13,0),MATCH(SCC_Alkaline_Carbonate!$Q9,'Tables - Part 2'!$AX$5:$BA$5,0))+INDEX('Tables - Part 2'!$BB$17:$BE$24,MATCH(SCC_Alkaline_Carbonate!$S9,'Tables - Part 2'!$AV$6:$AV$13,0),MATCH(SCC_Alkaline_Carbonate!$Q9,'Tables - Part 2'!$AX$5:$BA$5,0)))/2)+INDEX('Tables - Part 2'!$BB$17:$BE$24,MATCH(SCC_Alkaline_Carbonate!$S9,'Tables - Part 2'!$AV$6:$AV$13,0),MATCH(SCC_Alkaline_Carbonate!$Q9,'Tables - Part 2'!$AX$5:$BA$5,0)))/2)+(INDEX('Tables - Part 2'!$BB$17:$BE$24,MATCH(SCC_Alkaline_Carbonate!$S9,'Tables - Part 2'!$AV$6:$AV$13,0),MATCH(SCC_Alkaline_Carbonate!$Q9,'Tables - Part 2'!$AX$5:$BA$5,0))))/2,0)</f>
        <v>0</v>
      </c>
      <c r="BE9" s="248">
        <f>IF($P9=$BE$3,INDEX('Tables - Part 2'!$BB$17:$BE$24,MATCH(SCC_Alkaline_Carbonate!$S9,'Tables - Part 2'!$AV$6:$AV$13,0),MATCH(SCC_Alkaline_Carbonate!$Q9,'Tables - Part 2'!$AX$5:$BA$5,0)),0)</f>
        <v>0</v>
      </c>
      <c r="BF9" s="248">
        <f>IF($P9=$BF$3,((INDEX('Tables - Part 2'!$BB$17:$BE$24,MATCH(SCC_Alkaline_Carbonate!$S9,'Tables - Part 2'!$AV$6:$AV$13,0),MATCH(SCC_Alkaline_Carbonate!$Q9,'Tables - Part 2'!$AX$5:$BA$5,0)))+(((INDEX('Tables - Part 2'!$BB$17:$BE$24,MATCH(SCC_Alkaline_Carbonate!$S9,'Tables - Part 2'!$AV$6:$AV$13,0),MATCH(SCC_Alkaline_Carbonate!$Q9,'Tables - Part 2'!$AX$5:$BA$5,0)))+(INDEX('Tables - Part 2'!$BB$17:$BE$24,MATCH(SCC_Alkaline_Carbonate!$S9,'Tables - Part 2'!$AV$6:$AV$13,0),MATCH(SCC_Alkaline_Carbonate!$Q9,'Tables - Part 2'!$AX$5:$BA$5,0))+INDEX('Tables - Part 2'!$BF$17:$BI$24,MATCH(SCC_Alkaline_Carbonate!$S9,'Tables - Part 2'!$AV$6:$AV$13,0),MATCH(SCC_Alkaline_Carbonate!$Q9,'Tables - Part 2'!$AX$5:$BA$5,0)))/2)/2))/2,0)</f>
        <v>0</v>
      </c>
      <c r="BG9" s="248">
        <f>IF($P9=$BG$3,((INDEX('Tables - Part 2'!$BB$17:$BE$24,MATCH(SCC_Alkaline_Carbonate!$S9,'Tables - Part 2'!$AV$6:$AV$13,0),MATCH(SCC_Alkaline_Carbonate!$Q9,'Tables - Part 2'!$AX$5:$BA$5,0)))+(INDEX('Tables - Part 2'!$BB$17:$BE$24,MATCH(SCC_Alkaline_Carbonate!$S9,'Tables - Part 2'!$AV$6:$AV$13,0),MATCH(SCC_Alkaline_Carbonate!$Q9,'Tables - Part 2'!$AX$5:$BA$5,0))+INDEX('Tables - Part 2'!$BF$17:$BI$24,MATCH(SCC_Alkaline_Carbonate!$S9,'Tables - Part 2'!$AV$6:$AV$13,0),MATCH(SCC_Alkaline_Carbonate!$Q9,'Tables - Part 2'!$AX$5:$BA$5,0)))/2)/2,0)</f>
        <v>0</v>
      </c>
      <c r="BH9" s="248">
        <f>IF($P9=$BH$3,((((INDEX('Tables - Part 2'!$BB$17:$BE$24,MATCH(SCC_Alkaline_Carbonate!$S9,'Tables - Part 2'!$AV$6:$AV$13,0),MATCH(SCC_Alkaline_Carbonate!$Q9,'Tables - Part 2'!$AX$5:$BA$5,0)))+(INDEX('Tables - Part 2'!$BB$17:$BE$24,MATCH(SCC_Alkaline_Carbonate!$S9,'Tables - Part 2'!$AV$6:$AV$13,0),MATCH(SCC_Alkaline_Carbonate!$Q9,'Tables - Part 2'!$AX$5:$BA$5,0))+INDEX('Tables - Part 2'!$BF$17:$BI$24,MATCH(SCC_Alkaline_Carbonate!$S9,'Tables - Part 2'!$AV$6:$AV$13,0),MATCH(SCC_Alkaline_Carbonate!$Q9,'Tables - Part 2'!$AX$5:$BA$5,0)))/2)/2)+((INDEX('Tables - Part 2'!$BB$17:$BE$24,MATCH(SCC_Alkaline_Carbonate!$S9,'Tables - Part 2'!$AV$6:$AV$13,0),MATCH(SCC_Alkaline_Carbonate!$Q9,'Tables - Part 2'!$AX$5:$BA$5,0))+INDEX('Tables - Part 2'!$BF$17:$BI$24,MATCH(SCC_Alkaline_Carbonate!$S9,'Tables - Part 2'!$AV$6:$AV$13,0),MATCH(SCC_Alkaline_Carbonate!$Q9,'Tables - Part 2'!$AX$5:$BA$5,0)))/2))/2,0)</f>
        <v>0</v>
      </c>
      <c r="BI9" s="248">
        <f>IF($P9=$BI$3,(INDEX('Tables - Part 2'!$BB$17:$BE$24,MATCH(SCC_Alkaline_Carbonate!$S9,'Tables - Part 2'!$AV$6:$AV$13,0),MATCH(SCC_Alkaline_Carbonate!$Q9,'Tables - Part 2'!$AX$5:$BA$5,0))+INDEX('Tables - Part 2'!$BF$17:$BI$24,MATCH(SCC_Alkaline_Carbonate!$S9,'Tables - Part 2'!$AV$6:$AV$13,0),MATCH(SCC_Alkaline_Carbonate!$Q9,'Tables - Part 2'!$AX$5:$BA$5,0)))/2,0)</f>
        <v>0</v>
      </c>
      <c r="BJ9" s="248">
        <f>IF($P9=$BJ$3,(((INDEX('Tables - Part 2'!$BB$17:$BE$24,MATCH(SCC_Alkaline_Carbonate!$S9,'Tables - Part 2'!$AV$6:$AV$13,0),MATCH(SCC_Alkaline_Carbonate!$Q9,'Tables - Part 2'!$AX$5:$BA$5,0))+INDEX('Tables - Part 2'!$BF$17:$BI$24,MATCH(SCC_Alkaline_Carbonate!$S9,'Tables - Part 2'!$AV$6:$AV$13,0),MATCH(SCC_Alkaline_Carbonate!$Q9,'Tables - Part 2'!$AX$5:$BA$5,0)))/2)+((((INDEX('Tables - Part 2'!$BB$17:$BE$24,MATCH(SCC_Alkaline_Carbonate!$S9,'Tables - Part 2'!$AV$6:$AV$13,0),MATCH(SCC_Alkaline_Carbonate!$Q9,'Tables - Part 2'!$AX$5:$BA$5,0))+INDEX('Tables - Part 2'!$BF$17:$BI$24,MATCH(SCC_Alkaline_Carbonate!$S9,'Tables - Part 2'!$AV$6:$AV$13,0),MATCH(SCC_Alkaline_Carbonate!$Q9,'Tables - Part 2'!$AX$5:$BA$5,0)))/2)+INDEX('Tables - Part 2'!$BF$17:$BI$24,MATCH(SCC_Alkaline_Carbonate!$S9,'Tables - Part 2'!$AV$6:$AV$13,0),MATCH(SCC_Alkaline_Carbonate!$Q9,'Tables - Part 2'!$AX$5:$BA$5,0)))/2))/2,0)</f>
        <v>0</v>
      </c>
      <c r="BK9" s="248">
        <f>IF($P9=$BK$3,(((INDEX('Tables - Part 2'!$BB$17:$BE$24,MATCH(SCC_Alkaline_Carbonate!$S9,'Tables - Part 2'!$AV$6:$AV$13,0),MATCH(SCC_Alkaline_Carbonate!$Q9,'Tables - Part 2'!$AX$5:$BA$5,0))+INDEX('Tables - Part 2'!$BF$17:$BI$24,MATCH(SCC_Alkaline_Carbonate!$S9,'Tables - Part 2'!$AV$6:$AV$13,0),MATCH(SCC_Alkaline_Carbonate!$Q9,'Tables - Part 2'!$AX$5:$BA$5,0)))/2)+INDEX('Tables - Part 2'!$BF$17:$BI$24,MATCH(SCC_Alkaline_Carbonate!$S9,'Tables - Part 2'!$AV$6:$AV$13,0),MATCH(SCC_Alkaline_Carbonate!$Q9,'Tables - Part 2'!$AX$5:$BA$5,0)))/2,0)</f>
        <v>0</v>
      </c>
      <c r="BL9" s="248">
        <f>IF($P9=$BL$3,(((((INDEX('Tables - Part 2'!$BB$17:$BE$24,MATCH(SCC_Alkaline_Carbonate!$S9,'Tables - Part 2'!$AV$6:$AV$13,0),MATCH(SCC_Alkaline_Carbonate!$Q9,'Tables - Part 2'!$AX$5:$BA$5,0))+INDEX('Tables - Part 2'!$BF$17:$BI$24,MATCH(SCC_Alkaline_Carbonate!$S9,'Tables - Part 2'!$AV$6:$AV$13,0),MATCH(SCC_Alkaline_Carbonate!$Q9,'Tables - Part 2'!$AX$5:$BA$5,0)))/2)+INDEX('Tables - Part 2'!$BF$17:$BI$24,MATCH(SCC_Alkaline_Carbonate!$S9,'Tables - Part 2'!$AV$6:$AV$13,0),MATCH(SCC_Alkaline_Carbonate!$Q9,'Tables - Part 2'!$AX$5:$BA$5,0)))/2)+(INDEX('Tables - Part 2'!$BF$17:$BI$24,MATCH(SCC_Alkaline_Carbonate!$S9,'Tables - Part 2'!$AV$6:$AV$13,0),MATCH(SCC_Alkaline_Carbonate!$Q9,'Tables - Part 2'!$AX$5:$BA$5,0))))/2,0)</f>
        <v>0</v>
      </c>
      <c r="BM9" s="248">
        <f>IF($P9=$BM$3,INDEX('Tables - Part 2'!$BF$17:$BI$24,MATCH(SCC_Alkaline_Carbonate!$S9,'Tables - Part 2'!$AV$6:$AV$13,0),MATCH(SCC_Alkaline_Carbonate!$Q9,'Tables - Part 2'!$AX$5:$BA$5,0)),0)</f>
        <v>0</v>
      </c>
      <c r="BN9" s="248">
        <f t="shared" si="6"/>
        <v>0</v>
      </c>
      <c r="BO9" s="238">
        <f t="shared" si="8"/>
        <v>3</v>
      </c>
      <c r="BP9" s="238">
        <f t="shared" si="7"/>
        <v>50.318647405225171</v>
      </c>
    </row>
    <row r="10" spans="2:81" x14ac:dyDescent="0.35">
      <c r="B10" s="161" t="str">
        <f>'Tratamento de Dados'!B18</f>
        <v>V-1</v>
      </c>
      <c r="C10" s="161" t="str">
        <f>'Tratamento de Dados'!D18</f>
        <v>Casco</v>
      </c>
      <c r="D10" s="209" t="s">
        <v>245</v>
      </c>
      <c r="E10" s="209" t="s">
        <v>61</v>
      </c>
      <c r="F10" s="209" t="s">
        <v>1134</v>
      </c>
      <c r="G10" s="209" t="s">
        <v>1132</v>
      </c>
      <c r="H10" s="209" t="s">
        <v>245</v>
      </c>
      <c r="I10" s="210">
        <v>39092</v>
      </c>
      <c r="J10" s="209">
        <v>0</v>
      </c>
      <c r="K10" s="209">
        <v>1</v>
      </c>
      <c r="L10" s="209">
        <v>1</v>
      </c>
      <c r="M10" s="209">
        <v>4</v>
      </c>
      <c r="N10" s="253">
        <f>'Tratamento de Dados'!DA18</f>
        <v>0</v>
      </c>
      <c r="O10" s="253">
        <f>'Tratamento de Dados'!DB18</f>
        <v>0</v>
      </c>
      <c r="P10" s="256">
        <f t="shared" si="0"/>
        <v>2.5</v>
      </c>
      <c r="Q10" s="246" t="str">
        <f t="shared" si="1"/>
        <v>B</v>
      </c>
      <c r="R10" s="238" t="str">
        <f>IF(D10=$BU$2,$BS$4,IF(H10=$BU$2,$BS$5,INDEX('Tables - Part 2'!$DA$6:$DB$9,MATCH(SCC_Alkaline_Carbonate!F10,'Tables - Part 2'!$CY$6:$CY$9,0),MATCH(SCC_Alkaline_Carbonate!G10,'Tables - Part 2'!$DA$5:$DB$5,0))))</f>
        <v>Medium</v>
      </c>
      <c r="S10" s="238">
        <f>IF(AND(D10=$BU$2,E10&lt;&gt;$BU$2),"Fitness-For-Service",INDEX('Tables - Part 2'!$DE$4:$DE$7,MATCH(SCC_Alkaline_Carbonate!R10,'Tables - Part 2'!$DD$4:$DD$7,0),))</f>
        <v>100</v>
      </c>
      <c r="T10" s="238">
        <f>IF(I10=0,(Thinning!G11-Thinning!F11)/365.25,(Thinning!G11-I10)/365.25)</f>
        <v>12.980150581793293</v>
      </c>
      <c r="U10" s="248">
        <f t="shared" si="2"/>
        <v>0</v>
      </c>
      <c r="V10" s="248">
        <f t="shared" si="3"/>
        <v>2.5</v>
      </c>
      <c r="W10" s="248">
        <f t="shared" si="4"/>
        <v>3</v>
      </c>
      <c r="X10" s="247">
        <f t="shared" si="5"/>
        <v>4</v>
      </c>
      <c r="Y10" s="248">
        <f>IF($P10=$Y$3,INDEX('Tables - Part 2'!$AX$6:$BA$13,MATCH(SCC_Alkaline_Carbonate!S10,'Tables - Part 2'!$AV$6:$AV$13,0),MATCH(SCC_Alkaline_Carbonate!Q10,'Tables - Part 2'!$AX$5:$BA$5,0)),0)</f>
        <v>0</v>
      </c>
      <c r="Z10" s="248">
        <f>IF($P10=$Z$3,(INDEX('Tables - Part 2'!$AX$6:$BA$13,MATCH(SCC_Alkaline_Carbonate!S10,'Tables - Part 2'!$AV$6:$AV$13,0),MATCH(SCC_Alkaline_Carbonate!Q10,'Tables - Part 2'!$AX$5:$BA$5,0))+(INDEX('Tables - Part 2'!$AX$6:$BA$13,MATCH(SCC_Alkaline_Carbonate!S10,'Tables - Part 2'!$AV$6:$AV$13,0),MATCH(SCC_Alkaline_Carbonate!Q10,'Tables - Part 2'!$AX$5:$BA$5,0))+((INDEX('Tables - Part 2'!$AX$6:$BA$13,MATCH(SCC_Alkaline_Carbonate!S10,'Tables - Part 2'!$AV$6:$AV$13,0),MATCH(SCC_Alkaline_Carbonate!Q10,'Tables - Part 2'!$AX$5:$BA$5,0))+INDEX('Tables - Part 2'!$BB$6:$BE$13,MATCH(SCC_Alkaline_Carbonate!$S10,'Tables - Part 2'!$AV$6:$AV$13,0),MATCH(SCC_Alkaline_Carbonate!$Q10,'Tables - Part 2'!$AX$5:$BA$5,0)))/2))/2)/2,0)</f>
        <v>0</v>
      </c>
      <c r="AA10" s="248">
        <f>IF($P10=$AA$3,(INDEX('Tables - Part 2'!$AX$6:$BA$13,MATCH(SCC_Alkaline_Carbonate!S10,'Tables - Part 2'!$AV$6:$AV$13,0),MATCH(SCC_Alkaline_Carbonate!Q10,'Tables - Part 2'!$AX$5:$BA$5,0))+((INDEX('Tables - Part 2'!$AX$6:$BA$13,MATCH(SCC_Alkaline_Carbonate!S10,'Tables - Part 2'!$AV$6:$AV$13,0),MATCH(SCC_Alkaline_Carbonate!Q10,'Tables - Part 2'!$AX$5:$BA$5,0))+INDEX('Tables - Part 2'!$BB$6:$BE$13,MATCH(SCC_Alkaline_Carbonate!$S10,'Tables - Part 2'!$AV$6:$AV$13,0),MATCH(SCC_Alkaline_Carbonate!$Q10,'Tables - Part 2'!$AX$5:$BA$5,0)))/2))/2,0)</f>
        <v>0</v>
      </c>
      <c r="AB10" s="248">
        <f>IF($P10=$AB$3,(((INDEX('Tables - Part 2'!$AX$6:$BA$13,MATCH(SCC_Alkaline_Carbonate!S10,'Tables - Part 2'!$AV$6:$AV$13,0),MATCH(SCC_Alkaline_Carbonate!Q10,'Tables - Part 2'!$AX$5:$BA$5,0))+((INDEX('Tables - Part 2'!$AX$6:$BA$13,MATCH(SCC_Alkaline_Carbonate!S10,'Tables - Part 2'!$AV$6:$AV$13,0),MATCH(SCC_Alkaline_Carbonate!Q10,'Tables - Part 2'!$AX$5:$BA$5,0))+INDEX('Tables - Part 2'!$BB$6:$BE$13,MATCH(SCC_Alkaline_Carbonate!$S10,'Tables - Part 2'!$AV$6:$AV$13,0),MATCH(SCC_Alkaline_Carbonate!$Q10,'Tables - Part 2'!$AX$5:$BA$5,0)))/2))/2)+(INDEX('Tables - Part 2'!$AX$6:$BA$13,MATCH(SCC_Alkaline_Carbonate!S10,'Tables - Part 2'!$AV$6:$AV$13,0),MATCH(SCC_Alkaline_Carbonate!Q10,'Tables - Part 2'!$AX$5:$BA$5,0))+INDEX('Tables - Part 2'!$BB$6:$BE$13,MATCH(SCC_Alkaline_Carbonate!$S10,'Tables - Part 2'!$AV$6:$AV$13,0),MATCH(SCC_Alkaline_Carbonate!$Q10,'Tables - Part 2'!$AX$5:$BA$5,0)))/2)/2,0)</f>
        <v>0</v>
      </c>
      <c r="AC10" s="248">
        <f>IF($P10=$AC$3,(INDEX('Tables - Part 2'!$AX$6:$BA$13,MATCH(SCC_Alkaline_Carbonate!S10,'Tables - Part 2'!$AV$6:$AV$13,0),MATCH(SCC_Alkaline_Carbonate!Q10,'Tables - Part 2'!$AX$5:$BA$5,0))+INDEX('Tables - Part 2'!$BB$6:$BE$13,MATCH(SCC_Alkaline_Carbonate!$S10,'Tables - Part 2'!$AV$6:$AV$13,0),MATCH(SCC_Alkaline_Carbonate!$Q10,'Tables - Part 2'!$AX$5:$BA$5,0)))/2,0)</f>
        <v>0</v>
      </c>
      <c r="AD10" s="248">
        <f>IF($P10=$AD$3,(((INDEX('Tables - Part 2'!$AX$6:$BA$13,MATCH(SCC_Alkaline_Carbonate!S10,'Tables - Part 2'!$AV$6:$AV$13,0),MATCH(SCC_Alkaline_Carbonate!Q10,'Tables - Part 2'!$AX$5:$BA$5,0))+INDEX('Tables - Part 2'!$BB$6:$BE$13,MATCH(SCC_Alkaline_Carbonate!$S10,'Tables - Part 2'!$AV$6:$AV$13,0),MATCH(SCC_Alkaline_Carbonate!$Q10,'Tables - Part 2'!$AX$5:$BA$5,0)))/2)+(((INDEX('Tables - Part 2'!$AX$6:$BA$13,MATCH(SCC_Alkaline_Carbonate!S10,'Tables - Part 2'!$AV$6:$AV$13,0),MATCH(SCC_Alkaline_Carbonate!Q10,'Tables - Part 2'!$AX$5:$BA$5,0))+INDEX('Tables - Part 2'!$BB$6:$BE$13,MATCH(SCC_Alkaline_Carbonate!$S10,'Tables - Part 2'!$AV$6:$AV$13,0),MATCH(SCC_Alkaline_Carbonate!$Q10,'Tables - Part 2'!$AX$5:$BA$5,0)))/2)+INDEX('Tables - Part 2'!$BB$6:$BE$13,MATCH(SCC_Alkaline_Carbonate!$S10,'Tables - Part 2'!$AV$6:$AV$13,0),MATCH(SCC_Alkaline_Carbonate!$Q10,'Tables - Part 2'!$AX$5:$BA$5,0)))/2)/2,0)</f>
        <v>0</v>
      </c>
      <c r="AE10" s="248">
        <f>IF($P10=$AE$3,(((INDEX('Tables - Part 2'!$AX$6:$BA$13,MATCH(SCC_Alkaline_Carbonate!S10,'Tables - Part 2'!$AV$6:$AV$13,0),MATCH(SCC_Alkaline_Carbonate!Q10,'Tables - Part 2'!$AX$5:$BA$5,0))+INDEX('Tables - Part 2'!$BB$6:$BE$13,MATCH(SCC_Alkaline_Carbonate!$S10,'Tables - Part 2'!$AV$6:$AV$13,0),MATCH(SCC_Alkaline_Carbonate!$Q10,'Tables - Part 2'!$AX$5:$BA$5,0)))/2)+INDEX('Tables - Part 2'!$BB$6:$BE$13,MATCH(SCC_Alkaline_Carbonate!$S10,'Tables - Part 2'!$AV$6:$AV$13,0),MATCH(SCC_Alkaline_Carbonate!$Q10,'Tables - Part 2'!$AX$5:$BA$5,0)))/2,0)</f>
        <v>0</v>
      </c>
      <c r="AF10" s="248">
        <f>IF($P10=$AF$3,(((((INDEX('Tables - Part 2'!$AX$6:$BA$13,MATCH(SCC_Alkaline_Carbonate!S10,'Tables - Part 2'!$AV$6:$AV$13,0),MATCH(SCC_Alkaline_Carbonate!Q10,'Tables - Part 2'!$AX$5:$BA$5,0))+INDEX('Tables - Part 2'!$BB$6:$BE$13,MATCH(SCC_Alkaline_Carbonate!$S10,'Tables - Part 2'!$AV$6:$AV$13,0),MATCH(SCC_Alkaline_Carbonate!$Q10,'Tables - Part 2'!$AX$5:$BA$5,0)))/2)+INDEX('Tables - Part 2'!$BB$6:$BE$13,MATCH(SCC_Alkaline_Carbonate!$S10,'Tables - Part 2'!$AV$6:$AV$13,0),MATCH(SCC_Alkaline_Carbonate!$Q10,'Tables - Part 2'!$AX$5:$BA$5,0)))/2)+INDEX('Tables - Part 2'!$BB$6:$BE$13,MATCH(SCC_Alkaline_Carbonate!$S10,'Tables - Part 2'!$AV$6:$AV$13,0),MATCH(SCC_Alkaline_Carbonate!$Q10,'Tables - Part 2'!$AX$5:$BA$5,0)))/2,0)</f>
        <v>0</v>
      </c>
      <c r="AG10" s="248">
        <f>IF($P10=$AG$3,INDEX('Tables - Part 2'!$BB$6:$BE$13,MATCH(SCC_Alkaline_Carbonate!$S10,'Tables - Part 2'!$AV$6:$AV$13,0),MATCH(SCC_Alkaline_Carbonate!$Q10,'Tables - Part 2'!$AX$5:$BA$5,0)),0)</f>
        <v>0</v>
      </c>
      <c r="AH10" s="248">
        <f>IF($P10=$AH$3,((INDEX('Tables - Part 2'!$BB$6:$BE$13,MATCH(SCC_Alkaline_Carbonate!$S10,'Tables - Part 2'!$AV$6:$AV$13,0),MATCH(SCC_Alkaline_Carbonate!$Q10,'Tables - Part 2'!$AX$5:$BA$5,0)))+(INDEX('Tables - Part 2'!$BB$6:$BE$13,MATCH(SCC_Alkaline_Carbonate!$S10,'Tables - Part 2'!$AV$6:$AV$13,0),MATCH(SCC_Alkaline_Carbonate!$Q10,'Tables - Part 2'!$AX$5:$BA$5,0))+(INDEX('Tables - Part 2'!$BB$6:$BE$13,MATCH(SCC_Alkaline_Carbonate!$S10,'Tables - Part 2'!$AV$6:$AV$13,0),MATCH(SCC_Alkaline_Carbonate!$Q10,'Tables - Part 2'!$AX$5:$BA$5,0))+INDEX('Tables - Part 2'!$BF$6:$BI$13,MATCH(SCC_Alkaline_Carbonate!$S10,'Tables - Part 2'!$AV$6:$AV$13,0),MATCH(SCC_Alkaline_Carbonate!$Q10,'Tables - Part 2'!$AX$5:$BA$5,0)))/2)/2)/2,0)</f>
        <v>0</v>
      </c>
      <c r="AI10" s="248">
        <f>IF($P10=$AI$3,(INDEX('Tables - Part 2'!$BB$6:$BE$13,MATCH(SCC_Alkaline_Carbonate!$S10,'Tables - Part 2'!$AV$6:$AV$13,0),MATCH(SCC_Alkaline_Carbonate!$Q10,'Tables - Part 2'!$AX$5:$BA$5,0))+(INDEX('Tables - Part 2'!$BB$6:$BE$13,MATCH(SCC_Alkaline_Carbonate!$S10,'Tables - Part 2'!$AV$6:$AV$13,0),MATCH(SCC_Alkaline_Carbonate!$Q10,'Tables - Part 2'!$AX$5:$BA$5,0))+INDEX('Tables - Part 2'!$BF$6:$BI$13,MATCH(SCC_Alkaline_Carbonate!$S10,'Tables - Part 2'!$AV$6:$AV$13,0),MATCH(SCC_Alkaline_Carbonate!$Q10,'Tables - Part 2'!$AX$5:$BA$5,0)))/2)/2,0)</f>
        <v>0</v>
      </c>
      <c r="AJ10" s="248">
        <f>IF($P10=$AJ$3,(((INDEX('Tables - Part 2'!$BB$6:$BE$13,MATCH(SCC_Alkaline_Carbonate!$S10,'Tables - Part 2'!$AV$6:$AV$13,0),MATCH(SCC_Alkaline_Carbonate!$Q10,'Tables - Part 2'!$AX$5:$BA$5,0))+(INDEX('Tables - Part 2'!$BB$6:$BE$13,MATCH(SCC_Alkaline_Carbonate!$S10,'Tables - Part 2'!$AV$6:$AV$13,0),MATCH(SCC_Alkaline_Carbonate!$Q10,'Tables - Part 2'!$AX$5:$BA$5,0))+INDEX('Tables - Part 2'!$BF$6:$BI$13,MATCH(SCC_Alkaline_Carbonate!$S10,'Tables - Part 2'!$AV$6:$AV$13,0),MATCH(SCC_Alkaline_Carbonate!$Q10,'Tables - Part 2'!$AX$5:$BA$5,0)))/2)/2)+((INDEX('Tables - Part 2'!$BB$6:$BE$13,MATCH(SCC_Alkaline_Carbonate!$S10,'Tables - Part 2'!$AV$6:$AV$13,0),MATCH(SCC_Alkaline_Carbonate!$Q10,'Tables - Part 2'!$AX$5:$BA$5,0))+INDEX('Tables - Part 2'!$BF$6:$BI$13,MATCH(SCC_Alkaline_Carbonate!$S10,'Tables - Part 2'!$AV$6:$AV$13,0),MATCH(SCC_Alkaline_Carbonate!$Q10,'Tables - Part 2'!$AX$5:$BA$5,0)))/2))/2,0)</f>
        <v>0</v>
      </c>
      <c r="AK10" s="248">
        <f>IF($P10=$AK$3,(INDEX('Tables - Part 2'!$BB$6:$BE$13,MATCH(SCC_Alkaline_Carbonate!$S10,'Tables - Part 2'!$AV$6:$AV$13,0),MATCH(SCC_Alkaline_Carbonate!$Q10,'Tables - Part 2'!$AX$5:$BA$5,0))+INDEX('Tables - Part 2'!$BF$6:$BI$13,MATCH(SCC_Alkaline_Carbonate!$S10,'Tables - Part 2'!$AV$6:$AV$13,0),MATCH(SCC_Alkaline_Carbonate!$Q10,'Tables - Part 2'!$AX$5:$BA$5,0)))/2,0)</f>
        <v>3</v>
      </c>
      <c r="AL10" s="248">
        <f>IF($P10=$AL$3,(((INDEX('Tables - Part 2'!$BB$6:$BE$13,MATCH(SCC_Alkaline_Carbonate!$S10,'Tables - Part 2'!$AV$6:$AV$13,0),MATCH(SCC_Alkaline_Carbonate!$Q10,'Tables - Part 2'!$AX$5:$BA$5,0))+INDEX('Tables - Part 2'!$BF$6:$BI$13,MATCH(SCC_Alkaline_Carbonate!$S10,'Tables - Part 2'!$AV$6:$AV$13,0),MATCH(SCC_Alkaline_Carbonate!$Q10,'Tables - Part 2'!$AX$5:$BA$5,0)))/2)+((((INDEX('Tables - Part 2'!$BB$6:$BE$13,MATCH(SCC_Alkaline_Carbonate!$S10,'Tables - Part 2'!$AV$6:$AV$13,0),MATCH(SCC_Alkaline_Carbonate!$Q10,'Tables - Part 2'!$AX$5:$BA$5,0))+INDEX('Tables - Part 2'!$BF$6:$BI$13,MATCH(SCC_Alkaline_Carbonate!$S10,'Tables - Part 2'!$AV$6:$AV$13,0),MATCH(SCC_Alkaline_Carbonate!$Q10,'Tables - Part 2'!$AX$5:$BA$5,0)))/2)+INDEX('Tables - Part 2'!$BF$6:$BI$13,MATCH(SCC_Alkaline_Carbonate!$S10,'Tables - Part 2'!$AV$6:$AV$13,0),MATCH(SCC_Alkaline_Carbonate!$Q10,'Tables - Part 2'!$AX$5:$BA$5,0)))/2))/2,0)</f>
        <v>0</v>
      </c>
      <c r="AM10" s="248">
        <f>IF($P10=$AM$3,(((INDEX('Tables - Part 2'!$BB$6:$BE$13,MATCH(SCC_Alkaline_Carbonate!$S10,'Tables - Part 2'!$AV$6:$AV$13,0),MATCH(SCC_Alkaline_Carbonate!$Q10,'Tables - Part 2'!$AX$5:$BA$5,0))+INDEX('Tables - Part 2'!$BF$6:$BI$13,MATCH(SCC_Alkaline_Carbonate!$S10,'Tables - Part 2'!$AV$6:$AV$13,0),MATCH(SCC_Alkaline_Carbonate!$Q10,'Tables - Part 2'!$AX$5:$BA$5,0)))/2)+INDEX('Tables - Part 2'!$BF$6:$BI$13,MATCH(SCC_Alkaline_Carbonate!$S10,'Tables - Part 2'!$AV$6:$AV$13,0),MATCH(SCC_Alkaline_Carbonate!$Q10,'Tables - Part 2'!$AX$5:$BA$5,0)))/2,0)</f>
        <v>0</v>
      </c>
      <c r="AN10" s="248">
        <f>IF($P10=$AN$3,(((((INDEX('Tables - Part 2'!$BB$6:$BE$13,MATCH(SCC_Alkaline_Carbonate!$S10,'Tables - Part 2'!$AV$6:$AV$13,0),MATCH(SCC_Alkaline_Carbonate!$Q10,'Tables - Part 2'!$AX$5:$BA$5,0))+INDEX('Tables - Part 2'!$BF$6:$BI$13,MATCH(SCC_Alkaline_Carbonate!$S10,'Tables - Part 2'!$AV$6:$AV$13,0),MATCH(SCC_Alkaline_Carbonate!$Q10,'Tables - Part 2'!$AX$5:$BA$5,0)))/2)+INDEX('Tables - Part 2'!$BF$6:$BI$13,MATCH(SCC_Alkaline_Carbonate!$S10,'Tables - Part 2'!$AV$6:$AV$13,0),MATCH(SCC_Alkaline_Carbonate!$Q10,'Tables - Part 2'!$AX$5:$BA$5,0)))/2)+INDEX('Tables - Part 2'!$BF$6:$BI$13,MATCH(SCC_Alkaline_Carbonate!$S10,'Tables - Part 2'!$AV$6:$AV$13,0),MATCH(SCC_Alkaline_Carbonate!$Q10,'Tables - Part 2'!$AX$5:$BA$5,0)))/2,0)</f>
        <v>0</v>
      </c>
      <c r="AO10" s="248">
        <f>IF($P10=$AO$3,INDEX('Tables - Part 2'!$BF$6:$BI$13,MATCH(SCC_Alkaline_Carbonate!$S10,'Tables - Part 2'!$AV$6:$AV$13,0),MATCH(SCC_Alkaline_Carbonate!$Q10,'Tables - Part 2'!$AX$5:$BA$5,0)),0)</f>
        <v>0</v>
      </c>
      <c r="AP10" s="248">
        <f>IF($P10=$AP$3,(INDEX('Tables - Part 2'!$BF$6:$BI$13,MATCH(SCC_Alkaline_Carbonate!$S10,'Tables - Part 2'!$AV$6:$AV$13,0),MATCH(SCC_Alkaline_Carbonate!$Q10,'Tables - Part 2'!$AX$5:$BA$5,0))+((INDEX('Tables - Part 2'!$BF$6:$BI$13,MATCH(SCC_Alkaline_Carbonate!$S10,'Tables - Part 2'!$AV$6:$AV$13,0),MATCH(SCC_Alkaline_Carbonate!$Q10,'Tables - Part 2'!$AX$5:$BA$5,0))+(INDEX('Tables - Part 2'!$BF$6:$BI$13,MATCH(SCC_Alkaline_Carbonate!$S10,'Tables - Part 2'!$AV$6:$AV$13,0),MATCH(SCC_Alkaline_Carbonate!$Q10,'Tables - Part 2'!$AX$5:$BA$5,0))+INDEX('Tables - Part 2'!$AX$17:$BA$24,MATCH(SCC_Alkaline_Carbonate!$S10,'Tables - Part 2'!$AV$6:$AV$13,0),MATCH(SCC_Alkaline_Carbonate!$Q10,'Tables - Part 2'!$AX$5:$BA$5,0)))/2)/2))/2,0)</f>
        <v>0</v>
      </c>
      <c r="AQ10" s="248">
        <f>IF($P10=$AQ$3,(INDEX('Tables - Part 2'!$BF$6:$BI$13,MATCH(SCC_Alkaline_Carbonate!$S10,'Tables - Part 2'!$AV$6:$AV$13,0),MATCH(SCC_Alkaline_Carbonate!$Q10,'Tables - Part 2'!$AX$5:$BA$5,0))+(INDEX('Tables - Part 2'!$BF$6:$BI$13,MATCH(SCC_Alkaline_Carbonate!$S10,'Tables - Part 2'!$AV$6:$AV$13,0),MATCH(SCC_Alkaline_Carbonate!$Q10,'Tables - Part 2'!$AX$5:$BA$5,0))+INDEX('Tables - Part 2'!$AX$17:$BA$24,MATCH(SCC_Alkaline_Carbonate!$S10,'Tables - Part 2'!$AV$6:$AV$13,0),MATCH(SCC_Alkaline_Carbonate!$Q10,'Tables - Part 2'!$AX$5:$BA$5,0)))/2)/2,0)</f>
        <v>0</v>
      </c>
      <c r="AR10" s="248">
        <f>IF($P10=$AR$3,(((INDEX('Tables - Part 2'!$BF$6:$BI$13,MATCH(SCC_Alkaline_Carbonate!$S10,'Tables - Part 2'!$AV$6:$AV$13,0),MATCH(SCC_Alkaline_Carbonate!$Q10,'Tables - Part 2'!$AX$5:$BA$5,0))+(INDEX('Tables - Part 2'!$BF$6:$BI$13,MATCH(SCC_Alkaline_Carbonate!$S10,'Tables - Part 2'!$AV$6:$AV$13,0),MATCH(SCC_Alkaline_Carbonate!$Q10,'Tables - Part 2'!$AX$5:$BA$5,0))+INDEX('Tables - Part 2'!$AX$17:$BA$24,MATCH(SCC_Alkaline_Carbonate!$S10,'Tables - Part 2'!$AV$6:$AV$13,0),MATCH(SCC_Alkaline_Carbonate!$Q10,'Tables - Part 2'!$AX$5:$BA$5,0)))/2)/2)+((INDEX('Tables - Part 2'!$BF$6:$BI$13,MATCH(SCC_Alkaline_Carbonate!$S10,'Tables - Part 2'!$AV$6:$AV$13,0),MATCH(SCC_Alkaline_Carbonate!$Q10,'Tables - Part 2'!$AX$5:$BA$5,0))+INDEX('Tables - Part 2'!$AX$17:$BA$24,MATCH(SCC_Alkaline_Carbonate!$S10,'Tables - Part 2'!$AV$6:$AV$13,0),MATCH(SCC_Alkaline_Carbonate!$Q10,'Tables - Part 2'!$AX$5:$BA$5,0)))/2))/2,0)</f>
        <v>0</v>
      </c>
      <c r="AS10" s="248">
        <f>IF($P10=$AS$3,(INDEX('Tables - Part 2'!$BF$6:$BI$13,MATCH(SCC_Alkaline_Carbonate!$S10,'Tables - Part 2'!$AV$6:$AV$13,0),MATCH(SCC_Alkaline_Carbonate!$Q10,'Tables - Part 2'!$AX$5:$BA$5,0))+INDEX('Tables - Part 2'!$AX$17:$BA$24,MATCH(SCC_Alkaline_Carbonate!$S10,'Tables - Part 2'!$AV$6:$AV$13,0),MATCH(SCC_Alkaline_Carbonate!$Q10,'Tables - Part 2'!$AX$5:$BA$5,0)))/2,0)</f>
        <v>0</v>
      </c>
      <c r="AT10" s="248">
        <f>IF($P10=$AT$3,(((INDEX('Tables - Part 2'!$BF$6:$BI$13,MATCH(SCC_Alkaline_Carbonate!$S10,'Tables - Part 2'!$AV$6:$AV$13,0),MATCH(SCC_Alkaline_Carbonate!$Q10,'Tables - Part 2'!$AX$5:$BA$5,0))+INDEX('Tables - Part 2'!$AX$17:$BA$24,MATCH(SCC_Alkaline_Carbonate!$S10,'Tables - Part 2'!$AV$6:$AV$13,0),MATCH(SCC_Alkaline_Carbonate!$Q10,'Tables - Part 2'!$AX$5:$BA$5,0)))/2)+((((INDEX('Tables - Part 2'!$BF$6:$BI$13,MATCH(SCC_Alkaline_Carbonate!$S10,'Tables - Part 2'!$AV$6:$AV$13,0),MATCH(SCC_Alkaline_Carbonate!$Q10,'Tables - Part 2'!$AX$5:$BA$5,0))+INDEX('Tables - Part 2'!$AX$17:$BA$24,MATCH(SCC_Alkaline_Carbonate!$S10,'Tables - Part 2'!$AV$6:$AV$13,0),MATCH(SCC_Alkaline_Carbonate!$Q10,'Tables - Part 2'!$AX$5:$BA$5,0)))/2)+INDEX('Tables - Part 2'!$AX$17:$BA$24,MATCH(SCC_Alkaline_Carbonate!$S10,'Tables - Part 2'!$AV$6:$AV$13,0),MATCH(SCC_Alkaline_Carbonate!$Q10,'Tables - Part 2'!$AX$5:$BA$5,0)))/2))/2,0)</f>
        <v>0</v>
      </c>
      <c r="AU10" s="248">
        <f>IF($P10=$AU$3,(((INDEX('Tables - Part 2'!$BF$6:$BI$13,MATCH(SCC_Alkaline_Carbonate!$S10,'Tables - Part 2'!$AV$6:$AV$13,0),MATCH(SCC_Alkaline_Carbonate!$Q10,'Tables - Part 2'!$AX$5:$BA$5,0))+INDEX('Tables - Part 2'!$AX$17:$BA$24,MATCH(SCC_Alkaline_Carbonate!$S10,'Tables - Part 2'!$AV$6:$AV$13,0),MATCH(SCC_Alkaline_Carbonate!$Q10,'Tables - Part 2'!$AX$5:$BA$5,0)))/2)+INDEX('Tables - Part 2'!$AX$17:$BA$24,MATCH(SCC_Alkaline_Carbonate!$S10,'Tables - Part 2'!$AV$6:$AV$13,0),MATCH(SCC_Alkaline_Carbonate!$Q10,'Tables - Part 2'!$AX$5:$BA$5,0)))/2,0)</f>
        <v>0</v>
      </c>
      <c r="AV10" s="248">
        <f>IF($P10=$AV$3,(((((INDEX('Tables - Part 2'!$BF$6:$BI$13,MATCH(SCC_Alkaline_Carbonate!$S10,'Tables - Part 2'!$AV$6:$AV$13,0),MATCH(SCC_Alkaline_Carbonate!$Q10,'Tables - Part 2'!$AX$5:$BA$5,0))+INDEX('Tables - Part 2'!$AX$17:$BA$24,MATCH(SCC_Alkaline_Carbonate!$S10,'Tables - Part 2'!$AV$6:$AV$13,0),MATCH(SCC_Alkaline_Carbonate!$Q10,'Tables - Part 2'!$AX$5:$BA$5,0)))/2)+INDEX('Tables - Part 2'!$AX$17:$BA$24,MATCH(SCC_Alkaline_Carbonate!$S10,'Tables - Part 2'!$AV$6:$AV$13,0),MATCH(SCC_Alkaline_Carbonate!$Q10,'Tables - Part 2'!$AX$5:$BA$5,0)))/2)+(INDEX('Tables - Part 2'!$AX$17:$BA$24,MATCH(SCC_Alkaline_Carbonate!$S10,'Tables - Part 2'!$AV$6:$AV$13,0),MATCH(SCC_Alkaline_Carbonate!$Q10,'Tables - Part 2'!$AX$5:$BA$5,0))))/2,0)</f>
        <v>0</v>
      </c>
      <c r="AW10" s="248">
        <f>IF($P10=$AW$3,INDEX('Tables - Part 2'!$AX$17:$BA$24,MATCH(SCC_Alkaline_Carbonate!$S10,'Tables - Part 2'!$AV$6:$AV$13,0),MATCH(SCC_Alkaline_Carbonate!$Q10,'Tables - Part 2'!$AX$5:$BA$5,0)),0)</f>
        <v>0</v>
      </c>
      <c r="AX10" s="248">
        <f>IF($P10=$AX$3,((INDEX('Tables - Part 2'!$AX$17:$BA$24,MATCH(SCC_Alkaline_Carbonate!$S10,'Tables - Part 2'!$AV$6:$AV$13,0),MATCH(SCC_Alkaline_Carbonate!$Q10,'Tables - Part 2'!$AX$5:$BA$5,0)))+(((INDEX('Tables - Part 2'!$AX$17:$BA$24,MATCH(SCC_Alkaline_Carbonate!$S10,'Tables - Part 2'!$AV$6:$AV$13,0),MATCH(SCC_Alkaline_Carbonate!$Q10,'Tables - Part 2'!$AX$5:$BA$5,0)))+(INDEX('Tables - Part 2'!$AX$17:$BA$24,MATCH(SCC_Alkaline_Carbonate!$S10,'Tables - Part 2'!$AV$6:$AV$13,0),MATCH(SCC_Alkaline_Carbonate!$Q10,'Tables - Part 2'!$AX$5:$BA$5,0))+INDEX('Tables - Part 2'!$BB$17:$BE$24,MATCH(SCC_Alkaline_Carbonate!$S10,'Tables - Part 2'!$AV$6:$AV$13,0),MATCH(SCC_Alkaline_Carbonate!$Q10,'Tables - Part 2'!$AX$5:$BA$5,0)))/2)/2))/2,0)</f>
        <v>0</v>
      </c>
      <c r="AY10" s="248">
        <f>IF($P10=$AY$3,((INDEX('Tables - Part 2'!$AX$17:$BA$24,MATCH(SCC_Alkaline_Carbonate!$S10,'Tables - Part 2'!$AV$6:$AV$13,0),MATCH(SCC_Alkaline_Carbonate!$Q10,'Tables - Part 2'!$AX$5:$BA$5,0)))+(INDEX('Tables - Part 2'!$AX$17:$BA$24,MATCH(SCC_Alkaline_Carbonate!$S10,'Tables - Part 2'!$AV$6:$AV$13,0),MATCH(SCC_Alkaline_Carbonate!$Q10,'Tables - Part 2'!$AX$5:$BA$5,0))+INDEX('Tables - Part 2'!$BB$17:$BE$24,MATCH(SCC_Alkaline_Carbonate!$S10,'Tables - Part 2'!$AV$6:$AV$13,0),MATCH(SCC_Alkaline_Carbonate!$Q10,'Tables - Part 2'!$AX$5:$BA$5,0)))/2)/2,0)</f>
        <v>0</v>
      </c>
      <c r="AZ10" s="248">
        <f>IF($P10=$AZ$3,((((INDEX('Tables - Part 2'!$AX$17:$BA$24,MATCH(SCC_Alkaline_Carbonate!$S10,'Tables - Part 2'!$AV$6:$AV$13,0),MATCH(SCC_Alkaline_Carbonate!$Q10,'Tables - Part 2'!$AX$5:$BA$5,0)))+(INDEX('Tables - Part 2'!$AX$17:$BA$24,MATCH(SCC_Alkaline_Carbonate!$S10,'Tables - Part 2'!$AV$6:$AV$13,0),MATCH(SCC_Alkaline_Carbonate!$Q10,'Tables - Part 2'!$AX$5:$BA$5,0))+INDEX('Tables - Part 2'!$BB$17:$BE$24,MATCH(SCC_Alkaline_Carbonate!$S10,'Tables - Part 2'!$AV$6:$AV$13,0),MATCH(SCC_Alkaline_Carbonate!$Q10,'Tables - Part 2'!$AX$5:$BA$5,0)))/2)/2)+((INDEX('Tables - Part 2'!$AX$17:$BA$24,MATCH(SCC_Alkaline_Carbonate!$S10,'Tables - Part 2'!$AV$6:$AV$13,0),MATCH(SCC_Alkaline_Carbonate!$Q10,'Tables - Part 2'!$AX$5:$BA$5,0))+INDEX('Tables - Part 2'!$BB$17:$BE$24,MATCH(SCC_Alkaline_Carbonate!$S10,'Tables - Part 2'!$AV$6:$AV$13,0),MATCH(SCC_Alkaline_Carbonate!$Q10,'Tables - Part 2'!$AX$5:$BA$5,0)))/2))/2,0)</f>
        <v>0</v>
      </c>
      <c r="BA10" s="248">
        <f>IF($P10=$BA$3,(INDEX('Tables - Part 2'!$AX$17:$BA$24,MATCH(SCC_Alkaline_Carbonate!$S10,'Tables - Part 2'!$AV$6:$AV$13,0),MATCH(SCC_Alkaline_Carbonate!$Q10,'Tables - Part 2'!$AX$5:$BA$5,0))+INDEX('Tables - Part 2'!$BB$17:$BE$24,MATCH(SCC_Alkaline_Carbonate!$S10,'Tables - Part 2'!$AV$6:$AV$13,0),MATCH(SCC_Alkaline_Carbonate!$Q10,'Tables - Part 2'!$AX$5:$BA$5,0)))/2,0)</f>
        <v>0</v>
      </c>
      <c r="BB10" s="248">
        <f>IF($P10=$BB$3,(((INDEX('Tables - Part 2'!$AX$17:$BA$24,MATCH(SCC_Alkaline_Carbonate!$S10,'Tables - Part 2'!$AV$6:$AV$13,0),MATCH(SCC_Alkaline_Carbonate!$Q10,'Tables - Part 2'!$AX$5:$BA$5,0))+INDEX('Tables - Part 2'!$BB$17:$BE$24,MATCH(SCC_Alkaline_Carbonate!$S10,'Tables - Part 2'!$AV$6:$AV$13,0),MATCH(SCC_Alkaline_Carbonate!$Q10,'Tables - Part 2'!$AX$5:$BA$5,0)))/2)+((((INDEX('Tables - Part 2'!$AX$17:$BA$24,MATCH(SCC_Alkaline_Carbonate!$S10,'Tables - Part 2'!$AV$6:$AV$13,0),MATCH(SCC_Alkaline_Carbonate!$Q10,'Tables - Part 2'!$AX$5:$BA$5,0))+INDEX('Tables - Part 2'!$BB$17:$BE$24,MATCH(SCC_Alkaline_Carbonate!$S10,'Tables - Part 2'!$AV$6:$AV$13,0),MATCH(SCC_Alkaline_Carbonate!$Q10,'Tables - Part 2'!$AX$5:$BA$5,0)))/2)+INDEX('Tables - Part 2'!$BB$17:$BE$24,MATCH(SCC_Alkaline_Carbonate!$S10,'Tables - Part 2'!$AV$6:$AV$13,0),MATCH(SCC_Alkaline_Carbonate!$Q10,'Tables - Part 2'!$AX$5:$BA$5,0)))/2))/2,0)</f>
        <v>0</v>
      </c>
      <c r="BC10" s="248">
        <f>IF($P10=$BC$3,(((INDEX('Tables - Part 2'!$AX$17:$BA$24,MATCH(SCC_Alkaline_Carbonate!$S10,'Tables - Part 2'!$AV$6:$AV$13,0),MATCH(SCC_Alkaline_Carbonate!$Q10,'Tables - Part 2'!$AX$5:$BA$5,0))+INDEX('Tables - Part 2'!$BB$17:$BE$24,MATCH(SCC_Alkaline_Carbonate!$S10,'Tables - Part 2'!$AV$6:$AV$13,0),MATCH(SCC_Alkaline_Carbonate!$Q10,'Tables - Part 2'!$AX$5:$BA$5,0)))/2)+INDEX('Tables - Part 2'!$BB$17:$BE$24,MATCH(SCC_Alkaline_Carbonate!$S10,'Tables - Part 2'!$AV$6:$AV$13,0),MATCH(SCC_Alkaline_Carbonate!$Q10,'Tables - Part 2'!$AX$5:$BA$5,0)))/2,0)</f>
        <v>0</v>
      </c>
      <c r="BD10" s="248">
        <f>IF($P10=$BD$3,(((((INDEX('Tables - Part 2'!$AX$17:$BA$24,MATCH(SCC_Alkaline_Carbonate!$S10,'Tables - Part 2'!$AV$6:$AV$13,0),MATCH(SCC_Alkaline_Carbonate!$Q10,'Tables - Part 2'!$AX$5:$BA$5,0))+INDEX('Tables - Part 2'!$BB$17:$BE$24,MATCH(SCC_Alkaline_Carbonate!$S10,'Tables - Part 2'!$AV$6:$AV$13,0),MATCH(SCC_Alkaline_Carbonate!$Q10,'Tables - Part 2'!$AX$5:$BA$5,0)))/2)+INDEX('Tables - Part 2'!$BB$17:$BE$24,MATCH(SCC_Alkaline_Carbonate!$S10,'Tables - Part 2'!$AV$6:$AV$13,0),MATCH(SCC_Alkaline_Carbonate!$Q10,'Tables - Part 2'!$AX$5:$BA$5,0)))/2)+(INDEX('Tables - Part 2'!$BB$17:$BE$24,MATCH(SCC_Alkaline_Carbonate!$S10,'Tables - Part 2'!$AV$6:$AV$13,0),MATCH(SCC_Alkaline_Carbonate!$Q10,'Tables - Part 2'!$AX$5:$BA$5,0))))/2,0)</f>
        <v>0</v>
      </c>
      <c r="BE10" s="248">
        <f>IF($P10=$BE$3,INDEX('Tables - Part 2'!$BB$17:$BE$24,MATCH(SCC_Alkaline_Carbonate!$S10,'Tables - Part 2'!$AV$6:$AV$13,0),MATCH(SCC_Alkaline_Carbonate!$Q10,'Tables - Part 2'!$AX$5:$BA$5,0)),0)</f>
        <v>0</v>
      </c>
      <c r="BF10" s="248">
        <f>IF($P10=$BF$3,((INDEX('Tables - Part 2'!$BB$17:$BE$24,MATCH(SCC_Alkaline_Carbonate!$S10,'Tables - Part 2'!$AV$6:$AV$13,0),MATCH(SCC_Alkaline_Carbonate!$Q10,'Tables - Part 2'!$AX$5:$BA$5,0)))+(((INDEX('Tables - Part 2'!$BB$17:$BE$24,MATCH(SCC_Alkaline_Carbonate!$S10,'Tables - Part 2'!$AV$6:$AV$13,0),MATCH(SCC_Alkaline_Carbonate!$Q10,'Tables - Part 2'!$AX$5:$BA$5,0)))+(INDEX('Tables - Part 2'!$BB$17:$BE$24,MATCH(SCC_Alkaline_Carbonate!$S10,'Tables - Part 2'!$AV$6:$AV$13,0),MATCH(SCC_Alkaline_Carbonate!$Q10,'Tables - Part 2'!$AX$5:$BA$5,0))+INDEX('Tables - Part 2'!$BF$17:$BI$24,MATCH(SCC_Alkaline_Carbonate!$S10,'Tables - Part 2'!$AV$6:$AV$13,0),MATCH(SCC_Alkaline_Carbonate!$Q10,'Tables - Part 2'!$AX$5:$BA$5,0)))/2)/2))/2,0)</f>
        <v>0</v>
      </c>
      <c r="BG10" s="248">
        <f>IF($P10=$BG$3,((INDEX('Tables - Part 2'!$BB$17:$BE$24,MATCH(SCC_Alkaline_Carbonate!$S10,'Tables - Part 2'!$AV$6:$AV$13,0),MATCH(SCC_Alkaline_Carbonate!$Q10,'Tables - Part 2'!$AX$5:$BA$5,0)))+(INDEX('Tables - Part 2'!$BB$17:$BE$24,MATCH(SCC_Alkaline_Carbonate!$S10,'Tables - Part 2'!$AV$6:$AV$13,0),MATCH(SCC_Alkaline_Carbonate!$Q10,'Tables - Part 2'!$AX$5:$BA$5,0))+INDEX('Tables - Part 2'!$BF$17:$BI$24,MATCH(SCC_Alkaline_Carbonate!$S10,'Tables - Part 2'!$AV$6:$AV$13,0),MATCH(SCC_Alkaline_Carbonate!$Q10,'Tables - Part 2'!$AX$5:$BA$5,0)))/2)/2,0)</f>
        <v>0</v>
      </c>
      <c r="BH10" s="248">
        <f>IF($P10=$BH$3,((((INDEX('Tables - Part 2'!$BB$17:$BE$24,MATCH(SCC_Alkaline_Carbonate!$S10,'Tables - Part 2'!$AV$6:$AV$13,0),MATCH(SCC_Alkaline_Carbonate!$Q10,'Tables - Part 2'!$AX$5:$BA$5,0)))+(INDEX('Tables - Part 2'!$BB$17:$BE$24,MATCH(SCC_Alkaline_Carbonate!$S10,'Tables - Part 2'!$AV$6:$AV$13,0),MATCH(SCC_Alkaline_Carbonate!$Q10,'Tables - Part 2'!$AX$5:$BA$5,0))+INDEX('Tables - Part 2'!$BF$17:$BI$24,MATCH(SCC_Alkaline_Carbonate!$S10,'Tables - Part 2'!$AV$6:$AV$13,0),MATCH(SCC_Alkaline_Carbonate!$Q10,'Tables - Part 2'!$AX$5:$BA$5,0)))/2)/2)+((INDEX('Tables - Part 2'!$BB$17:$BE$24,MATCH(SCC_Alkaline_Carbonate!$S10,'Tables - Part 2'!$AV$6:$AV$13,0),MATCH(SCC_Alkaline_Carbonate!$Q10,'Tables - Part 2'!$AX$5:$BA$5,0))+INDEX('Tables - Part 2'!$BF$17:$BI$24,MATCH(SCC_Alkaline_Carbonate!$S10,'Tables - Part 2'!$AV$6:$AV$13,0),MATCH(SCC_Alkaline_Carbonate!$Q10,'Tables - Part 2'!$AX$5:$BA$5,0)))/2))/2,0)</f>
        <v>0</v>
      </c>
      <c r="BI10" s="248">
        <f>IF($P10=$BI$3,(INDEX('Tables - Part 2'!$BB$17:$BE$24,MATCH(SCC_Alkaline_Carbonate!$S10,'Tables - Part 2'!$AV$6:$AV$13,0),MATCH(SCC_Alkaline_Carbonate!$Q10,'Tables - Part 2'!$AX$5:$BA$5,0))+INDEX('Tables - Part 2'!$BF$17:$BI$24,MATCH(SCC_Alkaline_Carbonate!$S10,'Tables - Part 2'!$AV$6:$AV$13,0),MATCH(SCC_Alkaline_Carbonate!$Q10,'Tables - Part 2'!$AX$5:$BA$5,0)))/2,0)</f>
        <v>0</v>
      </c>
      <c r="BJ10" s="248">
        <f>IF($P10=$BJ$3,(((INDEX('Tables - Part 2'!$BB$17:$BE$24,MATCH(SCC_Alkaline_Carbonate!$S10,'Tables - Part 2'!$AV$6:$AV$13,0),MATCH(SCC_Alkaline_Carbonate!$Q10,'Tables - Part 2'!$AX$5:$BA$5,0))+INDEX('Tables - Part 2'!$BF$17:$BI$24,MATCH(SCC_Alkaline_Carbonate!$S10,'Tables - Part 2'!$AV$6:$AV$13,0),MATCH(SCC_Alkaline_Carbonate!$Q10,'Tables - Part 2'!$AX$5:$BA$5,0)))/2)+((((INDEX('Tables - Part 2'!$BB$17:$BE$24,MATCH(SCC_Alkaline_Carbonate!$S10,'Tables - Part 2'!$AV$6:$AV$13,0),MATCH(SCC_Alkaline_Carbonate!$Q10,'Tables - Part 2'!$AX$5:$BA$5,0))+INDEX('Tables - Part 2'!$BF$17:$BI$24,MATCH(SCC_Alkaline_Carbonate!$S10,'Tables - Part 2'!$AV$6:$AV$13,0),MATCH(SCC_Alkaline_Carbonate!$Q10,'Tables - Part 2'!$AX$5:$BA$5,0)))/2)+INDEX('Tables - Part 2'!$BF$17:$BI$24,MATCH(SCC_Alkaline_Carbonate!$S10,'Tables - Part 2'!$AV$6:$AV$13,0),MATCH(SCC_Alkaline_Carbonate!$Q10,'Tables - Part 2'!$AX$5:$BA$5,0)))/2))/2,0)</f>
        <v>0</v>
      </c>
      <c r="BK10" s="248">
        <f>IF($P10=$BK$3,(((INDEX('Tables - Part 2'!$BB$17:$BE$24,MATCH(SCC_Alkaline_Carbonate!$S10,'Tables - Part 2'!$AV$6:$AV$13,0),MATCH(SCC_Alkaline_Carbonate!$Q10,'Tables - Part 2'!$AX$5:$BA$5,0))+INDEX('Tables - Part 2'!$BF$17:$BI$24,MATCH(SCC_Alkaline_Carbonate!$S10,'Tables - Part 2'!$AV$6:$AV$13,0),MATCH(SCC_Alkaline_Carbonate!$Q10,'Tables - Part 2'!$AX$5:$BA$5,0)))/2)+INDEX('Tables - Part 2'!$BF$17:$BI$24,MATCH(SCC_Alkaline_Carbonate!$S10,'Tables - Part 2'!$AV$6:$AV$13,0),MATCH(SCC_Alkaline_Carbonate!$Q10,'Tables - Part 2'!$AX$5:$BA$5,0)))/2,0)</f>
        <v>0</v>
      </c>
      <c r="BL10" s="248">
        <f>IF($P10=$BL$3,(((((INDEX('Tables - Part 2'!$BB$17:$BE$24,MATCH(SCC_Alkaline_Carbonate!$S10,'Tables - Part 2'!$AV$6:$AV$13,0),MATCH(SCC_Alkaline_Carbonate!$Q10,'Tables - Part 2'!$AX$5:$BA$5,0))+INDEX('Tables - Part 2'!$BF$17:$BI$24,MATCH(SCC_Alkaline_Carbonate!$S10,'Tables - Part 2'!$AV$6:$AV$13,0),MATCH(SCC_Alkaline_Carbonate!$Q10,'Tables - Part 2'!$AX$5:$BA$5,0)))/2)+INDEX('Tables - Part 2'!$BF$17:$BI$24,MATCH(SCC_Alkaline_Carbonate!$S10,'Tables - Part 2'!$AV$6:$AV$13,0),MATCH(SCC_Alkaline_Carbonate!$Q10,'Tables - Part 2'!$AX$5:$BA$5,0)))/2)+(INDEX('Tables - Part 2'!$BF$17:$BI$24,MATCH(SCC_Alkaline_Carbonate!$S10,'Tables - Part 2'!$AV$6:$AV$13,0),MATCH(SCC_Alkaline_Carbonate!$Q10,'Tables - Part 2'!$AX$5:$BA$5,0))))/2,0)</f>
        <v>0</v>
      </c>
      <c r="BM10" s="248">
        <f>IF($P10=$BM$3,INDEX('Tables - Part 2'!$BF$17:$BI$24,MATCH(SCC_Alkaline_Carbonate!$S10,'Tables - Part 2'!$AV$6:$AV$13,0),MATCH(SCC_Alkaline_Carbonate!$Q10,'Tables - Part 2'!$AX$5:$BA$5,0)),0)</f>
        <v>0</v>
      </c>
      <c r="BN10" s="248">
        <f t="shared" si="6"/>
        <v>0</v>
      </c>
      <c r="BO10" s="238">
        <f t="shared" si="8"/>
        <v>3</v>
      </c>
      <c r="BP10" s="238">
        <f t="shared" si="7"/>
        <v>50.318647405225171</v>
      </c>
    </row>
    <row r="11" spans="2:81" x14ac:dyDescent="0.35">
      <c r="B11" s="161" t="str">
        <f>'Tratamento de Dados'!B19</f>
        <v>V-2</v>
      </c>
      <c r="C11" s="161" t="str">
        <f>'Tratamento de Dados'!D19</f>
        <v>Casco</v>
      </c>
      <c r="D11" s="209" t="s">
        <v>245</v>
      </c>
      <c r="E11" s="209" t="s">
        <v>61</v>
      </c>
      <c r="F11" s="209" t="s">
        <v>1134</v>
      </c>
      <c r="G11" s="209" t="s">
        <v>1132</v>
      </c>
      <c r="H11" s="209" t="s">
        <v>245</v>
      </c>
      <c r="I11" s="210">
        <v>39092</v>
      </c>
      <c r="J11" s="209">
        <v>0</v>
      </c>
      <c r="K11" s="209">
        <v>1</v>
      </c>
      <c r="L11" s="209">
        <v>1</v>
      </c>
      <c r="M11" s="209">
        <v>4</v>
      </c>
      <c r="N11" s="253">
        <f>'Tratamento de Dados'!DA19</f>
        <v>0</v>
      </c>
      <c r="O11" s="253">
        <f>'Tratamento de Dados'!DB19</f>
        <v>0</v>
      </c>
      <c r="P11" s="256">
        <f t="shared" si="0"/>
        <v>2.5</v>
      </c>
      <c r="Q11" s="246" t="str">
        <f t="shared" si="1"/>
        <v>B</v>
      </c>
      <c r="R11" s="238" t="str">
        <f>IF(D11=$BU$2,$BS$4,IF(H11=$BU$2,$BS$5,INDEX('Tables - Part 2'!$DA$6:$DB$9,MATCH(SCC_Alkaline_Carbonate!F11,'Tables - Part 2'!$CY$6:$CY$9,0),MATCH(SCC_Alkaline_Carbonate!G11,'Tables - Part 2'!$DA$5:$DB$5,0))))</f>
        <v>Medium</v>
      </c>
      <c r="S11" s="238">
        <f>IF(AND(D11=$BU$2,E11&lt;&gt;$BU$2),"Fitness-For-Service",INDEX('Tables - Part 2'!$DE$4:$DE$7,MATCH(SCC_Alkaline_Carbonate!R11,'Tables - Part 2'!$DD$4:$DD$7,0),))</f>
        <v>100</v>
      </c>
      <c r="T11" s="238">
        <f>IF(I11=0,(Thinning!G12-Thinning!F12)/365.25,(Thinning!G12-I11)/365.25)</f>
        <v>12.980150581793293</v>
      </c>
      <c r="U11" s="248">
        <f t="shared" si="2"/>
        <v>0</v>
      </c>
      <c r="V11" s="248">
        <f t="shared" si="3"/>
        <v>2.5</v>
      </c>
      <c r="W11" s="248">
        <f t="shared" si="4"/>
        <v>3</v>
      </c>
      <c r="X11" s="247">
        <f t="shared" si="5"/>
        <v>4</v>
      </c>
      <c r="Y11" s="248">
        <f>IF($P11=$Y$3,INDEX('Tables - Part 2'!$AX$6:$BA$13,MATCH(SCC_Alkaline_Carbonate!S11,'Tables - Part 2'!$AV$6:$AV$13,0),MATCH(SCC_Alkaline_Carbonate!Q11,'Tables - Part 2'!$AX$5:$BA$5,0)),0)</f>
        <v>0</v>
      </c>
      <c r="Z11" s="248">
        <f>IF($P11=$Z$3,(INDEX('Tables - Part 2'!$AX$6:$BA$13,MATCH(SCC_Alkaline_Carbonate!S11,'Tables - Part 2'!$AV$6:$AV$13,0),MATCH(SCC_Alkaline_Carbonate!Q11,'Tables - Part 2'!$AX$5:$BA$5,0))+(INDEX('Tables - Part 2'!$AX$6:$BA$13,MATCH(SCC_Alkaline_Carbonate!S11,'Tables - Part 2'!$AV$6:$AV$13,0),MATCH(SCC_Alkaline_Carbonate!Q11,'Tables - Part 2'!$AX$5:$BA$5,0))+((INDEX('Tables - Part 2'!$AX$6:$BA$13,MATCH(SCC_Alkaline_Carbonate!S11,'Tables - Part 2'!$AV$6:$AV$13,0),MATCH(SCC_Alkaline_Carbonate!Q11,'Tables - Part 2'!$AX$5:$BA$5,0))+INDEX('Tables - Part 2'!$BB$6:$BE$13,MATCH(SCC_Alkaline_Carbonate!$S11,'Tables - Part 2'!$AV$6:$AV$13,0),MATCH(SCC_Alkaline_Carbonate!$Q11,'Tables - Part 2'!$AX$5:$BA$5,0)))/2))/2)/2,0)</f>
        <v>0</v>
      </c>
      <c r="AA11" s="248">
        <f>IF($P11=$AA$3,(INDEX('Tables - Part 2'!$AX$6:$BA$13,MATCH(SCC_Alkaline_Carbonate!S11,'Tables - Part 2'!$AV$6:$AV$13,0),MATCH(SCC_Alkaline_Carbonate!Q11,'Tables - Part 2'!$AX$5:$BA$5,0))+((INDEX('Tables - Part 2'!$AX$6:$BA$13,MATCH(SCC_Alkaline_Carbonate!S11,'Tables - Part 2'!$AV$6:$AV$13,0),MATCH(SCC_Alkaline_Carbonate!Q11,'Tables - Part 2'!$AX$5:$BA$5,0))+INDEX('Tables - Part 2'!$BB$6:$BE$13,MATCH(SCC_Alkaline_Carbonate!$S11,'Tables - Part 2'!$AV$6:$AV$13,0),MATCH(SCC_Alkaline_Carbonate!$Q11,'Tables - Part 2'!$AX$5:$BA$5,0)))/2))/2,0)</f>
        <v>0</v>
      </c>
      <c r="AB11" s="248">
        <f>IF($P11=$AB$3,(((INDEX('Tables - Part 2'!$AX$6:$BA$13,MATCH(SCC_Alkaline_Carbonate!S11,'Tables - Part 2'!$AV$6:$AV$13,0),MATCH(SCC_Alkaline_Carbonate!Q11,'Tables - Part 2'!$AX$5:$BA$5,0))+((INDEX('Tables - Part 2'!$AX$6:$BA$13,MATCH(SCC_Alkaline_Carbonate!S11,'Tables - Part 2'!$AV$6:$AV$13,0),MATCH(SCC_Alkaline_Carbonate!Q11,'Tables - Part 2'!$AX$5:$BA$5,0))+INDEX('Tables - Part 2'!$BB$6:$BE$13,MATCH(SCC_Alkaline_Carbonate!$S11,'Tables - Part 2'!$AV$6:$AV$13,0),MATCH(SCC_Alkaline_Carbonate!$Q11,'Tables - Part 2'!$AX$5:$BA$5,0)))/2))/2)+(INDEX('Tables - Part 2'!$AX$6:$BA$13,MATCH(SCC_Alkaline_Carbonate!S11,'Tables - Part 2'!$AV$6:$AV$13,0),MATCH(SCC_Alkaline_Carbonate!Q11,'Tables - Part 2'!$AX$5:$BA$5,0))+INDEX('Tables - Part 2'!$BB$6:$BE$13,MATCH(SCC_Alkaline_Carbonate!$S11,'Tables - Part 2'!$AV$6:$AV$13,0),MATCH(SCC_Alkaline_Carbonate!$Q11,'Tables - Part 2'!$AX$5:$BA$5,0)))/2)/2,0)</f>
        <v>0</v>
      </c>
      <c r="AC11" s="248">
        <f>IF($P11=$AC$3,(INDEX('Tables - Part 2'!$AX$6:$BA$13,MATCH(SCC_Alkaline_Carbonate!S11,'Tables - Part 2'!$AV$6:$AV$13,0),MATCH(SCC_Alkaline_Carbonate!Q11,'Tables - Part 2'!$AX$5:$BA$5,0))+INDEX('Tables - Part 2'!$BB$6:$BE$13,MATCH(SCC_Alkaline_Carbonate!$S11,'Tables - Part 2'!$AV$6:$AV$13,0),MATCH(SCC_Alkaline_Carbonate!$Q11,'Tables - Part 2'!$AX$5:$BA$5,0)))/2,0)</f>
        <v>0</v>
      </c>
      <c r="AD11" s="248">
        <f>IF($P11=$AD$3,(((INDEX('Tables - Part 2'!$AX$6:$BA$13,MATCH(SCC_Alkaline_Carbonate!S11,'Tables - Part 2'!$AV$6:$AV$13,0),MATCH(SCC_Alkaline_Carbonate!Q11,'Tables - Part 2'!$AX$5:$BA$5,0))+INDEX('Tables - Part 2'!$BB$6:$BE$13,MATCH(SCC_Alkaline_Carbonate!$S11,'Tables - Part 2'!$AV$6:$AV$13,0),MATCH(SCC_Alkaline_Carbonate!$Q11,'Tables - Part 2'!$AX$5:$BA$5,0)))/2)+(((INDEX('Tables - Part 2'!$AX$6:$BA$13,MATCH(SCC_Alkaline_Carbonate!S11,'Tables - Part 2'!$AV$6:$AV$13,0),MATCH(SCC_Alkaline_Carbonate!Q11,'Tables - Part 2'!$AX$5:$BA$5,0))+INDEX('Tables - Part 2'!$BB$6:$BE$13,MATCH(SCC_Alkaline_Carbonate!$S11,'Tables - Part 2'!$AV$6:$AV$13,0),MATCH(SCC_Alkaline_Carbonate!$Q11,'Tables - Part 2'!$AX$5:$BA$5,0)))/2)+INDEX('Tables - Part 2'!$BB$6:$BE$13,MATCH(SCC_Alkaline_Carbonate!$S11,'Tables - Part 2'!$AV$6:$AV$13,0),MATCH(SCC_Alkaline_Carbonate!$Q11,'Tables - Part 2'!$AX$5:$BA$5,0)))/2)/2,0)</f>
        <v>0</v>
      </c>
      <c r="AE11" s="248">
        <f>IF($P11=$AE$3,(((INDEX('Tables - Part 2'!$AX$6:$BA$13,MATCH(SCC_Alkaline_Carbonate!S11,'Tables - Part 2'!$AV$6:$AV$13,0),MATCH(SCC_Alkaline_Carbonate!Q11,'Tables - Part 2'!$AX$5:$BA$5,0))+INDEX('Tables - Part 2'!$BB$6:$BE$13,MATCH(SCC_Alkaline_Carbonate!$S11,'Tables - Part 2'!$AV$6:$AV$13,0),MATCH(SCC_Alkaline_Carbonate!$Q11,'Tables - Part 2'!$AX$5:$BA$5,0)))/2)+INDEX('Tables - Part 2'!$BB$6:$BE$13,MATCH(SCC_Alkaline_Carbonate!$S11,'Tables - Part 2'!$AV$6:$AV$13,0),MATCH(SCC_Alkaline_Carbonate!$Q11,'Tables - Part 2'!$AX$5:$BA$5,0)))/2,0)</f>
        <v>0</v>
      </c>
      <c r="AF11" s="248">
        <f>IF($P11=$AF$3,(((((INDEX('Tables - Part 2'!$AX$6:$BA$13,MATCH(SCC_Alkaline_Carbonate!S11,'Tables - Part 2'!$AV$6:$AV$13,0),MATCH(SCC_Alkaline_Carbonate!Q11,'Tables - Part 2'!$AX$5:$BA$5,0))+INDEX('Tables - Part 2'!$BB$6:$BE$13,MATCH(SCC_Alkaline_Carbonate!$S11,'Tables - Part 2'!$AV$6:$AV$13,0),MATCH(SCC_Alkaline_Carbonate!$Q11,'Tables - Part 2'!$AX$5:$BA$5,0)))/2)+INDEX('Tables - Part 2'!$BB$6:$BE$13,MATCH(SCC_Alkaline_Carbonate!$S11,'Tables - Part 2'!$AV$6:$AV$13,0),MATCH(SCC_Alkaline_Carbonate!$Q11,'Tables - Part 2'!$AX$5:$BA$5,0)))/2)+INDEX('Tables - Part 2'!$BB$6:$BE$13,MATCH(SCC_Alkaline_Carbonate!$S11,'Tables - Part 2'!$AV$6:$AV$13,0),MATCH(SCC_Alkaline_Carbonate!$Q11,'Tables - Part 2'!$AX$5:$BA$5,0)))/2,0)</f>
        <v>0</v>
      </c>
      <c r="AG11" s="248">
        <f>IF($P11=$AG$3,INDEX('Tables - Part 2'!$BB$6:$BE$13,MATCH(SCC_Alkaline_Carbonate!$S11,'Tables - Part 2'!$AV$6:$AV$13,0),MATCH(SCC_Alkaline_Carbonate!$Q11,'Tables - Part 2'!$AX$5:$BA$5,0)),0)</f>
        <v>0</v>
      </c>
      <c r="AH11" s="248">
        <f>IF($P11=$AH$3,((INDEX('Tables - Part 2'!$BB$6:$BE$13,MATCH(SCC_Alkaline_Carbonate!$S11,'Tables - Part 2'!$AV$6:$AV$13,0),MATCH(SCC_Alkaline_Carbonate!$Q11,'Tables - Part 2'!$AX$5:$BA$5,0)))+(INDEX('Tables - Part 2'!$BB$6:$BE$13,MATCH(SCC_Alkaline_Carbonate!$S11,'Tables - Part 2'!$AV$6:$AV$13,0),MATCH(SCC_Alkaline_Carbonate!$Q11,'Tables - Part 2'!$AX$5:$BA$5,0))+(INDEX('Tables - Part 2'!$BB$6:$BE$13,MATCH(SCC_Alkaline_Carbonate!$S11,'Tables - Part 2'!$AV$6:$AV$13,0),MATCH(SCC_Alkaline_Carbonate!$Q11,'Tables - Part 2'!$AX$5:$BA$5,0))+INDEX('Tables - Part 2'!$BF$6:$BI$13,MATCH(SCC_Alkaline_Carbonate!$S11,'Tables - Part 2'!$AV$6:$AV$13,0),MATCH(SCC_Alkaline_Carbonate!$Q11,'Tables - Part 2'!$AX$5:$BA$5,0)))/2)/2)/2,0)</f>
        <v>0</v>
      </c>
      <c r="AI11" s="248">
        <f>IF($P11=$AI$3,(INDEX('Tables - Part 2'!$BB$6:$BE$13,MATCH(SCC_Alkaline_Carbonate!$S11,'Tables - Part 2'!$AV$6:$AV$13,0),MATCH(SCC_Alkaline_Carbonate!$Q11,'Tables - Part 2'!$AX$5:$BA$5,0))+(INDEX('Tables - Part 2'!$BB$6:$BE$13,MATCH(SCC_Alkaline_Carbonate!$S11,'Tables - Part 2'!$AV$6:$AV$13,0),MATCH(SCC_Alkaline_Carbonate!$Q11,'Tables - Part 2'!$AX$5:$BA$5,0))+INDEX('Tables - Part 2'!$BF$6:$BI$13,MATCH(SCC_Alkaline_Carbonate!$S11,'Tables - Part 2'!$AV$6:$AV$13,0),MATCH(SCC_Alkaline_Carbonate!$Q11,'Tables - Part 2'!$AX$5:$BA$5,0)))/2)/2,0)</f>
        <v>0</v>
      </c>
      <c r="AJ11" s="248">
        <f>IF($P11=$AJ$3,(((INDEX('Tables - Part 2'!$BB$6:$BE$13,MATCH(SCC_Alkaline_Carbonate!$S11,'Tables - Part 2'!$AV$6:$AV$13,0),MATCH(SCC_Alkaline_Carbonate!$Q11,'Tables - Part 2'!$AX$5:$BA$5,0))+(INDEX('Tables - Part 2'!$BB$6:$BE$13,MATCH(SCC_Alkaline_Carbonate!$S11,'Tables - Part 2'!$AV$6:$AV$13,0),MATCH(SCC_Alkaline_Carbonate!$Q11,'Tables - Part 2'!$AX$5:$BA$5,0))+INDEX('Tables - Part 2'!$BF$6:$BI$13,MATCH(SCC_Alkaline_Carbonate!$S11,'Tables - Part 2'!$AV$6:$AV$13,0),MATCH(SCC_Alkaline_Carbonate!$Q11,'Tables - Part 2'!$AX$5:$BA$5,0)))/2)/2)+((INDEX('Tables - Part 2'!$BB$6:$BE$13,MATCH(SCC_Alkaline_Carbonate!$S11,'Tables - Part 2'!$AV$6:$AV$13,0),MATCH(SCC_Alkaline_Carbonate!$Q11,'Tables - Part 2'!$AX$5:$BA$5,0))+INDEX('Tables - Part 2'!$BF$6:$BI$13,MATCH(SCC_Alkaline_Carbonate!$S11,'Tables - Part 2'!$AV$6:$AV$13,0),MATCH(SCC_Alkaline_Carbonate!$Q11,'Tables - Part 2'!$AX$5:$BA$5,0)))/2))/2,0)</f>
        <v>0</v>
      </c>
      <c r="AK11" s="248">
        <f>IF($P11=$AK$3,(INDEX('Tables - Part 2'!$BB$6:$BE$13,MATCH(SCC_Alkaline_Carbonate!$S11,'Tables - Part 2'!$AV$6:$AV$13,0),MATCH(SCC_Alkaline_Carbonate!$Q11,'Tables - Part 2'!$AX$5:$BA$5,0))+INDEX('Tables - Part 2'!$BF$6:$BI$13,MATCH(SCC_Alkaline_Carbonate!$S11,'Tables - Part 2'!$AV$6:$AV$13,0),MATCH(SCC_Alkaline_Carbonate!$Q11,'Tables - Part 2'!$AX$5:$BA$5,0)))/2,0)</f>
        <v>3</v>
      </c>
      <c r="AL11" s="248">
        <f>IF($P11=$AL$3,(((INDEX('Tables - Part 2'!$BB$6:$BE$13,MATCH(SCC_Alkaline_Carbonate!$S11,'Tables - Part 2'!$AV$6:$AV$13,0),MATCH(SCC_Alkaline_Carbonate!$Q11,'Tables - Part 2'!$AX$5:$BA$5,0))+INDEX('Tables - Part 2'!$BF$6:$BI$13,MATCH(SCC_Alkaline_Carbonate!$S11,'Tables - Part 2'!$AV$6:$AV$13,0),MATCH(SCC_Alkaline_Carbonate!$Q11,'Tables - Part 2'!$AX$5:$BA$5,0)))/2)+((((INDEX('Tables - Part 2'!$BB$6:$BE$13,MATCH(SCC_Alkaline_Carbonate!$S11,'Tables - Part 2'!$AV$6:$AV$13,0),MATCH(SCC_Alkaline_Carbonate!$Q11,'Tables - Part 2'!$AX$5:$BA$5,0))+INDEX('Tables - Part 2'!$BF$6:$BI$13,MATCH(SCC_Alkaline_Carbonate!$S11,'Tables - Part 2'!$AV$6:$AV$13,0),MATCH(SCC_Alkaline_Carbonate!$Q11,'Tables - Part 2'!$AX$5:$BA$5,0)))/2)+INDEX('Tables - Part 2'!$BF$6:$BI$13,MATCH(SCC_Alkaline_Carbonate!$S11,'Tables - Part 2'!$AV$6:$AV$13,0),MATCH(SCC_Alkaline_Carbonate!$Q11,'Tables - Part 2'!$AX$5:$BA$5,0)))/2))/2,0)</f>
        <v>0</v>
      </c>
      <c r="AM11" s="248">
        <f>IF($P11=$AM$3,(((INDEX('Tables - Part 2'!$BB$6:$BE$13,MATCH(SCC_Alkaline_Carbonate!$S11,'Tables - Part 2'!$AV$6:$AV$13,0),MATCH(SCC_Alkaline_Carbonate!$Q11,'Tables - Part 2'!$AX$5:$BA$5,0))+INDEX('Tables - Part 2'!$BF$6:$BI$13,MATCH(SCC_Alkaline_Carbonate!$S11,'Tables - Part 2'!$AV$6:$AV$13,0),MATCH(SCC_Alkaline_Carbonate!$Q11,'Tables - Part 2'!$AX$5:$BA$5,0)))/2)+INDEX('Tables - Part 2'!$BF$6:$BI$13,MATCH(SCC_Alkaline_Carbonate!$S11,'Tables - Part 2'!$AV$6:$AV$13,0),MATCH(SCC_Alkaline_Carbonate!$Q11,'Tables - Part 2'!$AX$5:$BA$5,0)))/2,0)</f>
        <v>0</v>
      </c>
      <c r="AN11" s="248">
        <f>IF($P11=$AN$3,(((((INDEX('Tables - Part 2'!$BB$6:$BE$13,MATCH(SCC_Alkaline_Carbonate!$S11,'Tables - Part 2'!$AV$6:$AV$13,0),MATCH(SCC_Alkaline_Carbonate!$Q11,'Tables - Part 2'!$AX$5:$BA$5,0))+INDEX('Tables - Part 2'!$BF$6:$BI$13,MATCH(SCC_Alkaline_Carbonate!$S11,'Tables - Part 2'!$AV$6:$AV$13,0),MATCH(SCC_Alkaline_Carbonate!$Q11,'Tables - Part 2'!$AX$5:$BA$5,0)))/2)+INDEX('Tables - Part 2'!$BF$6:$BI$13,MATCH(SCC_Alkaline_Carbonate!$S11,'Tables - Part 2'!$AV$6:$AV$13,0),MATCH(SCC_Alkaline_Carbonate!$Q11,'Tables - Part 2'!$AX$5:$BA$5,0)))/2)+INDEX('Tables - Part 2'!$BF$6:$BI$13,MATCH(SCC_Alkaline_Carbonate!$S11,'Tables - Part 2'!$AV$6:$AV$13,0),MATCH(SCC_Alkaline_Carbonate!$Q11,'Tables - Part 2'!$AX$5:$BA$5,0)))/2,0)</f>
        <v>0</v>
      </c>
      <c r="AO11" s="248">
        <f>IF($P11=$AO$3,INDEX('Tables - Part 2'!$BF$6:$BI$13,MATCH(SCC_Alkaline_Carbonate!$S11,'Tables - Part 2'!$AV$6:$AV$13,0),MATCH(SCC_Alkaline_Carbonate!$Q11,'Tables - Part 2'!$AX$5:$BA$5,0)),0)</f>
        <v>0</v>
      </c>
      <c r="AP11" s="248">
        <f>IF($P11=$AP$3,(INDEX('Tables - Part 2'!$BF$6:$BI$13,MATCH(SCC_Alkaline_Carbonate!$S11,'Tables - Part 2'!$AV$6:$AV$13,0),MATCH(SCC_Alkaline_Carbonate!$Q11,'Tables - Part 2'!$AX$5:$BA$5,0))+((INDEX('Tables - Part 2'!$BF$6:$BI$13,MATCH(SCC_Alkaline_Carbonate!$S11,'Tables - Part 2'!$AV$6:$AV$13,0),MATCH(SCC_Alkaline_Carbonate!$Q11,'Tables - Part 2'!$AX$5:$BA$5,0))+(INDEX('Tables - Part 2'!$BF$6:$BI$13,MATCH(SCC_Alkaline_Carbonate!$S11,'Tables - Part 2'!$AV$6:$AV$13,0),MATCH(SCC_Alkaline_Carbonate!$Q11,'Tables - Part 2'!$AX$5:$BA$5,0))+INDEX('Tables - Part 2'!$AX$17:$BA$24,MATCH(SCC_Alkaline_Carbonate!$S11,'Tables - Part 2'!$AV$6:$AV$13,0),MATCH(SCC_Alkaline_Carbonate!$Q11,'Tables - Part 2'!$AX$5:$BA$5,0)))/2)/2))/2,0)</f>
        <v>0</v>
      </c>
      <c r="AQ11" s="248">
        <f>IF($P11=$AQ$3,(INDEX('Tables - Part 2'!$BF$6:$BI$13,MATCH(SCC_Alkaline_Carbonate!$S11,'Tables - Part 2'!$AV$6:$AV$13,0),MATCH(SCC_Alkaline_Carbonate!$Q11,'Tables - Part 2'!$AX$5:$BA$5,0))+(INDEX('Tables - Part 2'!$BF$6:$BI$13,MATCH(SCC_Alkaline_Carbonate!$S11,'Tables - Part 2'!$AV$6:$AV$13,0),MATCH(SCC_Alkaline_Carbonate!$Q11,'Tables - Part 2'!$AX$5:$BA$5,0))+INDEX('Tables - Part 2'!$AX$17:$BA$24,MATCH(SCC_Alkaline_Carbonate!$S11,'Tables - Part 2'!$AV$6:$AV$13,0),MATCH(SCC_Alkaline_Carbonate!$Q11,'Tables - Part 2'!$AX$5:$BA$5,0)))/2)/2,0)</f>
        <v>0</v>
      </c>
      <c r="AR11" s="248">
        <f>IF($P11=$AR$3,(((INDEX('Tables - Part 2'!$BF$6:$BI$13,MATCH(SCC_Alkaline_Carbonate!$S11,'Tables - Part 2'!$AV$6:$AV$13,0),MATCH(SCC_Alkaline_Carbonate!$Q11,'Tables - Part 2'!$AX$5:$BA$5,0))+(INDEX('Tables - Part 2'!$BF$6:$BI$13,MATCH(SCC_Alkaline_Carbonate!$S11,'Tables - Part 2'!$AV$6:$AV$13,0),MATCH(SCC_Alkaline_Carbonate!$Q11,'Tables - Part 2'!$AX$5:$BA$5,0))+INDEX('Tables - Part 2'!$AX$17:$BA$24,MATCH(SCC_Alkaline_Carbonate!$S11,'Tables - Part 2'!$AV$6:$AV$13,0),MATCH(SCC_Alkaline_Carbonate!$Q11,'Tables - Part 2'!$AX$5:$BA$5,0)))/2)/2)+((INDEX('Tables - Part 2'!$BF$6:$BI$13,MATCH(SCC_Alkaline_Carbonate!$S11,'Tables - Part 2'!$AV$6:$AV$13,0),MATCH(SCC_Alkaline_Carbonate!$Q11,'Tables - Part 2'!$AX$5:$BA$5,0))+INDEX('Tables - Part 2'!$AX$17:$BA$24,MATCH(SCC_Alkaline_Carbonate!$S11,'Tables - Part 2'!$AV$6:$AV$13,0),MATCH(SCC_Alkaline_Carbonate!$Q11,'Tables - Part 2'!$AX$5:$BA$5,0)))/2))/2,0)</f>
        <v>0</v>
      </c>
      <c r="AS11" s="248">
        <f>IF($P11=$AS$3,(INDEX('Tables - Part 2'!$BF$6:$BI$13,MATCH(SCC_Alkaline_Carbonate!$S11,'Tables - Part 2'!$AV$6:$AV$13,0),MATCH(SCC_Alkaline_Carbonate!$Q11,'Tables - Part 2'!$AX$5:$BA$5,0))+INDEX('Tables - Part 2'!$AX$17:$BA$24,MATCH(SCC_Alkaline_Carbonate!$S11,'Tables - Part 2'!$AV$6:$AV$13,0),MATCH(SCC_Alkaline_Carbonate!$Q11,'Tables - Part 2'!$AX$5:$BA$5,0)))/2,0)</f>
        <v>0</v>
      </c>
      <c r="AT11" s="248">
        <f>IF($P11=$AT$3,(((INDEX('Tables - Part 2'!$BF$6:$BI$13,MATCH(SCC_Alkaline_Carbonate!$S11,'Tables - Part 2'!$AV$6:$AV$13,0),MATCH(SCC_Alkaline_Carbonate!$Q11,'Tables - Part 2'!$AX$5:$BA$5,0))+INDEX('Tables - Part 2'!$AX$17:$BA$24,MATCH(SCC_Alkaline_Carbonate!$S11,'Tables - Part 2'!$AV$6:$AV$13,0),MATCH(SCC_Alkaline_Carbonate!$Q11,'Tables - Part 2'!$AX$5:$BA$5,0)))/2)+((((INDEX('Tables - Part 2'!$BF$6:$BI$13,MATCH(SCC_Alkaline_Carbonate!$S11,'Tables - Part 2'!$AV$6:$AV$13,0),MATCH(SCC_Alkaline_Carbonate!$Q11,'Tables - Part 2'!$AX$5:$BA$5,0))+INDEX('Tables - Part 2'!$AX$17:$BA$24,MATCH(SCC_Alkaline_Carbonate!$S11,'Tables - Part 2'!$AV$6:$AV$13,0),MATCH(SCC_Alkaline_Carbonate!$Q11,'Tables - Part 2'!$AX$5:$BA$5,0)))/2)+INDEX('Tables - Part 2'!$AX$17:$BA$24,MATCH(SCC_Alkaline_Carbonate!$S11,'Tables - Part 2'!$AV$6:$AV$13,0),MATCH(SCC_Alkaline_Carbonate!$Q11,'Tables - Part 2'!$AX$5:$BA$5,0)))/2))/2,0)</f>
        <v>0</v>
      </c>
      <c r="AU11" s="248">
        <f>IF($P11=$AU$3,(((INDEX('Tables - Part 2'!$BF$6:$BI$13,MATCH(SCC_Alkaline_Carbonate!$S11,'Tables - Part 2'!$AV$6:$AV$13,0),MATCH(SCC_Alkaline_Carbonate!$Q11,'Tables - Part 2'!$AX$5:$BA$5,0))+INDEX('Tables - Part 2'!$AX$17:$BA$24,MATCH(SCC_Alkaline_Carbonate!$S11,'Tables - Part 2'!$AV$6:$AV$13,0),MATCH(SCC_Alkaline_Carbonate!$Q11,'Tables - Part 2'!$AX$5:$BA$5,0)))/2)+INDEX('Tables - Part 2'!$AX$17:$BA$24,MATCH(SCC_Alkaline_Carbonate!$S11,'Tables - Part 2'!$AV$6:$AV$13,0),MATCH(SCC_Alkaline_Carbonate!$Q11,'Tables - Part 2'!$AX$5:$BA$5,0)))/2,0)</f>
        <v>0</v>
      </c>
      <c r="AV11" s="248">
        <f>IF($P11=$AV$3,(((((INDEX('Tables - Part 2'!$BF$6:$BI$13,MATCH(SCC_Alkaline_Carbonate!$S11,'Tables - Part 2'!$AV$6:$AV$13,0),MATCH(SCC_Alkaline_Carbonate!$Q11,'Tables - Part 2'!$AX$5:$BA$5,0))+INDEX('Tables - Part 2'!$AX$17:$BA$24,MATCH(SCC_Alkaline_Carbonate!$S11,'Tables - Part 2'!$AV$6:$AV$13,0),MATCH(SCC_Alkaline_Carbonate!$Q11,'Tables - Part 2'!$AX$5:$BA$5,0)))/2)+INDEX('Tables - Part 2'!$AX$17:$BA$24,MATCH(SCC_Alkaline_Carbonate!$S11,'Tables - Part 2'!$AV$6:$AV$13,0),MATCH(SCC_Alkaline_Carbonate!$Q11,'Tables - Part 2'!$AX$5:$BA$5,0)))/2)+(INDEX('Tables - Part 2'!$AX$17:$BA$24,MATCH(SCC_Alkaline_Carbonate!$S11,'Tables - Part 2'!$AV$6:$AV$13,0),MATCH(SCC_Alkaline_Carbonate!$Q11,'Tables - Part 2'!$AX$5:$BA$5,0))))/2,0)</f>
        <v>0</v>
      </c>
      <c r="AW11" s="248">
        <f>IF($P11=$AW$3,INDEX('Tables - Part 2'!$AX$17:$BA$24,MATCH(SCC_Alkaline_Carbonate!$S11,'Tables - Part 2'!$AV$6:$AV$13,0),MATCH(SCC_Alkaline_Carbonate!$Q11,'Tables - Part 2'!$AX$5:$BA$5,0)),0)</f>
        <v>0</v>
      </c>
      <c r="AX11" s="248">
        <f>IF($P11=$AX$3,((INDEX('Tables - Part 2'!$AX$17:$BA$24,MATCH(SCC_Alkaline_Carbonate!$S11,'Tables - Part 2'!$AV$6:$AV$13,0),MATCH(SCC_Alkaline_Carbonate!$Q11,'Tables - Part 2'!$AX$5:$BA$5,0)))+(((INDEX('Tables - Part 2'!$AX$17:$BA$24,MATCH(SCC_Alkaline_Carbonate!$S11,'Tables - Part 2'!$AV$6:$AV$13,0),MATCH(SCC_Alkaline_Carbonate!$Q11,'Tables - Part 2'!$AX$5:$BA$5,0)))+(INDEX('Tables - Part 2'!$AX$17:$BA$24,MATCH(SCC_Alkaline_Carbonate!$S11,'Tables - Part 2'!$AV$6:$AV$13,0),MATCH(SCC_Alkaline_Carbonate!$Q11,'Tables - Part 2'!$AX$5:$BA$5,0))+INDEX('Tables - Part 2'!$BB$17:$BE$24,MATCH(SCC_Alkaline_Carbonate!$S11,'Tables - Part 2'!$AV$6:$AV$13,0),MATCH(SCC_Alkaline_Carbonate!$Q11,'Tables - Part 2'!$AX$5:$BA$5,0)))/2)/2))/2,0)</f>
        <v>0</v>
      </c>
      <c r="AY11" s="248">
        <f>IF($P11=$AY$3,((INDEX('Tables - Part 2'!$AX$17:$BA$24,MATCH(SCC_Alkaline_Carbonate!$S11,'Tables - Part 2'!$AV$6:$AV$13,0),MATCH(SCC_Alkaline_Carbonate!$Q11,'Tables - Part 2'!$AX$5:$BA$5,0)))+(INDEX('Tables - Part 2'!$AX$17:$BA$24,MATCH(SCC_Alkaline_Carbonate!$S11,'Tables - Part 2'!$AV$6:$AV$13,0),MATCH(SCC_Alkaline_Carbonate!$Q11,'Tables - Part 2'!$AX$5:$BA$5,0))+INDEX('Tables - Part 2'!$BB$17:$BE$24,MATCH(SCC_Alkaline_Carbonate!$S11,'Tables - Part 2'!$AV$6:$AV$13,0),MATCH(SCC_Alkaline_Carbonate!$Q11,'Tables - Part 2'!$AX$5:$BA$5,0)))/2)/2,0)</f>
        <v>0</v>
      </c>
      <c r="AZ11" s="248">
        <f>IF($P11=$AZ$3,((((INDEX('Tables - Part 2'!$AX$17:$BA$24,MATCH(SCC_Alkaline_Carbonate!$S11,'Tables - Part 2'!$AV$6:$AV$13,0),MATCH(SCC_Alkaline_Carbonate!$Q11,'Tables - Part 2'!$AX$5:$BA$5,0)))+(INDEX('Tables - Part 2'!$AX$17:$BA$24,MATCH(SCC_Alkaline_Carbonate!$S11,'Tables - Part 2'!$AV$6:$AV$13,0),MATCH(SCC_Alkaline_Carbonate!$Q11,'Tables - Part 2'!$AX$5:$BA$5,0))+INDEX('Tables - Part 2'!$BB$17:$BE$24,MATCH(SCC_Alkaline_Carbonate!$S11,'Tables - Part 2'!$AV$6:$AV$13,0),MATCH(SCC_Alkaline_Carbonate!$Q11,'Tables - Part 2'!$AX$5:$BA$5,0)))/2)/2)+((INDEX('Tables - Part 2'!$AX$17:$BA$24,MATCH(SCC_Alkaline_Carbonate!$S11,'Tables - Part 2'!$AV$6:$AV$13,0),MATCH(SCC_Alkaline_Carbonate!$Q11,'Tables - Part 2'!$AX$5:$BA$5,0))+INDEX('Tables - Part 2'!$BB$17:$BE$24,MATCH(SCC_Alkaline_Carbonate!$S11,'Tables - Part 2'!$AV$6:$AV$13,0),MATCH(SCC_Alkaline_Carbonate!$Q11,'Tables - Part 2'!$AX$5:$BA$5,0)))/2))/2,0)</f>
        <v>0</v>
      </c>
      <c r="BA11" s="248">
        <f>IF($P11=$BA$3,(INDEX('Tables - Part 2'!$AX$17:$BA$24,MATCH(SCC_Alkaline_Carbonate!$S11,'Tables - Part 2'!$AV$6:$AV$13,0),MATCH(SCC_Alkaline_Carbonate!$Q11,'Tables - Part 2'!$AX$5:$BA$5,0))+INDEX('Tables - Part 2'!$BB$17:$BE$24,MATCH(SCC_Alkaline_Carbonate!$S11,'Tables - Part 2'!$AV$6:$AV$13,0),MATCH(SCC_Alkaline_Carbonate!$Q11,'Tables - Part 2'!$AX$5:$BA$5,0)))/2,0)</f>
        <v>0</v>
      </c>
      <c r="BB11" s="248">
        <f>IF($P11=$BB$3,(((INDEX('Tables - Part 2'!$AX$17:$BA$24,MATCH(SCC_Alkaline_Carbonate!$S11,'Tables - Part 2'!$AV$6:$AV$13,0),MATCH(SCC_Alkaline_Carbonate!$Q11,'Tables - Part 2'!$AX$5:$BA$5,0))+INDEX('Tables - Part 2'!$BB$17:$BE$24,MATCH(SCC_Alkaline_Carbonate!$S11,'Tables - Part 2'!$AV$6:$AV$13,0),MATCH(SCC_Alkaline_Carbonate!$Q11,'Tables - Part 2'!$AX$5:$BA$5,0)))/2)+((((INDEX('Tables - Part 2'!$AX$17:$BA$24,MATCH(SCC_Alkaline_Carbonate!$S11,'Tables - Part 2'!$AV$6:$AV$13,0),MATCH(SCC_Alkaline_Carbonate!$Q11,'Tables - Part 2'!$AX$5:$BA$5,0))+INDEX('Tables - Part 2'!$BB$17:$BE$24,MATCH(SCC_Alkaline_Carbonate!$S11,'Tables - Part 2'!$AV$6:$AV$13,0),MATCH(SCC_Alkaline_Carbonate!$Q11,'Tables - Part 2'!$AX$5:$BA$5,0)))/2)+INDEX('Tables - Part 2'!$BB$17:$BE$24,MATCH(SCC_Alkaline_Carbonate!$S11,'Tables - Part 2'!$AV$6:$AV$13,0),MATCH(SCC_Alkaline_Carbonate!$Q11,'Tables - Part 2'!$AX$5:$BA$5,0)))/2))/2,0)</f>
        <v>0</v>
      </c>
      <c r="BC11" s="248">
        <f>IF($P11=$BC$3,(((INDEX('Tables - Part 2'!$AX$17:$BA$24,MATCH(SCC_Alkaline_Carbonate!$S11,'Tables - Part 2'!$AV$6:$AV$13,0),MATCH(SCC_Alkaline_Carbonate!$Q11,'Tables - Part 2'!$AX$5:$BA$5,0))+INDEX('Tables - Part 2'!$BB$17:$BE$24,MATCH(SCC_Alkaline_Carbonate!$S11,'Tables - Part 2'!$AV$6:$AV$13,0),MATCH(SCC_Alkaline_Carbonate!$Q11,'Tables - Part 2'!$AX$5:$BA$5,0)))/2)+INDEX('Tables - Part 2'!$BB$17:$BE$24,MATCH(SCC_Alkaline_Carbonate!$S11,'Tables - Part 2'!$AV$6:$AV$13,0),MATCH(SCC_Alkaline_Carbonate!$Q11,'Tables - Part 2'!$AX$5:$BA$5,0)))/2,0)</f>
        <v>0</v>
      </c>
      <c r="BD11" s="248">
        <f>IF($P11=$BD$3,(((((INDEX('Tables - Part 2'!$AX$17:$BA$24,MATCH(SCC_Alkaline_Carbonate!$S11,'Tables - Part 2'!$AV$6:$AV$13,0),MATCH(SCC_Alkaline_Carbonate!$Q11,'Tables - Part 2'!$AX$5:$BA$5,0))+INDEX('Tables - Part 2'!$BB$17:$BE$24,MATCH(SCC_Alkaline_Carbonate!$S11,'Tables - Part 2'!$AV$6:$AV$13,0),MATCH(SCC_Alkaline_Carbonate!$Q11,'Tables - Part 2'!$AX$5:$BA$5,0)))/2)+INDEX('Tables - Part 2'!$BB$17:$BE$24,MATCH(SCC_Alkaline_Carbonate!$S11,'Tables - Part 2'!$AV$6:$AV$13,0),MATCH(SCC_Alkaline_Carbonate!$Q11,'Tables - Part 2'!$AX$5:$BA$5,0)))/2)+(INDEX('Tables - Part 2'!$BB$17:$BE$24,MATCH(SCC_Alkaline_Carbonate!$S11,'Tables - Part 2'!$AV$6:$AV$13,0),MATCH(SCC_Alkaline_Carbonate!$Q11,'Tables - Part 2'!$AX$5:$BA$5,0))))/2,0)</f>
        <v>0</v>
      </c>
      <c r="BE11" s="248">
        <f>IF($P11=$BE$3,INDEX('Tables - Part 2'!$BB$17:$BE$24,MATCH(SCC_Alkaline_Carbonate!$S11,'Tables - Part 2'!$AV$6:$AV$13,0),MATCH(SCC_Alkaline_Carbonate!$Q11,'Tables - Part 2'!$AX$5:$BA$5,0)),0)</f>
        <v>0</v>
      </c>
      <c r="BF11" s="248">
        <f>IF($P11=$BF$3,((INDEX('Tables - Part 2'!$BB$17:$BE$24,MATCH(SCC_Alkaline_Carbonate!$S11,'Tables - Part 2'!$AV$6:$AV$13,0),MATCH(SCC_Alkaline_Carbonate!$Q11,'Tables - Part 2'!$AX$5:$BA$5,0)))+(((INDEX('Tables - Part 2'!$BB$17:$BE$24,MATCH(SCC_Alkaline_Carbonate!$S11,'Tables - Part 2'!$AV$6:$AV$13,0),MATCH(SCC_Alkaline_Carbonate!$Q11,'Tables - Part 2'!$AX$5:$BA$5,0)))+(INDEX('Tables - Part 2'!$BB$17:$BE$24,MATCH(SCC_Alkaline_Carbonate!$S11,'Tables - Part 2'!$AV$6:$AV$13,0),MATCH(SCC_Alkaline_Carbonate!$Q11,'Tables - Part 2'!$AX$5:$BA$5,0))+INDEX('Tables - Part 2'!$BF$17:$BI$24,MATCH(SCC_Alkaline_Carbonate!$S11,'Tables - Part 2'!$AV$6:$AV$13,0),MATCH(SCC_Alkaline_Carbonate!$Q11,'Tables - Part 2'!$AX$5:$BA$5,0)))/2)/2))/2,0)</f>
        <v>0</v>
      </c>
      <c r="BG11" s="248">
        <f>IF($P11=$BG$3,((INDEX('Tables - Part 2'!$BB$17:$BE$24,MATCH(SCC_Alkaline_Carbonate!$S11,'Tables - Part 2'!$AV$6:$AV$13,0),MATCH(SCC_Alkaline_Carbonate!$Q11,'Tables - Part 2'!$AX$5:$BA$5,0)))+(INDEX('Tables - Part 2'!$BB$17:$BE$24,MATCH(SCC_Alkaline_Carbonate!$S11,'Tables - Part 2'!$AV$6:$AV$13,0),MATCH(SCC_Alkaline_Carbonate!$Q11,'Tables - Part 2'!$AX$5:$BA$5,0))+INDEX('Tables - Part 2'!$BF$17:$BI$24,MATCH(SCC_Alkaline_Carbonate!$S11,'Tables - Part 2'!$AV$6:$AV$13,0),MATCH(SCC_Alkaline_Carbonate!$Q11,'Tables - Part 2'!$AX$5:$BA$5,0)))/2)/2,0)</f>
        <v>0</v>
      </c>
      <c r="BH11" s="248">
        <f>IF($P11=$BH$3,((((INDEX('Tables - Part 2'!$BB$17:$BE$24,MATCH(SCC_Alkaline_Carbonate!$S11,'Tables - Part 2'!$AV$6:$AV$13,0),MATCH(SCC_Alkaline_Carbonate!$Q11,'Tables - Part 2'!$AX$5:$BA$5,0)))+(INDEX('Tables - Part 2'!$BB$17:$BE$24,MATCH(SCC_Alkaline_Carbonate!$S11,'Tables - Part 2'!$AV$6:$AV$13,0),MATCH(SCC_Alkaline_Carbonate!$Q11,'Tables - Part 2'!$AX$5:$BA$5,0))+INDEX('Tables - Part 2'!$BF$17:$BI$24,MATCH(SCC_Alkaline_Carbonate!$S11,'Tables - Part 2'!$AV$6:$AV$13,0),MATCH(SCC_Alkaline_Carbonate!$Q11,'Tables - Part 2'!$AX$5:$BA$5,0)))/2)/2)+((INDEX('Tables - Part 2'!$BB$17:$BE$24,MATCH(SCC_Alkaline_Carbonate!$S11,'Tables - Part 2'!$AV$6:$AV$13,0),MATCH(SCC_Alkaline_Carbonate!$Q11,'Tables - Part 2'!$AX$5:$BA$5,0))+INDEX('Tables - Part 2'!$BF$17:$BI$24,MATCH(SCC_Alkaline_Carbonate!$S11,'Tables - Part 2'!$AV$6:$AV$13,0),MATCH(SCC_Alkaline_Carbonate!$Q11,'Tables - Part 2'!$AX$5:$BA$5,0)))/2))/2,0)</f>
        <v>0</v>
      </c>
      <c r="BI11" s="248">
        <f>IF($P11=$BI$3,(INDEX('Tables - Part 2'!$BB$17:$BE$24,MATCH(SCC_Alkaline_Carbonate!$S11,'Tables - Part 2'!$AV$6:$AV$13,0),MATCH(SCC_Alkaline_Carbonate!$Q11,'Tables - Part 2'!$AX$5:$BA$5,0))+INDEX('Tables - Part 2'!$BF$17:$BI$24,MATCH(SCC_Alkaline_Carbonate!$S11,'Tables - Part 2'!$AV$6:$AV$13,0),MATCH(SCC_Alkaline_Carbonate!$Q11,'Tables - Part 2'!$AX$5:$BA$5,0)))/2,0)</f>
        <v>0</v>
      </c>
      <c r="BJ11" s="248">
        <f>IF($P11=$BJ$3,(((INDEX('Tables - Part 2'!$BB$17:$BE$24,MATCH(SCC_Alkaline_Carbonate!$S11,'Tables - Part 2'!$AV$6:$AV$13,0),MATCH(SCC_Alkaline_Carbonate!$Q11,'Tables - Part 2'!$AX$5:$BA$5,0))+INDEX('Tables - Part 2'!$BF$17:$BI$24,MATCH(SCC_Alkaline_Carbonate!$S11,'Tables - Part 2'!$AV$6:$AV$13,0),MATCH(SCC_Alkaline_Carbonate!$Q11,'Tables - Part 2'!$AX$5:$BA$5,0)))/2)+((((INDEX('Tables - Part 2'!$BB$17:$BE$24,MATCH(SCC_Alkaline_Carbonate!$S11,'Tables - Part 2'!$AV$6:$AV$13,0),MATCH(SCC_Alkaline_Carbonate!$Q11,'Tables - Part 2'!$AX$5:$BA$5,0))+INDEX('Tables - Part 2'!$BF$17:$BI$24,MATCH(SCC_Alkaline_Carbonate!$S11,'Tables - Part 2'!$AV$6:$AV$13,0),MATCH(SCC_Alkaline_Carbonate!$Q11,'Tables - Part 2'!$AX$5:$BA$5,0)))/2)+INDEX('Tables - Part 2'!$BF$17:$BI$24,MATCH(SCC_Alkaline_Carbonate!$S11,'Tables - Part 2'!$AV$6:$AV$13,0),MATCH(SCC_Alkaline_Carbonate!$Q11,'Tables - Part 2'!$AX$5:$BA$5,0)))/2))/2,0)</f>
        <v>0</v>
      </c>
      <c r="BK11" s="248">
        <f>IF($P11=$BK$3,(((INDEX('Tables - Part 2'!$BB$17:$BE$24,MATCH(SCC_Alkaline_Carbonate!$S11,'Tables - Part 2'!$AV$6:$AV$13,0),MATCH(SCC_Alkaline_Carbonate!$Q11,'Tables - Part 2'!$AX$5:$BA$5,0))+INDEX('Tables - Part 2'!$BF$17:$BI$24,MATCH(SCC_Alkaline_Carbonate!$S11,'Tables - Part 2'!$AV$6:$AV$13,0),MATCH(SCC_Alkaline_Carbonate!$Q11,'Tables - Part 2'!$AX$5:$BA$5,0)))/2)+INDEX('Tables - Part 2'!$BF$17:$BI$24,MATCH(SCC_Alkaline_Carbonate!$S11,'Tables - Part 2'!$AV$6:$AV$13,0),MATCH(SCC_Alkaline_Carbonate!$Q11,'Tables - Part 2'!$AX$5:$BA$5,0)))/2,0)</f>
        <v>0</v>
      </c>
      <c r="BL11" s="248">
        <f>IF($P11=$BL$3,(((((INDEX('Tables - Part 2'!$BB$17:$BE$24,MATCH(SCC_Alkaline_Carbonate!$S11,'Tables - Part 2'!$AV$6:$AV$13,0),MATCH(SCC_Alkaline_Carbonate!$Q11,'Tables - Part 2'!$AX$5:$BA$5,0))+INDEX('Tables - Part 2'!$BF$17:$BI$24,MATCH(SCC_Alkaline_Carbonate!$S11,'Tables - Part 2'!$AV$6:$AV$13,0),MATCH(SCC_Alkaline_Carbonate!$Q11,'Tables - Part 2'!$AX$5:$BA$5,0)))/2)+INDEX('Tables - Part 2'!$BF$17:$BI$24,MATCH(SCC_Alkaline_Carbonate!$S11,'Tables - Part 2'!$AV$6:$AV$13,0),MATCH(SCC_Alkaline_Carbonate!$Q11,'Tables - Part 2'!$AX$5:$BA$5,0)))/2)+(INDEX('Tables - Part 2'!$BF$17:$BI$24,MATCH(SCC_Alkaline_Carbonate!$S11,'Tables - Part 2'!$AV$6:$AV$13,0),MATCH(SCC_Alkaline_Carbonate!$Q11,'Tables - Part 2'!$AX$5:$BA$5,0))))/2,0)</f>
        <v>0</v>
      </c>
      <c r="BM11" s="248">
        <f>IF($P11=$BM$3,INDEX('Tables - Part 2'!$BF$17:$BI$24,MATCH(SCC_Alkaline_Carbonate!$S11,'Tables - Part 2'!$AV$6:$AV$13,0),MATCH(SCC_Alkaline_Carbonate!$Q11,'Tables - Part 2'!$AX$5:$BA$5,0)),0)</f>
        <v>0</v>
      </c>
      <c r="BN11" s="248">
        <f t="shared" si="6"/>
        <v>0</v>
      </c>
      <c r="BO11" s="238">
        <f t="shared" si="8"/>
        <v>3</v>
      </c>
      <c r="BP11" s="238">
        <f t="shared" si="7"/>
        <v>50.318647405225171</v>
      </c>
    </row>
    <row r="12" spans="2:81" x14ac:dyDescent="0.35">
      <c r="B12" s="161" t="str">
        <f>'Tratamento de Dados'!B20</f>
        <v>V-3</v>
      </c>
      <c r="C12" s="161" t="str">
        <f>'Tratamento de Dados'!D20</f>
        <v>Casco</v>
      </c>
      <c r="D12" s="209" t="s">
        <v>245</v>
      </c>
      <c r="E12" s="209" t="s">
        <v>61</v>
      </c>
      <c r="F12" s="209" t="s">
        <v>1134</v>
      </c>
      <c r="G12" s="209" t="s">
        <v>1132</v>
      </c>
      <c r="H12" s="209" t="s">
        <v>245</v>
      </c>
      <c r="I12" s="210">
        <v>39092</v>
      </c>
      <c r="J12" s="209">
        <v>0</v>
      </c>
      <c r="K12" s="209">
        <v>1</v>
      </c>
      <c r="L12" s="209">
        <v>1</v>
      </c>
      <c r="M12" s="209">
        <v>4</v>
      </c>
      <c r="N12" s="253">
        <f>'Tratamento de Dados'!DA20</f>
        <v>0</v>
      </c>
      <c r="O12" s="253">
        <f>'Tratamento de Dados'!DB20</f>
        <v>0</v>
      </c>
      <c r="P12" s="256">
        <f t="shared" si="0"/>
        <v>2.5</v>
      </c>
      <c r="Q12" s="246" t="str">
        <f t="shared" si="1"/>
        <v>B</v>
      </c>
      <c r="R12" s="238" t="str">
        <f>IF(D12=$BU$2,$BS$4,IF(H12=$BU$2,$BS$5,INDEX('Tables - Part 2'!$DA$6:$DB$9,MATCH(SCC_Alkaline_Carbonate!F12,'Tables - Part 2'!$CY$6:$CY$9,0),MATCH(SCC_Alkaline_Carbonate!G12,'Tables - Part 2'!$DA$5:$DB$5,0))))</f>
        <v>Medium</v>
      </c>
      <c r="S12" s="238">
        <f>IF(AND(D12=$BU$2,E12&lt;&gt;$BU$2),"Fitness-For-Service",INDEX('Tables - Part 2'!$DE$4:$DE$7,MATCH(SCC_Alkaline_Carbonate!R12,'Tables - Part 2'!$DD$4:$DD$7,0),))</f>
        <v>100</v>
      </c>
      <c r="T12" s="238">
        <f>IF(I12=0,(Thinning!G13-Thinning!F13)/365.25,(Thinning!G13-I12)/365.25)</f>
        <v>12.980150581793293</v>
      </c>
      <c r="U12" s="248">
        <f t="shared" si="2"/>
        <v>0</v>
      </c>
      <c r="V12" s="248">
        <f t="shared" si="3"/>
        <v>2.5</v>
      </c>
      <c r="W12" s="248">
        <f t="shared" si="4"/>
        <v>3</v>
      </c>
      <c r="X12" s="247">
        <f t="shared" si="5"/>
        <v>4</v>
      </c>
      <c r="Y12" s="248">
        <f>IF($P12=$Y$3,INDEX('Tables - Part 2'!$AX$6:$BA$13,MATCH(SCC_Alkaline_Carbonate!S12,'Tables - Part 2'!$AV$6:$AV$13,0),MATCH(SCC_Alkaline_Carbonate!Q12,'Tables - Part 2'!$AX$5:$BA$5,0)),0)</f>
        <v>0</v>
      </c>
      <c r="Z12" s="248">
        <f>IF($P12=$Z$3,(INDEX('Tables - Part 2'!$AX$6:$BA$13,MATCH(SCC_Alkaline_Carbonate!S12,'Tables - Part 2'!$AV$6:$AV$13,0),MATCH(SCC_Alkaline_Carbonate!Q12,'Tables - Part 2'!$AX$5:$BA$5,0))+(INDEX('Tables - Part 2'!$AX$6:$BA$13,MATCH(SCC_Alkaline_Carbonate!S12,'Tables - Part 2'!$AV$6:$AV$13,0),MATCH(SCC_Alkaline_Carbonate!Q12,'Tables - Part 2'!$AX$5:$BA$5,0))+((INDEX('Tables - Part 2'!$AX$6:$BA$13,MATCH(SCC_Alkaline_Carbonate!S12,'Tables - Part 2'!$AV$6:$AV$13,0),MATCH(SCC_Alkaline_Carbonate!Q12,'Tables - Part 2'!$AX$5:$BA$5,0))+INDEX('Tables - Part 2'!$BB$6:$BE$13,MATCH(SCC_Alkaline_Carbonate!$S12,'Tables - Part 2'!$AV$6:$AV$13,0),MATCH(SCC_Alkaline_Carbonate!$Q12,'Tables - Part 2'!$AX$5:$BA$5,0)))/2))/2)/2,0)</f>
        <v>0</v>
      </c>
      <c r="AA12" s="248">
        <f>IF($P12=$AA$3,(INDEX('Tables - Part 2'!$AX$6:$BA$13,MATCH(SCC_Alkaline_Carbonate!S12,'Tables - Part 2'!$AV$6:$AV$13,0),MATCH(SCC_Alkaline_Carbonate!Q12,'Tables - Part 2'!$AX$5:$BA$5,0))+((INDEX('Tables - Part 2'!$AX$6:$BA$13,MATCH(SCC_Alkaline_Carbonate!S12,'Tables - Part 2'!$AV$6:$AV$13,0),MATCH(SCC_Alkaline_Carbonate!Q12,'Tables - Part 2'!$AX$5:$BA$5,0))+INDEX('Tables - Part 2'!$BB$6:$BE$13,MATCH(SCC_Alkaline_Carbonate!$S12,'Tables - Part 2'!$AV$6:$AV$13,0),MATCH(SCC_Alkaline_Carbonate!$Q12,'Tables - Part 2'!$AX$5:$BA$5,0)))/2))/2,0)</f>
        <v>0</v>
      </c>
      <c r="AB12" s="248">
        <f>IF($P12=$AB$3,(((INDEX('Tables - Part 2'!$AX$6:$BA$13,MATCH(SCC_Alkaline_Carbonate!S12,'Tables - Part 2'!$AV$6:$AV$13,0),MATCH(SCC_Alkaline_Carbonate!Q12,'Tables - Part 2'!$AX$5:$BA$5,0))+((INDEX('Tables - Part 2'!$AX$6:$BA$13,MATCH(SCC_Alkaline_Carbonate!S12,'Tables - Part 2'!$AV$6:$AV$13,0),MATCH(SCC_Alkaline_Carbonate!Q12,'Tables - Part 2'!$AX$5:$BA$5,0))+INDEX('Tables - Part 2'!$BB$6:$BE$13,MATCH(SCC_Alkaline_Carbonate!$S12,'Tables - Part 2'!$AV$6:$AV$13,0),MATCH(SCC_Alkaline_Carbonate!$Q12,'Tables - Part 2'!$AX$5:$BA$5,0)))/2))/2)+(INDEX('Tables - Part 2'!$AX$6:$BA$13,MATCH(SCC_Alkaline_Carbonate!S12,'Tables - Part 2'!$AV$6:$AV$13,0),MATCH(SCC_Alkaline_Carbonate!Q12,'Tables - Part 2'!$AX$5:$BA$5,0))+INDEX('Tables - Part 2'!$BB$6:$BE$13,MATCH(SCC_Alkaline_Carbonate!$S12,'Tables - Part 2'!$AV$6:$AV$13,0),MATCH(SCC_Alkaline_Carbonate!$Q12,'Tables - Part 2'!$AX$5:$BA$5,0)))/2)/2,0)</f>
        <v>0</v>
      </c>
      <c r="AC12" s="248">
        <f>IF($P12=$AC$3,(INDEX('Tables - Part 2'!$AX$6:$BA$13,MATCH(SCC_Alkaline_Carbonate!S12,'Tables - Part 2'!$AV$6:$AV$13,0),MATCH(SCC_Alkaline_Carbonate!Q12,'Tables - Part 2'!$AX$5:$BA$5,0))+INDEX('Tables - Part 2'!$BB$6:$BE$13,MATCH(SCC_Alkaline_Carbonate!$S12,'Tables - Part 2'!$AV$6:$AV$13,0),MATCH(SCC_Alkaline_Carbonate!$Q12,'Tables - Part 2'!$AX$5:$BA$5,0)))/2,0)</f>
        <v>0</v>
      </c>
      <c r="AD12" s="248">
        <f>IF($P12=$AD$3,(((INDEX('Tables - Part 2'!$AX$6:$BA$13,MATCH(SCC_Alkaline_Carbonate!S12,'Tables - Part 2'!$AV$6:$AV$13,0),MATCH(SCC_Alkaline_Carbonate!Q12,'Tables - Part 2'!$AX$5:$BA$5,0))+INDEX('Tables - Part 2'!$BB$6:$BE$13,MATCH(SCC_Alkaline_Carbonate!$S12,'Tables - Part 2'!$AV$6:$AV$13,0),MATCH(SCC_Alkaline_Carbonate!$Q12,'Tables - Part 2'!$AX$5:$BA$5,0)))/2)+(((INDEX('Tables - Part 2'!$AX$6:$BA$13,MATCH(SCC_Alkaline_Carbonate!S12,'Tables - Part 2'!$AV$6:$AV$13,0),MATCH(SCC_Alkaline_Carbonate!Q12,'Tables - Part 2'!$AX$5:$BA$5,0))+INDEX('Tables - Part 2'!$BB$6:$BE$13,MATCH(SCC_Alkaline_Carbonate!$S12,'Tables - Part 2'!$AV$6:$AV$13,0),MATCH(SCC_Alkaline_Carbonate!$Q12,'Tables - Part 2'!$AX$5:$BA$5,0)))/2)+INDEX('Tables - Part 2'!$BB$6:$BE$13,MATCH(SCC_Alkaline_Carbonate!$S12,'Tables - Part 2'!$AV$6:$AV$13,0),MATCH(SCC_Alkaline_Carbonate!$Q12,'Tables - Part 2'!$AX$5:$BA$5,0)))/2)/2,0)</f>
        <v>0</v>
      </c>
      <c r="AE12" s="248">
        <f>IF($P12=$AE$3,(((INDEX('Tables - Part 2'!$AX$6:$BA$13,MATCH(SCC_Alkaline_Carbonate!S12,'Tables - Part 2'!$AV$6:$AV$13,0),MATCH(SCC_Alkaline_Carbonate!Q12,'Tables - Part 2'!$AX$5:$BA$5,0))+INDEX('Tables - Part 2'!$BB$6:$BE$13,MATCH(SCC_Alkaline_Carbonate!$S12,'Tables - Part 2'!$AV$6:$AV$13,0),MATCH(SCC_Alkaline_Carbonate!$Q12,'Tables - Part 2'!$AX$5:$BA$5,0)))/2)+INDEX('Tables - Part 2'!$BB$6:$BE$13,MATCH(SCC_Alkaline_Carbonate!$S12,'Tables - Part 2'!$AV$6:$AV$13,0),MATCH(SCC_Alkaline_Carbonate!$Q12,'Tables - Part 2'!$AX$5:$BA$5,0)))/2,0)</f>
        <v>0</v>
      </c>
      <c r="AF12" s="248">
        <f>IF($P12=$AF$3,(((((INDEX('Tables - Part 2'!$AX$6:$BA$13,MATCH(SCC_Alkaline_Carbonate!S12,'Tables - Part 2'!$AV$6:$AV$13,0),MATCH(SCC_Alkaline_Carbonate!Q12,'Tables - Part 2'!$AX$5:$BA$5,0))+INDEX('Tables - Part 2'!$BB$6:$BE$13,MATCH(SCC_Alkaline_Carbonate!$S12,'Tables - Part 2'!$AV$6:$AV$13,0),MATCH(SCC_Alkaline_Carbonate!$Q12,'Tables - Part 2'!$AX$5:$BA$5,0)))/2)+INDEX('Tables - Part 2'!$BB$6:$BE$13,MATCH(SCC_Alkaline_Carbonate!$S12,'Tables - Part 2'!$AV$6:$AV$13,0),MATCH(SCC_Alkaline_Carbonate!$Q12,'Tables - Part 2'!$AX$5:$BA$5,0)))/2)+INDEX('Tables - Part 2'!$BB$6:$BE$13,MATCH(SCC_Alkaline_Carbonate!$S12,'Tables - Part 2'!$AV$6:$AV$13,0),MATCH(SCC_Alkaline_Carbonate!$Q12,'Tables - Part 2'!$AX$5:$BA$5,0)))/2,0)</f>
        <v>0</v>
      </c>
      <c r="AG12" s="248">
        <f>IF($P12=$AG$3,INDEX('Tables - Part 2'!$BB$6:$BE$13,MATCH(SCC_Alkaline_Carbonate!$S12,'Tables - Part 2'!$AV$6:$AV$13,0),MATCH(SCC_Alkaline_Carbonate!$Q12,'Tables - Part 2'!$AX$5:$BA$5,0)),0)</f>
        <v>0</v>
      </c>
      <c r="AH12" s="248">
        <f>IF($P12=$AH$3,((INDEX('Tables - Part 2'!$BB$6:$BE$13,MATCH(SCC_Alkaline_Carbonate!$S12,'Tables - Part 2'!$AV$6:$AV$13,0),MATCH(SCC_Alkaline_Carbonate!$Q12,'Tables - Part 2'!$AX$5:$BA$5,0)))+(INDEX('Tables - Part 2'!$BB$6:$BE$13,MATCH(SCC_Alkaline_Carbonate!$S12,'Tables - Part 2'!$AV$6:$AV$13,0),MATCH(SCC_Alkaline_Carbonate!$Q12,'Tables - Part 2'!$AX$5:$BA$5,0))+(INDEX('Tables - Part 2'!$BB$6:$BE$13,MATCH(SCC_Alkaline_Carbonate!$S12,'Tables - Part 2'!$AV$6:$AV$13,0),MATCH(SCC_Alkaline_Carbonate!$Q12,'Tables - Part 2'!$AX$5:$BA$5,0))+INDEX('Tables - Part 2'!$BF$6:$BI$13,MATCH(SCC_Alkaline_Carbonate!$S12,'Tables - Part 2'!$AV$6:$AV$13,0),MATCH(SCC_Alkaline_Carbonate!$Q12,'Tables - Part 2'!$AX$5:$BA$5,0)))/2)/2)/2,0)</f>
        <v>0</v>
      </c>
      <c r="AI12" s="248">
        <f>IF($P12=$AI$3,(INDEX('Tables - Part 2'!$BB$6:$BE$13,MATCH(SCC_Alkaline_Carbonate!$S12,'Tables - Part 2'!$AV$6:$AV$13,0),MATCH(SCC_Alkaline_Carbonate!$Q12,'Tables - Part 2'!$AX$5:$BA$5,0))+(INDEX('Tables - Part 2'!$BB$6:$BE$13,MATCH(SCC_Alkaline_Carbonate!$S12,'Tables - Part 2'!$AV$6:$AV$13,0),MATCH(SCC_Alkaline_Carbonate!$Q12,'Tables - Part 2'!$AX$5:$BA$5,0))+INDEX('Tables - Part 2'!$BF$6:$BI$13,MATCH(SCC_Alkaline_Carbonate!$S12,'Tables - Part 2'!$AV$6:$AV$13,0),MATCH(SCC_Alkaline_Carbonate!$Q12,'Tables - Part 2'!$AX$5:$BA$5,0)))/2)/2,0)</f>
        <v>0</v>
      </c>
      <c r="AJ12" s="248">
        <f>IF($P12=$AJ$3,(((INDEX('Tables - Part 2'!$BB$6:$BE$13,MATCH(SCC_Alkaline_Carbonate!$S12,'Tables - Part 2'!$AV$6:$AV$13,0),MATCH(SCC_Alkaline_Carbonate!$Q12,'Tables - Part 2'!$AX$5:$BA$5,0))+(INDEX('Tables - Part 2'!$BB$6:$BE$13,MATCH(SCC_Alkaline_Carbonate!$S12,'Tables - Part 2'!$AV$6:$AV$13,0),MATCH(SCC_Alkaline_Carbonate!$Q12,'Tables - Part 2'!$AX$5:$BA$5,0))+INDEX('Tables - Part 2'!$BF$6:$BI$13,MATCH(SCC_Alkaline_Carbonate!$S12,'Tables - Part 2'!$AV$6:$AV$13,0),MATCH(SCC_Alkaline_Carbonate!$Q12,'Tables - Part 2'!$AX$5:$BA$5,0)))/2)/2)+((INDEX('Tables - Part 2'!$BB$6:$BE$13,MATCH(SCC_Alkaline_Carbonate!$S12,'Tables - Part 2'!$AV$6:$AV$13,0),MATCH(SCC_Alkaline_Carbonate!$Q12,'Tables - Part 2'!$AX$5:$BA$5,0))+INDEX('Tables - Part 2'!$BF$6:$BI$13,MATCH(SCC_Alkaline_Carbonate!$S12,'Tables - Part 2'!$AV$6:$AV$13,0),MATCH(SCC_Alkaline_Carbonate!$Q12,'Tables - Part 2'!$AX$5:$BA$5,0)))/2))/2,0)</f>
        <v>0</v>
      </c>
      <c r="AK12" s="248">
        <f>IF($P12=$AK$3,(INDEX('Tables - Part 2'!$BB$6:$BE$13,MATCH(SCC_Alkaline_Carbonate!$S12,'Tables - Part 2'!$AV$6:$AV$13,0),MATCH(SCC_Alkaline_Carbonate!$Q12,'Tables - Part 2'!$AX$5:$BA$5,0))+INDEX('Tables - Part 2'!$BF$6:$BI$13,MATCH(SCC_Alkaline_Carbonate!$S12,'Tables - Part 2'!$AV$6:$AV$13,0),MATCH(SCC_Alkaline_Carbonate!$Q12,'Tables - Part 2'!$AX$5:$BA$5,0)))/2,0)</f>
        <v>3</v>
      </c>
      <c r="AL12" s="248">
        <f>IF($P12=$AL$3,(((INDEX('Tables - Part 2'!$BB$6:$BE$13,MATCH(SCC_Alkaline_Carbonate!$S12,'Tables - Part 2'!$AV$6:$AV$13,0),MATCH(SCC_Alkaline_Carbonate!$Q12,'Tables - Part 2'!$AX$5:$BA$5,0))+INDEX('Tables - Part 2'!$BF$6:$BI$13,MATCH(SCC_Alkaline_Carbonate!$S12,'Tables - Part 2'!$AV$6:$AV$13,0),MATCH(SCC_Alkaline_Carbonate!$Q12,'Tables - Part 2'!$AX$5:$BA$5,0)))/2)+((((INDEX('Tables - Part 2'!$BB$6:$BE$13,MATCH(SCC_Alkaline_Carbonate!$S12,'Tables - Part 2'!$AV$6:$AV$13,0),MATCH(SCC_Alkaline_Carbonate!$Q12,'Tables - Part 2'!$AX$5:$BA$5,0))+INDEX('Tables - Part 2'!$BF$6:$BI$13,MATCH(SCC_Alkaline_Carbonate!$S12,'Tables - Part 2'!$AV$6:$AV$13,0),MATCH(SCC_Alkaline_Carbonate!$Q12,'Tables - Part 2'!$AX$5:$BA$5,0)))/2)+INDEX('Tables - Part 2'!$BF$6:$BI$13,MATCH(SCC_Alkaline_Carbonate!$S12,'Tables - Part 2'!$AV$6:$AV$13,0),MATCH(SCC_Alkaline_Carbonate!$Q12,'Tables - Part 2'!$AX$5:$BA$5,0)))/2))/2,0)</f>
        <v>0</v>
      </c>
      <c r="AM12" s="248">
        <f>IF($P12=$AM$3,(((INDEX('Tables - Part 2'!$BB$6:$BE$13,MATCH(SCC_Alkaline_Carbonate!$S12,'Tables - Part 2'!$AV$6:$AV$13,0),MATCH(SCC_Alkaline_Carbonate!$Q12,'Tables - Part 2'!$AX$5:$BA$5,0))+INDEX('Tables - Part 2'!$BF$6:$BI$13,MATCH(SCC_Alkaline_Carbonate!$S12,'Tables - Part 2'!$AV$6:$AV$13,0),MATCH(SCC_Alkaline_Carbonate!$Q12,'Tables - Part 2'!$AX$5:$BA$5,0)))/2)+INDEX('Tables - Part 2'!$BF$6:$BI$13,MATCH(SCC_Alkaline_Carbonate!$S12,'Tables - Part 2'!$AV$6:$AV$13,0),MATCH(SCC_Alkaline_Carbonate!$Q12,'Tables - Part 2'!$AX$5:$BA$5,0)))/2,0)</f>
        <v>0</v>
      </c>
      <c r="AN12" s="248">
        <f>IF($P12=$AN$3,(((((INDEX('Tables - Part 2'!$BB$6:$BE$13,MATCH(SCC_Alkaline_Carbonate!$S12,'Tables - Part 2'!$AV$6:$AV$13,0),MATCH(SCC_Alkaline_Carbonate!$Q12,'Tables - Part 2'!$AX$5:$BA$5,0))+INDEX('Tables - Part 2'!$BF$6:$BI$13,MATCH(SCC_Alkaline_Carbonate!$S12,'Tables - Part 2'!$AV$6:$AV$13,0),MATCH(SCC_Alkaline_Carbonate!$Q12,'Tables - Part 2'!$AX$5:$BA$5,0)))/2)+INDEX('Tables - Part 2'!$BF$6:$BI$13,MATCH(SCC_Alkaline_Carbonate!$S12,'Tables - Part 2'!$AV$6:$AV$13,0),MATCH(SCC_Alkaline_Carbonate!$Q12,'Tables - Part 2'!$AX$5:$BA$5,0)))/2)+INDEX('Tables - Part 2'!$BF$6:$BI$13,MATCH(SCC_Alkaline_Carbonate!$S12,'Tables - Part 2'!$AV$6:$AV$13,0),MATCH(SCC_Alkaline_Carbonate!$Q12,'Tables - Part 2'!$AX$5:$BA$5,0)))/2,0)</f>
        <v>0</v>
      </c>
      <c r="AO12" s="248">
        <f>IF($P12=$AO$3,INDEX('Tables - Part 2'!$BF$6:$BI$13,MATCH(SCC_Alkaline_Carbonate!$S12,'Tables - Part 2'!$AV$6:$AV$13,0),MATCH(SCC_Alkaline_Carbonate!$Q12,'Tables - Part 2'!$AX$5:$BA$5,0)),0)</f>
        <v>0</v>
      </c>
      <c r="AP12" s="248">
        <f>IF($P12=$AP$3,(INDEX('Tables - Part 2'!$BF$6:$BI$13,MATCH(SCC_Alkaline_Carbonate!$S12,'Tables - Part 2'!$AV$6:$AV$13,0),MATCH(SCC_Alkaline_Carbonate!$Q12,'Tables - Part 2'!$AX$5:$BA$5,0))+((INDEX('Tables - Part 2'!$BF$6:$BI$13,MATCH(SCC_Alkaline_Carbonate!$S12,'Tables - Part 2'!$AV$6:$AV$13,0),MATCH(SCC_Alkaline_Carbonate!$Q12,'Tables - Part 2'!$AX$5:$BA$5,0))+(INDEX('Tables - Part 2'!$BF$6:$BI$13,MATCH(SCC_Alkaline_Carbonate!$S12,'Tables - Part 2'!$AV$6:$AV$13,0),MATCH(SCC_Alkaline_Carbonate!$Q12,'Tables - Part 2'!$AX$5:$BA$5,0))+INDEX('Tables - Part 2'!$AX$17:$BA$24,MATCH(SCC_Alkaline_Carbonate!$S12,'Tables - Part 2'!$AV$6:$AV$13,0),MATCH(SCC_Alkaline_Carbonate!$Q12,'Tables - Part 2'!$AX$5:$BA$5,0)))/2)/2))/2,0)</f>
        <v>0</v>
      </c>
      <c r="AQ12" s="248">
        <f>IF($P12=$AQ$3,(INDEX('Tables - Part 2'!$BF$6:$BI$13,MATCH(SCC_Alkaline_Carbonate!$S12,'Tables - Part 2'!$AV$6:$AV$13,0),MATCH(SCC_Alkaline_Carbonate!$Q12,'Tables - Part 2'!$AX$5:$BA$5,0))+(INDEX('Tables - Part 2'!$BF$6:$BI$13,MATCH(SCC_Alkaline_Carbonate!$S12,'Tables - Part 2'!$AV$6:$AV$13,0),MATCH(SCC_Alkaline_Carbonate!$Q12,'Tables - Part 2'!$AX$5:$BA$5,0))+INDEX('Tables - Part 2'!$AX$17:$BA$24,MATCH(SCC_Alkaline_Carbonate!$S12,'Tables - Part 2'!$AV$6:$AV$13,0),MATCH(SCC_Alkaline_Carbonate!$Q12,'Tables - Part 2'!$AX$5:$BA$5,0)))/2)/2,0)</f>
        <v>0</v>
      </c>
      <c r="AR12" s="248">
        <f>IF($P12=$AR$3,(((INDEX('Tables - Part 2'!$BF$6:$BI$13,MATCH(SCC_Alkaline_Carbonate!$S12,'Tables - Part 2'!$AV$6:$AV$13,0),MATCH(SCC_Alkaline_Carbonate!$Q12,'Tables - Part 2'!$AX$5:$BA$5,0))+(INDEX('Tables - Part 2'!$BF$6:$BI$13,MATCH(SCC_Alkaline_Carbonate!$S12,'Tables - Part 2'!$AV$6:$AV$13,0),MATCH(SCC_Alkaline_Carbonate!$Q12,'Tables - Part 2'!$AX$5:$BA$5,0))+INDEX('Tables - Part 2'!$AX$17:$BA$24,MATCH(SCC_Alkaline_Carbonate!$S12,'Tables - Part 2'!$AV$6:$AV$13,0),MATCH(SCC_Alkaline_Carbonate!$Q12,'Tables - Part 2'!$AX$5:$BA$5,0)))/2)/2)+((INDEX('Tables - Part 2'!$BF$6:$BI$13,MATCH(SCC_Alkaline_Carbonate!$S12,'Tables - Part 2'!$AV$6:$AV$13,0),MATCH(SCC_Alkaline_Carbonate!$Q12,'Tables - Part 2'!$AX$5:$BA$5,0))+INDEX('Tables - Part 2'!$AX$17:$BA$24,MATCH(SCC_Alkaline_Carbonate!$S12,'Tables - Part 2'!$AV$6:$AV$13,0),MATCH(SCC_Alkaline_Carbonate!$Q12,'Tables - Part 2'!$AX$5:$BA$5,0)))/2))/2,0)</f>
        <v>0</v>
      </c>
      <c r="AS12" s="248">
        <f>IF($P12=$AS$3,(INDEX('Tables - Part 2'!$BF$6:$BI$13,MATCH(SCC_Alkaline_Carbonate!$S12,'Tables - Part 2'!$AV$6:$AV$13,0),MATCH(SCC_Alkaline_Carbonate!$Q12,'Tables - Part 2'!$AX$5:$BA$5,0))+INDEX('Tables - Part 2'!$AX$17:$BA$24,MATCH(SCC_Alkaline_Carbonate!$S12,'Tables - Part 2'!$AV$6:$AV$13,0),MATCH(SCC_Alkaline_Carbonate!$Q12,'Tables - Part 2'!$AX$5:$BA$5,0)))/2,0)</f>
        <v>0</v>
      </c>
      <c r="AT12" s="248">
        <f>IF($P12=$AT$3,(((INDEX('Tables - Part 2'!$BF$6:$BI$13,MATCH(SCC_Alkaline_Carbonate!$S12,'Tables - Part 2'!$AV$6:$AV$13,0),MATCH(SCC_Alkaline_Carbonate!$Q12,'Tables - Part 2'!$AX$5:$BA$5,0))+INDEX('Tables - Part 2'!$AX$17:$BA$24,MATCH(SCC_Alkaline_Carbonate!$S12,'Tables - Part 2'!$AV$6:$AV$13,0),MATCH(SCC_Alkaline_Carbonate!$Q12,'Tables - Part 2'!$AX$5:$BA$5,0)))/2)+((((INDEX('Tables - Part 2'!$BF$6:$BI$13,MATCH(SCC_Alkaline_Carbonate!$S12,'Tables - Part 2'!$AV$6:$AV$13,0),MATCH(SCC_Alkaline_Carbonate!$Q12,'Tables - Part 2'!$AX$5:$BA$5,0))+INDEX('Tables - Part 2'!$AX$17:$BA$24,MATCH(SCC_Alkaline_Carbonate!$S12,'Tables - Part 2'!$AV$6:$AV$13,0),MATCH(SCC_Alkaline_Carbonate!$Q12,'Tables - Part 2'!$AX$5:$BA$5,0)))/2)+INDEX('Tables - Part 2'!$AX$17:$BA$24,MATCH(SCC_Alkaline_Carbonate!$S12,'Tables - Part 2'!$AV$6:$AV$13,0),MATCH(SCC_Alkaline_Carbonate!$Q12,'Tables - Part 2'!$AX$5:$BA$5,0)))/2))/2,0)</f>
        <v>0</v>
      </c>
      <c r="AU12" s="248">
        <f>IF($P12=$AU$3,(((INDEX('Tables - Part 2'!$BF$6:$BI$13,MATCH(SCC_Alkaline_Carbonate!$S12,'Tables - Part 2'!$AV$6:$AV$13,0),MATCH(SCC_Alkaline_Carbonate!$Q12,'Tables - Part 2'!$AX$5:$BA$5,0))+INDEX('Tables - Part 2'!$AX$17:$BA$24,MATCH(SCC_Alkaline_Carbonate!$S12,'Tables - Part 2'!$AV$6:$AV$13,0),MATCH(SCC_Alkaline_Carbonate!$Q12,'Tables - Part 2'!$AX$5:$BA$5,0)))/2)+INDEX('Tables - Part 2'!$AX$17:$BA$24,MATCH(SCC_Alkaline_Carbonate!$S12,'Tables - Part 2'!$AV$6:$AV$13,0),MATCH(SCC_Alkaline_Carbonate!$Q12,'Tables - Part 2'!$AX$5:$BA$5,0)))/2,0)</f>
        <v>0</v>
      </c>
      <c r="AV12" s="248">
        <f>IF($P12=$AV$3,(((((INDEX('Tables - Part 2'!$BF$6:$BI$13,MATCH(SCC_Alkaline_Carbonate!$S12,'Tables - Part 2'!$AV$6:$AV$13,0),MATCH(SCC_Alkaline_Carbonate!$Q12,'Tables - Part 2'!$AX$5:$BA$5,0))+INDEX('Tables - Part 2'!$AX$17:$BA$24,MATCH(SCC_Alkaline_Carbonate!$S12,'Tables - Part 2'!$AV$6:$AV$13,0),MATCH(SCC_Alkaline_Carbonate!$Q12,'Tables - Part 2'!$AX$5:$BA$5,0)))/2)+INDEX('Tables - Part 2'!$AX$17:$BA$24,MATCH(SCC_Alkaline_Carbonate!$S12,'Tables - Part 2'!$AV$6:$AV$13,0),MATCH(SCC_Alkaline_Carbonate!$Q12,'Tables - Part 2'!$AX$5:$BA$5,0)))/2)+(INDEX('Tables - Part 2'!$AX$17:$BA$24,MATCH(SCC_Alkaline_Carbonate!$S12,'Tables - Part 2'!$AV$6:$AV$13,0),MATCH(SCC_Alkaline_Carbonate!$Q12,'Tables - Part 2'!$AX$5:$BA$5,0))))/2,0)</f>
        <v>0</v>
      </c>
      <c r="AW12" s="248">
        <f>IF($P12=$AW$3,INDEX('Tables - Part 2'!$AX$17:$BA$24,MATCH(SCC_Alkaline_Carbonate!$S12,'Tables - Part 2'!$AV$6:$AV$13,0),MATCH(SCC_Alkaline_Carbonate!$Q12,'Tables - Part 2'!$AX$5:$BA$5,0)),0)</f>
        <v>0</v>
      </c>
      <c r="AX12" s="248">
        <f>IF($P12=$AX$3,((INDEX('Tables - Part 2'!$AX$17:$BA$24,MATCH(SCC_Alkaline_Carbonate!$S12,'Tables - Part 2'!$AV$6:$AV$13,0),MATCH(SCC_Alkaline_Carbonate!$Q12,'Tables - Part 2'!$AX$5:$BA$5,0)))+(((INDEX('Tables - Part 2'!$AX$17:$BA$24,MATCH(SCC_Alkaline_Carbonate!$S12,'Tables - Part 2'!$AV$6:$AV$13,0),MATCH(SCC_Alkaline_Carbonate!$Q12,'Tables - Part 2'!$AX$5:$BA$5,0)))+(INDEX('Tables - Part 2'!$AX$17:$BA$24,MATCH(SCC_Alkaline_Carbonate!$S12,'Tables - Part 2'!$AV$6:$AV$13,0),MATCH(SCC_Alkaline_Carbonate!$Q12,'Tables - Part 2'!$AX$5:$BA$5,0))+INDEX('Tables - Part 2'!$BB$17:$BE$24,MATCH(SCC_Alkaline_Carbonate!$S12,'Tables - Part 2'!$AV$6:$AV$13,0),MATCH(SCC_Alkaline_Carbonate!$Q12,'Tables - Part 2'!$AX$5:$BA$5,0)))/2)/2))/2,0)</f>
        <v>0</v>
      </c>
      <c r="AY12" s="248">
        <f>IF($P12=$AY$3,((INDEX('Tables - Part 2'!$AX$17:$BA$24,MATCH(SCC_Alkaline_Carbonate!$S12,'Tables - Part 2'!$AV$6:$AV$13,0),MATCH(SCC_Alkaline_Carbonate!$Q12,'Tables - Part 2'!$AX$5:$BA$5,0)))+(INDEX('Tables - Part 2'!$AX$17:$BA$24,MATCH(SCC_Alkaline_Carbonate!$S12,'Tables - Part 2'!$AV$6:$AV$13,0),MATCH(SCC_Alkaline_Carbonate!$Q12,'Tables - Part 2'!$AX$5:$BA$5,0))+INDEX('Tables - Part 2'!$BB$17:$BE$24,MATCH(SCC_Alkaline_Carbonate!$S12,'Tables - Part 2'!$AV$6:$AV$13,0),MATCH(SCC_Alkaline_Carbonate!$Q12,'Tables - Part 2'!$AX$5:$BA$5,0)))/2)/2,0)</f>
        <v>0</v>
      </c>
      <c r="AZ12" s="248">
        <f>IF($P12=$AZ$3,((((INDEX('Tables - Part 2'!$AX$17:$BA$24,MATCH(SCC_Alkaline_Carbonate!$S12,'Tables - Part 2'!$AV$6:$AV$13,0),MATCH(SCC_Alkaline_Carbonate!$Q12,'Tables - Part 2'!$AX$5:$BA$5,0)))+(INDEX('Tables - Part 2'!$AX$17:$BA$24,MATCH(SCC_Alkaline_Carbonate!$S12,'Tables - Part 2'!$AV$6:$AV$13,0),MATCH(SCC_Alkaline_Carbonate!$Q12,'Tables - Part 2'!$AX$5:$BA$5,0))+INDEX('Tables - Part 2'!$BB$17:$BE$24,MATCH(SCC_Alkaline_Carbonate!$S12,'Tables - Part 2'!$AV$6:$AV$13,0),MATCH(SCC_Alkaline_Carbonate!$Q12,'Tables - Part 2'!$AX$5:$BA$5,0)))/2)/2)+((INDEX('Tables - Part 2'!$AX$17:$BA$24,MATCH(SCC_Alkaline_Carbonate!$S12,'Tables - Part 2'!$AV$6:$AV$13,0),MATCH(SCC_Alkaline_Carbonate!$Q12,'Tables - Part 2'!$AX$5:$BA$5,0))+INDEX('Tables - Part 2'!$BB$17:$BE$24,MATCH(SCC_Alkaline_Carbonate!$S12,'Tables - Part 2'!$AV$6:$AV$13,0),MATCH(SCC_Alkaline_Carbonate!$Q12,'Tables - Part 2'!$AX$5:$BA$5,0)))/2))/2,0)</f>
        <v>0</v>
      </c>
      <c r="BA12" s="248">
        <f>IF($P12=$BA$3,(INDEX('Tables - Part 2'!$AX$17:$BA$24,MATCH(SCC_Alkaline_Carbonate!$S12,'Tables - Part 2'!$AV$6:$AV$13,0),MATCH(SCC_Alkaline_Carbonate!$Q12,'Tables - Part 2'!$AX$5:$BA$5,0))+INDEX('Tables - Part 2'!$BB$17:$BE$24,MATCH(SCC_Alkaline_Carbonate!$S12,'Tables - Part 2'!$AV$6:$AV$13,0),MATCH(SCC_Alkaline_Carbonate!$Q12,'Tables - Part 2'!$AX$5:$BA$5,0)))/2,0)</f>
        <v>0</v>
      </c>
      <c r="BB12" s="248">
        <f>IF($P12=$BB$3,(((INDEX('Tables - Part 2'!$AX$17:$BA$24,MATCH(SCC_Alkaline_Carbonate!$S12,'Tables - Part 2'!$AV$6:$AV$13,0),MATCH(SCC_Alkaline_Carbonate!$Q12,'Tables - Part 2'!$AX$5:$BA$5,0))+INDEX('Tables - Part 2'!$BB$17:$BE$24,MATCH(SCC_Alkaline_Carbonate!$S12,'Tables - Part 2'!$AV$6:$AV$13,0),MATCH(SCC_Alkaline_Carbonate!$Q12,'Tables - Part 2'!$AX$5:$BA$5,0)))/2)+((((INDEX('Tables - Part 2'!$AX$17:$BA$24,MATCH(SCC_Alkaline_Carbonate!$S12,'Tables - Part 2'!$AV$6:$AV$13,0),MATCH(SCC_Alkaline_Carbonate!$Q12,'Tables - Part 2'!$AX$5:$BA$5,0))+INDEX('Tables - Part 2'!$BB$17:$BE$24,MATCH(SCC_Alkaline_Carbonate!$S12,'Tables - Part 2'!$AV$6:$AV$13,0),MATCH(SCC_Alkaline_Carbonate!$Q12,'Tables - Part 2'!$AX$5:$BA$5,0)))/2)+INDEX('Tables - Part 2'!$BB$17:$BE$24,MATCH(SCC_Alkaline_Carbonate!$S12,'Tables - Part 2'!$AV$6:$AV$13,0),MATCH(SCC_Alkaline_Carbonate!$Q12,'Tables - Part 2'!$AX$5:$BA$5,0)))/2))/2,0)</f>
        <v>0</v>
      </c>
      <c r="BC12" s="248">
        <f>IF($P12=$BC$3,(((INDEX('Tables - Part 2'!$AX$17:$BA$24,MATCH(SCC_Alkaline_Carbonate!$S12,'Tables - Part 2'!$AV$6:$AV$13,0),MATCH(SCC_Alkaline_Carbonate!$Q12,'Tables - Part 2'!$AX$5:$BA$5,0))+INDEX('Tables - Part 2'!$BB$17:$BE$24,MATCH(SCC_Alkaline_Carbonate!$S12,'Tables - Part 2'!$AV$6:$AV$13,0),MATCH(SCC_Alkaline_Carbonate!$Q12,'Tables - Part 2'!$AX$5:$BA$5,0)))/2)+INDEX('Tables - Part 2'!$BB$17:$BE$24,MATCH(SCC_Alkaline_Carbonate!$S12,'Tables - Part 2'!$AV$6:$AV$13,0),MATCH(SCC_Alkaline_Carbonate!$Q12,'Tables - Part 2'!$AX$5:$BA$5,0)))/2,0)</f>
        <v>0</v>
      </c>
      <c r="BD12" s="248">
        <f>IF($P12=$BD$3,(((((INDEX('Tables - Part 2'!$AX$17:$BA$24,MATCH(SCC_Alkaline_Carbonate!$S12,'Tables - Part 2'!$AV$6:$AV$13,0),MATCH(SCC_Alkaline_Carbonate!$Q12,'Tables - Part 2'!$AX$5:$BA$5,0))+INDEX('Tables - Part 2'!$BB$17:$BE$24,MATCH(SCC_Alkaline_Carbonate!$S12,'Tables - Part 2'!$AV$6:$AV$13,0),MATCH(SCC_Alkaline_Carbonate!$Q12,'Tables - Part 2'!$AX$5:$BA$5,0)))/2)+INDEX('Tables - Part 2'!$BB$17:$BE$24,MATCH(SCC_Alkaline_Carbonate!$S12,'Tables - Part 2'!$AV$6:$AV$13,0),MATCH(SCC_Alkaline_Carbonate!$Q12,'Tables - Part 2'!$AX$5:$BA$5,0)))/2)+(INDEX('Tables - Part 2'!$BB$17:$BE$24,MATCH(SCC_Alkaline_Carbonate!$S12,'Tables - Part 2'!$AV$6:$AV$13,0),MATCH(SCC_Alkaline_Carbonate!$Q12,'Tables - Part 2'!$AX$5:$BA$5,0))))/2,0)</f>
        <v>0</v>
      </c>
      <c r="BE12" s="248">
        <f>IF($P12=$BE$3,INDEX('Tables - Part 2'!$BB$17:$BE$24,MATCH(SCC_Alkaline_Carbonate!$S12,'Tables - Part 2'!$AV$6:$AV$13,0),MATCH(SCC_Alkaline_Carbonate!$Q12,'Tables - Part 2'!$AX$5:$BA$5,0)),0)</f>
        <v>0</v>
      </c>
      <c r="BF12" s="248">
        <f>IF($P12=$BF$3,((INDEX('Tables - Part 2'!$BB$17:$BE$24,MATCH(SCC_Alkaline_Carbonate!$S12,'Tables - Part 2'!$AV$6:$AV$13,0),MATCH(SCC_Alkaline_Carbonate!$Q12,'Tables - Part 2'!$AX$5:$BA$5,0)))+(((INDEX('Tables - Part 2'!$BB$17:$BE$24,MATCH(SCC_Alkaline_Carbonate!$S12,'Tables - Part 2'!$AV$6:$AV$13,0),MATCH(SCC_Alkaline_Carbonate!$Q12,'Tables - Part 2'!$AX$5:$BA$5,0)))+(INDEX('Tables - Part 2'!$BB$17:$BE$24,MATCH(SCC_Alkaline_Carbonate!$S12,'Tables - Part 2'!$AV$6:$AV$13,0),MATCH(SCC_Alkaline_Carbonate!$Q12,'Tables - Part 2'!$AX$5:$BA$5,0))+INDEX('Tables - Part 2'!$BF$17:$BI$24,MATCH(SCC_Alkaline_Carbonate!$S12,'Tables - Part 2'!$AV$6:$AV$13,0),MATCH(SCC_Alkaline_Carbonate!$Q12,'Tables - Part 2'!$AX$5:$BA$5,0)))/2)/2))/2,0)</f>
        <v>0</v>
      </c>
      <c r="BG12" s="248">
        <f>IF($P12=$BG$3,((INDEX('Tables - Part 2'!$BB$17:$BE$24,MATCH(SCC_Alkaline_Carbonate!$S12,'Tables - Part 2'!$AV$6:$AV$13,0),MATCH(SCC_Alkaline_Carbonate!$Q12,'Tables - Part 2'!$AX$5:$BA$5,0)))+(INDEX('Tables - Part 2'!$BB$17:$BE$24,MATCH(SCC_Alkaline_Carbonate!$S12,'Tables - Part 2'!$AV$6:$AV$13,0),MATCH(SCC_Alkaline_Carbonate!$Q12,'Tables - Part 2'!$AX$5:$BA$5,0))+INDEX('Tables - Part 2'!$BF$17:$BI$24,MATCH(SCC_Alkaline_Carbonate!$S12,'Tables - Part 2'!$AV$6:$AV$13,0),MATCH(SCC_Alkaline_Carbonate!$Q12,'Tables - Part 2'!$AX$5:$BA$5,0)))/2)/2,0)</f>
        <v>0</v>
      </c>
      <c r="BH12" s="248">
        <f>IF($P12=$BH$3,((((INDEX('Tables - Part 2'!$BB$17:$BE$24,MATCH(SCC_Alkaline_Carbonate!$S12,'Tables - Part 2'!$AV$6:$AV$13,0),MATCH(SCC_Alkaline_Carbonate!$Q12,'Tables - Part 2'!$AX$5:$BA$5,0)))+(INDEX('Tables - Part 2'!$BB$17:$BE$24,MATCH(SCC_Alkaline_Carbonate!$S12,'Tables - Part 2'!$AV$6:$AV$13,0),MATCH(SCC_Alkaline_Carbonate!$Q12,'Tables - Part 2'!$AX$5:$BA$5,0))+INDEX('Tables - Part 2'!$BF$17:$BI$24,MATCH(SCC_Alkaline_Carbonate!$S12,'Tables - Part 2'!$AV$6:$AV$13,0),MATCH(SCC_Alkaline_Carbonate!$Q12,'Tables - Part 2'!$AX$5:$BA$5,0)))/2)/2)+((INDEX('Tables - Part 2'!$BB$17:$BE$24,MATCH(SCC_Alkaline_Carbonate!$S12,'Tables - Part 2'!$AV$6:$AV$13,0),MATCH(SCC_Alkaline_Carbonate!$Q12,'Tables - Part 2'!$AX$5:$BA$5,0))+INDEX('Tables - Part 2'!$BF$17:$BI$24,MATCH(SCC_Alkaline_Carbonate!$S12,'Tables - Part 2'!$AV$6:$AV$13,0),MATCH(SCC_Alkaline_Carbonate!$Q12,'Tables - Part 2'!$AX$5:$BA$5,0)))/2))/2,0)</f>
        <v>0</v>
      </c>
      <c r="BI12" s="248">
        <f>IF($P12=$BI$3,(INDEX('Tables - Part 2'!$BB$17:$BE$24,MATCH(SCC_Alkaline_Carbonate!$S12,'Tables - Part 2'!$AV$6:$AV$13,0),MATCH(SCC_Alkaline_Carbonate!$Q12,'Tables - Part 2'!$AX$5:$BA$5,0))+INDEX('Tables - Part 2'!$BF$17:$BI$24,MATCH(SCC_Alkaline_Carbonate!$S12,'Tables - Part 2'!$AV$6:$AV$13,0),MATCH(SCC_Alkaline_Carbonate!$Q12,'Tables - Part 2'!$AX$5:$BA$5,0)))/2,0)</f>
        <v>0</v>
      </c>
      <c r="BJ12" s="248">
        <f>IF($P12=$BJ$3,(((INDEX('Tables - Part 2'!$BB$17:$BE$24,MATCH(SCC_Alkaline_Carbonate!$S12,'Tables - Part 2'!$AV$6:$AV$13,0),MATCH(SCC_Alkaline_Carbonate!$Q12,'Tables - Part 2'!$AX$5:$BA$5,0))+INDEX('Tables - Part 2'!$BF$17:$BI$24,MATCH(SCC_Alkaline_Carbonate!$S12,'Tables - Part 2'!$AV$6:$AV$13,0),MATCH(SCC_Alkaline_Carbonate!$Q12,'Tables - Part 2'!$AX$5:$BA$5,0)))/2)+((((INDEX('Tables - Part 2'!$BB$17:$BE$24,MATCH(SCC_Alkaline_Carbonate!$S12,'Tables - Part 2'!$AV$6:$AV$13,0),MATCH(SCC_Alkaline_Carbonate!$Q12,'Tables - Part 2'!$AX$5:$BA$5,0))+INDEX('Tables - Part 2'!$BF$17:$BI$24,MATCH(SCC_Alkaline_Carbonate!$S12,'Tables - Part 2'!$AV$6:$AV$13,0),MATCH(SCC_Alkaline_Carbonate!$Q12,'Tables - Part 2'!$AX$5:$BA$5,0)))/2)+INDEX('Tables - Part 2'!$BF$17:$BI$24,MATCH(SCC_Alkaline_Carbonate!$S12,'Tables - Part 2'!$AV$6:$AV$13,0),MATCH(SCC_Alkaline_Carbonate!$Q12,'Tables - Part 2'!$AX$5:$BA$5,0)))/2))/2,0)</f>
        <v>0</v>
      </c>
      <c r="BK12" s="248">
        <f>IF($P12=$BK$3,(((INDEX('Tables - Part 2'!$BB$17:$BE$24,MATCH(SCC_Alkaline_Carbonate!$S12,'Tables - Part 2'!$AV$6:$AV$13,0),MATCH(SCC_Alkaline_Carbonate!$Q12,'Tables - Part 2'!$AX$5:$BA$5,0))+INDEX('Tables - Part 2'!$BF$17:$BI$24,MATCH(SCC_Alkaline_Carbonate!$S12,'Tables - Part 2'!$AV$6:$AV$13,0),MATCH(SCC_Alkaline_Carbonate!$Q12,'Tables - Part 2'!$AX$5:$BA$5,0)))/2)+INDEX('Tables - Part 2'!$BF$17:$BI$24,MATCH(SCC_Alkaline_Carbonate!$S12,'Tables - Part 2'!$AV$6:$AV$13,0),MATCH(SCC_Alkaline_Carbonate!$Q12,'Tables - Part 2'!$AX$5:$BA$5,0)))/2,0)</f>
        <v>0</v>
      </c>
      <c r="BL12" s="248">
        <f>IF($P12=$BL$3,(((((INDEX('Tables - Part 2'!$BB$17:$BE$24,MATCH(SCC_Alkaline_Carbonate!$S12,'Tables - Part 2'!$AV$6:$AV$13,0),MATCH(SCC_Alkaline_Carbonate!$Q12,'Tables - Part 2'!$AX$5:$BA$5,0))+INDEX('Tables - Part 2'!$BF$17:$BI$24,MATCH(SCC_Alkaline_Carbonate!$S12,'Tables - Part 2'!$AV$6:$AV$13,0),MATCH(SCC_Alkaline_Carbonate!$Q12,'Tables - Part 2'!$AX$5:$BA$5,0)))/2)+INDEX('Tables - Part 2'!$BF$17:$BI$24,MATCH(SCC_Alkaline_Carbonate!$S12,'Tables - Part 2'!$AV$6:$AV$13,0),MATCH(SCC_Alkaline_Carbonate!$Q12,'Tables - Part 2'!$AX$5:$BA$5,0)))/2)+(INDEX('Tables - Part 2'!$BF$17:$BI$24,MATCH(SCC_Alkaline_Carbonate!$S12,'Tables - Part 2'!$AV$6:$AV$13,0),MATCH(SCC_Alkaline_Carbonate!$Q12,'Tables - Part 2'!$AX$5:$BA$5,0))))/2,0)</f>
        <v>0</v>
      </c>
      <c r="BM12" s="248">
        <f>IF($P12=$BM$3,INDEX('Tables - Part 2'!$BF$17:$BI$24,MATCH(SCC_Alkaline_Carbonate!$S12,'Tables - Part 2'!$AV$6:$AV$13,0),MATCH(SCC_Alkaline_Carbonate!$Q12,'Tables - Part 2'!$AX$5:$BA$5,0)),0)</f>
        <v>0</v>
      </c>
      <c r="BN12" s="248">
        <f t="shared" si="6"/>
        <v>0</v>
      </c>
      <c r="BO12" s="238">
        <f t="shared" si="8"/>
        <v>3</v>
      </c>
      <c r="BP12" s="238">
        <f t="shared" si="7"/>
        <v>50.318647405225171</v>
      </c>
    </row>
    <row r="13" spans="2:81" x14ac:dyDescent="0.35">
      <c r="B13" s="161" t="str">
        <f>'Tratamento de Dados'!B21</f>
        <v>V-4</v>
      </c>
      <c r="C13" s="161" t="str">
        <f>'Tratamento de Dados'!D21</f>
        <v>Casco</v>
      </c>
      <c r="D13" s="209" t="s">
        <v>245</v>
      </c>
      <c r="E13" s="209" t="s">
        <v>61</v>
      </c>
      <c r="F13" s="209" t="s">
        <v>1134</v>
      </c>
      <c r="G13" s="209" t="s">
        <v>1132</v>
      </c>
      <c r="H13" s="209" t="s">
        <v>245</v>
      </c>
      <c r="I13" s="210">
        <v>39092</v>
      </c>
      <c r="J13" s="209">
        <v>0</v>
      </c>
      <c r="K13" s="209">
        <v>1</v>
      </c>
      <c r="L13" s="209">
        <v>1</v>
      </c>
      <c r="M13" s="209">
        <v>4</v>
      </c>
      <c r="N13" s="253">
        <f>'Tratamento de Dados'!DA21</f>
        <v>0</v>
      </c>
      <c r="O13" s="253">
        <f>'Tratamento de Dados'!DB21</f>
        <v>0</v>
      </c>
      <c r="P13" s="256">
        <f t="shared" si="0"/>
        <v>2.5</v>
      </c>
      <c r="Q13" s="246" t="str">
        <f t="shared" si="1"/>
        <v>B</v>
      </c>
      <c r="R13" s="238" t="str">
        <f>IF(D13=$BU$2,$BS$4,IF(H13=$BU$2,$BS$5,INDEX('Tables - Part 2'!$DA$6:$DB$9,MATCH(SCC_Alkaline_Carbonate!F13,'Tables - Part 2'!$CY$6:$CY$9,0),MATCH(SCC_Alkaline_Carbonate!G13,'Tables - Part 2'!$DA$5:$DB$5,0))))</f>
        <v>Medium</v>
      </c>
      <c r="S13" s="238">
        <f>IF(AND(D13=$BU$2,E13&lt;&gt;$BU$2),"Fitness-For-Service",INDEX('Tables - Part 2'!$DE$4:$DE$7,MATCH(SCC_Alkaline_Carbonate!R13,'Tables - Part 2'!$DD$4:$DD$7,0),))</f>
        <v>100</v>
      </c>
      <c r="T13" s="238">
        <f>IF(I13=0,(Thinning!G14-Thinning!F14)/365.25,(Thinning!G14-I13)/365.25)</f>
        <v>12.980150581793293</v>
      </c>
      <c r="U13" s="248">
        <f t="shared" si="2"/>
        <v>0</v>
      </c>
      <c r="V13" s="248">
        <f t="shared" si="3"/>
        <v>2.5</v>
      </c>
      <c r="W13" s="248">
        <f t="shared" si="4"/>
        <v>3</v>
      </c>
      <c r="X13" s="247">
        <f t="shared" si="5"/>
        <v>4</v>
      </c>
      <c r="Y13" s="248">
        <f>IF($P13=$Y$3,INDEX('Tables - Part 2'!$AX$6:$BA$13,MATCH(SCC_Alkaline_Carbonate!S13,'Tables - Part 2'!$AV$6:$AV$13,0),MATCH(SCC_Alkaline_Carbonate!Q13,'Tables - Part 2'!$AX$5:$BA$5,0)),0)</f>
        <v>0</v>
      </c>
      <c r="Z13" s="248">
        <f>IF($P13=$Z$3,(INDEX('Tables - Part 2'!$AX$6:$BA$13,MATCH(SCC_Alkaline_Carbonate!S13,'Tables - Part 2'!$AV$6:$AV$13,0),MATCH(SCC_Alkaline_Carbonate!Q13,'Tables - Part 2'!$AX$5:$BA$5,0))+(INDEX('Tables - Part 2'!$AX$6:$BA$13,MATCH(SCC_Alkaline_Carbonate!S13,'Tables - Part 2'!$AV$6:$AV$13,0),MATCH(SCC_Alkaline_Carbonate!Q13,'Tables - Part 2'!$AX$5:$BA$5,0))+((INDEX('Tables - Part 2'!$AX$6:$BA$13,MATCH(SCC_Alkaline_Carbonate!S13,'Tables - Part 2'!$AV$6:$AV$13,0),MATCH(SCC_Alkaline_Carbonate!Q13,'Tables - Part 2'!$AX$5:$BA$5,0))+INDEX('Tables - Part 2'!$BB$6:$BE$13,MATCH(SCC_Alkaline_Carbonate!$S13,'Tables - Part 2'!$AV$6:$AV$13,0),MATCH(SCC_Alkaline_Carbonate!$Q13,'Tables - Part 2'!$AX$5:$BA$5,0)))/2))/2)/2,0)</f>
        <v>0</v>
      </c>
      <c r="AA13" s="248">
        <f>IF($P13=$AA$3,(INDEX('Tables - Part 2'!$AX$6:$BA$13,MATCH(SCC_Alkaline_Carbonate!S13,'Tables - Part 2'!$AV$6:$AV$13,0),MATCH(SCC_Alkaline_Carbonate!Q13,'Tables - Part 2'!$AX$5:$BA$5,0))+((INDEX('Tables - Part 2'!$AX$6:$BA$13,MATCH(SCC_Alkaline_Carbonate!S13,'Tables - Part 2'!$AV$6:$AV$13,0),MATCH(SCC_Alkaline_Carbonate!Q13,'Tables - Part 2'!$AX$5:$BA$5,0))+INDEX('Tables - Part 2'!$BB$6:$BE$13,MATCH(SCC_Alkaline_Carbonate!$S13,'Tables - Part 2'!$AV$6:$AV$13,0),MATCH(SCC_Alkaline_Carbonate!$Q13,'Tables - Part 2'!$AX$5:$BA$5,0)))/2))/2,0)</f>
        <v>0</v>
      </c>
      <c r="AB13" s="248">
        <f>IF($P13=$AB$3,(((INDEX('Tables - Part 2'!$AX$6:$BA$13,MATCH(SCC_Alkaline_Carbonate!S13,'Tables - Part 2'!$AV$6:$AV$13,0),MATCH(SCC_Alkaline_Carbonate!Q13,'Tables - Part 2'!$AX$5:$BA$5,0))+((INDEX('Tables - Part 2'!$AX$6:$BA$13,MATCH(SCC_Alkaline_Carbonate!S13,'Tables - Part 2'!$AV$6:$AV$13,0),MATCH(SCC_Alkaline_Carbonate!Q13,'Tables - Part 2'!$AX$5:$BA$5,0))+INDEX('Tables - Part 2'!$BB$6:$BE$13,MATCH(SCC_Alkaline_Carbonate!$S13,'Tables - Part 2'!$AV$6:$AV$13,0),MATCH(SCC_Alkaline_Carbonate!$Q13,'Tables - Part 2'!$AX$5:$BA$5,0)))/2))/2)+(INDEX('Tables - Part 2'!$AX$6:$BA$13,MATCH(SCC_Alkaline_Carbonate!S13,'Tables - Part 2'!$AV$6:$AV$13,0),MATCH(SCC_Alkaline_Carbonate!Q13,'Tables - Part 2'!$AX$5:$BA$5,0))+INDEX('Tables - Part 2'!$BB$6:$BE$13,MATCH(SCC_Alkaline_Carbonate!$S13,'Tables - Part 2'!$AV$6:$AV$13,0),MATCH(SCC_Alkaline_Carbonate!$Q13,'Tables - Part 2'!$AX$5:$BA$5,0)))/2)/2,0)</f>
        <v>0</v>
      </c>
      <c r="AC13" s="248">
        <f>IF($P13=$AC$3,(INDEX('Tables - Part 2'!$AX$6:$BA$13,MATCH(SCC_Alkaline_Carbonate!S13,'Tables - Part 2'!$AV$6:$AV$13,0),MATCH(SCC_Alkaline_Carbonate!Q13,'Tables - Part 2'!$AX$5:$BA$5,0))+INDEX('Tables - Part 2'!$BB$6:$BE$13,MATCH(SCC_Alkaline_Carbonate!$S13,'Tables - Part 2'!$AV$6:$AV$13,0),MATCH(SCC_Alkaline_Carbonate!$Q13,'Tables - Part 2'!$AX$5:$BA$5,0)))/2,0)</f>
        <v>0</v>
      </c>
      <c r="AD13" s="248">
        <f>IF($P13=$AD$3,(((INDEX('Tables - Part 2'!$AX$6:$BA$13,MATCH(SCC_Alkaline_Carbonate!S13,'Tables - Part 2'!$AV$6:$AV$13,0),MATCH(SCC_Alkaline_Carbonate!Q13,'Tables - Part 2'!$AX$5:$BA$5,0))+INDEX('Tables - Part 2'!$BB$6:$BE$13,MATCH(SCC_Alkaline_Carbonate!$S13,'Tables - Part 2'!$AV$6:$AV$13,0),MATCH(SCC_Alkaline_Carbonate!$Q13,'Tables - Part 2'!$AX$5:$BA$5,0)))/2)+(((INDEX('Tables - Part 2'!$AX$6:$BA$13,MATCH(SCC_Alkaline_Carbonate!S13,'Tables - Part 2'!$AV$6:$AV$13,0),MATCH(SCC_Alkaline_Carbonate!Q13,'Tables - Part 2'!$AX$5:$BA$5,0))+INDEX('Tables - Part 2'!$BB$6:$BE$13,MATCH(SCC_Alkaline_Carbonate!$S13,'Tables - Part 2'!$AV$6:$AV$13,0),MATCH(SCC_Alkaline_Carbonate!$Q13,'Tables - Part 2'!$AX$5:$BA$5,0)))/2)+INDEX('Tables - Part 2'!$BB$6:$BE$13,MATCH(SCC_Alkaline_Carbonate!$S13,'Tables - Part 2'!$AV$6:$AV$13,0),MATCH(SCC_Alkaline_Carbonate!$Q13,'Tables - Part 2'!$AX$5:$BA$5,0)))/2)/2,0)</f>
        <v>0</v>
      </c>
      <c r="AE13" s="248">
        <f>IF($P13=$AE$3,(((INDEX('Tables - Part 2'!$AX$6:$BA$13,MATCH(SCC_Alkaline_Carbonate!S13,'Tables - Part 2'!$AV$6:$AV$13,0),MATCH(SCC_Alkaline_Carbonate!Q13,'Tables - Part 2'!$AX$5:$BA$5,0))+INDEX('Tables - Part 2'!$BB$6:$BE$13,MATCH(SCC_Alkaline_Carbonate!$S13,'Tables - Part 2'!$AV$6:$AV$13,0),MATCH(SCC_Alkaline_Carbonate!$Q13,'Tables - Part 2'!$AX$5:$BA$5,0)))/2)+INDEX('Tables - Part 2'!$BB$6:$BE$13,MATCH(SCC_Alkaline_Carbonate!$S13,'Tables - Part 2'!$AV$6:$AV$13,0),MATCH(SCC_Alkaline_Carbonate!$Q13,'Tables - Part 2'!$AX$5:$BA$5,0)))/2,0)</f>
        <v>0</v>
      </c>
      <c r="AF13" s="248">
        <f>IF($P13=$AF$3,(((((INDEX('Tables - Part 2'!$AX$6:$BA$13,MATCH(SCC_Alkaline_Carbonate!S13,'Tables - Part 2'!$AV$6:$AV$13,0),MATCH(SCC_Alkaline_Carbonate!Q13,'Tables - Part 2'!$AX$5:$BA$5,0))+INDEX('Tables - Part 2'!$BB$6:$BE$13,MATCH(SCC_Alkaline_Carbonate!$S13,'Tables - Part 2'!$AV$6:$AV$13,0),MATCH(SCC_Alkaline_Carbonate!$Q13,'Tables - Part 2'!$AX$5:$BA$5,0)))/2)+INDEX('Tables - Part 2'!$BB$6:$BE$13,MATCH(SCC_Alkaline_Carbonate!$S13,'Tables - Part 2'!$AV$6:$AV$13,0),MATCH(SCC_Alkaline_Carbonate!$Q13,'Tables - Part 2'!$AX$5:$BA$5,0)))/2)+INDEX('Tables - Part 2'!$BB$6:$BE$13,MATCH(SCC_Alkaline_Carbonate!$S13,'Tables - Part 2'!$AV$6:$AV$13,0),MATCH(SCC_Alkaline_Carbonate!$Q13,'Tables - Part 2'!$AX$5:$BA$5,0)))/2,0)</f>
        <v>0</v>
      </c>
      <c r="AG13" s="248">
        <f>IF($P13=$AG$3,INDEX('Tables - Part 2'!$BB$6:$BE$13,MATCH(SCC_Alkaline_Carbonate!$S13,'Tables - Part 2'!$AV$6:$AV$13,0),MATCH(SCC_Alkaline_Carbonate!$Q13,'Tables - Part 2'!$AX$5:$BA$5,0)),0)</f>
        <v>0</v>
      </c>
      <c r="AH13" s="248">
        <f>IF($P13=$AH$3,((INDEX('Tables - Part 2'!$BB$6:$BE$13,MATCH(SCC_Alkaline_Carbonate!$S13,'Tables - Part 2'!$AV$6:$AV$13,0),MATCH(SCC_Alkaline_Carbonate!$Q13,'Tables - Part 2'!$AX$5:$BA$5,0)))+(INDEX('Tables - Part 2'!$BB$6:$BE$13,MATCH(SCC_Alkaline_Carbonate!$S13,'Tables - Part 2'!$AV$6:$AV$13,0),MATCH(SCC_Alkaline_Carbonate!$Q13,'Tables - Part 2'!$AX$5:$BA$5,0))+(INDEX('Tables - Part 2'!$BB$6:$BE$13,MATCH(SCC_Alkaline_Carbonate!$S13,'Tables - Part 2'!$AV$6:$AV$13,0),MATCH(SCC_Alkaline_Carbonate!$Q13,'Tables - Part 2'!$AX$5:$BA$5,0))+INDEX('Tables - Part 2'!$BF$6:$BI$13,MATCH(SCC_Alkaline_Carbonate!$S13,'Tables - Part 2'!$AV$6:$AV$13,0),MATCH(SCC_Alkaline_Carbonate!$Q13,'Tables - Part 2'!$AX$5:$BA$5,0)))/2)/2)/2,0)</f>
        <v>0</v>
      </c>
      <c r="AI13" s="248">
        <f>IF($P13=$AI$3,(INDEX('Tables - Part 2'!$BB$6:$BE$13,MATCH(SCC_Alkaline_Carbonate!$S13,'Tables - Part 2'!$AV$6:$AV$13,0),MATCH(SCC_Alkaline_Carbonate!$Q13,'Tables - Part 2'!$AX$5:$BA$5,0))+(INDEX('Tables - Part 2'!$BB$6:$BE$13,MATCH(SCC_Alkaline_Carbonate!$S13,'Tables - Part 2'!$AV$6:$AV$13,0),MATCH(SCC_Alkaline_Carbonate!$Q13,'Tables - Part 2'!$AX$5:$BA$5,0))+INDEX('Tables - Part 2'!$BF$6:$BI$13,MATCH(SCC_Alkaline_Carbonate!$S13,'Tables - Part 2'!$AV$6:$AV$13,0),MATCH(SCC_Alkaline_Carbonate!$Q13,'Tables - Part 2'!$AX$5:$BA$5,0)))/2)/2,0)</f>
        <v>0</v>
      </c>
      <c r="AJ13" s="248">
        <f>IF($P13=$AJ$3,(((INDEX('Tables - Part 2'!$BB$6:$BE$13,MATCH(SCC_Alkaline_Carbonate!$S13,'Tables - Part 2'!$AV$6:$AV$13,0),MATCH(SCC_Alkaline_Carbonate!$Q13,'Tables - Part 2'!$AX$5:$BA$5,0))+(INDEX('Tables - Part 2'!$BB$6:$BE$13,MATCH(SCC_Alkaline_Carbonate!$S13,'Tables - Part 2'!$AV$6:$AV$13,0),MATCH(SCC_Alkaline_Carbonate!$Q13,'Tables - Part 2'!$AX$5:$BA$5,0))+INDEX('Tables - Part 2'!$BF$6:$BI$13,MATCH(SCC_Alkaline_Carbonate!$S13,'Tables - Part 2'!$AV$6:$AV$13,0),MATCH(SCC_Alkaline_Carbonate!$Q13,'Tables - Part 2'!$AX$5:$BA$5,0)))/2)/2)+((INDEX('Tables - Part 2'!$BB$6:$BE$13,MATCH(SCC_Alkaline_Carbonate!$S13,'Tables - Part 2'!$AV$6:$AV$13,0),MATCH(SCC_Alkaline_Carbonate!$Q13,'Tables - Part 2'!$AX$5:$BA$5,0))+INDEX('Tables - Part 2'!$BF$6:$BI$13,MATCH(SCC_Alkaline_Carbonate!$S13,'Tables - Part 2'!$AV$6:$AV$13,0),MATCH(SCC_Alkaline_Carbonate!$Q13,'Tables - Part 2'!$AX$5:$BA$5,0)))/2))/2,0)</f>
        <v>0</v>
      </c>
      <c r="AK13" s="248">
        <f>IF($P13=$AK$3,(INDEX('Tables - Part 2'!$BB$6:$BE$13,MATCH(SCC_Alkaline_Carbonate!$S13,'Tables - Part 2'!$AV$6:$AV$13,0),MATCH(SCC_Alkaline_Carbonate!$Q13,'Tables - Part 2'!$AX$5:$BA$5,0))+INDEX('Tables - Part 2'!$BF$6:$BI$13,MATCH(SCC_Alkaline_Carbonate!$S13,'Tables - Part 2'!$AV$6:$AV$13,0),MATCH(SCC_Alkaline_Carbonate!$Q13,'Tables - Part 2'!$AX$5:$BA$5,0)))/2,0)</f>
        <v>3</v>
      </c>
      <c r="AL13" s="248">
        <f>IF($P13=$AL$3,(((INDEX('Tables - Part 2'!$BB$6:$BE$13,MATCH(SCC_Alkaline_Carbonate!$S13,'Tables - Part 2'!$AV$6:$AV$13,0),MATCH(SCC_Alkaline_Carbonate!$Q13,'Tables - Part 2'!$AX$5:$BA$5,0))+INDEX('Tables - Part 2'!$BF$6:$BI$13,MATCH(SCC_Alkaline_Carbonate!$S13,'Tables - Part 2'!$AV$6:$AV$13,0),MATCH(SCC_Alkaline_Carbonate!$Q13,'Tables - Part 2'!$AX$5:$BA$5,0)))/2)+((((INDEX('Tables - Part 2'!$BB$6:$BE$13,MATCH(SCC_Alkaline_Carbonate!$S13,'Tables - Part 2'!$AV$6:$AV$13,0),MATCH(SCC_Alkaline_Carbonate!$Q13,'Tables - Part 2'!$AX$5:$BA$5,0))+INDEX('Tables - Part 2'!$BF$6:$BI$13,MATCH(SCC_Alkaline_Carbonate!$S13,'Tables - Part 2'!$AV$6:$AV$13,0),MATCH(SCC_Alkaline_Carbonate!$Q13,'Tables - Part 2'!$AX$5:$BA$5,0)))/2)+INDEX('Tables - Part 2'!$BF$6:$BI$13,MATCH(SCC_Alkaline_Carbonate!$S13,'Tables - Part 2'!$AV$6:$AV$13,0),MATCH(SCC_Alkaline_Carbonate!$Q13,'Tables - Part 2'!$AX$5:$BA$5,0)))/2))/2,0)</f>
        <v>0</v>
      </c>
      <c r="AM13" s="248">
        <f>IF($P13=$AM$3,(((INDEX('Tables - Part 2'!$BB$6:$BE$13,MATCH(SCC_Alkaline_Carbonate!$S13,'Tables - Part 2'!$AV$6:$AV$13,0),MATCH(SCC_Alkaline_Carbonate!$Q13,'Tables - Part 2'!$AX$5:$BA$5,0))+INDEX('Tables - Part 2'!$BF$6:$BI$13,MATCH(SCC_Alkaline_Carbonate!$S13,'Tables - Part 2'!$AV$6:$AV$13,0),MATCH(SCC_Alkaline_Carbonate!$Q13,'Tables - Part 2'!$AX$5:$BA$5,0)))/2)+INDEX('Tables - Part 2'!$BF$6:$BI$13,MATCH(SCC_Alkaline_Carbonate!$S13,'Tables - Part 2'!$AV$6:$AV$13,0),MATCH(SCC_Alkaline_Carbonate!$Q13,'Tables - Part 2'!$AX$5:$BA$5,0)))/2,0)</f>
        <v>0</v>
      </c>
      <c r="AN13" s="248">
        <f>IF($P13=$AN$3,(((((INDEX('Tables - Part 2'!$BB$6:$BE$13,MATCH(SCC_Alkaline_Carbonate!$S13,'Tables - Part 2'!$AV$6:$AV$13,0),MATCH(SCC_Alkaline_Carbonate!$Q13,'Tables - Part 2'!$AX$5:$BA$5,0))+INDEX('Tables - Part 2'!$BF$6:$BI$13,MATCH(SCC_Alkaline_Carbonate!$S13,'Tables - Part 2'!$AV$6:$AV$13,0),MATCH(SCC_Alkaline_Carbonate!$Q13,'Tables - Part 2'!$AX$5:$BA$5,0)))/2)+INDEX('Tables - Part 2'!$BF$6:$BI$13,MATCH(SCC_Alkaline_Carbonate!$S13,'Tables - Part 2'!$AV$6:$AV$13,0),MATCH(SCC_Alkaline_Carbonate!$Q13,'Tables - Part 2'!$AX$5:$BA$5,0)))/2)+INDEX('Tables - Part 2'!$BF$6:$BI$13,MATCH(SCC_Alkaline_Carbonate!$S13,'Tables - Part 2'!$AV$6:$AV$13,0),MATCH(SCC_Alkaline_Carbonate!$Q13,'Tables - Part 2'!$AX$5:$BA$5,0)))/2,0)</f>
        <v>0</v>
      </c>
      <c r="AO13" s="248">
        <f>IF($P13=$AO$3,INDEX('Tables - Part 2'!$BF$6:$BI$13,MATCH(SCC_Alkaline_Carbonate!$S13,'Tables - Part 2'!$AV$6:$AV$13,0),MATCH(SCC_Alkaline_Carbonate!$Q13,'Tables - Part 2'!$AX$5:$BA$5,0)),0)</f>
        <v>0</v>
      </c>
      <c r="AP13" s="248">
        <f>IF($P13=$AP$3,(INDEX('Tables - Part 2'!$BF$6:$BI$13,MATCH(SCC_Alkaline_Carbonate!$S13,'Tables - Part 2'!$AV$6:$AV$13,0),MATCH(SCC_Alkaline_Carbonate!$Q13,'Tables - Part 2'!$AX$5:$BA$5,0))+((INDEX('Tables - Part 2'!$BF$6:$BI$13,MATCH(SCC_Alkaline_Carbonate!$S13,'Tables - Part 2'!$AV$6:$AV$13,0),MATCH(SCC_Alkaline_Carbonate!$Q13,'Tables - Part 2'!$AX$5:$BA$5,0))+(INDEX('Tables - Part 2'!$BF$6:$BI$13,MATCH(SCC_Alkaline_Carbonate!$S13,'Tables - Part 2'!$AV$6:$AV$13,0),MATCH(SCC_Alkaline_Carbonate!$Q13,'Tables - Part 2'!$AX$5:$BA$5,0))+INDEX('Tables - Part 2'!$AX$17:$BA$24,MATCH(SCC_Alkaline_Carbonate!$S13,'Tables - Part 2'!$AV$6:$AV$13,0),MATCH(SCC_Alkaline_Carbonate!$Q13,'Tables - Part 2'!$AX$5:$BA$5,0)))/2)/2))/2,0)</f>
        <v>0</v>
      </c>
      <c r="AQ13" s="248">
        <f>IF($P13=$AQ$3,(INDEX('Tables - Part 2'!$BF$6:$BI$13,MATCH(SCC_Alkaline_Carbonate!$S13,'Tables - Part 2'!$AV$6:$AV$13,0),MATCH(SCC_Alkaline_Carbonate!$Q13,'Tables - Part 2'!$AX$5:$BA$5,0))+(INDEX('Tables - Part 2'!$BF$6:$BI$13,MATCH(SCC_Alkaline_Carbonate!$S13,'Tables - Part 2'!$AV$6:$AV$13,0),MATCH(SCC_Alkaline_Carbonate!$Q13,'Tables - Part 2'!$AX$5:$BA$5,0))+INDEX('Tables - Part 2'!$AX$17:$BA$24,MATCH(SCC_Alkaline_Carbonate!$S13,'Tables - Part 2'!$AV$6:$AV$13,0),MATCH(SCC_Alkaline_Carbonate!$Q13,'Tables - Part 2'!$AX$5:$BA$5,0)))/2)/2,0)</f>
        <v>0</v>
      </c>
      <c r="AR13" s="248">
        <f>IF($P13=$AR$3,(((INDEX('Tables - Part 2'!$BF$6:$BI$13,MATCH(SCC_Alkaline_Carbonate!$S13,'Tables - Part 2'!$AV$6:$AV$13,0),MATCH(SCC_Alkaline_Carbonate!$Q13,'Tables - Part 2'!$AX$5:$BA$5,0))+(INDEX('Tables - Part 2'!$BF$6:$BI$13,MATCH(SCC_Alkaline_Carbonate!$S13,'Tables - Part 2'!$AV$6:$AV$13,0),MATCH(SCC_Alkaline_Carbonate!$Q13,'Tables - Part 2'!$AX$5:$BA$5,0))+INDEX('Tables - Part 2'!$AX$17:$BA$24,MATCH(SCC_Alkaline_Carbonate!$S13,'Tables - Part 2'!$AV$6:$AV$13,0),MATCH(SCC_Alkaline_Carbonate!$Q13,'Tables - Part 2'!$AX$5:$BA$5,0)))/2)/2)+((INDEX('Tables - Part 2'!$BF$6:$BI$13,MATCH(SCC_Alkaline_Carbonate!$S13,'Tables - Part 2'!$AV$6:$AV$13,0),MATCH(SCC_Alkaline_Carbonate!$Q13,'Tables - Part 2'!$AX$5:$BA$5,0))+INDEX('Tables - Part 2'!$AX$17:$BA$24,MATCH(SCC_Alkaline_Carbonate!$S13,'Tables - Part 2'!$AV$6:$AV$13,0),MATCH(SCC_Alkaline_Carbonate!$Q13,'Tables - Part 2'!$AX$5:$BA$5,0)))/2))/2,0)</f>
        <v>0</v>
      </c>
      <c r="AS13" s="248">
        <f>IF($P13=$AS$3,(INDEX('Tables - Part 2'!$BF$6:$BI$13,MATCH(SCC_Alkaline_Carbonate!$S13,'Tables - Part 2'!$AV$6:$AV$13,0),MATCH(SCC_Alkaline_Carbonate!$Q13,'Tables - Part 2'!$AX$5:$BA$5,0))+INDEX('Tables - Part 2'!$AX$17:$BA$24,MATCH(SCC_Alkaline_Carbonate!$S13,'Tables - Part 2'!$AV$6:$AV$13,0),MATCH(SCC_Alkaline_Carbonate!$Q13,'Tables - Part 2'!$AX$5:$BA$5,0)))/2,0)</f>
        <v>0</v>
      </c>
      <c r="AT13" s="248">
        <f>IF($P13=$AT$3,(((INDEX('Tables - Part 2'!$BF$6:$BI$13,MATCH(SCC_Alkaline_Carbonate!$S13,'Tables - Part 2'!$AV$6:$AV$13,0),MATCH(SCC_Alkaline_Carbonate!$Q13,'Tables - Part 2'!$AX$5:$BA$5,0))+INDEX('Tables - Part 2'!$AX$17:$BA$24,MATCH(SCC_Alkaline_Carbonate!$S13,'Tables - Part 2'!$AV$6:$AV$13,0),MATCH(SCC_Alkaline_Carbonate!$Q13,'Tables - Part 2'!$AX$5:$BA$5,0)))/2)+((((INDEX('Tables - Part 2'!$BF$6:$BI$13,MATCH(SCC_Alkaline_Carbonate!$S13,'Tables - Part 2'!$AV$6:$AV$13,0),MATCH(SCC_Alkaline_Carbonate!$Q13,'Tables - Part 2'!$AX$5:$BA$5,0))+INDEX('Tables - Part 2'!$AX$17:$BA$24,MATCH(SCC_Alkaline_Carbonate!$S13,'Tables - Part 2'!$AV$6:$AV$13,0),MATCH(SCC_Alkaline_Carbonate!$Q13,'Tables - Part 2'!$AX$5:$BA$5,0)))/2)+INDEX('Tables - Part 2'!$AX$17:$BA$24,MATCH(SCC_Alkaline_Carbonate!$S13,'Tables - Part 2'!$AV$6:$AV$13,0),MATCH(SCC_Alkaline_Carbonate!$Q13,'Tables - Part 2'!$AX$5:$BA$5,0)))/2))/2,0)</f>
        <v>0</v>
      </c>
      <c r="AU13" s="248">
        <f>IF($P13=$AU$3,(((INDEX('Tables - Part 2'!$BF$6:$BI$13,MATCH(SCC_Alkaline_Carbonate!$S13,'Tables - Part 2'!$AV$6:$AV$13,0),MATCH(SCC_Alkaline_Carbonate!$Q13,'Tables - Part 2'!$AX$5:$BA$5,0))+INDEX('Tables - Part 2'!$AX$17:$BA$24,MATCH(SCC_Alkaline_Carbonate!$S13,'Tables - Part 2'!$AV$6:$AV$13,0),MATCH(SCC_Alkaline_Carbonate!$Q13,'Tables - Part 2'!$AX$5:$BA$5,0)))/2)+INDEX('Tables - Part 2'!$AX$17:$BA$24,MATCH(SCC_Alkaline_Carbonate!$S13,'Tables - Part 2'!$AV$6:$AV$13,0),MATCH(SCC_Alkaline_Carbonate!$Q13,'Tables - Part 2'!$AX$5:$BA$5,0)))/2,0)</f>
        <v>0</v>
      </c>
      <c r="AV13" s="248">
        <f>IF($P13=$AV$3,(((((INDEX('Tables - Part 2'!$BF$6:$BI$13,MATCH(SCC_Alkaline_Carbonate!$S13,'Tables - Part 2'!$AV$6:$AV$13,0),MATCH(SCC_Alkaline_Carbonate!$Q13,'Tables - Part 2'!$AX$5:$BA$5,0))+INDEX('Tables - Part 2'!$AX$17:$BA$24,MATCH(SCC_Alkaline_Carbonate!$S13,'Tables - Part 2'!$AV$6:$AV$13,0),MATCH(SCC_Alkaline_Carbonate!$Q13,'Tables - Part 2'!$AX$5:$BA$5,0)))/2)+INDEX('Tables - Part 2'!$AX$17:$BA$24,MATCH(SCC_Alkaline_Carbonate!$S13,'Tables - Part 2'!$AV$6:$AV$13,0),MATCH(SCC_Alkaline_Carbonate!$Q13,'Tables - Part 2'!$AX$5:$BA$5,0)))/2)+(INDEX('Tables - Part 2'!$AX$17:$BA$24,MATCH(SCC_Alkaline_Carbonate!$S13,'Tables - Part 2'!$AV$6:$AV$13,0),MATCH(SCC_Alkaline_Carbonate!$Q13,'Tables - Part 2'!$AX$5:$BA$5,0))))/2,0)</f>
        <v>0</v>
      </c>
      <c r="AW13" s="248">
        <f>IF($P13=$AW$3,INDEX('Tables - Part 2'!$AX$17:$BA$24,MATCH(SCC_Alkaline_Carbonate!$S13,'Tables - Part 2'!$AV$6:$AV$13,0),MATCH(SCC_Alkaline_Carbonate!$Q13,'Tables - Part 2'!$AX$5:$BA$5,0)),0)</f>
        <v>0</v>
      </c>
      <c r="AX13" s="248">
        <f>IF($P13=$AX$3,((INDEX('Tables - Part 2'!$AX$17:$BA$24,MATCH(SCC_Alkaline_Carbonate!$S13,'Tables - Part 2'!$AV$6:$AV$13,0),MATCH(SCC_Alkaline_Carbonate!$Q13,'Tables - Part 2'!$AX$5:$BA$5,0)))+(((INDEX('Tables - Part 2'!$AX$17:$BA$24,MATCH(SCC_Alkaline_Carbonate!$S13,'Tables - Part 2'!$AV$6:$AV$13,0),MATCH(SCC_Alkaline_Carbonate!$Q13,'Tables - Part 2'!$AX$5:$BA$5,0)))+(INDEX('Tables - Part 2'!$AX$17:$BA$24,MATCH(SCC_Alkaline_Carbonate!$S13,'Tables - Part 2'!$AV$6:$AV$13,0),MATCH(SCC_Alkaline_Carbonate!$Q13,'Tables - Part 2'!$AX$5:$BA$5,0))+INDEX('Tables - Part 2'!$BB$17:$BE$24,MATCH(SCC_Alkaline_Carbonate!$S13,'Tables - Part 2'!$AV$6:$AV$13,0),MATCH(SCC_Alkaline_Carbonate!$Q13,'Tables - Part 2'!$AX$5:$BA$5,0)))/2)/2))/2,0)</f>
        <v>0</v>
      </c>
      <c r="AY13" s="248">
        <f>IF($P13=$AY$3,((INDEX('Tables - Part 2'!$AX$17:$BA$24,MATCH(SCC_Alkaline_Carbonate!$S13,'Tables - Part 2'!$AV$6:$AV$13,0),MATCH(SCC_Alkaline_Carbonate!$Q13,'Tables - Part 2'!$AX$5:$BA$5,0)))+(INDEX('Tables - Part 2'!$AX$17:$BA$24,MATCH(SCC_Alkaline_Carbonate!$S13,'Tables - Part 2'!$AV$6:$AV$13,0),MATCH(SCC_Alkaline_Carbonate!$Q13,'Tables - Part 2'!$AX$5:$BA$5,0))+INDEX('Tables - Part 2'!$BB$17:$BE$24,MATCH(SCC_Alkaline_Carbonate!$S13,'Tables - Part 2'!$AV$6:$AV$13,0),MATCH(SCC_Alkaline_Carbonate!$Q13,'Tables - Part 2'!$AX$5:$BA$5,0)))/2)/2,0)</f>
        <v>0</v>
      </c>
      <c r="AZ13" s="248">
        <f>IF($P13=$AZ$3,((((INDEX('Tables - Part 2'!$AX$17:$BA$24,MATCH(SCC_Alkaline_Carbonate!$S13,'Tables - Part 2'!$AV$6:$AV$13,0),MATCH(SCC_Alkaline_Carbonate!$Q13,'Tables - Part 2'!$AX$5:$BA$5,0)))+(INDEX('Tables - Part 2'!$AX$17:$BA$24,MATCH(SCC_Alkaline_Carbonate!$S13,'Tables - Part 2'!$AV$6:$AV$13,0),MATCH(SCC_Alkaline_Carbonate!$Q13,'Tables - Part 2'!$AX$5:$BA$5,0))+INDEX('Tables - Part 2'!$BB$17:$BE$24,MATCH(SCC_Alkaline_Carbonate!$S13,'Tables - Part 2'!$AV$6:$AV$13,0),MATCH(SCC_Alkaline_Carbonate!$Q13,'Tables - Part 2'!$AX$5:$BA$5,0)))/2)/2)+((INDEX('Tables - Part 2'!$AX$17:$BA$24,MATCH(SCC_Alkaline_Carbonate!$S13,'Tables - Part 2'!$AV$6:$AV$13,0),MATCH(SCC_Alkaline_Carbonate!$Q13,'Tables - Part 2'!$AX$5:$BA$5,0))+INDEX('Tables - Part 2'!$BB$17:$BE$24,MATCH(SCC_Alkaline_Carbonate!$S13,'Tables - Part 2'!$AV$6:$AV$13,0),MATCH(SCC_Alkaline_Carbonate!$Q13,'Tables - Part 2'!$AX$5:$BA$5,0)))/2))/2,0)</f>
        <v>0</v>
      </c>
      <c r="BA13" s="248">
        <f>IF($P13=$BA$3,(INDEX('Tables - Part 2'!$AX$17:$BA$24,MATCH(SCC_Alkaline_Carbonate!$S13,'Tables - Part 2'!$AV$6:$AV$13,0),MATCH(SCC_Alkaline_Carbonate!$Q13,'Tables - Part 2'!$AX$5:$BA$5,0))+INDEX('Tables - Part 2'!$BB$17:$BE$24,MATCH(SCC_Alkaline_Carbonate!$S13,'Tables - Part 2'!$AV$6:$AV$13,0),MATCH(SCC_Alkaline_Carbonate!$Q13,'Tables - Part 2'!$AX$5:$BA$5,0)))/2,0)</f>
        <v>0</v>
      </c>
      <c r="BB13" s="248">
        <f>IF($P13=$BB$3,(((INDEX('Tables - Part 2'!$AX$17:$BA$24,MATCH(SCC_Alkaline_Carbonate!$S13,'Tables - Part 2'!$AV$6:$AV$13,0),MATCH(SCC_Alkaline_Carbonate!$Q13,'Tables - Part 2'!$AX$5:$BA$5,0))+INDEX('Tables - Part 2'!$BB$17:$BE$24,MATCH(SCC_Alkaline_Carbonate!$S13,'Tables - Part 2'!$AV$6:$AV$13,0),MATCH(SCC_Alkaline_Carbonate!$Q13,'Tables - Part 2'!$AX$5:$BA$5,0)))/2)+((((INDEX('Tables - Part 2'!$AX$17:$BA$24,MATCH(SCC_Alkaline_Carbonate!$S13,'Tables - Part 2'!$AV$6:$AV$13,0),MATCH(SCC_Alkaline_Carbonate!$Q13,'Tables - Part 2'!$AX$5:$BA$5,0))+INDEX('Tables - Part 2'!$BB$17:$BE$24,MATCH(SCC_Alkaline_Carbonate!$S13,'Tables - Part 2'!$AV$6:$AV$13,0),MATCH(SCC_Alkaline_Carbonate!$Q13,'Tables - Part 2'!$AX$5:$BA$5,0)))/2)+INDEX('Tables - Part 2'!$BB$17:$BE$24,MATCH(SCC_Alkaline_Carbonate!$S13,'Tables - Part 2'!$AV$6:$AV$13,0),MATCH(SCC_Alkaline_Carbonate!$Q13,'Tables - Part 2'!$AX$5:$BA$5,0)))/2))/2,0)</f>
        <v>0</v>
      </c>
      <c r="BC13" s="248">
        <f>IF($P13=$BC$3,(((INDEX('Tables - Part 2'!$AX$17:$BA$24,MATCH(SCC_Alkaline_Carbonate!$S13,'Tables - Part 2'!$AV$6:$AV$13,0),MATCH(SCC_Alkaline_Carbonate!$Q13,'Tables - Part 2'!$AX$5:$BA$5,0))+INDEX('Tables - Part 2'!$BB$17:$BE$24,MATCH(SCC_Alkaline_Carbonate!$S13,'Tables - Part 2'!$AV$6:$AV$13,0),MATCH(SCC_Alkaline_Carbonate!$Q13,'Tables - Part 2'!$AX$5:$BA$5,0)))/2)+INDEX('Tables - Part 2'!$BB$17:$BE$24,MATCH(SCC_Alkaline_Carbonate!$S13,'Tables - Part 2'!$AV$6:$AV$13,0),MATCH(SCC_Alkaline_Carbonate!$Q13,'Tables - Part 2'!$AX$5:$BA$5,0)))/2,0)</f>
        <v>0</v>
      </c>
      <c r="BD13" s="248">
        <f>IF($P13=$BD$3,(((((INDEX('Tables - Part 2'!$AX$17:$BA$24,MATCH(SCC_Alkaline_Carbonate!$S13,'Tables - Part 2'!$AV$6:$AV$13,0),MATCH(SCC_Alkaline_Carbonate!$Q13,'Tables - Part 2'!$AX$5:$BA$5,0))+INDEX('Tables - Part 2'!$BB$17:$BE$24,MATCH(SCC_Alkaline_Carbonate!$S13,'Tables - Part 2'!$AV$6:$AV$13,0),MATCH(SCC_Alkaline_Carbonate!$Q13,'Tables - Part 2'!$AX$5:$BA$5,0)))/2)+INDEX('Tables - Part 2'!$BB$17:$BE$24,MATCH(SCC_Alkaline_Carbonate!$S13,'Tables - Part 2'!$AV$6:$AV$13,0),MATCH(SCC_Alkaline_Carbonate!$Q13,'Tables - Part 2'!$AX$5:$BA$5,0)))/2)+(INDEX('Tables - Part 2'!$BB$17:$BE$24,MATCH(SCC_Alkaline_Carbonate!$S13,'Tables - Part 2'!$AV$6:$AV$13,0),MATCH(SCC_Alkaline_Carbonate!$Q13,'Tables - Part 2'!$AX$5:$BA$5,0))))/2,0)</f>
        <v>0</v>
      </c>
      <c r="BE13" s="248">
        <f>IF($P13=$BE$3,INDEX('Tables - Part 2'!$BB$17:$BE$24,MATCH(SCC_Alkaline_Carbonate!$S13,'Tables - Part 2'!$AV$6:$AV$13,0),MATCH(SCC_Alkaline_Carbonate!$Q13,'Tables - Part 2'!$AX$5:$BA$5,0)),0)</f>
        <v>0</v>
      </c>
      <c r="BF13" s="248">
        <f>IF($P13=$BF$3,((INDEX('Tables - Part 2'!$BB$17:$BE$24,MATCH(SCC_Alkaline_Carbonate!$S13,'Tables - Part 2'!$AV$6:$AV$13,0),MATCH(SCC_Alkaline_Carbonate!$Q13,'Tables - Part 2'!$AX$5:$BA$5,0)))+(((INDEX('Tables - Part 2'!$BB$17:$BE$24,MATCH(SCC_Alkaline_Carbonate!$S13,'Tables - Part 2'!$AV$6:$AV$13,0),MATCH(SCC_Alkaline_Carbonate!$Q13,'Tables - Part 2'!$AX$5:$BA$5,0)))+(INDEX('Tables - Part 2'!$BB$17:$BE$24,MATCH(SCC_Alkaline_Carbonate!$S13,'Tables - Part 2'!$AV$6:$AV$13,0),MATCH(SCC_Alkaline_Carbonate!$Q13,'Tables - Part 2'!$AX$5:$BA$5,0))+INDEX('Tables - Part 2'!$BF$17:$BI$24,MATCH(SCC_Alkaline_Carbonate!$S13,'Tables - Part 2'!$AV$6:$AV$13,0),MATCH(SCC_Alkaline_Carbonate!$Q13,'Tables - Part 2'!$AX$5:$BA$5,0)))/2)/2))/2,0)</f>
        <v>0</v>
      </c>
      <c r="BG13" s="248">
        <f>IF($P13=$BG$3,((INDEX('Tables - Part 2'!$BB$17:$BE$24,MATCH(SCC_Alkaline_Carbonate!$S13,'Tables - Part 2'!$AV$6:$AV$13,0),MATCH(SCC_Alkaline_Carbonate!$Q13,'Tables - Part 2'!$AX$5:$BA$5,0)))+(INDEX('Tables - Part 2'!$BB$17:$BE$24,MATCH(SCC_Alkaline_Carbonate!$S13,'Tables - Part 2'!$AV$6:$AV$13,0),MATCH(SCC_Alkaline_Carbonate!$Q13,'Tables - Part 2'!$AX$5:$BA$5,0))+INDEX('Tables - Part 2'!$BF$17:$BI$24,MATCH(SCC_Alkaline_Carbonate!$S13,'Tables - Part 2'!$AV$6:$AV$13,0),MATCH(SCC_Alkaline_Carbonate!$Q13,'Tables - Part 2'!$AX$5:$BA$5,0)))/2)/2,0)</f>
        <v>0</v>
      </c>
      <c r="BH13" s="248">
        <f>IF($P13=$BH$3,((((INDEX('Tables - Part 2'!$BB$17:$BE$24,MATCH(SCC_Alkaline_Carbonate!$S13,'Tables - Part 2'!$AV$6:$AV$13,0),MATCH(SCC_Alkaline_Carbonate!$Q13,'Tables - Part 2'!$AX$5:$BA$5,0)))+(INDEX('Tables - Part 2'!$BB$17:$BE$24,MATCH(SCC_Alkaline_Carbonate!$S13,'Tables - Part 2'!$AV$6:$AV$13,0),MATCH(SCC_Alkaline_Carbonate!$Q13,'Tables - Part 2'!$AX$5:$BA$5,0))+INDEX('Tables - Part 2'!$BF$17:$BI$24,MATCH(SCC_Alkaline_Carbonate!$S13,'Tables - Part 2'!$AV$6:$AV$13,0),MATCH(SCC_Alkaline_Carbonate!$Q13,'Tables - Part 2'!$AX$5:$BA$5,0)))/2)/2)+((INDEX('Tables - Part 2'!$BB$17:$BE$24,MATCH(SCC_Alkaline_Carbonate!$S13,'Tables - Part 2'!$AV$6:$AV$13,0),MATCH(SCC_Alkaline_Carbonate!$Q13,'Tables - Part 2'!$AX$5:$BA$5,0))+INDEX('Tables - Part 2'!$BF$17:$BI$24,MATCH(SCC_Alkaline_Carbonate!$S13,'Tables - Part 2'!$AV$6:$AV$13,0),MATCH(SCC_Alkaline_Carbonate!$Q13,'Tables - Part 2'!$AX$5:$BA$5,0)))/2))/2,0)</f>
        <v>0</v>
      </c>
      <c r="BI13" s="248">
        <f>IF($P13=$BI$3,(INDEX('Tables - Part 2'!$BB$17:$BE$24,MATCH(SCC_Alkaline_Carbonate!$S13,'Tables - Part 2'!$AV$6:$AV$13,0),MATCH(SCC_Alkaline_Carbonate!$Q13,'Tables - Part 2'!$AX$5:$BA$5,0))+INDEX('Tables - Part 2'!$BF$17:$BI$24,MATCH(SCC_Alkaline_Carbonate!$S13,'Tables - Part 2'!$AV$6:$AV$13,0),MATCH(SCC_Alkaline_Carbonate!$Q13,'Tables - Part 2'!$AX$5:$BA$5,0)))/2,0)</f>
        <v>0</v>
      </c>
      <c r="BJ13" s="248">
        <f>IF($P13=$BJ$3,(((INDEX('Tables - Part 2'!$BB$17:$BE$24,MATCH(SCC_Alkaline_Carbonate!$S13,'Tables - Part 2'!$AV$6:$AV$13,0),MATCH(SCC_Alkaline_Carbonate!$Q13,'Tables - Part 2'!$AX$5:$BA$5,0))+INDEX('Tables - Part 2'!$BF$17:$BI$24,MATCH(SCC_Alkaline_Carbonate!$S13,'Tables - Part 2'!$AV$6:$AV$13,0),MATCH(SCC_Alkaline_Carbonate!$Q13,'Tables - Part 2'!$AX$5:$BA$5,0)))/2)+((((INDEX('Tables - Part 2'!$BB$17:$BE$24,MATCH(SCC_Alkaline_Carbonate!$S13,'Tables - Part 2'!$AV$6:$AV$13,0),MATCH(SCC_Alkaline_Carbonate!$Q13,'Tables - Part 2'!$AX$5:$BA$5,0))+INDEX('Tables - Part 2'!$BF$17:$BI$24,MATCH(SCC_Alkaline_Carbonate!$S13,'Tables - Part 2'!$AV$6:$AV$13,0),MATCH(SCC_Alkaline_Carbonate!$Q13,'Tables - Part 2'!$AX$5:$BA$5,0)))/2)+INDEX('Tables - Part 2'!$BF$17:$BI$24,MATCH(SCC_Alkaline_Carbonate!$S13,'Tables - Part 2'!$AV$6:$AV$13,0),MATCH(SCC_Alkaline_Carbonate!$Q13,'Tables - Part 2'!$AX$5:$BA$5,0)))/2))/2,0)</f>
        <v>0</v>
      </c>
      <c r="BK13" s="248">
        <f>IF($P13=$BK$3,(((INDEX('Tables - Part 2'!$BB$17:$BE$24,MATCH(SCC_Alkaline_Carbonate!$S13,'Tables - Part 2'!$AV$6:$AV$13,0),MATCH(SCC_Alkaline_Carbonate!$Q13,'Tables - Part 2'!$AX$5:$BA$5,0))+INDEX('Tables - Part 2'!$BF$17:$BI$24,MATCH(SCC_Alkaline_Carbonate!$S13,'Tables - Part 2'!$AV$6:$AV$13,0),MATCH(SCC_Alkaline_Carbonate!$Q13,'Tables - Part 2'!$AX$5:$BA$5,0)))/2)+INDEX('Tables - Part 2'!$BF$17:$BI$24,MATCH(SCC_Alkaline_Carbonate!$S13,'Tables - Part 2'!$AV$6:$AV$13,0),MATCH(SCC_Alkaline_Carbonate!$Q13,'Tables - Part 2'!$AX$5:$BA$5,0)))/2,0)</f>
        <v>0</v>
      </c>
      <c r="BL13" s="248">
        <f>IF($P13=$BL$3,(((((INDEX('Tables - Part 2'!$BB$17:$BE$24,MATCH(SCC_Alkaline_Carbonate!$S13,'Tables - Part 2'!$AV$6:$AV$13,0),MATCH(SCC_Alkaline_Carbonate!$Q13,'Tables - Part 2'!$AX$5:$BA$5,0))+INDEX('Tables - Part 2'!$BF$17:$BI$24,MATCH(SCC_Alkaline_Carbonate!$S13,'Tables - Part 2'!$AV$6:$AV$13,0),MATCH(SCC_Alkaline_Carbonate!$Q13,'Tables - Part 2'!$AX$5:$BA$5,0)))/2)+INDEX('Tables - Part 2'!$BF$17:$BI$24,MATCH(SCC_Alkaline_Carbonate!$S13,'Tables - Part 2'!$AV$6:$AV$13,0),MATCH(SCC_Alkaline_Carbonate!$Q13,'Tables - Part 2'!$AX$5:$BA$5,0)))/2)+(INDEX('Tables - Part 2'!$BF$17:$BI$24,MATCH(SCC_Alkaline_Carbonate!$S13,'Tables - Part 2'!$AV$6:$AV$13,0),MATCH(SCC_Alkaline_Carbonate!$Q13,'Tables - Part 2'!$AX$5:$BA$5,0))))/2,0)</f>
        <v>0</v>
      </c>
      <c r="BM13" s="248">
        <f>IF($P13=$BM$3,INDEX('Tables - Part 2'!$BF$17:$BI$24,MATCH(SCC_Alkaline_Carbonate!$S13,'Tables - Part 2'!$AV$6:$AV$13,0),MATCH(SCC_Alkaline_Carbonate!$Q13,'Tables - Part 2'!$AX$5:$BA$5,0)),0)</f>
        <v>0</v>
      </c>
      <c r="BN13" s="248">
        <f t="shared" si="6"/>
        <v>0</v>
      </c>
      <c r="BO13" s="238">
        <f t="shared" si="8"/>
        <v>3</v>
      </c>
      <c r="BP13" s="238">
        <f t="shared" si="7"/>
        <v>50.318647405225171</v>
      </c>
    </row>
    <row r="14" spans="2:81" x14ac:dyDescent="0.35">
      <c r="B14" s="161" t="str">
        <f>'Tratamento de Dados'!B22</f>
        <v>V-50</v>
      </c>
      <c r="C14" s="161" t="str">
        <f>'Tratamento de Dados'!D22</f>
        <v>Casco</v>
      </c>
      <c r="D14" s="209" t="s">
        <v>245</v>
      </c>
      <c r="E14" s="209" t="s">
        <v>61</v>
      </c>
      <c r="F14" s="209" t="s">
        <v>1134</v>
      </c>
      <c r="G14" s="209" t="s">
        <v>1132</v>
      </c>
      <c r="H14" s="209" t="s">
        <v>245</v>
      </c>
      <c r="I14" s="210">
        <v>39092</v>
      </c>
      <c r="J14" s="209">
        <v>0</v>
      </c>
      <c r="K14" s="209">
        <v>1</v>
      </c>
      <c r="L14" s="209">
        <v>1</v>
      </c>
      <c r="M14" s="209">
        <v>4</v>
      </c>
      <c r="N14" s="253">
        <f>'Tratamento de Dados'!DA22</f>
        <v>0</v>
      </c>
      <c r="O14" s="253">
        <f>'Tratamento de Dados'!DB22</f>
        <v>0</v>
      </c>
      <c r="P14" s="256">
        <f t="shared" si="0"/>
        <v>2.5</v>
      </c>
      <c r="Q14" s="246" t="str">
        <f t="shared" si="1"/>
        <v>B</v>
      </c>
      <c r="R14" s="238" t="str">
        <f>IF(D14=$BU$2,$BS$4,IF(H14=$BU$2,$BS$5,INDEX('Tables - Part 2'!$DA$6:$DB$9,MATCH(SCC_Alkaline_Carbonate!F14,'Tables - Part 2'!$CY$6:$CY$9,0),MATCH(SCC_Alkaline_Carbonate!G14,'Tables - Part 2'!$DA$5:$DB$5,0))))</f>
        <v>Medium</v>
      </c>
      <c r="S14" s="238">
        <f>IF(AND(D14=$BU$2,E14&lt;&gt;$BU$2),"Fitness-For-Service",INDEX('Tables - Part 2'!$DE$4:$DE$7,MATCH(SCC_Alkaline_Carbonate!R14,'Tables - Part 2'!$DD$4:$DD$7,0),))</f>
        <v>100</v>
      </c>
      <c r="T14" s="238">
        <f>IF(I14=0,(Thinning!G15-Thinning!F15)/365.25,(Thinning!G15-I14)/365.25)</f>
        <v>12.980150581793293</v>
      </c>
      <c r="U14" s="248">
        <f t="shared" si="2"/>
        <v>0</v>
      </c>
      <c r="V14" s="248">
        <f t="shared" si="3"/>
        <v>2.5</v>
      </c>
      <c r="W14" s="248">
        <f t="shared" si="4"/>
        <v>3</v>
      </c>
      <c r="X14" s="247">
        <f t="shared" si="5"/>
        <v>4</v>
      </c>
      <c r="Y14" s="248">
        <f>IF($P14=$Y$3,INDEX('Tables - Part 2'!$AX$6:$BA$13,MATCH(SCC_Alkaline_Carbonate!S14,'Tables - Part 2'!$AV$6:$AV$13,0),MATCH(SCC_Alkaline_Carbonate!Q14,'Tables - Part 2'!$AX$5:$BA$5,0)),0)</f>
        <v>0</v>
      </c>
      <c r="Z14" s="248">
        <f>IF($P14=$Z$3,(INDEX('Tables - Part 2'!$AX$6:$BA$13,MATCH(SCC_Alkaline_Carbonate!S14,'Tables - Part 2'!$AV$6:$AV$13,0),MATCH(SCC_Alkaline_Carbonate!Q14,'Tables - Part 2'!$AX$5:$BA$5,0))+(INDEX('Tables - Part 2'!$AX$6:$BA$13,MATCH(SCC_Alkaline_Carbonate!S14,'Tables - Part 2'!$AV$6:$AV$13,0),MATCH(SCC_Alkaline_Carbonate!Q14,'Tables - Part 2'!$AX$5:$BA$5,0))+((INDEX('Tables - Part 2'!$AX$6:$BA$13,MATCH(SCC_Alkaline_Carbonate!S14,'Tables - Part 2'!$AV$6:$AV$13,0),MATCH(SCC_Alkaline_Carbonate!Q14,'Tables - Part 2'!$AX$5:$BA$5,0))+INDEX('Tables - Part 2'!$BB$6:$BE$13,MATCH(SCC_Alkaline_Carbonate!$S14,'Tables - Part 2'!$AV$6:$AV$13,0),MATCH(SCC_Alkaline_Carbonate!$Q14,'Tables - Part 2'!$AX$5:$BA$5,0)))/2))/2)/2,0)</f>
        <v>0</v>
      </c>
      <c r="AA14" s="248">
        <f>IF($P14=$AA$3,(INDEX('Tables - Part 2'!$AX$6:$BA$13,MATCH(SCC_Alkaline_Carbonate!S14,'Tables - Part 2'!$AV$6:$AV$13,0),MATCH(SCC_Alkaline_Carbonate!Q14,'Tables - Part 2'!$AX$5:$BA$5,0))+((INDEX('Tables - Part 2'!$AX$6:$BA$13,MATCH(SCC_Alkaline_Carbonate!S14,'Tables - Part 2'!$AV$6:$AV$13,0),MATCH(SCC_Alkaline_Carbonate!Q14,'Tables - Part 2'!$AX$5:$BA$5,0))+INDEX('Tables - Part 2'!$BB$6:$BE$13,MATCH(SCC_Alkaline_Carbonate!$S14,'Tables - Part 2'!$AV$6:$AV$13,0),MATCH(SCC_Alkaline_Carbonate!$Q14,'Tables - Part 2'!$AX$5:$BA$5,0)))/2))/2,0)</f>
        <v>0</v>
      </c>
      <c r="AB14" s="248">
        <f>IF($P14=$AB$3,(((INDEX('Tables - Part 2'!$AX$6:$BA$13,MATCH(SCC_Alkaline_Carbonate!S14,'Tables - Part 2'!$AV$6:$AV$13,0),MATCH(SCC_Alkaline_Carbonate!Q14,'Tables - Part 2'!$AX$5:$BA$5,0))+((INDEX('Tables - Part 2'!$AX$6:$BA$13,MATCH(SCC_Alkaline_Carbonate!S14,'Tables - Part 2'!$AV$6:$AV$13,0),MATCH(SCC_Alkaline_Carbonate!Q14,'Tables - Part 2'!$AX$5:$BA$5,0))+INDEX('Tables - Part 2'!$BB$6:$BE$13,MATCH(SCC_Alkaline_Carbonate!$S14,'Tables - Part 2'!$AV$6:$AV$13,0),MATCH(SCC_Alkaline_Carbonate!$Q14,'Tables - Part 2'!$AX$5:$BA$5,0)))/2))/2)+(INDEX('Tables - Part 2'!$AX$6:$BA$13,MATCH(SCC_Alkaline_Carbonate!S14,'Tables - Part 2'!$AV$6:$AV$13,0),MATCH(SCC_Alkaline_Carbonate!Q14,'Tables - Part 2'!$AX$5:$BA$5,0))+INDEX('Tables - Part 2'!$BB$6:$BE$13,MATCH(SCC_Alkaline_Carbonate!$S14,'Tables - Part 2'!$AV$6:$AV$13,0),MATCH(SCC_Alkaline_Carbonate!$Q14,'Tables - Part 2'!$AX$5:$BA$5,0)))/2)/2,0)</f>
        <v>0</v>
      </c>
      <c r="AC14" s="248">
        <f>IF($P14=$AC$3,(INDEX('Tables - Part 2'!$AX$6:$BA$13,MATCH(SCC_Alkaline_Carbonate!S14,'Tables - Part 2'!$AV$6:$AV$13,0),MATCH(SCC_Alkaline_Carbonate!Q14,'Tables - Part 2'!$AX$5:$BA$5,0))+INDEX('Tables - Part 2'!$BB$6:$BE$13,MATCH(SCC_Alkaline_Carbonate!$S14,'Tables - Part 2'!$AV$6:$AV$13,0),MATCH(SCC_Alkaline_Carbonate!$Q14,'Tables - Part 2'!$AX$5:$BA$5,0)))/2,0)</f>
        <v>0</v>
      </c>
      <c r="AD14" s="248">
        <f>IF($P14=$AD$3,(((INDEX('Tables - Part 2'!$AX$6:$BA$13,MATCH(SCC_Alkaline_Carbonate!S14,'Tables - Part 2'!$AV$6:$AV$13,0),MATCH(SCC_Alkaline_Carbonate!Q14,'Tables - Part 2'!$AX$5:$BA$5,0))+INDEX('Tables - Part 2'!$BB$6:$BE$13,MATCH(SCC_Alkaline_Carbonate!$S14,'Tables - Part 2'!$AV$6:$AV$13,0),MATCH(SCC_Alkaline_Carbonate!$Q14,'Tables - Part 2'!$AX$5:$BA$5,0)))/2)+(((INDEX('Tables - Part 2'!$AX$6:$BA$13,MATCH(SCC_Alkaline_Carbonate!S14,'Tables - Part 2'!$AV$6:$AV$13,0),MATCH(SCC_Alkaline_Carbonate!Q14,'Tables - Part 2'!$AX$5:$BA$5,0))+INDEX('Tables - Part 2'!$BB$6:$BE$13,MATCH(SCC_Alkaline_Carbonate!$S14,'Tables - Part 2'!$AV$6:$AV$13,0),MATCH(SCC_Alkaline_Carbonate!$Q14,'Tables - Part 2'!$AX$5:$BA$5,0)))/2)+INDEX('Tables - Part 2'!$BB$6:$BE$13,MATCH(SCC_Alkaline_Carbonate!$S14,'Tables - Part 2'!$AV$6:$AV$13,0),MATCH(SCC_Alkaline_Carbonate!$Q14,'Tables - Part 2'!$AX$5:$BA$5,0)))/2)/2,0)</f>
        <v>0</v>
      </c>
      <c r="AE14" s="248">
        <f>IF($P14=$AE$3,(((INDEX('Tables - Part 2'!$AX$6:$BA$13,MATCH(SCC_Alkaline_Carbonate!S14,'Tables - Part 2'!$AV$6:$AV$13,0),MATCH(SCC_Alkaline_Carbonate!Q14,'Tables - Part 2'!$AX$5:$BA$5,0))+INDEX('Tables - Part 2'!$BB$6:$BE$13,MATCH(SCC_Alkaline_Carbonate!$S14,'Tables - Part 2'!$AV$6:$AV$13,0),MATCH(SCC_Alkaline_Carbonate!$Q14,'Tables - Part 2'!$AX$5:$BA$5,0)))/2)+INDEX('Tables - Part 2'!$BB$6:$BE$13,MATCH(SCC_Alkaline_Carbonate!$S14,'Tables - Part 2'!$AV$6:$AV$13,0),MATCH(SCC_Alkaline_Carbonate!$Q14,'Tables - Part 2'!$AX$5:$BA$5,0)))/2,0)</f>
        <v>0</v>
      </c>
      <c r="AF14" s="248">
        <f>IF($P14=$AF$3,(((((INDEX('Tables - Part 2'!$AX$6:$BA$13,MATCH(SCC_Alkaline_Carbonate!S14,'Tables - Part 2'!$AV$6:$AV$13,0),MATCH(SCC_Alkaline_Carbonate!Q14,'Tables - Part 2'!$AX$5:$BA$5,0))+INDEX('Tables - Part 2'!$BB$6:$BE$13,MATCH(SCC_Alkaline_Carbonate!$S14,'Tables - Part 2'!$AV$6:$AV$13,0),MATCH(SCC_Alkaline_Carbonate!$Q14,'Tables - Part 2'!$AX$5:$BA$5,0)))/2)+INDEX('Tables - Part 2'!$BB$6:$BE$13,MATCH(SCC_Alkaline_Carbonate!$S14,'Tables - Part 2'!$AV$6:$AV$13,0),MATCH(SCC_Alkaline_Carbonate!$Q14,'Tables - Part 2'!$AX$5:$BA$5,0)))/2)+INDEX('Tables - Part 2'!$BB$6:$BE$13,MATCH(SCC_Alkaline_Carbonate!$S14,'Tables - Part 2'!$AV$6:$AV$13,0),MATCH(SCC_Alkaline_Carbonate!$Q14,'Tables - Part 2'!$AX$5:$BA$5,0)))/2,0)</f>
        <v>0</v>
      </c>
      <c r="AG14" s="248">
        <f>IF($P14=$AG$3,INDEX('Tables - Part 2'!$BB$6:$BE$13,MATCH(SCC_Alkaline_Carbonate!$S14,'Tables - Part 2'!$AV$6:$AV$13,0),MATCH(SCC_Alkaline_Carbonate!$Q14,'Tables - Part 2'!$AX$5:$BA$5,0)),0)</f>
        <v>0</v>
      </c>
      <c r="AH14" s="248">
        <f>IF($P14=$AH$3,((INDEX('Tables - Part 2'!$BB$6:$BE$13,MATCH(SCC_Alkaline_Carbonate!$S14,'Tables - Part 2'!$AV$6:$AV$13,0),MATCH(SCC_Alkaline_Carbonate!$Q14,'Tables - Part 2'!$AX$5:$BA$5,0)))+(INDEX('Tables - Part 2'!$BB$6:$BE$13,MATCH(SCC_Alkaline_Carbonate!$S14,'Tables - Part 2'!$AV$6:$AV$13,0),MATCH(SCC_Alkaline_Carbonate!$Q14,'Tables - Part 2'!$AX$5:$BA$5,0))+(INDEX('Tables - Part 2'!$BB$6:$BE$13,MATCH(SCC_Alkaline_Carbonate!$S14,'Tables - Part 2'!$AV$6:$AV$13,0),MATCH(SCC_Alkaline_Carbonate!$Q14,'Tables - Part 2'!$AX$5:$BA$5,0))+INDEX('Tables - Part 2'!$BF$6:$BI$13,MATCH(SCC_Alkaline_Carbonate!$S14,'Tables - Part 2'!$AV$6:$AV$13,0),MATCH(SCC_Alkaline_Carbonate!$Q14,'Tables - Part 2'!$AX$5:$BA$5,0)))/2)/2)/2,0)</f>
        <v>0</v>
      </c>
      <c r="AI14" s="248">
        <f>IF($P14=$AI$3,(INDEX('Tables - Part 2'!$BB$6:$BE$13,MATCH(SCC_Alkaline_Carbonate!$S14,'Tables - Part 2'!$AV$6:$AV$13,0),MATCH(SCC_Alkaline_Carbonate!$Q14,'Tables - Part 2'!$AX$5:$BA$5,0))+(INDEX('Tables - Part 2'!$BB$6:$BE$13,MATCH(SCC_Alkaline_Carbonate!$S14,'Tables - Part 2'!$AV$6:$AV$13,0),MATCH(SCC_Alkaline_Carbonate!$Q14,'Tables - Part 2'!$AX$5:$BA$5,0))+INDEX('Tables - Part 2'!$BF$6:$BI$13,MATCH(SCC_Alkaline_Carbonate!$S14,'Tables - Part 2'!$AV$6:$AV$13,0),MATCH(SCC_Alkaline_Carbonate!$Q14,'Tables - Part 2'!$AX$5:$BA$5,0)))/2)/2,0)</f>
        <v>0</v>
      </c>
      <c r="AJ14" s="248">
        <f>IF($P14=$AJ$3,(((INDEX('Tables - Part 2'!$BB$6:$BE$13,MATCH(SCC_Alkaline_Carbonate!$S14,'Tables - Part 2'!$AV$6:$AV$13,0),MATCH(SCC_Alkaline_Carbonate!$Q14,'Tables - Part 2'!$AX$5:$BA$5,0))+(INDEX('Tables - Part 2'!$BB$6:$BE$13,MATCH(SCC_Alkaline_Carbonate!$S14,'Tables - Part 2'!$AV$6:$AV$13,0),MATCH(SCC_Alkaline_Carbonate!$Q14,'Tables - Part 2'!$AX$5:$BA$5,0))+INDEX('Tables - Part 2'!$BF$6:$BI$13,MATCH(SCC_Alkaline_Carbonate!$S14,'Tables - Part 2'!$AV$6:$AV$13,0),MATCH(SCC_Alkaline_Carbonate!$Q14,'Tables - Part 2'!$AX$5:$BA$5,0)))/2)/2)+((INDEX('Tables - Part 2'!$BB$6:$BE$13,MATCH(SCC_Alkaline_Carbonate!$S14,'Tables - Part 2'!$AV$6:$AV$13,0),MATCH(SCC_Alkaline_Carbonate!$Q14,'Tables - Part 2'!$AX$5:$BA$5,0))+INDEX('Tables - Part 2'!$BF$6:$BI$13,MATCH(SCC_Alkaline_Carbonate!$S14,'Tables - Part 2'!$AV$6:$AV$13,0),MATCH(SCC_Alkaline_Carbonate!$Q14,'Tables - Part 2'!$AX$5:$BA$5,0)))/2))/2,0)</f>
        <v>0</v>
      </c>
      <c r="AK14" s="248">
        <f>IF($P14=$AK$3,(INDEX('Tables - Part 2'!$BB$6:$BE$13,MATCH(SCC_Alkaline_Carbonate!$S14,'Tables - Part 2'!$AV$6:$AV$13,0),MATCH(SCC_Alkaline_Carbonate!$Q14,'Tables - Part 2'!$AX$5:$BA$5,0))+INDEX('Tables - Part 2'!$BF$6:$BI$13,MATCH(SCC_Alkaline_Carbonate!$S14,'Tables - Part 2'!$AV$6:$AV$13,0),MATCH(SCC_Alkaline_Carbonate!$Q14,'Tables - Part 2'!$AX$5:$BA$5,0)))/2,0)</f>
        <v>3</v>
      </c>
      <c r="AL14" s="248">
        <f>IF($P14=$AL$3,(((INDEX('Tables - Part 2'!$BB$6:$BE$13,MATCH(SCC_Alkaline_Carbonate!$S14,'Tables - Part 2'!$AV$6:$AV$13,0),MATCH(SCC_Alkaline_Carbonate!$Q14,'Tables - Part 2'!$AX$5:$BA$5,0))+INDEX('Tables - Part 2'!$BF$6:$BI$13,MATCH(SCC_Alkaline_Carbonate!$S14,'Tables - Part 2'!$AV$6:$AV$13,0),MATCH(SCC_Alkaline_Carbonate!$Q14,'Tables - Part 2'!$AX$5:$BA$5,0)))/2)+((((INDEX('Tables - Part 2'!$BB$6:$BE$13,MATCH(SCC_Alkaline_Carbonate!$S14,'Tables - Part 2'!$AV$6:$AV$13,0),MATCH(SCC_Alkaline_Carbonate!$Q14,'Tables - Part 2'!$AX$5:$BA$5,0))+INDEX('Tables - Part 2'!$BF$6:$BI$13,MATCH(SCC_Alkaline_Carbonate!$S14,'Tables - Part 2'!$AV$6:$AV$13,0),MATCH(SCC_Alkaline_Carbonate!$Q14,'Tables - Part 2'!$AX$5:$BA$5,0)))/2)+INDEX('Tables - Part 2'!$BF$6:$BI$13,MATCH(SCC_Alkaline_Carbonate!$S14,'Tables - Part 2'!$AV$6:$AV$13,0),MATCH(SCC_Alkaline_Carbonate!$Q14,'Tables - Part 2'!$AX$5:$BA$5,0)))/2))/2,0)</f>
        <v>0</v>
      </c>
      <c r="AM14" s="248">
        <f>IF($P14=$AM$3,(((INDEX('Tables - Part 2'!$BB$6:$BE$13,MATCH(SCC_Alkaline_Carbonate!$S14,'Tables - Part 2'!$AV$6:$AV$13,0),MATCH(SCC_Alkaline_Carbonate!$Q14,'Tables - Part 2'!$AX$5:$BA$5,0))+INDEX('Tables - Part 2'!$BF$6:$BI$13,MATCH(SCC_Alkaline_Carbonate!$S14,'Tables - Part 2'!$AV$6:$AV$13,0),MATCH(SCC_Alkaline_Carbonate!$Q14,'Tables - Part 2'!$AX$5:$BA$5,0)))/2)+INDEX('Tables - Part 2'!$BF$6:$BI$13,MATCH(SCC_Alkaline_Carbonate!$S14,'Tables - Part 2'!$AV$6:$AV$13,0),MATCH(SCC_Alkaline_Carbonate!$Q14,'Tables - Part 2'!$AX$5:$BA$5,0)))/2,0)</f>
        <v>0</v>
      </c>
      <c r="AN14" s="248">
        <f>IF($P14=$AN$3,(((((INDEX('Tables - Part 2'!$BB$6:$BE$13,MATCH(SCC_Alkaline_Carbonate!$S14,'Tables - Part 2'!$AV$6:$AV$13,0),MATCH(SCC_Alkaline_Carbonate!$Q14,'Tables - Part 2'!$AX$5:$BA$5,0))+INDEX('Tables - Part 2'!$BF$6:$BI$13,MATCH(SCC_Alkaline_Carbonate!$S14,'Tables - Part 2'!$AV$6:$AV$13,0),MATCH(SCC_Alkaline_Carbonate!$Q14,'Tables - Part 2'!$AX$5:$BA$5,0)))/2)+INDEX('Tables - Part 2'!$BF$6:$BI$13,MATCH(SCC_Alkaline_Carbonate!$S14,'Tables - Part 2'!$AV$6:$AV$13,0),MATCH(SCC_Alkaline_Carbonate!$Q14,'Tables - Part 2'!$AX$5:$BA$5,0)))/2)+INDEX('Tables - Part 2'!$BF$6:$BI$13,MATCH(SCC_Alkaline_Carbonate!$S14,'Tables - Part 2'!$AV$6:$AV$13,0),MATCH(SCC_Alkaline_Carbonate!$Q14,'Tables - Part 2'!$AX$5:$BA$5,0)))/2,0)</f>
        <v>0</v>
      </c>
      <c r="AO14" s="248">
        <f>IF($P14=$AO$3,INDEX('Tables - Part 2'!$BF$6:$BI$13,MATCH(SCC_Alkaline_Carbonate!$S14,'Tables - Part 2'!$AV$6:$AV$13,0),MATCH(SCC_Alkaline_Carbonate!$Q14,'Tables - Part 2'!$AX$5:$BA$5,0)),0)</f>
        <v>0</v>
      </c>
      <c r="AP14" s="248">
        <f>IF($P14=$AP$3,(INDEX('Tables - Part 2'!$BF$6:$BI$13,MATCH(SCC_Alkaline_Carbonate!$S14,'Tables - Part 2'!$AV$6:$AV$13,0),MATCH(SCC_Alkaline_Carbonate!$Q14,'Tables - Part 2'!$AX$5:$BA$5,0))+((INDEX('Tables - Part 2'!$BF$6:$BI$13,MATCH(SCC_Alkaline_Carbonate!$S14,'Tables - Part 2'!$AV$6:$AV$13,0),MATCH(SCC_Alkaline_Carbonate!$Q14,'Tables - Part 2'!$AX$5:$BA$5,0))+(INDEX('Tables - Part 2'!$BF$6:$BI$13,MATCH(SCC_Alkaline_Carbonate!$S14,'Tables - Part 2'!$AV$6:$AV$13,0),MATCH(SCC_Alkaline_Carbonate!$Q14,'Tables - Part 2'!$AX$5:$BA$5,0))+INDEX('Tables - Part 2'!$AX$17:$BA$24,MATCH(SCC_Alkaline_Carbonate!$S14,'Tables - Part 2'!$AV$6:$AV$13,0),MATCH(SCC_Alkaline_Carbonate!$Q14,'Tables - Part 2'!$AX$5:$BA$5,0)))/2)/2))/2,0)</f>
        <v>0</v>
      </c>
      <c r="AQ14" s="248">
        <f>IF($P14=$AQ$3,(INDEX('Tables - Part 2'!$BF$6:$BI$13,MATCH(SCC_Alkaline_Carbonate!$S14,'Tables - Part 2'!$AV$6:$AV$13,0),MATCH(SCC_Alkaline_Carbonate!$Q14,'Tables - Part 2'!$AX$5:$BA$5,0))+(INDEX('Tables - Part 2'!$BF$6:$BI$13,MATCH(SCC_Alkaline_Carbonate!$S14,'Tables - Part 2'!$AV$6:$AV$13,0),MATCH(SCC_Alkaline_Carbonate!$Q14,'Tables - Part 2'!$AX$5:$BA$5,0))+INDEX('Tables - Part 2'!$AX$17:$BA$24,MATCH(SCC_Alkaline_Carbonate!$S14,'Tables - Part 2'!$AV$6:$AV$13,0),MATCH(SCC_Alkaline_Carbonate!$Q14,'Tables - Part 2'!$AX$5:$BA$5,0)))/2)/2,0)</f>
        <v>0</v>
      </c>
      <c r="AR14" s="248">
        <f>IF($P14=$AR$3,(((INDEX('Tables - Part 2'!$BF$6:$BI$13,MATCH(SCC_Alkaline_Carbonate!$S14,'Tables - Part 2'!$AV$6:$AV$13,0),MATCH(SCC_Alkaline_Carbonate!$Q14,'Tables - Part 2'!$AX$5:$BA$5,0))+(INDEX('Tables - Part 2'!$BF$6:$BI$13,MATCH(SCC_Alkaline_Carbonate!$S14,'Tables - Part 2'!$AV$6:$AV$13,0),MATCH(SCC_Alkaline_Carbonate!$Q14,'Tables - Part 2'!$AX$5:$BA$5,0))+INDEX('Tables - Part 2'!$AX$17:$BA$24,MATCH(SCC_Alkaline_Carbonate!$S14,'Tables - Part 2'!$AV$6:$AV$13,0),MATCH(SCC_Alkaline_Carbonate!$Q14,'Tables - Part 2'!$AX$5:$BA$5,0)))/2)/2)+((INDEX('Tables - Part 2'!$BF$6:$BI$13,MATCH(SCC_Alkaline_Carbonate!$S14,'Tables - Part 2'!$AV$6:$AV$13,0),MATCH(SCC_Alkaline_Carbonate!$Q14,'Tables - Part 2'!$AX$5:$BA$5,0))+INDEX('Tables - Part 2'!$AX$17:$BA$24,MATCH(SCC_Alkaline_Carbonate!$S14,'Tables - Part 2'!$AV$6:$AV$13,0),MATCH(SCC_Alkaline_Carbonate!$Q14,'Tables - Part 2'!$AX$5:$BA$5,0)))/2))/2,0)</f>
        <v>0</v>
      </c>
      <c r="AS14" s="248">
        <f>IF($P14=$AS$3,(INDEX('Tables - Part 2'!$BF$6:$BI$13,MATCH(SCC_Alkaline_Carbonate!$S14,'Tables - Part 2'!$AV$6:$AV$13,0),MATCH(SCC_Alkaline_Carbonate!$Q14,'Tables - Part 2'!$AX$5:$BA$5,0))+INDEX('Tables - Part 2'!$AX$17:$BA$24,MATCH(SCC_Alkaline_Carbonate!$S14,'Tables - Part 2'!$AV$6:$AV$13,0),MATCH(SCC_Alkaline_Carbonate!$Q14,'Tables - Part 2'!$AX$5:$BA$5,0)))/2,0)</f>
        <v>0</v>
      </c>
      <c r="AT14" s="248">
        <f>IF($P14=$AT$3,(((INDEX('Tables - Part 2'!$BF$6:$BI$13,MATCH(SCC_Alkaline_Carbonate!$S14,'Tables - Part 2'!$AV$6:$AV$13,0),MATCH(SCC_Alkaline_Carbonate!$Q14,'Tables - Part 2'!$AX$5:$BA$5,0))+INDEX('Tables - Part 2'!$AX$17:$BA$24,MATCH(SCC_Alkaline_Carbonate!$S14,'Tables - Part 2'!$AV$6:$AV$13,0),MATCH(SCC_Alkaline_Carbonate!$Q14,'Tables - Part 2'!$AX$5:$BA$5,0)))/2)+((((INDEX('Tables - Part 2'!$BF$6:$BI$13,MATCH(SCC_Alkaline_Carbonate!$S14,'Tables - Part 2'!$AV$6:$AV$13,0),MATCH(SCC_Alkaline_Carbonate!$Q14,'Tables - Part 2'!$AX$5:$BA$5,0))+INDEX('Tables - Part 2'!$AX$17:$BA$24,MATCH(SCC_Alkaline_Carbonate!$S14,'Tables - Part 2'!$AV$6:$AV$13,0),MATCH(SCC_Alkaline_Carbonate!$Q14,'Tables - Part 2'!$AX$5:$BA$5,0)))/2)+INDEX('Tables - Part 2'!$AX$17:$BA$24,MATCH(SCC_Alkaline_Carbonate!$S14,'Tables - Part 2'!$AV$6:$AV$13,0),MATCH(SCC_Alkaline_Carbonate!$Q14,'Tables - Part 2'!$AX$5:$BA$5,0)))/2))/2,0)</f>
        <v>0</v>
      </c>
      <c r="AU14" s="248">
        <f>IF($P14=$AU$3,(((INDEX('Tables - Part 2'!$BF$6:$BI$13,MATCH(SCC_Alkaline_Carbonate!$S14,'Tables - Part 2'!$AV$6:$AV$13,0),MATCH(SCC_Alkaline_Carbonate!$Q14,'Tables - Part 2'!$AX$5:$BA$5,0))+INDEX('Tables - Part 2'!$AX$17:$BA$24,MATCH(SCC_Alkaline_Carbonate!$S14,'Tables - Part 2'!$AV$6:$AV$13,0),MATCH(SCC_Alkaline_Carbonate!$Q14,'Tables - Part 2'!$AX$5:$BA$5,0)))/2)+INDEX('Tables - Part 2'!$AX$17:$BA$24,MATCH(SCC_Alkaline_Carbonate!$S14,'Tables - Part 2'!$AV$6:$AV$13,0),MATCH(SCC_Alkaline_Carbonate!$Q14,'Tables - Part 2'!$AX$5:$BA$5,0)))/2,0)</f>
        <v>0</v>
      </c>
      <c r="AV14" s="248">
        <f>IF($P14=$AV$3,(((((INDEX('Tables - Part 2'!$BF$6:$BI$13,MATCH(SCC_Alkaline_Carbonate!$S14,'Tables - Part 2'!$AV$6:$AV$13,0),MATCH(SCC_Alkaline_Carbonate!$Q14,'Tables - Part 2'!$AX$5:$BA$5,0))+INDEX('Tables - Part 2'!$AX$17:$BA$24,MATCH(SCC_Alkaline_Carbonate!$S14,'Tables - Part 2'!$AV$6:$AV$13,0),MATCH(SCC_Alkaline_Carbonate!$Q14,'Tables - Part 2'!$AX$5:$BA$5,0)))/2)+INDEX('Tables - Part 2'!$AX$17:$BA$24,MATCH(SCC_Alkaline_Carbonate!$S14,'Tables - Part 2'!$AV$6:$AV$13,0),MATCH(SCC_Alkaline_Carbonate!$Q14,'Tables - Part 2'!$AX$5:$BA$5,0)))/2)+(INDEX('Tables - Part 2'!$AX$17:$BA$24,MATCH(SCC_Alkaline_Carbonate!$S14,'Tables - Part 2'!$AV$6:$AV$13,0),MATCH(SCC_Alkaline_Carbonate!$Q14,'Tables - Part 2'!$AX$5:$BA$5,0))))/2,0)</f>
        <v>0</v>
      </c>
      <c r="AW14" s="248">
        <f>IF($P14=$AW$3,INDEX('Tables - Part 2'!$AX$17:$BA$24,MATCH(SCC_Alkaline_Carbonate!$S14,'Tables - Part 2'!$AV$6:$AV$13,0),MATCH(SCC_Alkaline_Carbonate!$Q14,'Tables - Part 2'!$AX$5:$BA$5,0)),0)</f>
        <v>0</v>
      </c>
      <c r="AX14" s="248">
        <f>IF($P14=$AX$3,((INDEX('Tables - Part 2'!$AX$17:$BA$24,MATCH(SCC_Alkaline_Carbonate!$S14,'Tables - Part 2'!$AV$6:$AV$13,0),MATCH(SCC_Alkaline_Carbonate!$Q14,'Tables - Part 2'!$AX$5:$BA$5,0)))+(((INDEX('Tables - Part 2'!$AX$17:$BA$24,MATCH(SCC_Alkaline_Carbonate!$S14,'Tables - Part 2'!$AV$6:$AV$13,0),MATCH(SCC_Alkaline_Carbonate!$Q14,'Tables - Part 2'!$AX$5:$BA$5,0)))+(INDEX('Tables - Part 2'!$AX$17:$BA$24,MATCH(SCC_Alkaline_Carbonate!$S14,'Tables - Part 2'!$AV$6:$AV$13,0),MATCH(SCC_Alkaline_Carbonate!$Q14,'Tables - Part 2'!$AX$5:$BA$5,0))+INDEX('Tables - Part 2'!$BB$17:$BE$24,MATCH(SCC_Alkaline_Carbonate!$S14,'Tables - Part 2'!$AV$6:$AV$13,0),MATCH(SCC_Alkaline_Carbonate!$Q14,'Tables - Part 2'!$AX$5:$BA$5,0)))/2)/2))/2,0)</f>
        <v>0</v>
      </c>
      <c r="AY14" s="248">
        <f>IF($P14=$AY$3,((INDEX('Tables - Part 2'!$AX$17:$BA$24,MATCH(SCC_Alkaline_Carbonate!$S14,'Tables - Part 2'!$AV$6:$AV$13,0),MATCH(SCC_Alkaline_Carbonate!$Q14,'Tables - Part 2'!$AX$5:$BA$5,0)))+(INDEX('Tables - Part 2'!$AX$17:$BA$24,MATCH(SCC_Alkaline_Carbonate!$S14,'Tables - Part 2'!$AV$6:$AV$13,0),MATCH(SCC_Alkaline_Carbonate!$Q14,'Tables - Part 2'!$AX$5:$BA$5,0))+INDEX('Tables - Part 2'!$BB$17:$BE$24,MATCH(SCC_Alkaline_Carbonate!$S14,'Tables - Part 2'!$AV$6:$AV$13,0),MATCH(SCC_Alkaline_Carbonate!$Q14,'Tables - Part 2'!$AX$5:$BA$5,0)))/2)/2,0)</f>
        <v>0</v>
      </c>
      <c r="AZ14" s="248">
        <f>IF($P14=$AZ$3,((((INDEX('Tables - Part 2'!$AX$17:$BA$24,MATCH(SCC_Alkaline_Carbonate!$S14,'Tables - Part 2'!$AV$6:$AV$13,0),MATCH(SCC_Alkaline_Carbonate!$Q14,'Tables - Part 2'!$AX$5:$BA$5,0)))+(INDEX('Tables - Part 2'!$AX$17:$BA$24,MATCH(SCC_Alkaline_Carbonate!$S14,'Tables - Part 2'!$AV$6:$AV$13,0),MATCH(SCC_Alkaline_Carbonate!$Q14,'Tables - Part 2'!$AX$5:$BA$5,0))+INDEX('Tables - Part 2'!$BB$17:$BE$24,MATCH(SCC_Alkaline_Carbonate!$S14,'Tables - Part 2'!$AV$6:$AV$13,0),MATCH(SCC_Alkaline_Carbonate!$Q14,'Tables - Part 2'!$AX$5:$BA$5,0)))/2)/2)+((INDEX('Tables - Part 2'!$AX$17:$BA$24,MATCH(SCC_Alkaline_Carbonate!$S14,'Tables - Part 2'!$AV$6:$AV$13,0),MATCH(SCC_Alkaline_Carbonate!$Q14,'Tables - Part 2'!$AX$5:$BA$5,0))+INDEX('Tables - Part 2'!$BB$17:$BE$24,MATCH(SCC_Alkaline_Carbonate!$S14,'Tables - Part 2'!$AV$6:$AV$13,0),MATCH(SCC_Alkaline_Carbonate!$Q14,'Tables - Part 2'!$AX$5:$BA$5,0)))/2))/2,0)</f>
        <v>0</v>
      </c>
      <c r="BA14" s="248">
        <f>IF($P14=$BA$3,(INDEX('Tables - Part 2'!$AX$17:$BA$24,MATCH(SCC_Alkaline_Carbonate!$S14,'Tables - Part 2'!$AV$6:$AV$13,0),MATCH(SCC_Alkaline_Carbonate!$Q14,'Tables - Part 2'!$AX$5:$BA$5,0))+INDEX('Tables - Part 2'!$BB$17:$BE$24,MATCH(SCC_Alkaline_Carbonate!$S14,'Tables - Part 2'!$AV$6:$AV$13,0),MATCH(SCC_Alkaline_Carbonate!$Q14,'Tables - Part 2'!$AX$5:$BA$5,0)))/2,0)</f>
        <v>0</v>
      </c>
      <c r="BB14" s="248">
        <f>IF($P14=$BB$3,(((INDEX('Tables - Part 2'!$AX$17:$BA$24,MATCH(SCC_Alkaline_Carbonate!$S14,'Tables - Part 2'!$AV$6:$AV$13,0),MATCH(SCC_Alkaline_Carbonate!$Q14,'Tables - Part 2'!$AX$5:$BA$5,0))+INDEX('Tables - Part 2'!$BB$17:$BE$24,MATCH(SCC_Alkaline_Carbonate!$S14,'Tables - Part 2'!$AV$6:$AV$13,0),MATCH(SCC_Alkaline_Carbonate!$Q14,'Tables - Part 2'!$AX$5:$BA$5,0)))/2)+((((INDEX('Tables - Part 2'!$AX$17:$BA$24,MATCH(SCC_Alkaline_Carbonate!$S14,'Tables - Part 2'!$AV$6:$AV$13,0),MATCH(SCC_Alkaline_Carbonate!$Q14,'Tables - Part 2'!$AX$5:$BA$5,0))+INDEX('Tables - Part 2'!$BB$17:$BE$24,MATCH(SCC_Alkaline_Carbonate!$S14,'Tables - Part 2'!$AV$6:$AV$13,0),MATCH(SCC_Alkaline_Carbonate!$Q14,'Tables - Part 2'!$AX$5:$BA$5,0)))/2)+INDEX('Tables - Part 2'!$BB$17:$BE$24,MATCH(SCC_Alkaline_Carbonate!$S14,'Tables - Part 2'!$AV$6:$AV$13,0),MATCH(SCC_Alkaline_Carbonate!$Q14,'Tables - Part 2'!$AX$5:$BA$5,0)))/2))/2,0)</f>
        <v>0</v>
      </c>
      <c r="BC14" s="248">
        <f>IF($P14=$BC$3,(((INDEX('Tables - Part 2'!$AX$17:$BA$24,MATCH(SCC_Alkaline_Carbonate!$S14,'Tables - Part 2'!$AV$6:$AV$13,0),MATCH(SCC_Alkaline_Carbonate!$Q14,'Tables - Part 2'!$AX$5:$BA$5,0))+INDEX('Tables - Part 2'!$BB$17:$BE$24,MATCH(SCC_Alkaline_Carbonate!$S14,'Tables - Part 2'!$AV$6:$AV$13,0),MATCH(SCC_Alkaline_Carbonate!$Q14,'Tables - Part 2'!$AX$5:$BA$5,0)))/2)+INDEX('Tables - Part 2'!$BB$17:$BE$24,MATCH(SCC_Alkaline_Carbonate!$S14,'Tables - Part 2'!$AV$6:$AV$13,0),MATCH(SCC_Alkaline_Carbonate!$Q14,'Tables - Part 2'!$AX$5:$BA$5,0)))/2,0)</f>
        <v>0</v>
      </c>
      <c r="BD14" s="248">
        <f>IF($P14=$BD$3,(((((INDEX('Tables - Part 2'!$AX$17:$BA$24,MATCH(SCC_Alkaline_Carbonate!$S14,'Tables - Part 2'!$AV$6:$AV$13,0),MATCH(SCC_Alkaline_Carbonate!$Q14,'Tables - Part 2'!$AX$5:$BA$5,0))+INDEX('Tables - Part 2'!$BB$17:$BE$24,MATCH(SCC_Alkaline_Carbonate!$S14,'Tables - Part 2'!$AV$6:$AV$13,0),MATCH(SCC_Alkaline_Carbonate!$Q14,'Tables - Part 2'!$AX$5:$BA$5,0)))/2)+INDEX('Tables - Part 2'!$BB$17:$BE$24,MATCH(SCC_Alkaline_Carbonate!$S14,'Tables - Part 2'!$AV$6:$AV$13,0),MATCH(SCC_Alkaline_Carbonate!$Q14,'Tables - Part 2'!$AX$5:$BA$5,0)))/2)+(INDEX('Tables - Part 2'!$BB$17:$BE$24,MATCH(SCC_Alkaline_Carbonate!$S14,'Tables - Part 2'!$AV$6:$AV$13,0),MATCH(SCC_Alkaline_Carbonate!$Q14,'Tables - Part 2'!$AX$5:$BA$5,0))))/2,0)</f>
        <v>0</v>
      </c>
      <c r="BE14" s="248">
        <f>IF($P14=$BE$3,INDEX('Tables - Part 2'!$BB$17:$BE$24,MATCH(SCC_Alkaline_Carbonate!$S14,'Tables - Part 2'!$AV$6:$AV$13,0),MATCH(SCC_Alkaline_Carbonate!$Q14,'Tables - Part 2'!$AX$5:$BA$5,0)),0)</f>
        <v>0</v>
      </c>
      <c r="BF14" s="248">
        <f>IF($P14=$BF$3,((INDEX('Tables - Part 2'!$BB$17:$BE$24,MATCH(SCC_Alkaline_Carbonate!$S14,'Tables - Part 2'!$AV$6:$AV$13,0),MATCH(SCC_Alkaline_Carbonate!$Q14,'Tables - Part 2'!$AX$5:$BA$5,0)))+(((INDEX('Tables - Part 2'!$BB$17:$BE$24,MATCH(SCC_Alkaline_Carbonate!$S14,'Tables - Part 2'!$AV$6:$AV$13,0),MATCH(SCC_Alkaline_Carbonate!$Q14,'Tables - Part 2'!$AX$5:$BA$5,0)))+(INDEX('Tables - Part 2'!$BB$17:$BE$24,MATCH(SCC_Alkaline_Carbonate!$S14,'Tables - Part 2'!$AV$6:$AV$13,0),MATCH(SCC_Alkaline_Carbonate!$Q14,'Tables - Part 2'!$AX$5:$BA$5,0))+INDEX('Tables - Part 2'!$BF$17:$BI$24,MATCH(SCC_Alkaline_Carbonate!$S14,'Tables - Part 2'!$AV$6:$AV$13,0),MATCH(SCC_Alkaline_Carbonate!$Q14,'Tables - Part 2'!$AX$5:$BA$5,0)))/2)/2))/2,0)</f>
        <v>0</v>
      </c>
      <c r="BG14" s="248">
        <f>IF($P14=$BG$3,((INDEX('Tables - Part 2'!$BB$17:$BE$24,MATCH(SCC_Alkaline_Carbonate!$S14,'Tables - Part 2'!$AV$6:$AV$13,0),MATCH(SCC_Alkaline_Carbonate!$Q14,'Tables - Part 2'!$AX$5:$BA$5,0)))+(INDEX('Tables - Part 2'!$BB$17:$BE$24,MATCH(SCC_Alkaline_Carbonate!$S14,'Tables - Part 2'!$AV$6:$AV$13,0),MATCH(SCC_Alkaline_Carbonate!$Q14,'Tables - Part 2'!$AX$5:$BA$5,0))+INDEX('Tables - Part 2'!$BF$17:$BI$24,MATCH(SCC_Alkaline_Carbonate!$S14,'Tables - Part 2'!$AV$6:$AV$13,0),MATCH(SCC_Alkaline_Carbonate!$Q14,'Tables - Part 2'!$AX$5:$BA$5,0)))/2)/2,0)</f>
        <v>0</v>
      </c>
      <c r="BH14" s="248">
        <f>IF($P14=$BH$3,((((INDEX('Tables - Part 2'!$BB$17:$BE$24,MATCH(SCC_Alkaline_Carbonate!$S14,'Tables - Part 2'!$AV$6:$AV$13,0),MATCH(SCC_Alkaline_Carbonate!$Q14,'Tables - Part 2'!$AX$5:$BA$5,0)))+(INDEX('Tables - Part 2'!$BB$17:$BE$24,MATCH(SCC_Alkaline_Carbonate!$S14,'Tables - Part 2'!$AV$6:$AV$13,0),MATCH(SCC_Alkaline_Carbonate!$Q14,'Tables - Part 2'!$AX$5:$BA$5,0))+INDEX('Tables - Part 2'!$BF$17:$BI$24,MATCH(SCC_Alkaline_Carbonate!$S14,'Tables - Part 2'!$AV$6:$AV$13,0),MATCH(SCC_Alkaline_Carbonate!$Q14,'Tables - Part 2'!$AX$5:$BA$5,0)))/2)/2)+((INDEX('Tables - Part 2'!$BB$17:$BE$24,MATCH(SCC_Alkaline_Carbonate!$S14,'Tables - Part 2'!$AV$6:$AV$13,0),MATCH(SCC_Alkaline_Carbonate!$Q14,'Tables - Part 2'!$AX$5:$BA$5,0))+INDEX('Tables - Part 2'!$BF$17:$BI$24,MATCH(SCC_Alkaline_Carbonate!$S14,'Tables - Part 2'!$AV$6:$AV$13,0),MATCH(SCC_Alkaline_Carbonate!$Q14,'Tables - Part 2'!$AX$5:$BA$5,0)))/2))/2,0)</f>
        <v>0</v>
      </c>
      <c r="BI14" s="248">
        <f>IF($P14=$BI$3,(INDEX('Tables - Part 2'!$BB$17:$BE$24,MATCH(SCC_Alkaline_Carbonate!$S14,'Tables - Part 2'!$AV$6:$AV$13,0),MATCH(SCC_Alkaline_Carbonate!$Q14,'Tables - Part 2'!$AX$5:$BA$5,0))+INDEX('Tables - Part 2'!$BF$17:$BI$24,MATCH(SCC_Alkaline_Carbonate!$S14,'Tables - Part 2'!$AV$6:$AV$13,0),MATCH(SCC_Alkaline_Carbonate!$Q14,'Tables - Part 2'!$AX$5:$BA$5,0)))/2,0)</f>
        <v>0</v>
      </c>
      <c r="BJ14" s="248">
        <f>IF($P14=$BJ$3,(((INDEX('Tables - Part 2'!$BB$17:$BE$24,MATCH(SCC_Alkaline_Carbonate!$S14,'Tables - Part 2'!$AV$6:$AV$13,0),MATCH(SCC_Alkaline_Carbonate!$Q14,'Tables - Part 2'!$AX$5:$BA$5,0))+INDEX('Tables - Part 2'!$BF$17:$BI$24,MATCH(SCC_Alkaline_Carbonate!$S14,'Tables - Part 2'!$AV$6:$AV$13,0),MATCH(SCC_Alkaline_Carbonate!$Q14,'Tables - Part 2'!$AX$5:$BA$5,0)))/2)+((((INDEX('Tables - Part 2'!$BB$17:$BE$24,MATCH(SCC_Alkaline_Carbonate!$S14,'Tables - Part 2'!$AV$6:$AV$13,0),MATCH(SCC_Alkaline_Carbonate!$Q14,'Tables - Part 2'!$AX$5:$BA$5,0))+INDEX('Tables - Part 2'!$BF$17:$BI$24,MATCH(SCC_Alkaline_Carbonate!$S14,'Tables - Part 2'!$AV$6:$AV$13,0),MATCH(SCC_Alkaline_Carbonate!$Q14,'Tables - Part 2'!$AX$5:$BA$5,0)))/2)+INDEX('Tables - Part 2'!$BF$17:$BI$24,MATCH(SCC_Alkaline_Carbonate!$S14,'Tables - Part 2'!$AV$6:$AV$13,0),MATCH(SCC_Alkaline_Carbonate!$Q14,'Tables - Part 2'!$AX$5:$BA$5,0)))/2))/2,0)</f>
        <v>0</v>
      </c>
      <c r="BK14" s="248">
        <f>IF($P14=$BK$3,(((INDEX('Tables - Part 2'!$BB$17:$BE$24,MATCH(SCC_Alkaline_Carbonate!$S14,'Tables - Part 2'!$AV$6:$AV$13,0),MATCH(SCC_Alkaline_Carbonate!$Q14,'Tables - Part 2'!$AX$5:$BA$5,0))+INDEX('Tables - Part 2'!$BF$17:$BI$24,MATCH(SCC_Alkaline_Carbonate!$S14,'Tables - Part 2'!$AV$6:$AV$13,0),MATCH(SCC_Alkaline_Carbonate!$Q14,'Tables - Part 2'!$AX$5:$BA$5,0)))/2)+INDEX('Tables - Part 2'!$BF$17:$BI$24,MATCH(SCC_Alkaline_Carbonate!$S14,'Tables - Part 2'!$AV$6:$AV$13,0),MATCH(SCC_Alkaline_Carbonate!$Q14,'Tables - Part 2'!$AX$5:$BA$5,0)))/2,0)</f>
        <v>0</v>
      </c>
      <c r="BL14" s="248">
        <f>IF($P14=$BL$3,(((((INDEX('Tables - Part 2'!$BB$17:$BE$24,MATCH(SCC_Alkaline_Carbonate!$S14,'Tables - Part 2'!$AV$6:$AV$13,0),MATCH(SCC_Alkaline_Carbonate!$Q14,'Tables - Part 2'!$AX$5:$BA$5,0))+INDEX('Tables - Part 2'!$BF$17:$BI$24,MATCH(SCC_Alkaline_Carbonate!$S14,'Tables - Part 2'!$AV$6:$AV$13,0),MATCH(SCC_Alkaline_Carbonate!$Q14,'Tables - Part 2'!$AX$5:$BA$5,0)))/2)+INDEX('Tables - Part 2'!$BF$17:$BI$24,MATCH(SCC_Alkaline_Carbonate!$S14,'Tables - Part 2'!$AV$6:$AV$13,0),MATCH(SCC_Alkaline_Carbonate!$Q14,'Tables - Part 2'!$AX$5:$BA$5,0)))/2)+(INDEX('Tables - Part 2'!$BF$17:$BI$24,MATCH(SCC_Alkaline_Carbonate!$S14,'Tables - Part 2'!$AV$6:$AV$13,0),MATCH(SCC_Alkaline_Carbonate!$Q14,'Tables - Part 2'!$AX$5:$BA$5,0))))/2,0)</f>
        <v>0</v>
      </c>
      <c r="BM14" s="248">
        <f>IF($P14=$BM$3,INDEX('Tables - Part 2'!$BF$17:$BI$24,MATCH(SCC_Alkaline_Carbonate!$S14,'Tables - Part 2'!$AV$6:$AV$13,0),MATCH(SCC_Alkaline_Carbonate!$Q14,'Tables - Part 2'!$AX$5:$BA$5,0)),0)</f>
        <v>0</v>
      </c>
      <c r="BN14" s="248">
        <f t="shared" si="6"/>
        <v>0</v>
      </c>
      <c r="BO14" s="238">
        <f t="shared" si="8"/>
        <v>3</v>
      </c>
      <c r="BP14" s="238">
        <f t="shared" si="7"/>
        <v>50.318647405225171</v>
      </c>
    </row>
    <row r="15" spans="2:81" x14ac:dyDescent="0.35">
      <c r="B15" s="161" t="str">
        <f>'Tratamento de Dados'!B23</f>
        <v>V-5</v>
      </c>
      <c r="C15" s="161" t="str">
        <f>'Tratamento de Dados'!D23</f>
        <v>Casco</v>
      </c>
      <c r="D15" s="209" t="s">
        <v>245</v>
      </c>
      <c r="E15" s="209" t="s">
        <v>61</v>
      </c>
      <c r="F15" s="209" t="s">
        <v>1134</v>
      </c>
      <c r="G15" s="209" t="s">
        <v>1132</v>
      </c>
      <c r="H15" s="209" t="s">
        <v>245</v>
      </c>
      <c r="I15" s="210">
        <v>39092</v>
      </c>
      <c r="J15" s="209">
        <v>0</v>
      </c>
      <c r="K15" s="209">
        <v>1</v>
      </c>
      <c r="L15" s="209">
        <v>1</v>
      </c>
      <c r="M15" s="209">
        <v>4</v>
      </c>
      <c r="N15" s="253">
        <f>'Tratamento de Dados'!DA23</f>
        <v>0</v>
      </c>
      <c r="O15" s="253">
        <f>'Tratamento de Dados'!DB23</f>
        <v>0</v>
      </c>
      <c r="P15" s="256">
        <f t="shared" si="0"/>
        <v>2.5</v>
      </c>
      <c r="Q15" s="246" t="str">
        <f t="shared" si="1"/>
        <v>B</v>
      </c>
      <c r="R15" s="238" t="str">
        <f>IF(D15=$BU$2,$BS$4,IF(H15=$BU$2,$BS$5,INDEX('Tables - Part 2'!$DA$6:$DB$9,MATCH(SCC_Alkaline_Carbonate!F15,'Tables - Part 2'!$CY$6:$CY$9,0),MATCH(SCC_Alkaline_Carbonate!G15,'Tables - Part 2'!$DA$5:$DB$5,0))))</f>
        <v>Medium</v>
      </c>
      <c r="S15" s="238">
        <f>IF(AND(D15=$BU$2,E15&lt;&gt;$BU$2),"Fitness-For-Service",INDEX('Tables - Part 2'!$DE$4:$DE$7,MATCH(SCC_Alkaline_Carbonate!R15,'Tables - Part 2'!$DD$4:$DD$7,0),))</f>
        <v>100</v>
      </c>
      <c r="T15" s="238">
        <f>IF(I15=0,(Thinning!G16-Thinning!F16)/365.25,(Thinning!G16-I15)/365.25)</f>
        <v>12.980150581793293</v>
      </c>
      <c r="U15" s="248">
        <f t="shared" si="2"/>
        <v>0</v>
      </c>
      <c r="V15" s="248">
        <f t="shared" si="3"/>
        <v>2.5</v>
      </c>
      <c r="W15" s="248">
        <f t="shared" si="4"/>
        <v>3</v>
      </c>
      <c r="X15" s="247">
        <f t="shared" si="5"/>
        <v>4</v>
      </c>
      <c r="Y15" s="248">
        <f>IF($P15=$Y$3,INDEX('Tables - Part 2'!$AX$6:$BA$13,MATCH(SCC_Alkaline_Carbonate!S15,'Tables - Part 2'!$AV$6:$AV$13,0),MATCH(SCC_Alkaline_Carbonate!Q15,'Tables - Part 2'!$AX$5:$BA$5,0)),0)</f>
        <v>0</v>
      </c>
      <c r="Z15" s="248">
        <f>IF($P15=$Z$3,(INDEX('Tables - Part 2'!$AX$6:$BA$13,MATCH(SCC_Alkaline_Carbonate!S15,'Tables - Part 2'!$AV$6:$AV$13,0),MATCH(SCC_Alkaline_Carbonate!Q15,'Tables - Part 2'!$AX$5:$BA$5,0))+(INDEX('Tables - Part 2'!$AX$6:$BA$13,MATCH(SCC_Alkaline_Carbonate!S15,'Tables - Part 2'!$AV$6:$AV$13,0),MATCH(SCC_Alkaline_Carbonate!Q15,'Tables - Part 2'!$AX$5:$BA$5,0))+((INDEX('Tables - Part 2'!$AX$6:$BA$13,MATCH(SCC_Alkaline_Carbonate!S15,'Tables - Part 2'!$AV$6:$AV$13,0),MATCH(SCC_Alkaline_Carbonate!Q15,'Tables - Part 2'!$AX$5:$BA$5,0))+INDEX('Tables - Part 2'!$BB$6:$BE$13,MATCH(SCC_Alkaline_Carbonate!$S15,'Tables - Part 2'!$AV$6:$AV$13,0),MATCH(SCC_Alkaline_Carbonate!$Q15,'Tables - Part 2'!$AX$5:$BA$5,0)))/2))/2)/2,0)</f>
        <v>0</v>
      </c>
      <c r="AA15" s="248">
        <f>IF($P15=$AA$3,(INDEX('Tables - Part 2'!$AX$6:$BA$13,MATCH(SCC_Alkaline_Carbonate!S15,'Tables - Part 2'!$AV$6:$AV$13,0),MATCH(SCC_Alkaline_Carbonate!Q15,'Tables - Part 2'!$AX$5:$BA$5,0))+((INDEX('Tables - Part 2'!$AX$6:$BA$13,MATCH(SCC_Alkaline_Carbonate!S15,'Tables - Part 2'!$AV$6:$AV$13,0),MATCH(SCC_Alkaline_Carbonate!Q15,'Tables - Part 2'!$AX$5:$BA$5,0))+INDEX('Tables - Part 2'!$BB$6:$BE$13,MATCH(SCC_Alkaline_Carbonate!$S15,'Tables - Part 2'!$AV$6:$AV$13,0),MATCH(SCC_Alkaline_Carbonate!$Q15,'Tables - Part 2'!$AX$5:$BA$5,0)))/2))/2,0)</f>
        <v>0</v>
      </c>
      <c r="AB15" s="248">
        <f>IF($P15=$AB$3,(((INDEX('Tables - Part 2'!$AX$6:$BA$13,MATCH(SCC_Alkaline_Carbonate!S15,'Tables - Part 2'!$AV$6:$AV$13,0),MATCH(SCC_Alkaline_Carbonate!Q15,'Tables - Part 2'!$AX$5:$BA$5,0))+((INDEX('Tables - Part 2'!$AX$6:$BA$13,MATCH(SCC_Alkaline_Carbonate!S15,'Tables - Part 2'!$AV$6:$AV$13,0),MATCH(SCC_Alkaline_Carbonate!Q15,'Tables - Part 2'!$AX$5:$BA$5,0))+INDEX('Tables - Part 2'!$BB$6:$BE$13,MATCH(SCC_Alkaline_Carbonate!$S15,'Tables - Part 2'!$AV$6:$AV$13,0),MATCH(SCC_Alkaline_Carbonate!$Q15,'Tables - Part 2'!$AX$5:$BA$5,0)))/2))/2)+(INDEX('Tables - Part 2'!$AX$6:$BA$13,MATCH(SCC_Alkaline_Carbonate!S15,'Tables - Part 2'!$AV$6:$AV$13,0),MATCH(SCC_Alkaline_Carbonate!Q15,'Tables - Part 2'!$AX$5:$BA$5,0))+INDEX('Tables - Part 2'!$BB$6:$BE$13,MATCH(SCC_Alkaline_Carbonate!$S15,'Tables - Part 2'!$AV$6:$AV$13,0),MATCH(SCC_Alkaline_Carbonate!$Q15,'Tables - Part 2'!$AX$5:$BA$5,0)))/2)/2,0)</f>
        <v>0</v>
      </c>
      <c r="AC15" s="248">
        <f>IF($P15=$AC$3,(INDEX('Tables - Part 2'!$AX$6:$BA$13,MATCH(SCC_Alkaline_Carbonate!S15,'Tables - Part 2'!$AV$6:$AV$13,0),MATCH(SCC_Alkaline_Carbonate!Q15,'Tables - Part 2'!$AX$5:$BA$5,0))+INDEX('Tables - Part 2'!$BB$6:$BE$13,MATCH(SCC_Alkaline_Carbonate!$S15,'Tables - Part 2'!$AV$6:$AV$13,0),MATCH(SCC_Alkaline_Carbonate!$Q15,'Tables - Part 2'!$AX$5:$BA$5,0)))/2,0)</f>
        <v>0</v>
      </c>
      <c r="AD15" s="248">
        <f>IF($P15=$AD$3,(((INDEX('Tables - Part 2'!$AX$6:$BA$13,MATCH(SCC_Alkaline_Carbonate!S15,'Tables - Part 2'!$AV$6:$AV$13,0),MATCH(SCC_Alkaline_Carbonate!Q15,'Tables - Part 2'!$AX$5:$BA$5,0))+INDEX('Tables - Part 2'!$BB$6:$BE$13,MATCH(SCC_Alkaline_Carbonate!$S15,'Tables - Part 2'!$AV$6:$AV$13,0),MATCH(SCC_Alkaline_Carbonate!$Q15,'Tables - Part 2'!$AX$5:$BA$5,0)))/2)+(((INDEX('Tables - Part 2'!$AX$6:$BA$13,MATCH(SCC_Alkaline_Carbonate!S15,'Tables - Part 2'!$AV$6:$AV$13,0),MATCH(SCC_Alkaline_Carbonate!Q15,'Tables - Part 2'!$AX$5:$BA$5,0))+INDEX('Tables - Part 2'!$BB$6:$BE$13,MATCH(SCC_Alkaline_Carbonate!$S15,'Tables - Part 2'!$AV$6:$AV$13,0),MATCH(SCC_Alkaline_Carbonate!$Q15,'Tables - Part 2'!$AX$5:$BA$5,0)))/2)+INDEX('Tables - Part 2'!$BB$6:$BE$13,MATCH(SCC_Alkaline_Carbonate!$S15,'Tables - Part 2'!$AV$6:$AV$13,0),MATCH(SCC_Alkaline_Carbonate!$Q15,'Tables - Part 2'!$AX$5:$BA$5,0)))/2)/2,0)</f>
        <v>0</v>
      </c>
      <c r="AE15" s="248">
        <f>IF($P15=$AE$3,(((INDEX('Tables - Part 2'!$AX$6:$BA$13,MATCH(SCC_Alkaline_Carbonate!S15,'Tables - Part 2'!$AV$6:$AV$13,0),MATCH(SCC_Alkaline_Carbonate!Q15,'Tables - Part 2'!$AX$5:$BA$5,0))+INDEX('Tables - Part 2'!$BB$6:$BE$13,MATCH(SCC_Alkaline_Carbonate!$S15,'Tables - Part 2'!$AV$6:$AV$13,0),MATCH(SCC_Alkaline_Carbonate!$Q15,'Tables - Part 2'!$AX$5:$BA$5,0)))/2)+INDEX('Tables - Part 2'!$BB$6:$BE$13,MATCH(SCC_Alkaline_Carbonate!$S15,'Tables - Part 2'!$AV$6:$AV$13,0),MATCH(SCC_Alkaline_Carbonate!$Q15,'Tables - Part 2'!$AX$5:$BA$5,0)))/2,0)</f>
        <v>0</v>
      </c>
      <c r="AF15" s="248">
        <f>IF($P15=$AF$3,(((((INDEX('Tables - Part 2'!$AX$6:$BA$13,MATCH(SCC_Alkaline_Carbonate!S15,'Tables - Part 2'!$AV$6:$AV$13,0),MATCH(SCC_Alkaline_Carbonate!Q15,'Tables - Part 2'!$AX$5:$BA$5,0))+INDEX('Tables - Part 2'!$BB$6:$BE$13,MATCH(SCC_Alkaline_Carbonate!$S15,'Tables - Part 2'!$AV$6:$AV$13,0),MATCH(SCC_Alkaline_Carbonate!$Q15,'Tables - Part 2'!$AX$5:$BA$5,0)))/2)+INDEX('Tables - Part 2'!$BB$6:$BE$13,MATCH(SCC_Alkaline_Carbonate!$S15,'Tables - Part 2'!$AV$6:$AV$13,0),MATCH(SCC_Alkaline_Carbonate!$Q15,'Tables - Part 2'!$AX$5:$BA$5,0)))/2)+INDEX('Tables - Part 2'!$BB$6:$BE$13,MATCH(SCC_Alkaline_Carbonate!$S15,'Tables - Part 2'!$AV$6:$AV$13,0),MATCH(SCC_Alkaline_Carbonate!$Q15,'Tables - Part 2'!$AX$5:$BA$5,0)))/2,0)</f>
        <v>0</v>
      </c>
      <c r="AG15" s="248">
        <f>IF($P15=$AG$3,INDEX('Tables - Part 2'!$BB$6:$BE$13,MATCH(SCC_Alkaline_Carbonate!$S15,'Tables - Part 2'!$AV$6:$AV$13,0),MATCH(SCC_Alkaline_Carbonate!$Q15,'Tables - Part 2'!$AX$5:$BA$5,0)),0)</f>
        <v>0</v>
      </c>
      <c r="AH15" s="248">
        <f>IF($P15=$AH$3,((INDEX('Tables - Part 2'!$BB$6:$BE$13,MATCH(SCC_Alkaline_Carbonate!$S15,'Tables - Part 2'!$AV$6:$AV$13,0),MATCH(SCC_Alkaline_Carbonate!$Q15,'Tables - Part 2'!$AX$5:$BA$5,0)))+(INDEX('Tables - Part 2'!$BB$6:$BE$13,MATCH(SCC_Alkaline_Carbonate!$S15,'Tables - Part 2'!$AV$6:$AV$13,0),MATCH(SCC_Alkaline_Carbonate!$Q15,'Tables - Part 2'!$AX$5:$BA$5,0))+(INDEX('Tables - Part 2'!$BB$6:$BE$13,MATCH(SCC_Alkaline_Carbonate!$S15,'Tables - Part 2'!$AV$6:$AV$13,0),MATCH(SCC_Alkaline_Carbonate!$Q15,'Tables - Part 2'!$AX$5:$BA$5,0))+INDEX('Tables - Part 2'!$BF$6:$BI$13,MATCH(SCC_Alkaline_Carbonate!$S15,'Tables - Part 2'!$AV$6:$AV$13,0),MATCH(SCC_Alkaline_Carbonate!$Q15,'Tables - Part 2'!$AX$5:$BA$5,0)))/2)/2)/2,0)</f>
        <v>0</v>
      </c>
      <c r="AI15" s="248">
        <f>IF($P15=$AI$3,(INDEX('Tables - Part 2'!$BB$6:$BE$13,MATCH(SCC_Alkaline_Carbonate!$S15,'Tables - Part 2'!$AV$6:$AV$13,0),MATCH(SCC_Alkaline_Carbonate!$Q15,'Tables - Part 2'!$AX$5:$BA$5,0))+(INDEX('Tables - Part 2'!$BB$6:$BE$13,MATCH(SCC_Alkaline_Carbonate!$S15,'Tables - Part 2'!$AV$6:$AV$13,0),MATCH(SCC_Alkaline_Carbonate!$Q15,'Tables - Part 2'!$AX$5:$BA$5,0))+INDEX('Tables - Part 2'!$BF$6:$BI$13,MATCH(SCC_Alkaline_Carbonate!$S15,'Tables - Part 2'!$AV$6:$AV$13,0),MATCH(SCC_Alkaline_Carbonate!$Q15,'Tables - Part 2'!$AX$5:$BA$5,0)))/2)/2,0)</f>
        <v>0</v>
      </c>
      <c r="AJ15" s="248">
        <f>IF($P15=$AJ$3,(((INDEX('Tables - Part 2'!$BB$6:$BE$13,MATCH(SCC_Alkaline_Carbonate!$S15,'Tables - Part 2'!$AV$6:$AV$13,0),MATCH(SCC_Alkaline_Carbonate!$Q15,'Tables - Part 2'!$AX$5:$BA$5,0))+(INDEX('Tables - Part 2'!$BB$6:$BE$13,MATCH(SCC_Alkaline_Carbonate!$S15,'Tables - Part 2'!$AV$6:$AV$13,0),MATCH(SCC_Alkaline_Carbonate!$Q15,'Tables - Part 2'!$AX$5:$BA$5,0))+INDEX('Tables - Part 2'!$BF$6:$BI$13,MATCH(SCC_Alkaline_Carbonate!$S15,'Tables - Part 2'!$AV$6:$AV$13,0),MATCH(SCC_Alkaline_Carbonate!$Q15,'Tables - Part 2'!$AX$5:$BA$5,0)))/2)/2)+((INDEX('Tables - Part 2'!$BB$6:$BE$13,MATCH(SCC_Alkaline_Carbonate!$S15,'Tables - Part 2'!$AV$6:$AV$13,0),MATCH(SCC_Alkaline_Carbonate!$Q15,'Tables - Part 2'!$AX$5:$BA$5,0))+INDEX('Tables - Part 2'!$BF$6:$BI$13,MATCH(SCC_Alkaline_Carbonate!$S15,'Tables - Part 2'!$AV$6:$AV$13,0),MATCH(SCC_Alkaline_Carbonate!$Q15,'Tables - Part 2'!$AX$5:$BA$5,0)))/2))/2,0)</f>
        <v>0</v>
      </c>
      <c r="AK15" s="248">
        <f>IF($P15=$AK$3,(INDEX('Tables - Part 2'!$BB$6:$BE$13,MATCH(SCC_Alkaline_Carbonate!$S15,'Tables - Part 2'!$AV$6:$AV$13,0),MATCH(SCC_Alkaline_Carbonate!$Q15,'Tables - Part 2'!$AX$5:$BA$5,0))+INDEX('Tables - Part 2'!$BF$6:$BI$13,MATCH(SCC_Alkaline_Carbonate!$S15,'Tables - Part 2'!$AV$6:$AV$13,0),MATCH(SCC_Alkaline_Carbonate!$Q15,'Tables - Part 2'!$AX$5:$BA$5,0)))/2,0)</f>
        <v>3</v>
      </c>
      <c r="AL15" s="248">
        <f>IF($P15=$AL$3,(((INDEX('Tables - Part 2'!$BB$6:$BE$13,MATCH(SCC_Alkaline_Carbonate!$S15,'Tables - Part 2'!$AV$6:$AV$13,0),MATCH(SCC_Alkaline_Carbonate!$Q15,'Tables - Part 2'!$AX$5:$BA$5,0))+INDEX('Tables - Part 2'!$BF$6:$BI$13,MATCH(SCC_Alkaline_Carbonate!$S15,'Tables - Part 2'!$AV$6:$AV$13,0),MATCH(SCC_Alkaline_Carbonate!$Q15,'Tables - Part 2'!$AX$5:$BA$5,0)))/2)+((((INDEX('Tables - Part 2'!$BB$6:$BE$13,MATCH(SCC_Alkaline_Carbonate!$S15,'Tables - Part 2'!$AV$6:$AV$13,0),MATCH(SCC_Alkaline_Carbonate!$Q15,'Tables - Part 2'!$AX$5:$BA$5,0))+INDEX('Tables - Part 2'!$BF$6:$BI$13,MATCH(SCC_Alkaline_Carbonate!$S15,'Tables - Part 2'!$AV$6:$AV$13,0),MATCH(SCC_Alkaline_Carbonate!$Q15,'Tables - Part 2'!$AX$5:$BA$5,0)))/2)+INDEX('Tables - Part 2'!$BF$6:$BI$13,MATCH(SCC_Alkaline_Carbonate!$S15,'Tables - Part 2'!$AV$6:$AV$13,0),MATCH(SCC_Alkaline_Carbonate!$Q15,'Tables - Part 2'!$AX$5:$BA$5,0)))/2))/2,0)</f>
        <v>0</v>
      </c>
      <c r="AM15" s="248">
        <f>IF($P15=$AM$3,(((INDEX('Tables - Part 2'!$BB$6:$BE$13,MATCH(SCC_Alkaline_Carbonate!$S15,'Tables - Part 2'!$AV$6:$AV$13,0),MATCH(SCC_Alkaline_Carbonate!$Q15,'Tables - Part 2'!$AX$5:$BA$5,0))+INDEX('Tables - Part 2'!$BF$6:$BI$13,MATCH(SCC_Alkaline_Carbonate!$S15,'Tables - Part 2'!$AV$6:$AV$13,0),MATCH(SCC_Alkaline_Carbonate!$Q15,'Tables - Part 2'!$AX$5:$BA$5,0)))/2)+INDEX('Tables - Part 2'!$BF$6:$BI$13,MATCH(SCC_Alkaline_Carbonate!$S15,'Tables - Part 2'!$AV$6:$AV$13,0),MATCH(SCC_Alkaline_Carbonate!$Q15,'Tables - Part 2'!$AX$5:$BA$5,0)))/2,0)</f>
        <v>0</v>
      </c>
      <c r="AN15" s="248">
        <f>IF($P15=$AN$3,(((((INDEX('Tables - Part 2'!$BB$6:$BE$13,MATCH(SCC_Alkaline_Carbonate!$S15,'Tables - Part 2'!$AV$6:$AV$13,0),MATCH(SCC_Alkaline_Carbonate!$Q15,'Tables - Part 2'!$AX$5:$BA$5,0))+INDEX('Tables - Part 2'!$BF$6:$BI$13,MATCH(SCC_Alkaline_Carbonate!$S15,'Tables - Part 2'!$AV$6:$AV$13,0),MATCH(SCC_Alkaline_Carbonate!$Q15,'Tables - Part 2'!$AX$5:$BA$5,0)))/2)+INDEX('Tables - Part 2'!$BF$6:$BI$13,MATCH(SCC_Alkaline_Carbonate!$S15,'Tables - Part 2'!$AV$6:$AV$13,0),MATCH(SCC_Alkaline_Carbonate!$Q15,'Tables - Part 2'!$AX$5:$BA$5,0)))/2)+INDEX('Tables - Part 2'!$BF$6:$BI$13,MATCH(SCC_Alkaline_Carbonate!$S15,'Tables - Part 2'!$AV$6:$AV$13,0),MATCH(SCC_Alkaline_Carbonate!$Q15,'Tables - Part 2'!$AX$5:$BA$5,0)))/2,0)</f>
        <v>0</v>
      </c>
      <c r="AO15" s="248">
        <f>IF($P15=$AO$3,INDEX('Tables - Part 2'!$BF$6:$BI$13,MATCH(SCC_Alkaline_Carbonate!$S15,'Tables - Part 2'!$AV$6:$AV$13,0),MATCH(SCC_Alkaline_Carbonate!$Q15,'Tables - Part 2'!$AX$5:$BA$5,0)),0)</f>
        <v>0</v>
      </c>
      <c r="AP15" s="248">
        <f>IF($P15=$AP$3,(INDEX('Tables - Part 2'!$BF$6:$BI$13,MATCH(SCC_Alkaline_Carbonate!$S15,'Tables - Part 2'!$AV$6:$AV$13,0),MATCH(SCC_Alkaline_Carbonate!$Q15,'Tables - Part 2'!$AX$5:$BA$5,0))+((INDEX('Tables - Part 2'!$BF$6:$BI$13,MATCH(SCC_Alkaline_Carbonate!$S15,'Tables - Part 2'!$AV$6:$AV$13,0),MATCH(SCC_Alkaline_Carbonate!$Q15,'Tables - Part 2'!$AX$5:$BA$5,0))+(INDEX('Tables - Part 2'!$BF$6:$BI$13,MATCH(SCC_Alkaline_Carbonate!$S15,'Tables - Part 2'!$AV$6:$AV$13,0),MATCH(SCC_Alkaline_Carbonate!$Q15,'Tables - Part 2'!$AX$5:$BA$5,0))+INDEX('Tables - Part 2'!$AX$17:$BA$24,MATCH(SCC_Alkaline_Carbonate!$S15,'Tables - Part 2'!$AV$6:$AV$13,0),MATCH(SCC_Alkaline_Carbonate!$Q15,'Tables - Part 2'!$AX$5:$BA$5,0)))/2)/2))/2,0)</f>
        <v>0</v>
      </c>
      <c r="AQ15" s="248">
        <f>IF($P15=$AQ$3,(INDEX('Tables - Part 2'!$BF$6:$BI$13,MATCH(SCC_Alkaline_Carbonate!$S15,'Tables - Part 2'!$AV$6:$AV$13,0),MATCH(SCC_Alkaline_Carbonate!$Q15,'Tables - Part 2'!$AX$5:$BA$5,0))+(INDEX('Tables - Part 2'!$BF$6:$BI$13,MATCH(SCC_Alkaline_Carbonate!$S15,'Tables - Part 2'!$AV$6:$AV$13,0),MATCH(SCC_Alkaline_Carbonate!$Q15,'Tables - Part 2'!$AX$5:$BA$5,0))+INDEX('Tables - Part 2'!$AX$17:$BA$24,MATCH(SCC_Alkaline_Carbonate!$S15,'Tables - Part 2'!$AV$6:$AV$13,0),MATCH(SCC_Alkaline_Carbonate!$Q15,'Tables - Part 2'!$AX$5:$BA$5,0)))/2)/2,0)</f>
        <v>0</v>
      </c>
      <c r="AR15" s="248">
        <f>IF($P15=$AR$3,(((INDEX('Tables - Part 2'!$BF$6:$BI$13,MATCH(SCC_Alkaline_Carbonate!$S15,'Tables - Part 2'!$AV$6:$AV$13,0),MATCH(SCC_Alkaline_Carbonate!$Q15,'Tables - Part 2'!$AX$5:$BA$5,0))+(INDEX('Tables - Part 2'!$BF$6:$BI$13,MATCH(SCC_Alkaline_Carbonate!$S15,'Tables - Part 2'!$AV$6:$AV$13,0),MATCH(SCC_Alkaline_Carbonate!$Q15,'Tables - Part 2'!$AX$5:$BA$5,0))+INDEX('Tables - Part 2'!$AX$17:$BA$24,MATCH(SCC_Alkaline_Carbonate!$S15,'Tables - Part 2'!$AV$6:$AV$13,0),MATCH(SCC_Alkaline_Carbonate!$Q15,'Tables - Part 2'!$AX$5:$BA$5,0)))/2)/2)+((INDEX('Tables - Part 2'!$BF$6:$BI$13,MATCH(SCC_Alkaline_Carbonate!$S15,'Tables - Part 2'!$AV$6:$AV$13,0),MATCH(SCC_Alkaline_Carbonate!$Q15,'Tables - Part 2'!$AX$5:$BA$5,0))+INDEX('Tables - Part 2'!$AX$17:$BA$24,MATCH(SCC_Alkaline_Carbonate!$S15,'Tables - Part 2'!$AV$6:$AV$13,0),MATCH(SCC_Alkaline_Carbonate!$Q15,'Tables - Part 2'!$AX$5:$BA$5,0)))/2))/2,0)</f>
        <v>0</v>
      </c>
      <c r="AS15" s="248">
        <f>IF($P15=$AS$3,(INDEX('Tables - Part 2'!$BF$6:$BI$13,MATCH(SCC_Alkaline_Carbonate!$S15,'Tables - Part 2'!$AV$6:$AV$13,0),MATCH(SCC_Alkaline_Carbonate!$Q15,'Tables - Part 2'!$AX$5:$BA$5,0))+INDEX('Tables - Part 2'!$AX$17:$BA$24,MATCH(SCC_Alkaline_Carbonate!$S15,'Tables - Part 2'!$AV$6:$AV$13,0),MATCH(SCC_Alkaline_Carbonate!$Q15,'Tables - Part 2'!$AX$5:$BA$5,0)))/2,0)</f>
        <v>0</v>
      </c>
      <c r="AT15" s="248">
        <f>IF($P15=$AT$3,(((INDEX('Tables - Part 2'!$BF$6:$BI$13,MATCH(SCC_Alkaline_Carbonate!$S15,'Tables - Part 2'!$AV$6:$AV$13,0),MATCH(SCC_Alkaline_Carbonate!$Q15,'Tables - Part 2'!$AX$5:$BA$5,0))+INDEX('Tables - Part 2'!$AX$17:$BA$24,MATCH(SCC_Alkaline_Carbonate!$S15,'Tables - Part 2'!$AV$6:$AV$13,0),MATCH(SCC_Alkaline_Carbonate!$Q15,'Tables - Part 2'!$AX$5:$BA$5,0)))/2)+((((INDEX('Tables - Part 2'!$BF$6:$BI$13,MATCH(SCC_Alkaline_Carbonate!$S15,'Tables - Part 2'!$AV$6:$AV$13,0),MATCH(SCC_Alkaline_Carbonate!$Q15,'Tables - Part 2'!$AX$5:$BA$5,0))+INDEX('Tables - Part 2'!$AX$17:$BA$24,MATCH(SCC_Alkaline_Carbonate!$S15,'Tables - Part 2'!$AV$6:$AV$13,0),MATCH(SCC_Alkaline_Carbonate!$Q15,'Tables - Part 2'!$AX$5:$BA$5,0)))/2)+INDEX('Tables - Part 2'!$AX$17:$BA$24,MATCH(SCC_Alkaline_Carbonate!$S15,'Tables - Part 2'!$AV$6:$AV$13,0),MATCH(SCC_Alkaline_Carbonate!$Q15,'Tables - Part 2'!$AX$5:$BA$5,0)))/2))/2,0)</f>
        <v>0</v>
      </c>
      <c r="AU15" s="248">
        <f>IF($P15=$AU$3,(((INDEX('Tables - Part 2'!$BF$6:$BI$13,MATCH(SCC_Alkaline_Carbonate!$S15,'Tables - Part 2'!$AV$6:$AV$13,0),MATCH(SCC_Alkaline_Carbonate!$Q15,'Tables - Part 2'!$AX$5:$BA$5,0))+INDEX('Tables - Part 2'!$AX$17:$BA$24,MATCH(SCC_Alkaline_Carbonate!$S15,'Tables - Part 2'!$AV$6:$AV$13,0),MATCH(SCC_Alkaline_Carbonate!$Q15,'Tables - Part 2'!$AX$5:$BA$5,0)))/2)+INDEX('Tables - Part 2'!$AX$17:$BA$24,MATCH(SCC_Alkaline_Carbonate!$S15,'Tables - Part 2'!$AV$6:$AV$13,0),MATCH(SCC_Alkaline_Carbonate!$Q15,'Tables - Part 2'!$AX$5:$BA$5,0)))/2,0)</f>
        <v>0</v>
      </c>
      <c r="AV15" s="248">
        <f>IF($P15=$AV$3,(((((INDEX('Tables - Part 2'!$BF$6:$BI$13,MATCH(SCC_Alkaline_Carbonate!$S15,'Tables - Part 2'!$AV$6:$AV$13,0),MATCH(SCC_Alkaline_Carbonate!$Q15,'Tables - Part 2'!$AX$5:$BA$5,0))+INDEX('Tables - Part 2'!$AX$17:$BA$24,MATCH(SCC_Alkaline_Carbonate!$S15,'Tables - Part 2'!$AV$6:$AV$13,0),MATCH(SCC_Alkaline_Carbonate!$Q15,'Tables - Part 2'!$AX$5:$BA$5,0)))/2)+INDEX('Tables - Part 2'!$AX$17:$BA$24,MATCH(SCC_Alkaline_Carbonate!$S15,'Tables - Part 2'!$AV$6:$AV$13,0),MATCH(SCC_Alkaline_Carbonate!$Q15,'Tables - Part 2'!$AX$5:$BA$5,0)))/2)+(INDEX('Tables - Part 2'!$AX$17:$BA$24,MATCH(SCC_Alkaline_Carbonate!$S15,'Tables - Part 2'!$AV$6:$AV$13,0),MATCH(SCC_Alkaline_Carbonate!$Q15,'Tables - Part 2'!$AX$5:$BA$5,0))))/2,0)</f>
        <v>0</v>
      </c>
      <c r="AW15" s="248">
        <f>IF($P15=$AW$3,INDEX('Tables - Part 2'!$AX$17:$BA$24,MATCH(SCC_Alkaline_Carbonate!$S15,'Tables - Part 2'!$AV$6:$AV$13,0),MATCH(SCC_Alkaline_Carbonate!$Q15,'Tables - Part 2'!$AX$5:$BA$5,0)),0)</f>
        <v>0</v>
      </c>
      <c r="AX15" s="248">
        <f>IF($P15=$AX$3,((INDEX('Tables - Part 2'!$AX$17:$BA$24,MATCH(SCC_Alkaline_Carbonate!$S15,'Tables - Part 2'!$AV$6:$AV$13,0),MATCH(SCC_Alkaline_Carbonate!$Q15,'Tables - Part 2'!$AX$5:$BA$5,0)))+(((INDEX('Tables - Part 2'!$AX$17:$BA$24,MATCH(SCC_Alkaline_Carbonate!$S15,'Tables - Part 2'!$AV$6:$AV$13,0),MATCH(SCC_Alkaline_Carbonate!$Q15,'Tables - Part 2'!$AX$5:$BA$5,0)))+(INDEX('Tables - Part 2'!$AX$17:$BA$24,MATCH(SCC_Alkaline_Carbonate!$S15,'Tables - Part 2'!$AV$6:$AV$13,0),MATCH(SCC_Alkaline_Carbonate!$Q15,'Tables - Part 2'!$AX$5:$BA$5,0))+INDEX('Tables - Part 2'!$BB$17:$BE$24,MATCH(SCC_Alkaline_Carbonate!$S15,'Tables - Part 2'!$AV$6:$AV$13,0),MATCH(SCC_Alkaline_Carbonate!$Q15,'Tables - Part 2'!$AX$5:$BA$5,0)))/2)/2))/2,0)</f>
        <v>0</v>
      </c>
      <c r="AY15" s="248">
        <f>IF($P15=$AY$3,((INDEX('Tables - Part 2'!$AX$17:$BA$24,MATCH(SCC_Alkaline_Carbonate!$S15,'Tables - Part 2'!$AV$6:$AV$13,0),MATCH(SCC_Alkaline_Carbonate!$Q15,'Tables - Part 2'!$AX$5:$BA$5,0)))+(INDEX('Tables - Part 2'!$AX$17:$BA$24,MATCH(SCC_Alkaline_Carbonate!$S15,'Tables - Part 2'!$AV$6:$AV$13,0),MATCH(SCC_Alkaline_Carbonate!$Q15,'Tables - Part 2'!$AX$5:$BA$5,0))+INDEX('Tables - Part 2'!$BB$17:$BE$24,MATCH(SCC_Alkaline_Carbonate!$S15,'Tables - Part 2'!$AV$6:$AV$13,0),MATCH(SCC_Alkaline_Carbonate!$Q15,'Tables - Part 2'!$AX$5:$BA$5,0)))/2)/2,0)</f>
        <v>0</v>
      </c>
      <c r="AZ15" s="248">
        <f>IF($P15=$AZ$3,((((INDEX('Tables - Part 2'!$AX$17:$BA$24,MATCH(SCC_Alkaline_Carbonate!$S15,'Tables - Part 2'!$AV$6:$AV$13,0),MATCH(SCC_Alkaline_Carbonate!$Q15,'Tables - Part 2'!$AX$5:$BA$5,0)))+(INDEX('Tables - Part 2'!$AX$17:$BA$24,MATCH(SCC_Alkaline_Carbonate!$S15,'Tables - Part 2'!$AV$6:$AV$13,0),MATCH(SCC_Alkaline_Carbonate!$Q15,'Tables - Part 2'!$AX$5:$BA$5,0))+INDEX('Tables - Part 2'!$BB$17:$BE$24,MATCH(SCC_Alkaline_Carbonate!$S15,'Tables - Part 2'!$AV$6:$AV$13,0),MATCH(SCC_Alkaline_Carbonate!$Q15,'Tables - Part 2'!$AX$5:$BA$5,0)))/2)/2)+((INDEX('Tables - Part 2'!$AX$17:$BA$24,MATCH(SCC_Alkaline_Carbonate!$S15,'Tables - Part 2'!$AV$6:$AV$13,0),MATCH(SCC_Alkaline_Carbonate!$Q15,'Tables - Part 2'!$AX$5:$BA$5,0))+INDEX('Tables - Part 2'!$BB$17:$BE$24,MATCH(SCC_Alkaline_Carbonate!$S15,'Tables - Part 2'!$AV$6:$AV$13,0),MATCH(SCC_Alkaline_Carbonate!$Q15,'Tables - Part 2'!$AX$5:$BA$5,0)))/2))/2,0)</f>
        <v>0</v>
      </c>
      <c r="BA15" s="248">
        <f>IF($P15=$BA$3,(INDEX('Tables - Part 2'!$AX$17:$BA$24,MATCH(SCC_Alkaline_Carbonate!$S15,'Tables - Part 2'!$AV$6:$AV$13,0),MATCH(SCC_Alkaline_Carbonate!$Q15,'Tables - Part 2'!$AX$5:$BA$5,0))+INDEX('Tables - Part 2'!$BB$17:$BE$24,MATCH(SCC_Alkaline_Carbonate!$S15,'Tables - Part 2'!$AV$6:$AV$13,0),MATCH(SCC_Alkaline_Carbonate!$Q15,'Tables - Part 2'!$AX$5:$BA$5,0)))/2,0)</f>
        <v>0</v>
      </c>
      <c r="BB15" s="248">
        <f>IF($P15=$BB$3,(((INDEX('Tables - Part 2'!$AX$17:$BA$24,MATCH(SCC_Alkaline_Carbonate!$S15,'Tables - Part 2'!$AV$6:$AV$13,0),MATCH(SCC_Alkaline_Carbonate!$Q15,'Tables - Part 2'!$AX$5:$BA$5,0))+INDEX('Tables - Part 2'!$BB$17:$BE$24,MATCH(SCC_Alkaline_Carbonate!$S15,'Tables - Part 2'!$AV$6:$AV$13,0),MATCH(SCC_Alkaline_Carbonate!$Q15,'Tables - Part 2'!$AX$5:$BA$5,0)))/2)+((((INDEX('Tables - Part 2'!$AX$17:$BA$24,MATCH(SCC_Alkaline_Carbonate!$S15,'Tables - Part 2'!$AV$6:$AV$13,0),MATCH(SCC_Alkaline_Carbonate!$Q15,'Tables - Part 2'!$AX$5:$BA$5,0))+INDEX('Tables - Part 2'!$BB$17:$BE$24,MATCH(SCC_Alkaline_Carbonate!$S15,'Tables - Part 2'!$AV$6:$AV$13,0),MATCH(SCC_Alkaline_Carbonate!$Q15,'Tables - Part 2'!$AX$5:$BA$5,0)))/2)+INDEX('Tables - Part 2'!$BB$17:$BE$24,MATCH(SCC_Alkaline_Carbonate!$S15,'Tables - Part 2'!$AV$6:$AV$13,0),MATCH(SCC_Alkaline_Carbonate!$Q15,'Tables - Part 2'!$AX$5:$BA$5,0)))/2))/2,0)</f>
        <v>0</v>
      </c>
      <c r="BC15" s="248">
        <f>IF($P15=$BC$3,(((INDEX('Tables - Part 2'!$AX$17:$BA$24,MATCH(SCC_Alkaline_Carbonate!$S15,'Tables - Part 2'!$AV$6:$AV$13,0),MATCH(SCC_Alkaline_Carbonate!$Q15,'Tables - Part 2'!$AX$5:$BA$5,0))+INDEX('Tables - Part 2'!$BB$17:$BE$24,MATCH(SCC_Alkaline_Carbonate!$S15,'Tables - Part 2'!$AV$6:$AV$13,0),MATCH(SCC_Alkaline_Carbonate!$Q15,'Tables - Part 2'!$AX$5:$BA$5,0)))/2)+INDEX('Tables - Part 2'!$BB$17:$BE$24,MATCH(SCC_Alkaline_Carbonate!$S15,'Tables - Part 2'!$AV$6:$AV$13,0),MATCH(SCC_Alkaline_Carbonate!$Q15,'Tables - Part 2'!$AX$5:$BA$5,0)))/2,0)</f>
        <v>0</v>
      </c>
      <c r="BD15" s="248">
        <f>IF($P15=$BD$3,(((((INDEX('Tables - Part 2'!$AX$17:$BA$24,MATCH(SCC_Alkaline_Carbonate!$S15,'Tables - Part 2'!$AV$6:$AV$13,0),MATCH(SCC_Alkaline_Carbonate!$Q15,'Tables - Part 2'!$AX$5:$BA$5,0))+INDEX('Tables - Part 2'!$BB$17:$BE$24,MATCH(SCC_Alkaline_Carbonate!$S15,'Tables - Part 2'!$AV$6:$AV$13,0),MATCH(SCC_Alkaline_Carbonate!$Q15,'Tables - Part 2'!$AX$5:$BA$5,0)))/2)+INDEX('Tables - Part 2'!$BB$17:$BE$24,MATCH(SCC_Alkaline_Carbonate!$S15,'Tables - Part 2'!$AV$6:$AV$13,0),MATCH(SCC_Alkaline_Carbonate!$Q15,'Tables - Part 2'!$AX$5:$BA$5,0)))/2)+(INDEX('Tables - Part 2'!$BB$17:$BE$24,MATCH(SCC_Alkaline_Carbonate!$S15,'Tables - Part 2'!$AV$6:$AV$13,0),MATCH(SCC_Alkaline_Carbonate!$Q15,'Tables - Part 2'!$AX$5:$BA$5,0))))/2,0)</f>
        <v>0</v>
      </c>
      <c r="BE15" s="248">
        <f>IF($P15=$BE$3,INDEX('Tables - Part 2'!$BB$17:$BE$24,MATCH(SCC_Alkaline_Carbonate!$S15,'Tables - Part 2'!$AV$6:$AV$13,0),MATCH(SCC_Alkaline_Carbonate!$Q15,'Tables - Part 2'!$AX$5:$BA$5,0)),0)</f>
        <v>0</v>
      </c>
      <c r="BF15" s="248">
        <f>IF($P15=$BF$3,((INDEX('Tables - Part 2'!$BB$17:$BE$24,MATCH(SCC_Alkaline_Carbonate!$S15,'Tables - Part 2'!$AV$6:$AV$13,0),MATCH(SCC_Alkaline_Carbonate!$Q15,'Tables - Part 2'!$AX$5:$BA$5,0)))+(((INDEX('Tables - Part 2'!$BB$17:$BE$24,MATCH(SCC_Alkaline_Carbonate!$S15,'Tables - Part 2'!$AV$6:$AV$13,0),MATCH(SCC_Alkaline_Carbonate!$Q15,'Tables - Part 2'!$AX$5:$BA$5,0)))+(INDEX('Tables - Part 2'!$BB$17:$BE$24,MATCH(SCC_Alkaline_Carbonate!$S15,'Tables - Part 2'!$AV$6:$AV$13,0),MATCH(SCC_Alkaline_Carbonate!$Q15,'Tables - Part 2'!$AX$5:$BA$5,0))+INDEX('Tables - Part 2'!$BF$17:$BI$24,MATCH(SCC_Alkaline_Carbonate!$S15,'Tables - Part 2'!$AV$6:$AV$13,0),MATCH(SCC_Alkaline_Carbonate!$Q15,'Tables - Part 2'!$AX$5:$BA$5,0)))/2)/2))/2,0)</f>
        <v>0</v>
      </c>
      <c r="BG15" s="248">
        <f>IF($P15=$BG$3,((INDEX('Tables - Part 2'!$BB$17:$BE$24,MATCH(SCC_Alkaline_Carbonate!$S15,'Tables - Part 2'!$AV$6:$AV$13,0),MATCH(SCC_Alkaline_Carbonate!$Q15,'Tables - Part 2'!$AX$5:$BA$5,0)))+(INDEX('Tables - Part 2'!$BB$17:$BE$24,MATCH(SCC_Alkaline_Carbonate!$S15,'Tables - Part 2'!$AV$6:$AV$13,0),MATCH(SCC_Alkaline_Carbonate!$Q15,'Tables - Part 2'!$AX$5:$BA$5,0))+INDEX('Tables - Part 2'!$BF$17:$BI$24,MATCH(SCC_Alkaline_Carbonate!$S15,'Tables - Part 2'!$AV$6:$AV$13,0),MATCH(SCC_Alkaline_Carbonate!$Q15,'Tables - Part 2'!$AX$5:$BA$5,0)))/2)/2,0)</f>
        <v>0</v>
      </c>
      <c r="BH15" s="248">
        <f>IF($P15=$BH$3,((((INDEX('Tables - Part 2'!$BB$17:$BE$24,MATCH(SCC_Alkaline_Carbonate!$S15,'Tables - Part 2'!$AV$6:$AV$13,0),MATCH(SCC_Alkaline_Carbonate!$Q15,'Tables - Part 2'!$AX$5:$BA$5,0)))+(INDEX('Tables - Part 2'!$BB$17:$BE$24,MATCH(SCC_Alkaline_Carbonate!$S15,'Tables - Part 2'!$AV$6:$AV$13,0),MATCH(SCC_Alkaline_Carbonate!$Q15,'Tables - Part 2'!$AX$5:$BA$5,0))+INDEX('Tables - Part 2'!$BF$17:$BI$24,MATCH(SCC_Alkaline_Carbonate!$S15,'Tables - Part 2'!$AV$6:$AV$13,0),MATCH(SCC_Alkaline_Carbonate!$Q15,'Tables - Part 2'!$AX$5:$BA$5,0)))/2)/2)+((INDEX('Tables - Part 2'!$BB$17:$BE$24,MATCH(SCC_Alkaline_Carbonate!$S15,'Tables - Part 2'!$AV$6:$AV$13,0),MATCH(SCC_Alkaline_Carbonate!$Q15,'Tables - Part 2'!$AX$5:$BA$5,0))+INDEX('Tables - Part 2'!$BF$17:$BI$24,MATCH(SCC_Alkaline_Carbonate!$S15,'Tables - Part 2'!$AV$6:$AV$13,0),MATCH(SCC_Alkaline_Carbonate!$Q15,'Tables - Part 2'!$AX$5:$BA$5,0)))/2))/2,0)</f>
        <v>0</v>
      </c>
      <c r="BI15" s="248">
        <f>IF($P15=$BI$3,(INDEX('Tables - Part 2'!$BB$17:$BE$24,MATCH(SCC_Alkaline_Carbonate!$S15,'Tables - Part 2'!$AV$6:$AV$13,0),MATCH(SCC_Alkaline_Carbonate!$Q15,'Tables - Part 2'!$AX$5:$BA$5,0))+INDEX('Tables - Part 2'!$BF$17:$BI$24,MATCH(SCC_Alkaline_Carbonate!$S15,'Tables - Part 2'!$AV$6:$AV$13,0),MATCH(SCC_Alkaline_Carbonate!$Q15,'Tables - Part 2'!$AX$5:$BA$5,0)))/2,0)</f>
        <v>0</v>
      </c>
      <c r="BJ15" s="248">
        <f>IF($P15=$BJ$3,(((INDEX('Tables - Part 2'!$BB$17:$BE$24,MATCH(SCC_Alkaline_Carbonate!$S15,'Tables - Part 2'!$AV$6:$AV$13,0),MATCH(SCC_Alkaline_Carbonate!$Q15,'Tables - Part 2'!$AX$5:$BA$5,0))+INDEX('Tables - Part 2'!$BF$17:$BI$24,MATCH(SCC_Alkaline_Carbonate!$S15,'Tables - Part 2'!$AV$6:$AV$13,0),MATCH(SCC_Alkaline_Carbonate!$Q15,'Tables - Part 2'!$AX$5:$BA$5,0)))/2)+((((INDEX('Tables - Part 2'!$BB$17:$BE$24,MATCH(SCC_Alkaline_Carbonate!$S15,'Tables - Part 2'!$AV$6:$AV$13,0),MATCH(SCC_Alkaline_Carbonate!$Q15,'Tables - Part 2'!$AX$5:$BA$5,0))+INDEX('Tables - Part 2'!$BF$17:$BI$24,MATCH(SCC_Alkaline_Carbonate!$S15,'Tables - Part 2'!$AV$6:$AV$13,0),MATCH(SCC_Alkaline_Carbonate!$Q15,'Tables - Part 2'!$AX$5:$BA$5,0)))/2)+INDEX('Tables - Part 2'!$BF$17:$BI$24,MATCH(SCC_Alkaline_Carbonate!$S15,'Tables - Part 2'!$AV$6:$AV$13,0),MATCH(SCC_Alkaline_Carbonate!$Q15,'Tables - Part 2'!$AX$5:$BA$5,0)))/2))/2,0)</f>
        <v>0</v>
      </c>
      <c r="BK15" s="248">
        <f>IF($P15=$BK$3,(((INDEX('Tables - Part 2'!$BB$17:$BE$24,MATCH(SCC_Alkaline_Carbonate!$S15,'Tables - Part 2'!$AV$6:$AV$13,0),MATCH(SCC_Alkaline_Carbonate!$Q15,'Tables - Part 2'!$AX$5:$BA$5,0))+INDEX('Tables - Part 2'!$BF$17:$BI$24,MATCH(SCC_Alkaline_Carbonate!$S15,'Tables - Part 2'!$AV$6:$AV$13,0),MATCH(SCC_Alkaline_Carbonate!$Q15,'Tables - Part 2'!$AX$5:$BA$5,0)))/2)+INDEX('Tables - Part 2'!$BF$17:$BI$24,MATCH(SCC_Alkaline_Carbonate!$S15,'Tables - Part 2'!$AV$6:$AV$13,0),MATCH(SCC_Alkaline_Carbonate!$Q15,'Tables - Part 2'!$AX$5:$BA$5,0)))/2,0)</f>
        <v>0</v>
      </c>
      <c r="BL15" s="248">
        <f>IF($P15=$BL$3,(((((INDEX('Tables - Part 2'!$BB$17:$BE$24,MATCH(SCC_Alkaline_Carbonate!$S15,'Tables - Part 2'!$AV$6:$AV$13,0),MATCH(SCC_Alkaline_Carbonate!$Q15,'Tables - Part 2'!$AX$5:$BA$5,0))+INDEX('Tables - Part 2'!$BF$17:$BI$24,MATCH(SCC_Alkaline_Carbonate!$S15,'Tables - Part 2'!$AV$6:$AV$13,0),MATCH(SCC_Alkaline_Carbonate!$Q15,'Tables - Part 2'!$AX$5:$BA$5,0)))/2)+INDEX('Tables - Part 2'!$BF$17:$BI$24,MATCH(SCC_Alkaline_Carbonate!$S15,'Tables - Part 2'!$AV$6:$AV$13,0),MATCH(SCC_Alkaline_Carbonate!$Q15,'Tables - Part 2'!$AX$5:$BA$5,0)))/2)+(INDEX('Tables - Part 2'!$BF$17:$BI$24,MATCH(SCC_Alkaline_Carbonate!$S15,'Tables - Part 2'!$AV$6:$AV$13,0),MATCH(SCC_Alkaline_Carbonate!$Q15,'Tables - Part 2'!$AX$5:$BA$5,0))))/2,0)</f>
        <v>0</v>
      </c>
      <c r="BM15" s="248">
        <f>IF($P15=$BM$3,INDEX('Tables - Part 2'!$BF$17:$BI$24,MATCH(SCC_Alkaline_Carbonate!$S15,'Tables - Part 2'!$AV$6:$AV$13,0),MATCH(SCC_Alkaline_Carbonate!$Q15,'Tables - Part 2'!$AX$5:$BA$5,0)),0)</f>
        <v>0</v>
      </c>
      <c r="BN15" s="248">
        <f t="shared" si="6"/>
        <v>0</v>
      </c>
      <c r="BO15" s="238">
        <f t="shared" si="8"/>
        <v>3</v>
      </c>
      <c r="BP15" s="238">
        <f t="shared" si="7"/>
        <v>50.318647405225171</v>
      </c>
    </row>
    <row r="16" spans="2:81" x14ac:dyDescent="0.35">
      <c r="B16" s="161" t="str">
        <f>'Tratamento de Dados'!B24</f>
        <v>V-6</v>
      </c>
      <c r="C16" s="161" t="str">
        <f>'Tratamento de Dados'!D24</f>
        <v>Casco</v>
      </c>
      <c r="D16" s="209" t="s">
        <v>245</v>
      </c>
      <c r="E16" s="209" t="s">
        <v>61</v>
      </c>
      <c r="F16" s="209" t="s">
        <v>1134</v>
      </c>
      <c r="G16" s="209" t="s">
        <v>1132</v>
      </c>
      <c r="H16" s="209" t="s">
        <v>245</v>
      </c>
      <c r="I16" s="210">
        <v>39092</v>
      </c>
      <c r="J16" s="209">
        <v>0</v>
      </c>
      <c r="K16" s="209">
        <v>1</v>
      </c>
      <c r="L16" s="209">
        <v>1</v>
      </c>
      <c r="M16" s="209">
        <v>4</v>
      </c>
      <c r="N16" s="253">
        <f>'Tratamento de Dados'!DA24</f>
        <v>0</v>
      </c>
      <c r="O16" s="253">
        <f>'Tratamento de Dados'!DB24</f>
        <v>0</v>
      </c>
      <c r="P16" s="256">
        <f t="shared" si="0"/>
        <v>2.5</v>
      </c>
      <c r="Q16" s="246" t="str">
        <f t="shared" si="1"/>
        <v>B</v>
      </c>
      <c r="R16" s="238" t="str">
        <f>IF(D16=$BU$2,$BS$4,IF(H16=$BU$2,$BS$5,INDEX('Tables - Part 2'!$DA$6:$DB$9,MATCH(SCC_Alkaline_Carbonate!F16,'Tables - Part 2'!$CY$6:$CY$9,0),MATCH(SCC_Alkaline_Carbonate!G16,'Tables - Part 2'!$DA$5:$DB$5,0))))</f>
        <v>Medium</v>
      </c>
      <c r="S16" s="238">
        <f>IF(AND(D16=$BU$2,E16&lt;&gt;$BU$2),"Fitness-For-Service",INDEX('Tables - Part 2'!$DE$4:$DE$7,MATCH(SCC_Alkaline_Carbonate!R16,'Tables - Part 2'!$DD$4:$DD$7,0),))</f>
        <v>100</v>
      </c>
      <c r="T16" s="238">
        <f>IF(I16=0,(Thinning!G17-Thinning!F17)/365.25,(Thinning!G17-I16)/365.25)</f>
        <v>12.980150581793293</v>
      </c>
      <c r="U16" s="248">
        <f t="shared" si="2"/>
        <v>0</v>
      </c>
      <c r="V16" s="248">
        <f t="shared" si="3"/>
        <v>2.5</v>
      </c>
      <c r="W16" s="248">
        <f t="shared" si="4"/>
        <v>3</v>
      </c>
      <c r="X16" s="247">
        <f t="shared" si="5"/>
        <v>4</v>
      </c>
      <c r="Y16" s="248">
        <f>IF($P16=$Y$3,INDEX('Tables - Part 2'!$AX$6:$BA$13,MATCH(SCC_Alkaline_Carbonate!S16,'Tables - Part 2'!$AV$6:$AV$13,0),MATCH(SCC_Alkaline_Carbonate!Q16,'Tables - Part 2'!$AX$5:$BA$5,0)),0)</f>
        <v>0</v>
      </c>
      <c r="Z16" s="248">
        <f>IF($P16=$Z$3,(INDEX('Tables - Part 2'!$AX$6:$BA$13,MATCH(SCC_Alkaline_Carbonate!S16,'Tables - Part 2'!$AV$6:$AV$13,0),MATCH(SCC_Alkaline_Carbonate!Q16,'Tables - Part 2'!$AX$5:$BA$5,0))+(INDEX('Tables - Part 2'!$AX$6:$BA$13,MATCH(SCC_Alkaline_Carbonate!S16,'Tables - Part 2'!$AV$6:$AV$13,0),MATCH(SCC_Alkaline_Carbonate!Q16,'Tables - Part 2'!$AX$5:$BA$5,0))+((INDEX('Tables - Part 2'!$AX$6:$BA$13,MATCH(SCC_Alkaline_Carbonate!S16,'Tables - Part 2'!$AV$6:$AV$13,0),MATCH(SCC_Alkaline_Carbonate!Q16,'Tables - Part 2'!$AX$5:$BA$5,0))+INDEX('Tables - Part 2'!$BB$6:$BE$13,MATCH(SCC_Alkaline_Carbonate!$S16,'Tables - Part 2'!$AV$6:$AV$13,0),MATCH(SCC_Alkaline_Carbonate!$Q16,'Tables - Part 2'!$AX$5:$BA$5,0)))/2))/2)/2,0)</f>
        <v>0</v>
      </c>
      <c r="AA16" s="248">
        <f>IF($P16=$AA$3,(INDEX('Tables - Part 2'!$AX$6:$BA$13,MATCH(SCC_Alkaline_Carbonate!S16,'Tables - Part 2'!$AV$6:$AV$13,0),MATCH(SCC_Alkaline_Carbonate!Q16,'Tables - Part 2'!$AX$5:$BA$5,0))+((INDEX('Tables - Part 2'!$AX$6:$BA$13,MATCH(SCC_Alkaline_Carbonate!S16,'Tables - Part 2'!$AV$6:$AV$13,0),MATCH(SCC_Alkaline_Carbonate!Q16,'Tables - Part 2'!$AX$5:$BA$5,0))+INDEX('Tables - Part 2'!$BB$6:$BE$13,MATCH(SCC_Alkaline_Carbonate!$S16,'Tables - Part 2'!$AV$6:$AV$13,0),MATCH(SCC_Alkaline_Carbonate!$Q16,'Tables - Part 2'!$AX$5:$BA$5,0)))/2))/2,0)</f>
        <v>0</v>
      </c>
      <c r="AB16" s="248">
        <f>IF($P16=$AB$3,(((INDEX('Tables - Part 2'!$AX$6:$BA$13,MATCH(SCC_Alkaline_Carbonate!S16,'Tables - Part 2'!$AV$6:$AV$13,0),MATCH(SCC_Alkaline_Carbonate!Q16,'Tables - Part 2'!$AX$5:$BA$5,0))+((INDEX('Tables - Part 2'!$AX$6:$BA$13,MATCH(SCC_Alkaline_Carbonate!S16,'Tables - Part 2'!$AV$6:$AV$13,0),MATCH(SCC_Alkaline_Carbonate!Q16,'Tables - Part 2'!$AX$5:$BA$5,0))+INDEX('Tables - Part 2'!$BB$6:$BE$13,MATCH(SCC_Alkaline_Carbonate!$S16,'Tables - Part 2'!$AV$6:$AV$13,0),MATCH(SCC_Alkaline_Carbonate!$Q16,'Tables - Part 2'!$AX$5:$BA$5,0)))/2))/2)+(INDEX('Tables - Part 2'!$AX$6:$BA$13,MATCH(SCC_Alkaline_Carbonate!S16,'Tables - Part 2'!$AV$6:$AV$13,0),MATCH(SCC_Alkaline_Carbonate!Q16,'Tables - Part 2'!$AX$5:$BA$5,0))+INDEX('Tables - Part 2'!$BB$6:$BE$13,MATCH(SCC_Alkaline_Carbonate!$S16,'Tables - Part 2'!$AV$6:$AV$13,0),MATCH(SCC_Alkaline_Carbonate!$Q16,'Tables - Part 2'!$AX$5:$BA$5,0)))/2)/2,0)</f>
        <v>0</v>
      </c>
      <c r="AC16" s="248">
        <f>IF($P16=$AC$3,(INDEX('Tables - Part 2'!$AX$6:$BA$13,MATCH(SCC_Alkaline_Carbonate!S16,'Tables - Part 2'!$AV$6:$AV$13,0),MATCH(SCC_Alkaline_Carbonate!Q16,'Tables - Part 2'!$AX$5:$BA$5,0))+INDEX('Tables - Part 2'!$BB$6:$BE$13,MATCH(SCC_Alkaline_Carbonate!$S16,'Tables - Part 2'!$AV$6:$AV$13,0),MATCH(SCC_Alkaline_Carbonate!$Q16,'Tables - Part 2'!$AX$5:$BA$5,0)))/2,0)</f>
        <v>0</v>
      </c>
      <c r="AD16" s="248">
        <f>IF($P16=$AD$3,(((INDEX('Tables - Part 2'!$AX$6:$BA$13,MATCH(SCC_Alkaline_Carbonate!S16,'Tables - Part 2'!$AV$6:$AV$13,0),MATCH(SCC_Alkaline_Carbonate!Q16,'Tables - Part 2'!$AX$5:$BA$5,0))+INDEX('Tables - Part 2'!$BB$6:$BE$13,MATCH(SCC_Alkaline_Carbonate!$S16,'Tables - Part 2'!$AV$6:$AV$13,0),MATCH(SCC_Alkaline_Carbonate!$Q16,'Tables - Part 2'!$AX$5:$BA$5,0)))/2)+(((INDEX('Tables - Part 2'!$AX$6:$BA$13,MATCH(SCC_Alkaline_Carbonate!S16,'Tables - Part 2'!$AV$6:$AV$13,0),MATCH(SCC_Alkaline_Carbonate!Q16,'Tables - Part 2'!$AX$5:$BA$5,0))+INDEX('Tables - Part 2'!$BB$6:$BE$13,MATCH(SCC_Alkaline_Carbonate!$S16,'Tables - Part 2'!$AV$6:$AV$13,0),MATCH(SCC_Alkaline_Carbonate!$Q16,'Tables - Part 2'!$AX$5:$BA$5,0)))/2)+INDEX('Tables - Part 2'!$BB$6:$BE$13,MATCH(SCC_Alkaline_Carbonate!$S16,'Tables - Part 2'!$AV$6:$AV$13,0),MATCH(SCC_Alkaline_Carbonate!$Q16,'Tables - Part 2'!$AX$5:$BA$5,0)))/2)/2,0)</f>
        <v>0</v>
      </c>
      <c r="AE16" s="248">
        <f>IF($P16=$AE$3,(((INDEX('Tables - Part 2'!$AX$6:$BA$13,MATCH(SCC_Alkaline_Carbonate!S16,'Tables - Part 2'!$AV$6:$AV$13,0),MATCH(SCC_Alkaline_Carbonate!Q16,'Tables - Part 2'!$AX$5:$BA$5,0))+INDEX('Tables - Part 2'!$BB$6:$BE$13,MATCH(SCC_Alkaline_Carbonate!$S16,'Tables - Part 2'!$AV$6:$AV$13,0),MATCH(SCC_Alkaline_Carbonate!$Q16,'Tables - Part 2'!$AX$5:$BA$5,0)))/2)+INDEX('Tables - Part 2'!$BB$6:$BE$13,MATCH(SCC_Alkaline_Carbonate!$S16,'Tables - Part 2'!$AV$6:$AV$13,0),MATCH(SCC_Alkaline_Carbonate!$Q16,'Tables - Part 2'!$AX$5:$BA$5,0)))/2,0)</f>
        <v>0</v>
      </c>
      <c r="AF16" s="248">
        <f>IF($P16=$AF$3,(((((INDEX('Tables - Part 2'!$AX$6:$BA$13,MATCH(SCC_Alkaline_Carbonate!S16,'Tables - Part 2'!$AV$6:$AV$13,0),MATCH(SCC_Alkaline_Carbonate!Q16,'Tables - Part 2'!$AX$5:$BA$5,0))+INDEX('Tables - Part 2'!$BB$6:$BE$13,MATCH(SCC_Alkaline_Carbonate!$S16,'Tables - Part 2'!$AV$6:$AV$13,0),MATCH(SCC_Alkaline_Carbonate!$Q16,'Tables - Part 2'!$AX$5:$BA$5,0)))/2)+INDEX('Tables - Part 2'!$BB$6:$BE$13,MATCH(SCC_Alkaline_Carbonate!$S16,'Tables - Part 2'!$AV$6:$AV$13,0),MATCH(SCC_Alkaline_Carbonate!$Q16,'Tables - Part 2'!$AX$5:$BA$5,0)))/2)+INDEX('Tables - Part 2'!$BB$6:$BE$13,MATCH(SCC_Alkaline_Carbonate!$S16,'Tables - Part 2'!$AV$6:$AV$13,0),MATCH(SCC_Alkaline_Carbonate!$Q16,'Tables - Part 2'!$AX$5:$BA$5,0)))/2,0)</f>
        <v>0</v>
      </c>
      <c r="AG16" s="248">
        <f>IF($P16=$AG$3,INDEX('Tables - Part 2'!$BB$6:$BE$13,MATCH(SCC_Alkaline_Carbonate!$S16,'Tables - Part 2'!$AV$6:$AV$13,0),MATCH(SCC_Alkaline_Carbonate!$Q16,'Tables - Part 2'!$AX$5:$BA$5,0)),0)</f>
        <v>0</v>
      </c>
      <c r="AH16" s="248">
        <f>IF($P16=$AH$3,((INDEX('Tables - Part 2'!$BB$6:$BE$13,MATCH(SCC_Alkaline_Carbonate!$S16,'Tables - Part 2'!$AV$6:$AV$13,0),MATCH(SCC_Alkaline_Carbonate!$Q16,'Tables - Part 2'!$AX$5:$BA$5,0)))+(INDEX('Tables - Part 2'!$BB$6:$BE$13,MATCH(SCC_Alkaline_Carbonate!$S16,'Tables - Part 2'!$AV$6:$AV$13,0),MATCH(SCC_Alkaline_Carbonate!$Q16,'Tables - Part 2'!$AX$5:$BA$5,0))+(INDEX('Tables - Part 2'!$BB$6:$BE$13,MATCH(SCC_Alkaline_Carbonate!$S16,'Tables - Part 2'!$AV$6:$AV$13,0),MATCH(SCC_Alkaline_Carbonate!$Q16,'Tables - Part 2'!$AX$5:$BA$5,0))+INDEX('Tables - Part 2'!$BF$6:$BI$13,MATCH(SCC_Alkaline_Carbonate!$S16,'Tables - Part 2'!$AV$6:$AV$13,0),MATCH(SCC_Alkaline_Carbonate!$Q16,'Tables - Part 2'!$AX$5:$BA$5,0)))/2)/2)/2,0)</f>
        <v>0</v>
      </c>
      <c r="AI16" s="248">
        <f>IF($P16=$AI$3,(INDEX('Tables - Part 2'!$BB$6:$BE$13,MATCH(SCC_Alkaline_Carbonate!$S16,'Tables - Part 2'!$AV$6:$AV$13,0),MATCH(SCC_Alkaline_Carbonate!$Q16,'Tables - Part 2'!$AX$5:$BA$5,0))+(INDEX('Tables - Part 2'!$BB$6:$BE$13,MATCH(SCC_Alkaline_Carbonate!$S16,'Tables - Part 2'!$AV$6:$AV$13,0),MATCH(SCC_Alkaline_Carbonate!$Q16,'Tables - Part 2'!$AX$5:$BA$5,0))+INDEX('Tables - Part 2'!$BF$6:$BI$13,MATCH(SCC_Alkaline_Carbonate!$S16,'Tables - Part 2'!$AV$6:$AV$13,0),MATCH(SCC_Alkaline_Carbonate!$Q16,'Tables - Part 2'!$AX$5:$BA$5,0)))/2)/2,0)</f>
        <v>0</v>
      </c>
      <c r="AJ16" s="248">
        <f>IF($P16=$AJ$3,(((INDEX('Tables - Part 2'!$BB$6:$BE$13,MATCH(SCC_Alkaline_Carbonate!$S16,'Tables - Part 2'!$AV$6:$AV$13,0),MATCH(SCC_Alkaline_Carbonate!$Q16,'Tables - Part 2'!$AX$5:$BA$5,0))+(INDEX('Tables - Part 2'!$BB$6:$BE$13,MATCH(SCC_Alkaline_Carbonate!$S16,'Tables - Part 2'!$AV$6:$AV$13,0),MATCH(SCC_Alkaline_Carbonate!$Q16,'Tables - Part 2'!$AX$5:$BA$5,0))+INDEX('Tables - Part 2'!$BF$6:$BI$13,MATCH(SCC_Alkaline_Carbonate!$S16,'Tables - Part 2'!$AV$6:$AV$13,0),MATCH(SCC_Alkaline_Carbonate!$Q16,'Tables - Part 2'!$AX$5:$BA$5,0)))/2)/2)+((INDEX('Tables - Part 2'!$BB$6:$BE$13,MATCH(SCC_Alkaline_Carbonate!$S16,'Tables - Part 2'!$AV$6:$AV$13,0),MATCH(SCC_Alkaline_Carbonate!$Q16,'Tables - Part 2'!$AX$5:$BA$5,0))+INDEX('Tables - Part 2'!$BF$6:$BI$13,MATCH(SCC_Alkaline_Carbonate!$S16,'Tables - Part 2'!$AV$6:$AV$13,0),MATCH(SCC_Alkaline_Carbonate!$Q16,'Tables - Part 2'!$AX$5:$BA$5,0)))/2))/2,0)</f>
        <v>0</v>
      </c>
      <c r="AK16" s="248">
        <f>IF($P16=$AK$3,(INDEX('Tables - Part 2'!$BB$6:$BE$13,MATCH(SCC_Alkaline_Carbonate!$S16,'Tables - Part 2'!$AV$6:$AV$13,0),MATCH(SCC_Alkaline_Carbonate!$Q16,'Tables - Part 2'!$AX$5:$BA$5,0))+INDEX('Tables - Part 2'!$BF$6:$BI$13,MATCH(SCC_Alkaline_Carbonate!$S16,'Tables - Part 2'!$AV$6:$AV$13,0),MATCH(SCC_Alkaline_Carbonate!$Q16,'Tables - Part 2'!$AX$5:$BA$5,0)))/2,0)</f>
        <v>3</v>
      </c>
      <c r="AL16" s="248">
        <f>IF($P16=$AL$3,(((INDEX('Tables - Part 2'!$BB$6:$BE$13,MATCH(SCC_Alkaline_Carbonate!$S16,'Tables - Part 2'!$AV$6:$AV$13,0),MATCH(SCC_Alkaline_Carbonate!$Q16,'Tables - Part 2'!$AX$5:$BA$5,0))+INDEX('Tables - Part 2'!$BF$6:$BI$13,MATCH(SCC_Alkaline_Carbonate!$S16,'Tables - Part 2'!$AV$6:$AV$13,0),MATCH(SCC_Alkaline_Carbonate!$Q16,'Tables - Part 2'!$AX$5:$BA$5,0)))/2)+((((INDEX('Tables - Part 2'!$BB$6:$BE$13,MATCH(SCC_Alkaline_Carbonate!$S16,'Tables - Part 2'!$AV$6:$AV$13,0),MATCH(SCC_Alkaline_Carbonate!$Q16,'Tables - Part 2'!$AX$5:$BA$5,0))+INDEX('Tables - Part 2'!$BF$6:$BI$13,MATCH(SCC_Alkaline_Carbonate!$S16,'Tables - Part 2'!$AV$6:$AV$13,0),MATCH(SCC_Alkaline_Carbonate!$Q16,'Tables - Part 2'!$AX$5:$BA$5,0)))/2)+INDEX('Tables - Part 2'!$BF$6:$BI$13,MATCH(SCC_Alkaline_Carbonate!$S16,'Tables - Part 2'!$AV$6:$AV$13,0),MATCH(SCC_Alkaline_Carbonate!$Q16,'Tables - Part 2'!$AX$5:$BA$5,0)))/2))/2,0)</f>
        <v>0</v>
      </c>
      <c r="AM16" s="248">
        <f>IF($P16=$AM$3,(((INDEX('Tables - Part 2'!$BB$6:$BE$13,MATCH(SCC_Alkaline_Carbonate!$S16,'Tables - Part 2'!$AV$6:$AV$13,0),MATCH(SCC_Alkaline_Carbonate!$Q16,'Tables - Part 2'!$AX$5:$BA$5,0))+INDEX('Tables - Part 2'!$BF$6:$BI$13,MATCH(SCC_Alkaline_Carbonate!$S16,'Tables - Part 2'!$AV$6:$AV$13,0),MATCH(SCC_Alkaline_Carbonate!$Q16,'Tables - Part 2'!$AX$5:$BA$5,0)))/2)+INDEX('Tables - Part 2'!$BF$6:$BI$13,MATCH(SCC_Alkaline_Carbonate!$S16,'Tables - Part 2'!$AV$6:$AV$13,0),MATCH(SCC_Alkaline_Carbonate!$Q16,'Tables - Part 2'!$AX$5:$BA$5,0)))/2,0)</f>
        <v>0</v>
      </c>
      <c r="AN16" s="248">
        <f>IF($P16=$AN$3,(((((INDEX('Tables - Part 2'!$BB$6:$BE$13,MATCH(SCC_Alkaline_Carbonate!$S16,'Tables - Part 2'!$AV$6:$AV$13,0),MATCH(SCC_Alkaline_Carbonate!$Q16,'Tables - Part 2'!$AX$5:$BA$5,0))+INDEX('Tables - Part 2'!$BF$6:$BI$13,MATCH(SCC_Alkaline_Carbonate!$S16,'Tables - Part 2'!$AV$6:$AV$13,0),MATCH(SCC_Alkaline_Carbonate!$Q16,'Tables - Part 2'!$AX$5:$BA$5,0)))/2)+INDEX('Tables - Part 2'!$BF$6:$BI$13,MATCH(SCC_Alkaline_Carbonate!$S16,'Tables - Part 2'!$AV$6:$AV$13,0),MATCH(SCC_Alkaline_Carbonate!$Q16,'Tables - Part 2'!$AX$5:$BA$5,0)))/2)+INDEX('Tables - Part 2'!$BF$6:$BI$13,MATCH(SCC_Alkaline_Carbonate!$S16,'Tables - Part 2'!$AV$6:$AV$13,0),MATCH(SCC_Alkaline_Carbonate!$Q16,'Tables - Part 2'!$AX$5:$BA$5,0)))/2,0)</f>
        <v>0</v>
      </c>
      <c r="AO16" s="248">
        <f>IF($P16=$AO$3,INDEX('Tables - Part 2'!$BF$6:$BI$13,MATCH(SCC_Alkaline_Carbonate!$S16,'Tables - Part 2'!$AV$6:$AV$13,0),MATCH(SCC_Alkaline_Carbonate!$Q16,'Tables - Part 2'!$AX$5:$BA$5,0)),0)</f>
        <v>0</v>
      </c>
      <c r="AP16" s="248">
        <f>IF($P16=$AP$3,(INDEX('Tables - Part 2'!$BF$6:$BI$13,MATCH(SCC_Alkaline_Carbonate!$S16,'Tables - Part 2'!$AV$6:$AV$13,0),MATCH(SCC_Alkaline_Carbonate!$Q16,'Tables - Part 2'!$AX$5:$BA$5,0))+((INDEX('Tables - Part 2'!$BF$6:$BI$13,MATCH(SCC_Alkaline_Carbonate!$S16,'Tables - Part 2'!$AV$6:$AV$13,0),MATCH(SCC_Alkaline_Carbonate!$Q16,'Tables - Part 2'!$AX$5:$BA$5,0))+(INDEX('Tables - Part 2'!$BF$6:$BI$13,MATCH(SCC_Alkaline_Carbonate!$S16,'Tables - Part 2'!$AV$6:$AV$13,0),MATCH(SCC_Alkaline_Carbonate!$Q16,'Tables - Part 2'!$AX$5:$BA$5,0))+INDEX('Tables - Part 2'!$AX$17:$BA$24,MATCH(SCC_Alkaline_Carbonate!$S16,'Tables - Part 2'!$AV$6:$AV$13,0),MATCH(SCC_Alkaline_Carbonate!$Q16,'Tables - Part 2'!$AX$5:$BA$5,0)))/2)/2))/2,0)</f>
        <v>0</v>
      </c>
      <c r="AQ16" s="248">
        <f>IF($P16=$AQ$3,(INDEX('Tables - Part 2'!$BF$6:$BI$13,MATCH(SCC_Alkaline_Carbonate!$S16,'Tables - Part 2'!$AV$6:$AV$13,0),MATCH(SCC_Alkaline_Carbonate!$Q16,'Tables - Part 2'!$AX$5:$BA$5,0))+(INDEX('Tables - Part 2'!$BF$6:$BI$13,MATCH(SCC_Alkaline_Carbonate!$S16,'Tables - Part 2'!$AV$6:$AV$13,0),MATCH(SCC_Alkaline_Carbonate!$Q16,'Tables - Part 2'!$AX$5:$BA$5,0))+INDEX('Tables - Part 2'!$AX$17:$BA$24,MATCH(SCC_Alkaline_Carbonate!$S16,'Tables - Part 2'!$AV$6:$AV$13,0),MATCH(SCC_Alkaline_Carbonate!$Q16,'Tables - Part 2'!$AX$5:$BA$5,0)))/2)/2,0)</f>
        <v>0</v>
      </c>
      <c r="AR16" s="248">
        <f>IF($P16=$AR$3,(((INDEX('Tables - Part 2'!$BF$6:$BI$13,MATCH(SCC_Alkaline_Carbonate!$S16,'Tables - Part 2'!$AV$6:$AV$13,0),MATCH(SCC_Alkaline_Carbonate!$Q16,'Tables - Part 2'!$AX$5:$BA$5,0))+(INDEX('Tables - Part 2'!$BF$6:$BI$13,MATCH(SCC_Alkaline_Carbonate!$S16,'Tables - Part 2'!$AV$6:$AV$13,0),MATCH(SCC_Alkaline_Carbonate!$Q16,'Tables - Part 2'!$AX$5:$BA$5,0))+INDEX('Tables - Part 2'!$AX$17:$BA$24,MATCH(SCC_Alkaline_Carbonate!$S16,'Tables - Part 2'!$AV$6:$AV$13,0),MATCH(SCC_Alkaline_Carbonate!$Q16,'Tables - Part 2'!$AX$5:$BA$5,0)))/2)/2)+((INDEX('Tables - Part 2'!$BF$6:$BI$13,MATCH(SCC_Alkaline_Carbonate!$S16,'Tables - Part 2'!$AV$6:$AV$13,0),MATCH(SCC_Alkaline_Carbonate!$Q16,'Tables - Part 2'!$AX$5:$BA$5,0))+INDEX('Tables - Part 2'!$AX$17:$BA$24,MATCH(SCC_Alkaline_Carbonate!$S16,'Tables - Part 2'!$AV$6:$AV$13,0),MATCH(SCC_Alkaline_Carbonate!$Q16,'Tables - Part 2'!$AX$5:$BA$5,0)))/2))/2,0)</f>
        <v>0</v>
      </c>
      <c r="AS16" s="248">
        <f>IF($P16=$AS$3,(INDEX('Tables - Part 2'!$BF$6:$BI$13,MATCH(SCC_Alkaline_Carbonate!$S16,'Tables - Part 2'!$AV$6:$AV$13,0),MATCH(SCC_Alkaline_Carbonate!$Q16,'Tables - Part 2'!$AX$5:$BA$5,0))+INDEX('Tables - Part 2'!$AX$17:$BA$24,MATCH(SCC_Alkaline_Carbonate!$S16,'Tables - Part 2'!$AV$6:$AV$13,0),MATCH(SCC_Alkaline_Carbonate!$Q16,'Tables - Part 2'!$AX$5:$BA$5,0)))/2,0)</f>
        <v>0</v>
      </c>
      <c r="AT16" s="248">
        <f>IF($P16=$AT$3,(((INDEX('Tables - Part 2'!$BF$6:$BI$13,MATCH(SCC_Alkaline_Carbonate!$S16,'Tables - Part 2'!$AV$6:$AV$13,0),MATCH(SCC_Alkaline_Carbonate!$Q16,'Tables - Part 2'!$AX$5:$BA$5,0))+INDEX('Tables - Part 2'!$AX$17:$BA$24,MATCH(SCC_Alkaline_Carbonate!$S16,'Tables - Part 2'!$AV$6:$AV$13,0),MATCH(SCC_Alkaline_Carbonate!$Q16,'Tables - Part 2'!$AX$5:$BA$5,0)))/2)+((((INDEX('Tables - Part 2'!$BF$6:$BI$13,MATCH(SCC_Alkaline_Carbonate!$S16,'Tables - Part 2'!$AV$6:$AV$13,0),MATCH(SCC_Alkaline_Carbonate!$Q16,'Tables - Part 2'!$AX$5:$BA$5,0))+INDEX('Tables - Part 2'!$AX$17:$BA$24,MATCH(SCC_Alkaline_Carbonate!$S16,'Tables - Part 2'!$AV$6:$AV$13,0),MATCH(SCC_Alkaline_Carbonate!$Q16,'Tables - Part 2'!$AX$5:$BA$5,0)))/2)+INDEX('Tables - Part 2'!$AX$17:$BA$24,MATCH(SCC_Alkaline_Carbonate!$S16,'Tables - Part 2'!$AV$6:$AV$13,0),MATCH(SCC_Alkaline_Carbonate!$Q16,'Tables - Part 2'!$AX$5:$BA$5,0)))/2))/2,0)</f>
        <v>0</v>
      </c>
      <c r="AU16" s="248">
        <f>IF($P16=$AU$3,(((INDEX('Tables - Part 2'!$BF$6:$BI$13,MATCH(SCC_Alkaline_Carbonate!$S16,'Tables - Part 2'!$AV$6:$AV$13,0),MATCH(SCC_Alkaline_Carbonate!$Q16,'Tables - Part 2'!$AX$5:$BA$5,0))+INDEX('Tables - Part 2'!$AX$17:$BA$24,MATCH(SCC_Alkaline_Carbonate!$S16,'Tables - Part 2'!$AV$6:$AV$13,0),MATCH(SCC_Alkaline_Carbonate!$Q16,'Tables - Part 2'!$AX$5:$BA$5,0)))/2)+INDEX('Tables - Part 2'!$AX$17:$BA$24,MATCH(SCC_Alkaline_Carbonate!$S16,'Tables - Part 2'!$AV$6:$AV$13,0),MATCH(SCC_Alkaline_Carbonate!$Q16,'Tables - Part 2'!$AX$5:$BA$5,0)))/2,0)</f>
        <v>0</v>
      </c>
      <c r="AV16" s="248">
        <f>IF($P16=$AV$3,(((((INDEX('Tables - Part 2'!$BF$6:$BI$13,MATCH(SCC_Alkaline_Carbonate!$S16,'Tables - Part 2'!$AV$6:$AV$13,0),MATCH(SCC_Alkaline_Carbonate!$Q16,'Tables - Part 2'!$AX$5:$BA$5,0))+INDEX('Tables - Part 2'!$AX$17:$BA$24,MATCH(SCC_Alkaline_Carbonate!$S16,'Tables - Part 2'!$AV$6:$AV$13,0),MATCH(SCC_Alkaline_Carbonate!$Q16,'Tables - Part 2'!$AX$5:$BA$5,0)))/2)+INDEX('Tables - Part 2'!$AX$17:$BA$24,MATCH(SCC_Alkaline_Carbonate!$S16,'Tables - Part 2'!$AV$6:$AV$13,0),MATCH(SCC_Alkaline_Carbonate!$Q16,'Tables - Part 2'!$AX$5:$BA$5,0)))/2)+(INDEX('Tables - Part 2'!$AX$17:$BA$24,MATCH(SCC_Alkaline_Carbonate!$S16,'Tables - Part 2'!$AV$6:$AV$13,0),MATCH(SCC_Alkaline_Carbonate!$Q16,'Tables - Part 2'!$AX$5:$BA$5,0))))/2,0)</f>
        <v>0</v>
      </c>
      <c r="AW16" s="248">
        <f>IF($P16=$AW$3,INDEX('Tables - Part 2'!$AX$17:$BA$24,MATCH(SCC_Alkaline_Carbonate!$S16,'Tables - Part 2'!$AV$6:$AV$13,0),MATCH(SCC_Alkaline_Carbonate!$Q16,'Tables - Part 2'!$AX$5:$BA$5,0)),0)</f>
        <v>0</v>
      </c>
      <c r="AX16" s="248">
        <f>IF($P16=$AX$3,((INDEX('Tables - Part 2'!$AX$17:$BA$24,MATCH(SCC_Alkaline_Carbonate!$S16,'Tables - Part 2'!$AV$6:$AV$13,0),MATCH(SCC_Alkaline_Carbonate!$Q16,'Tables - Part 2'!$AX$5:$BA$5,0)))+(((INDEX('Tables - Part 2'!$AX$17:$BA$24,MATCH(SCC_Alkaline_Carbonate!$S16,'Tables - Part 2'!$AV$6:$AV$13,0),MATCH(SCC_Alkaline_Carbonate!$Q16,'Tables - Part 2'!$AX$5:$BA$5,0)))+(INDEX('Tables - Part 2'!$AX$17:$BA$24,MATCH(SCC_Alkaline_Carbonate!$S16,'Tables - Part 2'!$AV$6:$AV$13,0),MATCH(SCC_Alkaline_Carbonate!$Q16,'Tables - Part 2'!$AX$5:$BA$5,0))+INDEX('Tables - Part 2'!$BB$17:$BE$24,MATCH(SCC_Alkaline_Carbonate!$S16,'Tables - Part 2'!$AV$6:$AV$13,0),MATCH(SCC_Alkaline_Carbonate!$Q16,'Tables - Part 2'!$AX$5:$BA$5,0)))/2)/2))/2,0)</f>
        <v>0</v>
      </c>
      <c r="AY16" s="248">
        <f>IF($P16=$AY$3,((INDEX('Tables - Part 2'!$AX$17:$BA$24,MATCH(SCC_Alkaline_Carbonate!$S16,'Tables - Part 2'!$AV$6:$AV$13,0),MATCH(SCC_Alkaline_Carbonate!$Q16,'Tables - Part 2'!$AX$5:$BA$5,0)))+(INDEX('Tables - Part 2'!$AX$17:$BA$24,MATCH(SCC_Alkaline_Carbonate!$S16,'Tables - Part 2'!$AV$6:$AV$13,0),MATCH(SCC_Alkaline_Carbonate!$Q16,'Tables - Part 2'!$AX$5:$BA$5,0))+INDEX('Tables - Part 2'!$BB$17:$BE$24,MATCH(SCC_Alkaline_Carbonate!$S16,'Tables - Part 2'!$AV$6:$AV$13,0),MATCH(SCC_Alkaline_Carbonate!$Q16,'Tables - Part 2'!$AX$5:$BA$5,0)))/2)/2,0)</f>
        <v>0</v>
      </c>
      <c r="AZ16" s="248">
        <f>IF($P16=$AZ$3,((((INDEX('Tables - Part 2'!$AX$17:$BA$24,MATCH(SCC_Alkaline_Carbonate!$S16,'Tables - Part 2'!$AV$6:$AV$13,0),MATCH(SCC_Alkaline_Carbonate!$Q16,'Tables - Part 2'!$AX$5:$BA$5,0)))+(INDEX('Tables - Part 2'!$AX$17:$BA$24,MATCH(SCC_Alkaline_Carbonate!$S16,'Tables - Part 2'!$AV$6:$AV$13,0),MATCH(SCC_Alkaline_Carbonate!$Q16,'Tables - Part 2'!$AX$5:$BA$5,0))+INDEX('Tables - Part 2'!$BB$17:$BE$24,MATCH(SCC_Alkaline_Carbonate!$S16,'Tables - Part 2'!$AV$6:$AV$13,0),MATCH(SCC_Alkaline_Carbonate!$Q16,'Tables - Part 2'!$AX$5:$BA$5,0)))/2)/2)+((INDEX('Tables - Part 2'!$AX$17:$BA$24,MATCH(SCC_Alkaline_Carbonate!$S16,'Tables - Part 2'!$AV$6:$AV$13,0),MATCH(SCC_Alkaline_Carbonate!$Q16,'Tables - Part 2'!$AX$5:$BA$5,0))+INDEX('Tables - Part 2'!$BB$17:$BE$24,MATCH(SCC_Alkaline_Carbonate!$S16,'Tables - Part 2'!$AV$6:$AV$13,0),MATCH(SCC_Alkaline_Carbonate!$Q16,'Tables - Part 2'!$AX$5:$BA$5,0)))/2))/2,0)</f>
        <v>0</v>
      </c>
      <c r="BA16" s="248">
        <f>IF($P16=$BA$3,(INDEX('Tables - Part 2'!$AX$17:$BA$24,MATCH(SCC_Alkaline_Carbonate!$S16,'Tables - Part 2'!$AV$6:$AV$13,0),MATCH(SCC_Alkaline_Carbonate!$Q16,'Tables - Part 2'!$AX$5:$BA$5,0))+INDEX('Tables - Part 2'!$BB$17:$BE$24,MATCH(SCC_Alkaline_Carbonate!$S16,'Tables - Part 2'!$AV$6:$AV$13,0),MATCH(SCC_Alkaline_Carbonate!$Q16,'Tables - Part 2'!$AX$5:$BA$5,0)))/2,0)</f>
        <v>0</v>
      </c>
      <c r="BB16" s="248">
        <f>IF($P16=$BB$3,(((INDEX('Tables - Part 2'!$AX$17:$BA$24,MATCH(SCC_Alkaline_Carbonate!$S16,'Tables - Part 2'!$AV$6:$AV$13,0),MATCH(SCC_Alkaline_Carbonate!$Q16,'Tables - Part 2'!$AX$5:$BA$5,0))+INDEX('Tables - Part 2'!$BB$17:$BE$24,MATCH(SCC_Alkaline_Carbonate!$S16,'Tables - Part 2'!$AV$6:$AV$13,0),MATCH(SCC_Alkaline_Carbonate!$Q16,'Tables - Part 2'!$AX$5:$BA$5,0)))/2)+((((INDEX('Tables - Part 2'!$AX$17:$BA$24,MATCH(SCC_Alkaline_Carbonate!$S16,'Tables - Part 2'!$AV$6:$AV$13,0),MATCH(SCC_Alkaline_Carbonate!$Q16,'Tables - Part 2'!$AX$5:$BA$5,0))+INDEX('Tables - Part 2'!$BB$17:$BE$24,MATCH(SCC_Alkaline_Carbonate!$S16,'Tables - Part 2'!$AV$6:$AV$13,0),MATCH(SCC_Alkaline_Carbonate!$Q16,'Tables - Part 2'!$AX$5:$BA$5,0)))/2)+INDEX('Tables - Part 2'!$BB$17:$BE$24,MATCH(SCC_Alkaline_Carbonate!$S16,'Tables - Part 2'!$AV$6:$AV$13,0),MATCH(SCC_Alkaline_Carbonate!$Q16,'Tables - Part 2'!$AX$5:$BA$5,0)))/2))/2,0)</f>
        <v>0</v>
      </c>
      <c r="BC16" s="248">
        <f>IF($P16=$BC$3,(((INDEX('Tables - Part 2'!$AX$17:$BA$24,MATCH(SCC_Alkaline_Carbonate!$S16,'Tables - Part 2'!$AV$6:$AV$13,0),MATCH(SCC_Alkaline_Carbonate!$Q16,'Tables - Part 2'!$AX$5:$BA$5,0))+INDEX('Tables - Part 2'!$BB$17:$BE$24,MATCH(SCC_Alkaline_Carbonate!$S16,'Tables - Part 2'!$AV$6:$AV$13,0),MATCH(SCC_Alkaline_Carbonate!$Q16,'Tables - Part 2'!$AX$5:$BA$5,0)))/2)+INDEX('Tables - Part 2'!$BB$17:$BE$24,MATCH(SCC_Alkaline_Carbonate!$S16,'Tables - Part 2'!$AV$6:$AV$13,0),MATCH(SCC_Alkaline_Carbonate!$Q16,'Tables - Part 2'!$AX$5:$BA$5,0)))/2,0)</f>
        <v>0</v>
      </c>
      <c r="BD16" s="248">
        <f>IF($P16=$BD$3,(((((INDEX('Tables - Part 2'!$AX$17:$BA$24,MATCH(SCC_Alkaline_Carbonate!$S16,'Tables - Part 2'!$AV$6:$AV$13,0),MATCH(SCC_Alkaline_Carbonate!$Q16,'Tables - Part 2'!$AX$5:$BA$5,0))+INDEX('Tables - Part 2'!$BB$17:$BE$24,MATCH(SCC_Alkaline_Carbonate!$S16,'Tables - Part 2'!$AV$6:$AV$13,0),MATCH(SCC_Alkaline_Carbonate!$Q16,'Tables - Part 2'!$AX$5:$BA$5,0)))/2)+INDEX('Tables - Part 2'!$BB$17:$BE$24,MATCH(SCC_Alkaline_Carbonate!$S16,'Tables - Part 2'!$AV$6:$AV$13,0),MATCH(SCC_Alkaline_Carbonate!$Q16,'Tables - Part 2'!$AX$5:$BA$5,0)))/2)+(INDEX('Tables - Part 2'!$BB$17:$BE$24,MATCH(SCC_Alkaline_Carbonate!$S16,'Tables - Part 2'!$AV$6:$AV$13,0),MATCH(SCC_Alkaline_Carbonate!$Q16,'Tables - Part 2'!$AX$5:$BA$5,0))))/2,0)</f>
        <v>0</v>
      </c>
      <c r="BE16" s="248">
        <f>IF($P16=$BE$3,INDEX('Tables - Part 2'!$BB$17:$BE$24,MATCH(SCC_Alkaline_Carbonate!$S16,'Tables - Part 2'!$AV$6:$AV$13,0),MATCH(SCC_Alkaline_Carbonate!$Q16,'Tables - Part 2'!$AX$5:$BA$5,0)),0)</f>
        <v>0</v>
      </c>
      <c r="BF16" s="248">
        <f>IF($P16=$BF$3,((INDEX('Tables - Part 2'!$BB$17:$BE$24,MATCH(SCC_Alkaline_Carbonate!$S16,'Tables - Part 2'!$AV$6:$AV$13,0),MATCH(SCC_Alkaline_Carbonate!$Q16,'Tables - Part 2'!$AX$5:$BA$5,0)))+(((INDEX('Tables - Part 2'!$BB$17:$BE$24,MATCH(SCC_Alkaline_Carbonate!$S16,'Tables - Part 2'!$AV$6:$AV$13,0),MATCH(SCC_Alkaline_Carbonate!$Q16,'Tables - Part 2'!$AX$5:$BA$5,0)))+(INDEX('Tables - Part 2'!$BB$17:$BE$24,MATCH(SCC_Alkaline_Carbonate!$S16,'Tables - Part 2'!$AV$6:$AV$13,0),MATCH(SCC_Alkaline_Carbonate!$Q16,'Tables - Part 2'!$AX$5:$BA$5,0))+INDEX('Tables - Part 2'!$BF$17:$BI$24,MATCH(SCC_Alkaline_Carbonate!$S16,'Tables - Part 2'!$AV$6:$AV$13,0),MATCH(SCC_Alkaline_Carbonate!$Q16,'Tables - Part 2'!$AX$5:$BA$5,0)))/2)/2))/2,0)</f>
        <v>0</v>
      </c>
      <c r="BG16" s="248">
        <f>IF($P16=$BG$3,((INDEX('Tables - Part 2'!$BB$17:$BE$24,MATCH(SCC_Alkaline_Carbonate!$S16,'Tables - Part 2'!$AV$6:$AV$13,0),MATCH(SCC_Alkaline_Carbonate!$Q16,'Tables - Part 2'!$AX$5:$BA$5,0)))+(INDEX('Tables - Part 2'!$BB$17:$BE$24,MATCH(SCC_Alkaline_Carbonate!$S16,'Tables - Part 2'!$AV$6:$AV$13,0),MATCH(SCC_Alkaline_Carbonate!$Q16,'Tables - Part 2'!$AX$5:$BA$5,0))+INDEX('Tables - Part 2'!$BF$17:$BI$24,MATCH(SCC_Alkaline_Carbonate!$S16,'Tables - Part 2'!$AV$6:$AV$13,0),MATCH(SCC_Alkaline_Carbonate!$Q16,'Tables - Part 2'!$AX$5:$BA$5,0)))/2)/2,0)</f>
        <v>0</v>
      </c>
      <c r="BH16" s="248">
        <f>IF($P16=$BH$3,((((INDEX('Tables - Part 2'!$BB$17:$BE$24,MATCH(SCC_Alkaline_Carbonate!$S16,'Tables - Part 2'!$AV$6:$AV$13,0),MATCH(SCC_Alkaline_Carbonate!$Q16,'Tables - Part 2'!$AX$5:$BA$5,0)))+(INDEX('Tables - Part 2'!$BB$17:$BE$24,MATCH(SCC_Alkaline_Carbonate!$S16,'Tables - Part 2'!$AV$6:$AV$13,0),MATCH(SCC_Alkaline_Carbonate!$Q16,'Tables - Part 2'!$AX$5:$BA$5,0))+INDEX('Tables - Part 2'!$BF$17:$BI$24,MATCH(SCC_Alkaline_Carbonate!$S16,'Tables - Part 2'!$AV$6:$AV$13,0),MATCH(SCC_Alkaline_Carbonate!$Q16,'Tables - Part 2'!$AX$5:$BA$5,0)))/2)/2)+((INDEX('Tables - Part 2'!$BB$17:$BE$24,MATCH(SCC_Alkaline_Carbonate!$S16,'Tables - Part 2'!$AV$6:$AV$13,0),MATCH(SCC_Alkaline_Carbonate!$Q16,'Tables - Part 2'!$AX$5:$BA$5,0))+INDEX('Tables - Part 2'!$BF$17:$BI$24,MATCH(SCC_Alkaline_Carbonate!$S16,'Tables - Part 2'!$AV$6:$AV$13,0),MATCH(SCC_Alkaline_Carbonate!$Q16,'Tables - Part 2'!$AX$5:$BA$5,0)))/2))/2,0)</f>
        <v>0</v>
      </c>
      <c r="BI16" s="248">
        <f>IF($P16=$BI$3,(INDEX('Tables - Part 2'!$BB$17:$BE$24,MATCH(SCC_Alkaline_Carbonate!$S16,'Tables - Part 2'!$AV$6:$AV$13,0),MATCH(SCC_Alkaline_Carbonate!$Q16,'Tables - Part 2'!$AX$5:$BA$5,0))+INDEX('Tables - Part 2'!$BF$17:$BI$24,MATCH(SCC_Alkaline_Carbonate!$S16,'Tables - Part 2'!$AV$6:$AV$13,0),MATCH(SCC_Alkaline_Carbonate!$Q16,'Tables - Part 2'!$AX$5:$BA$5,0)))/2,0)</f>
        <v>0</v>
      </c>
      <c r="BJ16" s="248">
        <f>IF($P16=$BJ$3,(((INDEX('Tables - Part 2'!$BB$17:$BE$24,MATCH(SCC_Alkaline_Carbonate!$S16,'Tables - Part 2'!$AV$6:$AV$13,0),MATCH(SCC_Alkaline_Carbonate!$Q16,'Tables - Part 2'!$AX$5:$BA$5,0))+INDEX('Tables - Part 2'!$BF$17:$BI$24,MATCH(SCC_Alkaline_Carbonate!$S16,'Tables - Part 2'!$AV$6:$AV$13,0),MATCH(SCC_Alkaline_Carbonate!$Q16,'Tables - Part 2'!$AX$5:$BA$5,0)))/2)+((((INDEX('Tables - Part 2'!$BB$17:$BE$24,MATCH(SCC_Alkaline_Carbonate!$S16,'Tables - Part 2'!$AV$6:$AV$13,0),MATCH(SCC_Alkaline_Carbonate!$Q16,'Tables - Part 2'!$AX$5:$BA$5,0))+INDEX('Tables - Part 2'!$BF$17:$BI$24,MATCH(SCC_Alkaline_Carbonate!$S16,'Tables - Part 2'!$AV$6:$AV$13,0),MATCH(SCC_Alkaline_Carbonate!$Q16,'Tables - Part 2'!$AX$5:$BA$5,0)))/2)+INDEX('Tables - Part 2'!$BF$17:$BI$24,MATCH(SCC_Alkaline_Carbonate!$S16,'Tables - Part 2'!$AV$6:$AV$13,0),MATCH(SCC_Alkaline_Carbonate!$Q16,'Tables - Part 2'!$AX$5:$BA$5,0)))/2))/2,0)</f>
        <v>0</v>
      </c>
      <c r="BK16" s="248">
        <f>IF($P16=$BK$3,(((INDEX('Tables - Part 2'!$BB$17:$BE$24,MATCH(SCC_Alkaline_Carbonate!$S16,'Tables - Part 2'!$AV$6:$AV$13,0),MATCH(SCC_Alkaline_Carbonate!$Q16,'Tables - Part 2'!$AX$5:$BA$5,0))+INDEX('Tables - Part 2'!$BF$17:$BI$24,MATCH(SCC_Alkaline_Carbonate!$S16,'Tables - Part 2'!$AV$6:$AV$13,0),MATCH(SCC_Alkaline_Carbonate!$Q16,'Tables - Part 2'!$AX$5:$BA$5,0)))/2)+INDEX('Tables - Part 2'!$BF$17:$BI$24,MATCH(SCC_Alkaline_Carbonate!$S16,'Tables - Part 2'!$AV$6:$AV$13,0),MATCH(SCC_Alkaline_Carbonate!$Q16,'Tables - Part 2'!$AX$5:$BA$5,0)))/2,0)</f>
        <v>0</v>
      </c>
      <c r="BL16" s="248">
        <f>IF($P16=$BL$3,(((((INDEX('Tables - Part 2'!$BB$17:$BE$24,MATCH(SCC_Alkaline_Carbonate!$S16,'Tables - Part 2'!$AV$6:$AV$13,0),MATCH(SCC_Alkaline_Carbonate!$Q16,'Tables - Part 2'!$AX$5:$BA$5,0))+INDEX('Tables - Part 2'!$BF$17:$BI$24,MATCH(SCC_Alkaline_Carbonate!$S16,'Tables - Part 2'!$AV$6:$AV$13,0),MATCH(SCC_Alkaline_Carbonate!$Q16,'Tables - Part 2'!$AX$5:$BA$5,0)))/2)+INDEX('Tables - Part 2'!$BF$17:$BI$24,MATCH(SCC_Alkaline_Carbonate!$S16,'Tables - Part 2'!$AV$6:$AV$13,0),MATCH(SCC_Alkaline_Carbonate!$Q16,'Tables - Part 2'!$AX$5:$BA$5,0)))/2)+(INDEX('Tables - Part 2'!$BF$17:$BI$24,MATCH(SCC_Alkaline_Carbonate!$S16,'Tables - Part 2'!$AV$6:$AV$13,0),MATCH(SCC_Alkaline_Carbonate!$Q16,'Tables - Part 2'!$AX$5:$BA$5,0))))/2,0)</f>
        <v>0</v>
      </c>
      <c r="BM16" s="248">
        <f>IF($P16=$BM$3,INDEX('Tables - Part 2'!$BF$17:$BI$24,MATCH(SCC_Alkaline_Carbonate!$S16,'Tables - Part 2'!$AV$6:$AV$13,0),MATCH(SCC_Alkaline_Carbonate!$Q16,'Tables - Part 2'!$AX$5:$BA$5,0)),0)</f>
        <v>0</v>
      </c>
      <c r="BN16" s="248">
        <f t="shared" si="6"/>
        <v>0</v>
      </c>
      <c r="BO16" s="238">
        <f t="shared" si="8"/>
        <v>3</v>
      </c>
      <c r="BP16" s="238">
        <f t="shared" si="7"/>
        <v>50.318647405225171</v>
      </c>
    </row>
    <row r="17" spans="2:68" x14ac:dyDescent="0.35">
      <c r="B17" s="161" t="str">
        <f>'Tratamento de Dados'!B25</f>
        <v>V-7</v>
      </c>
      <c r="C17" s="161" t="str">
        <f>'Tratamento de Dados'!D25</f>
        <v>Casco</v>
      </c>
      <c r="D17" s="209" t="s">
        <v>245</v>
      </c>
      <c r="E17" s="209" t="s">
        <v>61</v>
      </c>
      <c r="F17" s="209" t="s">
        <v>1134</v>
      </c>
      <c r="G17" s="209" t="s">
        <v>1132</v>
      </c>
      <c r="H17" s="209" t="s">
        <v>245</v>
      </c>
      <c r="I17" s="210">
        <v>39092</v>
      </c>
      <c r="J17" s="209">
        <v>0</v>
      </c>
      <c r="K17" s="209">
        <v>1</v>
      </c>
      <c r="L17" s="209">
        <v>1</v>
      </c>
      <c r="M17" s="209">
        <v>4</v>
      </c>
      <c r="N17" s="253">
        <f>'Tratamento de Dados'!DA25</f>
        <v>0</v>
      </c>
      <c r="O17" s="253">
        <f>'Tratamento de Dados'!DB25</f>
        <v>0</v>
      </c>
      <c r="P17" s="256">
        <f t="shared" si="0"/>
        <v>2.5</v>
      </c>
      <c r="Q17" s="246" t="str">
        <f t="shared" si="1"/>
        <v>B</v>
      </c>
      <c r="R17" s="238" t="str">
        <f>IF(D17=$BU$2,$BS$4,IF(H17=$BU$2,$BS$5,INDEX('Tables - Part 2'!$DA$6:$DB$9,MATCH(SCC_Alkaline_Carbonate!F17,'Tables - Part 2'!$CY$6:$CY$9,0),MATCH(SCC_Alkaline_Carbonate!G17,'Tables - Part 2'!$DA$5:$DB$5,0))))</f>
        <v>Medium</v>
      </c>
      <c r="S17" s="238">
        <f>IF(AND(D17=$BU$2,E17&lt;&gt;$BU$2),"Fitness-For-Service",INDEX('Tables - Part 2'!$DE$4:$DE$7,MATCH(SCC_Alkaline_Carbonate!R17,'Tables - Part 2'!$DD$4:$DD$7,0),))</f>
        <v>100</v>
      </c>
      <c r="T17" s="238">
        <f>IF(I17=0,(Thinning!G18-Thinning!F18)/365.25,(Thinning!G18-I17)/365.25)</f>
        <v>12.980150581793293</v>
      </c>
      <c r="U17" s="248">
        <f t="shared" si="2"/>
        <v>0</v>
      </c>
      <c r="V17" s="248">
        <f t="shared" si="3"/>
        <v>2.5</v>
      </c>
      <c r="W17" s="248">
        <f t="shared" si="4"/>
        <v>3</v>
      </c>
      <c r="X17" s="247">
        <f t="shared" si="5"/>
        <v>4</v>
      </c>
      <c r="Y17" s="248">
        <f>IF($P17=$Y$3,INDEX('Tables - Part 2'!$AX$6:$BA$13,MATCH(SCC_Alkaline_Carbonate!S17,'Tables - Part 2'!$AV$6:$AV$13,0),MATCH(SCC_Alkaline_Carbonate!Q17,'Tables - Part 2'!$AX$5:$BA$5,0)),0)</f>
        <v>0</v>
      </c>
      <c r="Z17" s="248">
        <f>IF($P17=$Z$3,(INDEX('Tables - Part 2'!$AX$6:$BA$13,MATCH(SCC_Alkaline_Carbonate!S17,'Tables - Part 2'!$AV$6:$AV$13,0),MATCH(SCC_Alkaline_Carbonate!Q17,'Tables - Part 2'!$AX$5:$BA$5,0))+(INDEX('Tables - Part 2'!$AX$6:$BA$13,MATCH(SCC_Alkaline_Carbonate!S17,'Tables - Part 2'!$AV$6:$AV$13,0),MATCH(SCC_Alkaline_Carbonate!Q17,'Tables - Part 2'!$AX$5:$BA$5,0))+((INDEX('Tables - Part 2'!$AX$6:$BA$13,MATCH(SCC_Alkaline_Carbonate!S17,'Tables - Part 2'!$AV$6:$AV$13,0),MATCH(SCC_Alkaline_Carbonate!Q17,'Tables - Part 2'!$AX$5:$BA$5,0))+INDEX('Tables - Part 2'!$BB$6:$BE$13,MATCH(SCC_Alkaline_Carbonate!$S17,'Tables - Part 2'!$AV$6:$AV$13,0),MATCH(SCC_Alkaline_Carbonate!$Q17,'Tables - Part 2'!$AX$5:$BA$5,0)))/2))/2)/2,0)</f>
        <v>0</v>
      </c>
      <c r="AA17" s="248">
        <f>IF($P17=$AA$3,(INDEX('Tables - Part 2'!$AX$6:$BA$13,MATCH(SCC_Alkaline_Carbonate!S17,'Tables - Part 2'!$AV$6:$AV$13,0),MATCH(SCC_Alkaline_Carbonate!Q17,'Tables - Part 2'!$AX$5:$BA$5,0))+((INDEX('Tables - Part 2'!$AX$6:$BA$13,MATCH(SCC_Alkaline_Carbonate!S17,'Tables - Part 2'!$AV$6:$AV$13,0),MATCH(SCC_Alkaline_Carbonate!Q17,'Tables - Part 2'!$AX$5:$BA$5,0))+INDEX('Tables - Part 2'!$BB$6:$BE$13,MATCH(SCC_Alkaline_Carbonate!$S17,'Tables - Part 2'!$AV$6:$AV$13,0),MATCH(SCC_Alkaline_Carbonate!$Q17,'Tables - Part 2'!$AX$5:$BA$5,0)))/2))/2,0)</f>
        <v>0</v>
      </c>
      <c r="AB17" s="248">
        <f>IF($P17=$AB$3,(((INDEX('Tables - Part 2'!$AX$6:$BA$13,MATCH(SCC_Alkaline_Carbonate!S17,'Tables - Part 2'!$AV$6:$AV$13,0),MATCH(SCC_Alkaline_Carbonate!Q17,'Tables - Part 2'!$AX$5:$BA$5,0))+((INDEX('Tables - Part 2'!$AX$6:$BA$13,MATCH(SCC_Alkaline_Carbonate!S17,'Tables - Part 2'!$AV$6:$AV$13,0),MATCH(SCC_Alkaline_Carbonate!Q17,'Tables - Part 2'!$AX$5:$BA$5,0))+INDEX('Tables - Part 2'!$BB$6:$BE$13,MATCH(SCC_Alkaline_Carbonate!$S17,'Tables - Part 2'!$AV$6:$AV$13,0),MATCH(SCC_Alkaline_Carbonate!$Q17,'Tables - Part 2'!$AX$5:$BA$5,0)))/2))/2)+(INDEX('Tables - Part 2'!$AX$6:$BA$13,MATCH(SCC_Alkaline_Carbonate!S17,'Tables - Part 2'!$AV$6:$AV$13,0),MATCH(SCC_Alkaline_Carbonate!Q17,'Tables - Part 2'!$AX$5:$BA$5,0))+INDEX('Tables - Part 2'!$BB$6:$BE$13,MATCH(SCC_Alkaline_Carbonate!$S17,'Tables - Part 2'!$AV$6:$AV$13,0),MATCH(SCC_Alkaline_Carbonate!$Q17,'Tables - Part 2'!$AX$5:$BA$5,0)))/2)/2,0)</f>
        <v>0</v>
      </c>
      <c r="AC17" s="248">
        <f>IF($P17=$AC$3,(INDEX('Tables - Part 2'!$AX$6:$BA$13,MATCH(SCC_Alkaline_Carbonate!S17,'Tables - Part 2'!$AV$6:$AV$13,0),MATCH(SCC_Alkaline_Carbonate!Q17,'Tables - Part 2'!$AX$5:$BA$5,0))+INDEX('Tables - Part 2'!$BB$6:$BE$13,MATCH(SCC_Alkaline_Carbonate!$S17,'Tables - Part 2'!$AV$6:$AV$13,0),MATCH(SCC_Alkaline_Carbonate!$Q17,'Tables - Part 2'!$AX$5:$BA$5,0)))/2,0)</f>
        <v>0</v>
      </c>
      <c r="AD17" s="248">
        <f>IF($P17=$AD$3,(((INDEX('Tables - Part 2'!$AX$6:$BA$13,MATCH(SCC_Alkaline_Carbonate!S17,'Tables - Part 2'!$AV$6:$AV$13,0),MATCH(SCC_Alkaline_Carbonate!Q17,'Tables - Part 2'!$AX$5:$BA$5,0))+INDEX('Tables - Part 2'!$BB$6:$BE$13,MATCH(SCC_Alkaline_Carbonate!$S17,'Tables - Part 2'!$AV$6:$AV$13,0),MATCH(SCC_Alkaline_Carbonate!$Q17,'Tables - Part 2'!$AX$5:$BA$5,0)))/2)+(((INDEX('Tables - Part 2'!$AX$6:$BA$13,MATCH(SCC_Alkaline_Carbonate!S17,'Tables - Part 2'!$AV$6:$AV$13,0),MATCH(SCC_Alkaline_Carbonate!Q17,'Tables - Part 2'!$AX$5:$BA$5,0))+INDEX('Tables - Part 2'!$BB$6:$BE$13,MATCH(SCC_Alkaline_Carbonate!$S17,'Tables - Part 2'!$AV$6:$AV$13,0),MATCH(SCC_Alkaline_Carbonate!$Q17,'Tables - Part 2'!$AX$5:$BA$5,0)))/2)+INDEX('Tables - Part 2'!$BB$6:$BE$13,MATCH(SCC_Alkaline_Carbonate!$S17,'Tables - Part 2'!$AV$6:$AV$13,0),MATCH(SCC_Alkaline_Carbonate!$Q17,'Tables - Part 2'!$AX$5:$BA$5,0)))/2)/2,0)</f>
        <v>0</v>
      </c>
      <c r="AE17" s="248">
        <f>IF($P17=$AE$3,(((INDEX('Tables - Part 2'!$AX$6:$BA$13,MATCH(SCC_Alkaline_Carbonate!S17,'Tables - Part 2'!$AV$6:$AV$13,0),MATCH(SCC_Alkaline_Carbonate!Q17,'Tables - Part 2'!$AX$5:$BA$5,0))+INDEX('Tables - Part 2'!$BB$6:$BE$13,MATCH(SCC_Alkaline_Carbonate!$S17,'Tables - Part 2'!$AV$6:$AV$13,0),MATCH(SCC_Alkaline_Carbonate!$Q17,'Tables - Part 2'!$AX$5:$BA$5,0)))/2)+INDEX('Tables - Part 2'!$BB$6:$BE$13,MATCH(SCC_Alkaline_Carbonate!$S17,'Tables - Part 2'!$AV$6:$AV$13,0),MATCH(SCC_Alkaline_Carbonate!$Q17,'Tables - Part 2'!$AX$5:$BA$5,0)))/2,0)</f>
        <v>0</v>
      </c>
      <c r="AF17" s="248">
        <f>IF($P17=$AF$3,(((((INDEX('Tables - Part 2'!$AX$6:$BA$13,MATCH(SCC_Alkaline_Carbonate!S17,'Tables - Part 2'!$AV$6:$AV$13,0),MATCH(SCC_Alkaline_Carbonate!Q17,'Tables - Part 2'!$AX$5:$BA$5,0))+INDEX('Tables - Part 2'!$BB$6:$BE$13,MATCH(SCC_Alkaline_Carbonate!$S17,'Tables - Part 2'!$AV$6:$AV$13,0),MATCH(SCC_Alkaline_Carbonate!$Q17,'Tables - Part 2'!$AX$5:$BA$5,0)))/2)+INDEX('Tables - Part 2'!$BB$6:$BE$13,MATCH(SCC_Alkaline_Carbonate!$S17,'Tables - Part 2'!$AV$6:$AV$13,0),MATCH(SCC_Alkaline_Carbonate!$Q17,'Tables - Part 2'!$AX$5:$BA$5,0)))/2)+INDEX('Tables - Part 2'!$BB$6:$BE$13,MATCH(SCC_Alkaline_Carbonate!$S17,'Tables - Part 2'!$AV$6:$AV$13,0),MATCH(SCC_Alkaline_Carbonate!$Q17,'Tables - Part 2'!$AX$5:$BA$5,0)))/2,0)</f>
        <v>0</v>
      </c>
      <c r="AG17" s="248">
        <f>IF($P17=$AG$3,INDEX('Tables - Part 2'!$BB$6:$BE$13,MATCH(SCC_Alkaline_Carbonate!$S17,'Tables - Part 2'!$AV$6:$AV$13,0),MATCH(SCC_Alkaline_Carbonate!$Q17,'Tables - Part 2'!$AX$5:$BA$5,0)),0)</f>
        <v>0</v>
      </c>
      <c r="AH17" s="248">
        <f>IF($P17=$AH$3,((INDEX('Tables - Part 2'!$BB$6:$BE$13,MATCH(SCC_Alkaline_Carbonate!$S17,'Tables - Part 2'!$AV$6:$AV$13,0),MATCH(SCC_Alkaline_Carbonate!$Q17,'Tables - Part 2'!$AX$5:$BA$5,0)))+(INDEX('Tables - Part 2'!$BB$6:$BE$13,MATCH(SCC_Alkaline_Carbonate!$S17,'Tables - Part 2'!$AV$6:$AV$13,0),MATCH(SCC_Alkaline_Carbonate!$Q17,'Tables - Part 2'!$AX$5:$BA$5,0))+(INDEX('Tables - Part 2'!$BB$6:$BE$13,MATCH(SCC_Alkaline_Carbonate!$S17,'Tables - Part 2'!$AV$6:$AV$13,0),MATCH(SCC_Alkaline_Carbonate!$Q17,'Tables - Part 2'!$AX$5:$BA$5,0))+INDEX('Tables - Part 2'!$BF$6:$BI$13,MATCH(SCC_Alkaline_Carbonate!$S17,'Tables - Part 2'!$AV$6:$AV$13,0),MATCH(SCC_Alkaline_Carbonate!$Q17,'Tables - Part 2'!$AX$5:$BA$5,0)))/2)/2)/2,0)</f>
        <v>0</v>
      </c>
      <c r="AI17" s="248">
        <f>IF($P17=$AI$3,(INDEX('Tables - Part 2'!$BB$6:$BE$13,MATCH(SCC_Alkaline_Carbonate!$S17,'Tables - Part 2'!$AV$6:$AV$13,0),MATCH(SCC_Alkaline_Carbonate!$Q17,'Tables - Part 2'!$AX$5:$BA$5,0))+(INDEX('Tables - Part 2'!$BB$6:$BE$13,MATCH(SCC_Alkaline_Carbonate!$S17,'Tables - Part 2'!$AV$6:$AV$13,0),MATCH(SCC_Alkaline_Carbonate!$Q17,'Tables - Part 2'!$AX$5:$BA$5,0))+INDEX('Tables - Part 2'!$BF$6:$BI$13,MATCH(SCC_Alkaline_Carbonate!$S17,'Tables - Part 2'!$AV$6:$AV$13,0),MATCH(SCC_Alkaline_Carbonate!$Q17,'Tables - Part 2'!$AX$5:$BA$5,0)))/2)/2,0)</f>
        <v>0</v>
      </c>
      <c r="AJ17" s="248">
        <f>IF($P17=$AJ$3,(((INDEX('Tables - Part 2'!$BB$6:$BE$13,MATCH(SCC_Alkaline_Carbonate!$S17,'Tables - Part 2'!$AV$6:$AV$13,0),MATCH(SCC_Alkaline_Carbonate!$Q17,'Tables - Part 2'!$AX$5:$BA$5,0))+(INDEX('Tables - Part 2'!$BB$6:$BE$13,MATCH(SCC_Alkaline_Carbonate!$S17,'Tables - Part 2'!$AV$6:$AV$13,0),MATCH(SCC_Alkaline_Carbonate!$Q17,'Tables - Part 2'!$AX$5:$BA$5,0))+INDEX('Tables - Part 2'!$BF$6:$BI$13,MATCH(SCC_Alkaline_Carbonate!$S17,'Tables - Part 2'!$AV$6:$AV$13,0),MATCH(SCC_Alkaline_Carbonate!$Q17,'Tables - Part 2'!$AX$5:$BA$5,0)))/2)/2)+((INDEX('Tables - Part 2'!$BB$6:$BE$13,MATCH(SCC_Alkaline_Carbonate!$S17,'Tables - Part 2'!$AV$6:$AV$13,0),MATCH(SCC_Alkaline_Carbonate!$Q17,'Tables - Part 2'!$AX$5:$BA$5,0))+INDEX('Tables - Part 2'!$BF$6:$BI$13,MATCH(SCC_Alkaline_Carbonate!$S17,'Tables - Part 2'!$AV$6:$AV$13,0),MATCH(SCC_Alkaline_Carbonate!$Q17,'Tables - Part 2'!$AX$5:$BA$5,0)))/2))/2,0)</f>
        <v>0</v>
      </c>
      <c r="AK17" s="248">
        <f>IF($P17=$AK$3,(INDEX('Tables - Part 2'!$BB$6:$BE$13,MATCH(SCC_Alkaline_Carbonate!$S17,'Tables - Part 2'!$AV$6:$AV$13,0),MATCH(SCC_Alkaline_Carbonate!$Q17,'Tables - Part 2'!$AX$5:$BA$5,0))+INDEX('Tables - Part 2'!$BF$6:$BI$13,MATCH(SCC_Alkaline_Carbonate!$S17,'Tables - Part 2'!$AV$6:$AV$13,0),MATCH(SCC_Alkaline_Carbonate!$Q17,'Tables - Part 2'!$AX$5:$BA$5,0)))/2,0)</f>
        <v>3</v>
      </c>
      <c r="AL17" s="248">
        <f>IF($P17=$AL$3,(((INDEX('Tables - Part 2'!$BB$6:$BE$13,MATCH(SCC_Alkaline_Carbonate!$S17,'Tables - Part 2'!$AV$6:$AV$13,0),MATCH(SCC_Alkaline_Carbonate!$Q17,'Tables - Part 2'!$AX$5:$BA$5,0))+INDEX('Tables - Part 2'!$BF$6:$BI$13,MATCH(SCC_Alkaline_Carbonate!$S17,'Tables - Part 2'!$AV$6:$AV$13,0),MATCH(SCC_Alkaline_Carbonate!$Q17,'Tables - Part 2'!$AX$5:$BA$5,0)))/2)+((((INDEX('Tables - Part 2'!$BB$6:$BE$13,MATCH(SCC_Alkaline_Carbonate!$S17,'Tables - Part 2'!$AV$6:$AV$13,0),MATCH(SCC_Alkaline_Carbonate!$Q17,'Tables - Part 2'!$AX$5:$BA$5,0))+INDEX('Tables - Part 2'!$BF$6:$BI$13,MATCH(SCC_Alkaline_Carbonate!$S17,'Tables - Part 2'!$AV$6:$AV$13,0),MATCH(SCC_Alkaline_Carbonate!$Q17,'Tables - Part 2'!$AX$5:$BA$5,0)))/2)+INDEX('Tables - Part 2'!$BF$6:$BI$13,MATCH(SCC_Alkaline_Carbonate!$S17,'Tables - Part 2'!$AV$6:$AV$13,0),MATCH(SCC_Alkaline_Carbonate!$Q17,'Tables - Part 2'!$AX$5:$BA$5,0)))/2))/2,0)</f>
        <v>0</v>
      </c>
      <c r="AM17" s="248">
        <f>IF($P17=$AM$3,(((INDEX('Tables - Part 2'!$BB$6:$BE$13,MATCH(SCC_Alkaline_Carbonate!$S17,'Tables - Part 2'!$AV$6:$AV$13,0),MATCH(SCC_Alkaline_Carbonate!$Q17,'Tables - Part 2'!$AX$5:$BA$5,0))+INDEX('Tables - Part 2'!$BF$6:$BI$13,MATCH(SCC_Alkaline_Carbonate!$S17,'Tables - Part 2'!$AV$6:$AV$13,0),MATCH(SCC_Alkaline_Carbonate!$Q17,'Tables - Part 2'!$AX$5:$BA$5,0)))/2)+INDEX('Tables - Part 2'!$BF$6:$BI$13,MATCH(SCC_Alkaline_Carbonate!$S17,'Tables - Part 2'!$AV$6:$AV$13,0),MATCH(SCC_Alkaline_Carbonate!$Q17,'Tables - Part 2'!$AX$5:$BA$5,0)))/2,0)</f>
        <v>0</v>
      </c>
      <c r="AN17" s="248">
        <f>IF($P17=$AN$3,(((((INDEX('Tables - Part 2'!$BB$6:$BE$13,MATCH(SCC_Alkaline_Carbonate!$S17,'Tables - Part 2'!$AV$6:$AV$13,0),MATCH(SCC_Alkaline_Carbonate!$Q17,'Tables - Part 2'!$AX$5:$BA$5,0))+INDEX('Tables - Part 2'!$BF$6:$BI$13,MATCH(SCC_Alkaline_Carbonate!$S17,'Tables - Part 2'!$AV$6:$AV$13,0),MATCH(SCC_Alkaline_Carbonate!$Q17,'Tables - Part 2'!$AX$5:$BA$5,0)))/2)+INDEX('Tables - Part 2'!$BF$6:$BI$13,MATCH(SCC_Alkaline_Carbonate!$S17,'Tables - Part 2'!$AV$6:$AV$13,0),MATCH(SCC_Alkaline_Carbonate!$Q17,'Tables - Part 2'!$AX$5:$BA$5,0)))/2)+INDEX('Tables - Part 2'!$BF$6:$BI$13,MATCH(SCC_Alkaline_Carbonate!$S17,'Tables - Part 2'!$AV$6:$AV$13,0),MATCH(SCC_Alkaline_Carbonate!$Q17,'Tables - Part 2'!$AX$5:$BA$5,0)))/2,0)</f>
        <v>0</v>
      </c>
      <c r="AO17" s="248">
        <f>IF($P17=$AO$3,INDEX('Tables - Part 2'!$BF$6:$BI$13,MATCH(SCC_Alkaline_Carbonate!$S17,'Tables - Part 2'!$AV$6:$AV$13,0),MATCH(SCC_Alkaline_Carbonate!$Q17,'Tables - Part 2'!$AX$5:$BA$5,0)),0)</f>
        <v>0</v>
      </c>
      <c r="AP17" s="248">
        <f>IF($P17=$AP$3,(INDEX('Tables - Part 2'!$BF$6:$BI$13,MATCH(SCC_Alkaline_Carbonate!$S17,'Tables - Part 2'!$AV$6:$AV$13,0),MATCH(SCC_Alkaline_Carbonate!$Q17,'Tables - Part 2'!$AX$5:$BA$5,0))+((INDEX('Tables - Part 2'!$BF$6:$BI$13,MATCH(SCC_Alkaline_Carbonate!$S17,'Tables - Part 2'!$AV$6:$AV$13,0),MATCH(SCC_Alkaline_Carbonate!$Q17,'Tables - Part 2'!$AX$5:$BA$5,0))+(INDEX('Tables - Part 2'!$BF$6:$BI$13,MATCH(SCC_Alkaline_Carbonate!$S17,'Tables - Part 2'!$AV$6:$AV$13,0),MATCH(SCC_Alkaline_Carbonate!$Q17,'Tables - Part 2'!$AX$5:$BA$5,0))+INDEX('Tables - Part 2'!$AX$17:$BA$24,MATCH(SCC_Alkaline_Carbonate!$S17,'Tables - Part 2'!$AV$6:$AV$13,0),MATCH(SCC_Alkaline_Carbonate!$Q17,'Tables - Part 2'!$AX$5:$BA$5,0)))/2)/2))/2,0)</f>
        <v>0</v>
      </c>
      <c r="AQ17" s="248">
        <f>IF($P17=$AQ$3,(INDEX('Tables - Part 2'!$BF$6:$BI$13,MATCH(SCC_Alkaline_Carbonate!$S17,'Tables - Part 2'!$AV$6:$AV$13,0),MATCH(SCC_Alkaline_Carbonate!$Q17,'Tables - Part 2'!$AX$5:$BA$5,0))+(INDEX('Tables - Part 2'!$BF$6:$BI$13,MATCH(SCC_Alkaline_Carbonate!$S17,'Tables - Part 2'!$AV$6:$AV$13,0),MATCH(SCC_Alkaline_Carbonate!$Q17,'Tables - Part 2'!$AX$5:$BA$5,0))+INDEX('Tables - Part 2'!$AX$17:$BA$24,MATCH(SCC_Alkaline_Carbonate!$S17,'Tables - Part 2'!$AV$6:$AV$13,0),MATCH(SCC_Alkaline_Carbonate!$Q17,'Tables - Part 2'!$AX$5:$BA$5,0)))/2)/2,0)</f>
        <v>0</v>
      </c>
      <c r="AR17" s="248">
        <f>IF($P17=$AR$3,(((INDEX('Tables - Part 2'!$BF$6:$BI$13,MATCH(SCC_Alkaline_Carbonate!$S17,'Tables - Part 2'!$AV$6:$AV$13,0),MATCH(SCC_Alkaline_Carbonate!$Q17,'Tables - Part 2'!$AX$5:$BA$5,0))+(INDEX('Tables - Part 2'!$BF$6:$BI$13,MATCH(SCC_Alkaline_Carbonate!$S17,'Tables - Part 2'!$AV$6:$AV$13,0),MATCH(SCC_Alkaline_Carbonate!$Q17,'Tables - Part 2'!$AX$5:$BA$5,0))+INDEX('Tables - Part 2'!$AX$17:$BA$24,MATCH(SCC_Alkaline_Carbonate!$S17,'Tables - Part 2'!$AV$6:$AV$13,0),MATCH(SCC_Alkaline_Carbonate!$Q17,'Tables - Part 2'!$AX$5:$BA$5,0)))/2)/2)+((INDEX('Tables - Part 2'!$BF$6:$BI$13,MATCH(SCC_Alkaline_Carbonate!$S17,'Tables - Part 2'!$AV$6:$AV$13,0),MATCH(SCC_Alkaline_Carbonate!$Q17,'Tables - Part 2'!$AX$5:$BA$5,0))+INDEX('Tables - Part 2'!$AX$17:$BA$24,MATCH(SCC_Alkaline_Carbonate!$S17,'Tables - Part 2'!$AV$6:$AV$13,0),MATCH(SCC_Alkaline_Carbonate!$Q17,'Tables - Part 2'!$AX$5:$BA$5,0)))/2))/2,0)</f>
        <v>0</v>
      </c>
      <c r="AS17" s="248">
        <f>IF($P17=$AS$3,(INDEX('Tables - Part 2'!$BF$6:$BI$13,MATCH(SCC_Alkaline_Carbonate!$S17,'Tables - Part 2'!$AV$6:$AV$13,0),MATCH(SCC_Alkaline_Carbonate!$Q17,'Tables - Part 2'!$AX$5:$BA$5,0))+INDEX('Tables - Part 2'!$AX$17:$BA$24,MATCH(SCC_Alkaline_Carbonate!$S17,'Tables - Part 2'!$AV$6:$AV$13,0),MATCH(SCC_Alkaline_Carbonate!$Q17,'Tables - Part 2'!$AX$5:$BA$5,0)))/2,0)</f>
        <v>0</v>
      </c>
      <c r="AT17" s="248">
        <f>IF($P17=$AT$3,(((INDEX('Tables - Part 2'!$BF$6:$BI$13,MATCH(SCC_Alkaline_Carbonate!$S17,'Tables - Part 2'!$AV$6:$AV$13,0),MATCH(SCC_Alkaline_Carbonate!$Q17,'Tables - Part 2'!$AX$5:$BA$5,0))+INDEX('Tables - Part 2'!$AX$17:$BA$24,MATCH(SCC_Alkaline_Carbonate!$S17,'Tables - Part 2'!$AV$6:$AV$13,0),MATCH(SCC_Alkaline_Carbonate!$Q17,'Tables - Part 2'!$AX$5:$BA$5,0)))/2)+((((INDEX('Tables - Part 2'!$BF$6:$BI$13,MATCH(SCC_Alkaline_Carbonate!$S17,'Tables - Part 2'!$AV$6:$AV$13,0),MATCH(SCC_Alkaline_Carbonate!$Q17,'Tables - Part 2'!$AX$5:$BA$5,0))+INDEX('Tables - Part 2'!$AX$17:$BA$24,MATCH(SCC_Alkaline_Carbonate!$S17,'Tables - Part 2'!$AV$6:$AV$13,0),MATCH(SCC_Alkaline_Carbonate!$Q17,'Tables - Part 2'!$AX$5:$BA$5,0)))/2)+INDEX('Tables - Part 2'!$AX$17:$BA$24,MATCH(SCC_Alkaline_Carbonate!$S17,'Tables - Part 2'!$AV$6:$AV$13,0),MATCH(SCC_Alkaline_Carbonate!$Q17,'Tables - Part 2'!$AX$5:$BA$5,0)))/2))/2,0)</f>
        <v>0</v>
      </c>
      <c r="AU17" s="248">
        <f>IF($P17=$AU$3,(((INDEX('Tables - Part 2'!$BF$6:$BI$13,MATCH(SCC_Alkaline_Carbonate!$S17,'Tables - Part 2'!$AV$6:$AV$13,0),MATCH(SCC_Alkaline_Carbonate!$Q17,'Tables - Part 2'!$AX$5:$BA$5,0))+INDEX('Tables - Part 2'!$AX$17:$BA$24,MATCH(SCC_Alkaline_Carbonate!$S17,'Tables - Part 2'!$AV$6:$AV$13,0),MATCH(SCC_Alkaline_Carbonate!$Q17,'Tables - Part 2'!$AX$5:$BA$5,0)))/2)+INDEX('Tables - Part 2'!$AX$17:$BA$24,MATCH(SCC_Alkaline_Carbonate!$S17,'Tables - Part 2'!$AV$6:$AV$13,0),MATCH(SCC_Alkaline_Carbonate!$Q17,'Tables - Part 2'!$AX$5:$BA$5,0)))/2,0)</f>
        <v>0</v>
      </c>
      <c r="AV17" s="248">
        <f>IF($P17=$AV$3,(((((INDEX('Tables - Part 2'!$BF$6:$BI$13,MATCH(SCC_Alkaline_Carbonate!$S17,'Tables - Part 2'!$AV$6:$AV$13,0),MATCH(SCC_Alkaline_Carbonate!$Q17,'Tables - Part 2'!$AX$5:$BA$5,0))+INDEX('Tables - Part 2'!$AX$17:$BA$24,MATCH(SCC_Alkaline_Carbonate!$S17,'Tables - Part 2'!$AV$6:$AV$13,0),MATCH(SCC_Alkaline_Carbonate!$Q17,'Tables - Part 2'!$AX$5:$BA$5,0)))/2)+INDEX('Tables - Part 2'!$AX$17:$BA$24,MATCH(SCC_Alkaline_Carbonate!$S17,'Tables - Part 2'!$AV$6:$AV$13,0),MATCH(SCC_Alkaline_Carbonate!$Q17,'Tables - Part 2'!$AX$5:$BA$5,0)))/2)+(INDEX('Tables - Part 2'!$AX$17:$BA$24,MATCH(SCC_Alkaline_Carbonate!$S17,'Tables - Part 2'!$AV$6:$AV$13,0),MATCH(SCC_Alkaline_Carbonate!$Q17,'Tables - Part 2'!$AX$5:$BA$5,0))))/2,0)</f>
        <v>0</v>
      </c>
      <c r="AW17" s="248">
        <f>IF($P17=$AW$3,INDEX('Tables - Part 2'!$AX$17:$BA$24,MATCH(SCC_Alkaline_Carbonate!$S17,'Tables - Part 2'!$AV$6:$AV$13,0),MATCH(SCC_Alkaline_Carbonate!$Q17,'Tables - Part 2'!$AX$5:$BA$5,0)),0)</f>
        <v>0</v>
      </c>
      <c r="AX17" s="248">
        <f>IF($P17=$AX$3,((INDEX('Tables - Part 2'!$AX$17:$BA$24,MATCH(SCC_Alkaline_Carbonate!$S17,'Tables - Part 2'!$AV$6:$AV$13,0),MATCH(SCC_Alkaline_Carbonate!$Q17,'Tables - Part 2'!$AX$5:$BA$5,0)))+(((INDEX('Tables - Part 2'!$AX$17:$BA$24,MATCH(SCC_Alkaline_Carbonate!$S17,'Tables - Part 2'!$AV$6:$AV$13,0),MATCH(SCC_Alkaline_Carbonate!$Q17,'Tables - Part 2'!$AX$5:$BA$5,0)))+(INDEX('Tables - Part 2'!$AX$17:$BA$24,MATCH(SCC_Alkaline_Carbonate!$S17,'Tables - Part 2'!$AV$6:$AV$13,0),MATCH(SCC_Alkaline_Carbonate!$Q17,'Tables - Part 2'!$AX$5:$BA$5,0))+INDEX('Tables - Part 2'!$BB$17:$BE$24,MATCH(SCC_Alkaline_Carbonate!$S17,'Tables - Part 2'!$AV$6:$AV$13,0),MATCH(SCC_Alkaline_Carbonate!$Q17,'Tables - Part 2'!$AX$5:$BA$5,0)))/2)/2))/2,0)</f>
        <v>0</v>
      </c>
      <c r="AY17" s="248">
        <f>IF($P17=$AY$3,((INDEX('Tables - Part 2'!$AX$17:$BA$24,MATCH(SCC_Alkaline_Carbonate!$S17,'Tables - Part 2'!$AV$6:$AV$13,0),MATCH(SCC_Alkaline_Carbonate!$Q17,'Tables - Part 2'!$AX$5:$BA$5,0)))+(INDEX('Tables - Part 2'!$AX$17:$BA$24,MATCH(SCC_Alkaline_Carbonate!$S17,'Tables - Part 2'!$AV$6:$AV$13,0),MATCH(SCC_Alkaline_Carbonate!$Q17,'Tables - Part 2'!$AX$5:$BA$5,0))+INDEX('Tables - Part 2'!$BB$17:$BE$24,MATCH(SCC_Alkaline_Carbonate!$S17,'Tables - Part 2'!$AV$6:$AV$13,0),MATCH(SCC_Alkaline_Carbonate!$Q17,'Tables - Part 2'!$AX$5:$BA$5,0)))/2)/2,0)</f>
        <v>0</v>
      </c>
      <c r="AZ17" s="248">
        <f>IF($P17=$AZ$3,((((INDEX('Tables - Part 2'!$AX$17:$BA$24,MATCH(SCC_Alkaline_Carbonate!$S17,'Tables - Part 2'!$AV$6:$AV$13,0),MATCH(SCC_Alkaline_Carbonate!$Q17,'Tables - Part 2'!$AX$5:$BA$5,0)))+(INDEX('Tables - Part 2'!$AX$17:$BA$24,MATCH(SCC_Alkaline_Carbonate!$S17,'Tables - Part 2'!$AV$6:$AV$13,0),MATCH(SCC_Alkaline_Carbonate!$Q17,'Tables - Part 2'!$AX$5:$BA$5,0))+INDEX('Tables - Part 2'!$BB$17:$BE$24,MATCH(SCC_Alkaline_Carbonate!$S17,'Tables - Part 2'!$AV$6:$AV$13,0),MATCH(SCC_Alkaline_Carbonate!$Q17,'Tables - Part 2'!$AX$5:$BA$5,0)))/2)/2)+((INDEX('Tables - Part 2'!$AX$17:$BA$24,MATCH(SCC_Alkaline_Carbonate!$S17,'Tables - Part 2'!$AV$6:$AV$13,0),MATCH(SCC_Alkaline_Carbonate!$Q17,'Tables - Part 2'!$AX$5:$BA$5,0))+INDEX('Tables - Part 2'!$BB$17:$BE$24,MATCH(SCC_Alkaline_Carbonate!$S17,'Tables - Part 2'!$AV$6:$AV$13,0),MATCH(SCC_Alkaline_Carbonate!$Q17,'Tables - Part 2'!$AX$5:$BA$5,0)))/2))/2,0)</f>
        <v>0</v>
      </c>
      <c r="BA17" s="248">
        <f>IF($P17=$BA$3,(INDEX('Tables - Part 2'!$AX$17:$BA$24,MATCH(SCC_Alkaline_Carbonate!$S17,'Tables - Part 2'!$AV$6:$AV$13,0),MATCH(SCC_Alkaline_Carbonate!$Q17,'Tables - Part 2'!$AX$5:$BA$5,0))+INDEX('Tables - Part 2'!$BB$17:$BE$24,MATCH(SCC_Alkaline_Carbonate!$S17,'Tables - Part 2'!$AV$6:$AV$13,0),MATCH(SCC_Alkaline_Carbonate!$Q17,'Tables - Part 2'!$AX$5:$BA$5,0)))/2,0)</f>
        <v>0</v>
      </c>
      <c r="BB17" s="248">
        <f>IF($P17=$BB$3,(((INDEX('Tables - Part 2'!$AX$17:$BA$24,MATCH(SCC_Alkaline_Carbonate!$S17,'Tables - Part 2'!$AV$6:$AV$13,0),MATCH(SCC_Alkaline_Carbonate!$Q17,'Tables - Part 2'!$AX$5:$BA$5,0))+INDEX('Tables - Part 2'!$BB$17:$BE$24,MATCH(SCC_Alkaline_Carbonate!$S17,'Tables - Part 2'!$AV$6:$AV$13,0),MATCH(SCC_Alkaline_Carbonate!$Q17,'Tables - Part 2'!$AX$5:$BA$5,0)))/2)+((((INDEX('Tables - Part 2'!$AX$17:$BA$24,MATCH(SCC_Alkaline_Carbonate!$S17,'Tables - Part 2'!$AV$6:$AV$13,0),MATCH(SCC_Alkaline_Carbonate!$Q17,'Tables - Part 2'!$AX$5:$BA$5,0))+INDEX('Tables - Part 2'!$BB$17:$BE$24,MATCH(SCC_Alkaline_Carbonate!$S17,'Tables - Part 2'!$AV$6:$AV$13,0),MATCH(SCC_Alkaline_Carbonate!$Q17,'Tables - Part 2'!$AX$5:$BA$5,0)))/2)+INDEX('Tables - Part 2'!$BB$17:$BE$24,MATCH(SCC_Alkaline_Carbonate!$S17,'Tables - Part 2'!$AV$6:$AV$13,0),MATCH(SCC_Alkaline_Carbonate!$Q17,'Tables - Part 2'!$AX$5:$BA$5,0)))/2))/2,0)</f>
        <v>0</v>
      </c>
      <c r="BC17" s="248">
        <f>IF($P17=$BC$3,(((INDEX('Tables - Part 2'!$AX$17:$BA$24,MATCH(SCC_Alkaline_Carbonate!$S17,'Tables - Part 2'!$AV$6:$AV$13,0),MATCH(SCC_Alkaline_Carbonate!$Q17,'Tables - Part 2'!$AX$5:$BA$5,0))+INDEX('Tables - Part 2'!$BB$17:$BE$24,MATCH(SCC_Alkaline_Carbonate!$S17,'Tables - Part 2'!$AV$6:$AV$13,0),MATCH(SCC_Alkaline_Carbonate!$Q17,'Tables - Part 2'!$AX$5:$BA$5,0)))/2)+INDEX('Tables - Part 2'!$BB$17:$BE$24,MATCH(SCC_Alkaline_Carbonate!$S17,'Tables - Part 2'!$AV$6:$AV$13,0),MATCH(SCC_Alkaline_Carbonate!$Q17,'Tables - Part 2'!$AX$5:$BA$5,0)))/2,0)</f>
        <v>0</v>
      </c>
      <c r="BD17" s="248">
        <f>IF($P17=$BD$3,(((((INDEX('Tables - Part 2'!$AX$17:$BA$24,MATCH(SCC_Alkaline_Carbonate!$S17,'Tables - Part 2'!$AV$6:$AV$13,0),MATCH(SCC_Alkaline_Carbonate!$Q17,'Tables - Part 2'!$AX$5:$BA$5,0))+INDEX('Tables - Part 2'!$BB$17:$BE$24,MATCH(SCC_Alkaline_Carbonate!$S17,'Tables - Part 2'!$AV$6:$AV$13,0),MATCH(SCC_Alkaline_Carbonate!$Q17,'Tables - Part 2'!$AX$5:$BA$5,0)))/2)+INDEX('Tables - Part 2'!$BB$17:$BE$24,MATCH(SCC_Alkaline_Carbonate!$S17,'Tables - Part 2'!$AV$6:$AV$13,0),MATCH(SCC_Alkaline_Carbonate!$Q17,'Tables - Part 2'!$AX$5:$BA$5,0)))/2)+(INDEX('Tables - Part 2'!$BB$17:$BE$24,MATCH(SCC_Alkaline_Carbonate!$S17,'Tables - Part 2'!$AV$6:$AV$13,0),MATCH(SCC_Alkaline_Carbonate!$Q17,'Tables - Part 2'!$AX$5:$BA$5,0))))/2,0)</f>
        <v>0</v>
      </c>
      <c r="BE17" s="248">
        <f>IF($P17=$BE$3,INDEX('Tables - Part 2'!$BB$17:$BE$24,MATCH(SCC_Alkaline_Carbonate!$S17,'Tables - Part 2'!$AV$6:$AV$13,0),MATCH(SCC_Alkaline_Carbonate!$Q17,'Tables - Part 2'!$AX$5:$BA$5,0)),0)</f>
        <v>0</v>
      </c>
      <c r="BF17" s="248">
        <f>IF($P17=$BF$3,((INDEX('Tables - Part 2'!$BB$17:$BE$24,MATCH(SCC_Alkaline_Carbonate!$S17,'Tables - Part 2'!$AV$6:$AV$13,0),MATCH(SCC_Alkaline_Carbonate!$Q17,'Tables - Part 2'!$AX$5:$BA$5,0)))+(((INDEX('Tables - Part 2'!$BB$17:$BE$24,MATCH(SCC_Alkaline_Carbonate!$S17,'Tables - Part 2'!$AV$6:$AV$13,0),MATCH(SCC_Alkaline_Carbonate!$Q17,'Tables - Part 2'!$AX$5:$BA$5,0)))+(INDEX('Tables - Part 2'!$BB$17:$BE$24,MATCH(SCC_Alkaline_Carbonate!$S17,'Tables - Part 2'!$AV$6:$AV$13,0),MATCH(SCC_Alkaline_Carbonate!$Q17,'Tables - Part 2'!$AX$5:$BA$5,0))+INDEX('Tables - Part 2'!$BF$17:$BI$24,MATCH(SCC_Alkaline_Carbonate!$S17,'Tables - Part 2'!$AV$6:$AV$13,0),MATCH(SCC_Alkaline_Carbonate!$Q17,'Tables - Part 2'!$AX$5:$BA$5,0)))/2)/2))/2,0)</f>
        <v>0</v>
      </c>
      <c r="BG17" s="248">
        <f>IF($P17=$BG$3,((INDEX('Tables - Part 2'!$BB$17:$BE$24,MATCH(SCC_Alkaline_Carbonate!$S17,'Tables - Part 2'!$AV$6:$AV$13,0),MATCH(SCC_Alkaline_Carbonate!$Q17,'Tables - Part 2'!$AX$5:$BA$5,0)))+(INDEX('Tables - Part 2'!$BB$17:$BE$24,MATCH(SCC_Alkaline_Carbonate!$S17,'Tables - Part 2'!$AV$6:$AV$13,0),MATCH(SCC_Alkaline_Carbonate!$Q17,'Tables - Part 2'!$AX$5:$BA$5,0))+INDEX('Tables - Part 2'!$BF$17:$BI$24,MATCH(SCC_Alkaline_Carbonate!$S17,'Tables - Part 2'!$AV$6:$AV$13,0),MATCH(SCC_Alkaline_Carbonate!$Q17,'Tables - Part 2'!$AX$5:$BA$5,0)))/2)/2,0)</f>
        <v>0</v>
      </c>
      <c r="BH17" s="248">
        <f>IF($P17=$BH$3,((((INDEX('Tables - Part 2'!$BB$17:$BE$24,MATCH(SCC_Alkaline_Carbonate!$S17,'Tables - Part 2'!$AV$6:$AV$13,0),MATCH(SCC_Alkaline_Carbonate!$Q17,'Tables - Part 2'!$AX$5:$BA$5,0)))+(INDEX('Tables - Part 2'!$BB$17:$BE$24,MATCH(SCC_Alkaline_Carbonate!$S17,'Tables - Part 2'!$AV$6:$AV$13,0),MATCH(SCC_Alkaline_Carbonate!$Q17,'Tables - Part 2'!$AX$5:$BA$5,0))+INDEX('Tables - Part 2'!$BF$17:$BI$24,MATCH(SCC_Alkaline_Carbonate!$S17,'Tables - Part 2'!$AV$6:$AV$13,0),MATCH(SCC_Alkaline_Carbonate!$Q17,'Tables - Part 2'!$AX$5:$BA$5,0)))/2)/2)+((INDEX('Tables - Part 2'!$BB$17:$BE$24,MATCH(SCC_Alkaline_Carbonate!$S17,'Tables - Part 2'!$AV$6:$AV$13,0),MATCH(SCC_Alkaline_Carbonate!$Q17,'Tables - Part 2'!$AX$5:$BA$5,0))+INDEX('Tables - Part 2'!$BF$17:$BI$24,MATCH(SCC_Alkaline_Carbonate!$S17,'Tables - Part 2'!$AV$6:$AV$13,0),MATCH(SCC_Alkaline_Carbonate!$Q17,'Tables - Part 2'!$AX$5:$BA$5,0)))/2))/2,0)</f>
        <v>0</v>
      </c>
      <c r="BI17" s="248">
        <f>IF($P17=$BI$3,(INDEX('Tables - Part 2'!$BB$17:$BE$24,MATCH(SCC_Alkaline_Carbonate!$S17,'Tables - Part 2'!$AV$6:$AV$13,0),MATCH(SCC_Alkaline_Carbonate!$Q17,'Tables - Part 2'!$AX$5:$BA$5,0))+INDEX('Tables - Part 2'!$BF$17:$BI$24,MATCH(SCC_Alkaline_Carbonate!$S17,'Tables - Part 2'!$AV$6:$AV$13,0),MATCH(SCC_Alkaline_Carbonate!$Q17,'Tables - Part 2'!$AX$5:$BA$5,0)))/2,0)</f>
        <v>0</v>
      </c>
      <c r="BJ17" s="248">
        <f>IF($P17=$BJ$3,(((INDEX('Tables - Part 2'!$BB$17:$BE$24,MATCH(SCC_Alkaline_Carbonate!$S17,'Tables - Part 2'!$AV$6:$AV$13,0),MATCH(SCC_Alkaline_Carbonate!$Q17,'Tables - Part 2'!$AX$5:$BA$5,0))+INDEX('Tables - Part 2'!$BF$17:$BI$24,MATCH(SCC_Alkaline_Carbonate!$S17,'Tables - Part 2'!$AV$6:$AV$13,0),MATCH(SCC_Alkaline_Carbonate!$Q17,'Tables - Part 2'!$AX$5:$BA$5,0)))/2)+((((INDEX('Tables - Part 2'!$BB$17:$BE$24,MATCH(SCC_Alkaline_Carbonate!$S17,'Tables - Part 2'!$AV$6:$AV$13,0),MATCH(SCC_Alkaline_Carbonate!$Q17,'Tables - Part 2'!$AX$5:$BA$5,0))+INDEX('Tables - Part 2'!$BF$17:$BI$24,MATCH(SCC_Alkaline_Carbonate!$S17,'Tables - Part 2'!$AV$6:$AV$13,0),MATCH(SCC_Alkaline_Carbonate!$Q17,'Tables - Part 2'!$AX$5:$BA$5,0)))/2)+INDEX('Tables - Part 2'!$BF$17:$BI$24,MATCH(SCC_Alkaline_Carbonate!$S17,'Tables - Part 2'!$AV$6:$AV$13,0),MATCH(SCC_Alkaline_Carbonate!$Q17,'Tables - Part 2'!$AX$5:$BA$5,0)))/2))/2,0)</f>
        <v>0</v>
      </c>
      <c r="BK17" s="248">
        <f>IF($P17=$BK$3,(((INDEX('Tables - Part 2'!$BB$17:$BE$24,MATCH(SCC_Alkaline_Carbonate!$S17,'Tables - Part 2'!$AV$6:$AV$13,0),MATCH(SCC_Alkaline_Carbonate!$Q17,'Tables - Part 2'!$AX$5:$BA$5,0))+INDEX('Tables - Part 2'!$BF$17:$BI$24,MATCH(SCC_Alkaline_Carbonate!$S17,'Tables - Part 2'!$AV$6:$AV$13,0),MATCH(SCC_Alkaline_Carbonate!$Q17,'Tables - Part 2'!$AX$5:$BA$5,0)))/2)+INDEX('Tables - Part 2'!$BF$17:$BI$24,MATCH(SCC_Alkaline_Carbonate!$S17,'Tables - Part 2'!$AV$6:$AV$13,0),MATCH(SCC_Alkaline_Carbonate!$Q17,'Tables - Part 2'!$AX$5:$BA$5,0)))/2,0)</f>
        <v>0</v>
      </c>
      <c r="BL17" s="248">
        <f>IF($P17=$BL$3,(((((INDEX('Tables - Part 2'!$BB$17:$BE$24,MATCH(SCC_Alkaline_Carbonate!$S17,'Tables - Part 2'!$AV$6:$AV$13,0),MATCH(SCC_Alkaline_Carbonate!$Q17,'Tables - Part 2'!$AX$5:$BA$5,0))+INDEX('Tables - Part 2'!$BF$17:$BI$24,MATCH(SCC_Alkaline_Carbonate!$S17,'Tables - Part 2'!$AV$6:$AV$13,0),MATCH(SCC_Alkaline_Carbonate!$Q17,'Tables - Part 2'!$AX$5:$BA$5,0)))/2)+INDEX('Tables - Part 2'!$BF$17:$BI$24,MATCH(SCC_Alkaline_Carbonate!$S17,'Tables - Part 2'!$AV$6:$AV$13,0),MATCH(SCC_Alkaline_Carbonate!$Q17,'Tables - Part 2'!$AX$5:$BA$5,0)))/2)+(INDEX('Tables - Part 2'!$BF$17:$BI$24,MATCH(SCC_Alkaline_Carbonate!$S17,'Tables - Part 2'!$AV$6:$AV$13,0),MATCH(SCC_Alkaline_Carbonate!$Q17,'Tables - Part 2'!$AX$5:$BA$5,0))))/2,0)</f>
        <v>0</v>
      </c>
      <c r="BM17" s="248">
        <f>IF($P17=$BM$3,INDEX('Tables - Part 2'!$BF$17:$BI$24,MATCH(SCC_Alkaline_Carbonate!$S17,'Tables - Part 2'!$AV$6:$AV$13,0),MATCH(SCC_Alkaline_Carbonate!$Q17,'Tables - Part 2'!$AX$5:$BA$5,0)),0)</f>
        <v>0</v>
      </c>
      <c r="BN17" s="248">
        <f t="shared" si="6"/>
        <v>0</v>
      </c>
      <c r="BO17" s="238">
        <f t="shared" si="8"/>
        <v>3</v>
      </c>
      <c r="BP17" s="238">
        <f t="shared" si="7"/>
        <v>50.318647405225171</v>
      </c>
    </row>
    <row r="18" spans="2:68" x14ac:dyDescent="0.35">
      <c r="B18" s="161" t="str">
        <f>'Tratamento de Dados'!B26</f>
        <v>V-80</v>
      </c>
      <c r="C18" s="161" t="str">
        <f>'Tratamento de Dados'!D26</f>
        <v>Casco</v>
      </c>
      <c r="D18" s="209" t="s">
        <v>245</v>
      </c>
      <c r="E18" s="209" t="s">
        <v>61</v>
      </c>
      <c r="F18" s="209" t="s">
        <v>1134</v>
      </c>
      <c r="G18" s="209" t="s">
        <v>1132</v>
      </c>
      <c r="H18" s="209" t="s">
        <v>245</v>
      </c>
      <c r="I18" s="210">
        <v>39092</v>
      </c>
      <c r="J18" s="209">
        <v>0</v>
      </c>
      <c r="K18" s="209">
        <v>1</v>
      </c>
      <c r="L18" s="209">
        <v>1</v>
      </c>
      <c r="M18" s="209">
        <v>4</v>
      </c>
      <c r="N18" s="253">
        <f>'Tratamento de Dados'!DA26</f>
        <v>0</v>
      </c>
      <c r="O18" s="253">
        <f>'Tratamento de Dados'!DB26</f>
        <v>0</v>
      </c>
      <c r="P18" s="256">
        <f t="shared" si="0"/>
        <v>2.5</v>
      </c>
      <c r="Q18" s="246" t="str">
        <f t="shared" si="1"/>
        <v>B</v>
      </c>
      <c r="R18" s="238" t="str">
        <f>IF(D18=$BU$2,$BS$4,IF(H18=$BU$2,$BS$5,INDEX('Tables - Part 2'!$DA$6:$DB$9,MATCH(SCC_Alkaline_Carbonate!F18,'Tables - Part 2'!$CY$6:$CY$9,0),MATCH(SCC_Alkaline_Carbonate!G18,'Tables - Part 2'!$DA$5:$DB$5,0))))</f>
        <v>Medium</v>
      </c>
      <c r="S18" s="238">
        <f>IF(AND(D18=$BU$2,E18&lt;&gt;$BU$2),"Fitness-For-Service",INDEX('Tables - Part 2'!$DE$4:$DE$7,MATCH(SCC_Alkaline_Carbonate!R18,'Tables - Part 2'!$DD$4:$DD$7,0),))</f>
        <v>100</v>
      </c>
      <c r="T18" s="238">
        <f>IF(I18=0,(Thinning!G19-Thinning!F19)/365.25,(Thinning!G19-I18)/365.25)</f>
        <v>12.980150581793293</v>
      </c>
      <c r="U18" s="248">
        <f t="shared" si="2"/>
        <v>0</v>
      </c>
      <c r="V18" s="248">
        <f t="shared" si="3"/>
        <v>2.5</v>
      </c>
      <c r="W18" s="248">
        <f t="shared" si="4"/>
        <v>3</v>
      </c>
      <c r="X18" s="247">
        <f t="shared" si="5"/>
        <v>4</v>
      </c>
      <c r="Y18" s="248">
        <f>IF($P18=$Y$3,INDEX('Tables - Part 2'!$AX$6:$BA$13,MATCH(SCC_Alkaline_Carbonate!S18,'Tables - Part 2'!$AV$6:$AV$13,0),MATCH(SCC_Alkaline_Carbonate!Q18,'Tables - Part 2'!$AX$5:$BA$5,0)),0)</f>
        <v>0</v>
      </c>
      <c r="Z18" s="248">
        <f>IF($P18=$Z$3,(INDEX('Tables - Part 2'!$AX$6:$BA$13,MATCH(SCC_Alkaline_Carbonate!S18,'Tables - Part 2'!$AV$6:$AV$13,0),MATCH(SCC_Alkaline_Carbonate!Q18,'Tables - Part 2'!$AX$5:$BA$5,0))+(INDEX('Tables - Part 2'!$AX$6:$BA$13,MATCH(SCC_Alkaline_Carbonate!S18,'Tables - Part 2'!$AV$6:$AV$13,0),MATCH(SCC_Alkaline_Carbonate!Q18,'Tables - Part 2'!$AX$5:$BA$5,0))+((INDEX('Tables - Part 2'!$AX$6:$BA$13,MATCH(SCC_Alkaline_Carbonate!S18,'Tables - Part 2'!$AV$6:$AV$13,0),MATCH(SCC_Alkaline_Carbonate!Q18,'Tables - Part 2'!$AX$5:$BA$5,0))+INDEX('Tables - Part 2'!$BB$6:$BE$13,MATCH(SCC_Alkaline_Carbonate!$S18,'Tables - Part 2'!$AV$6:$AV$13,0),MATCH(SCC_Alkaline_Carbonate!$Q18,'Tables - Part 2'!$AX$5:$BA$5,0)))/2))/2)/2,0)</f>
        <v>0</v>
      </c>
      <c r="AA18" s="248">
        <f>IF($P18=$AA$3,(INDEX('Tables - Part 2'!$AX$6:$BA$13,MATCH(SCC_Alkaline_Carbonate!S18,'Tables - Part 2'!$AV$6:$AV$13,0),MATCH(SCC_Alkaline_Carbonate!Q18,'Tables - Part 2'!$AX$5:$BA$5,0))+((INDEX('Tables - Part 2'!$AX$6:$BA$13,MATCH(SCC_Alkaline_Carbonate!S18,'Tables - Part 2'!$AV$6:$AV$13,0),MATCH(SCC_Alkaline_Carbonate!Q18,'Tables - Part 2'!$AX$5:$BA$5,0))+INDEX('Tables - Part 2'!$BB$6:$BE$13,MATCH(SCC_Alkaline_Carbonate!$S18,'Tables - Part 2'!$AV$6:$AV$13,0),MATCH(SCC_Alkaline_Carbonate!$Q18,'Tables - Part 2'!$AX$5:$BA$5,0)))/2))/2,0)</f>
        <v>0</v>
      </c>
      <c r="AB18" s="248">
        <f>IF($P18=$AB$3,(((INDEX('Tables - Part 2'!$AX$6:$BA$13,MATCH(SCC_Alkaline_Carbonate!S18,'Tables - Part 2'!$AV$6:$AV$13,0),MATCH(SCC_Alkaline_Carbonate!Q18,'Tables - Part 2'!$AX$5:$BA$5,0))+((INDEX('Tables - Part 2'!$AX$6:$BA$13,MATCH(SCC_Alkaline_Carbonate!S18,'Tables - Part 2'!$AV$6:$AV$13,0),MATCH(SCC_Alkaline_Carbonate!Q18,'Tables - Part 2'!$AX$5:$BA$5,0))+INDEX('Tables - Part 2'!$BB$6:$BE$13,MATCH(SCC_Alkaline_Carbonate!$S18,'Tables - Part 2'!$AV$6:$AV$13,0),MATCH(SCC_Alkaline_Carbonate!$Q18,'Tables - Part 2'!$AX$5:$BA$5,0)))/2))/2)+(INDEX('Tables - Part 2'!$AX$6:$BA$13,MATCH(SCC_Alkaline_Carbonate!S18,'Tables - Part 2'!$AV$6:$AV$13,0),MATCH(SCC_Alkaline_Carbonate!Q18,'Tables - Part 2'!$AX$5:$BA$5,0))+INDEX('Tables - Part 2'!$BB$6:$BE$13,MATCH(SCC_Alkaline_Carbonate!$S18,'Tables - Part 2'!$AV$6:$AV$13,0),MATCH(SCC_Alkaline_Carbonate!$Q18,'Tables - Part 2'!$AX$5:$BA$5,0)))/2)/2,0)</f>
        <v>0</v>
      </c>
      <c r="AC18" s="248">
        <f>IF($P18=$AC$3,(INDEX('Tables - Part 2'!$AX$6:$BA$13,MATCH(SCC_Alkaline_Carbonate!S18,'Tables - Part 2'!$AV$6:$AV$13,0),MATCH(SCC_Alkaline_Carbonate!Q18,'Tables - Part 2'!$AX$5:$BA$5,0))+INDEX('Tables - Part 2'!$BB$6:$BE$13,MATCH(SCC_Alkaline_Carbonate!$S18,'Tables - Part 2'!$AV$6:$AV$13,0),MATCH(SCC_Alkaline_Carbonate!$Q18,'Tables - Part 2'!$AX$5:$BA$5,0)))/2,0)</f>
        <v>0</v>
      </c>
      <c r="AD18" s="248">
        <f>IF($P18=$AD$3,(((INDEX('Tables - Part 2'!$AX$6:$BA$13,MATCH(SCC_Alkaline_Carbonate!S18,'Tables - Part 2'!$AV$6:$AV$13,0),MATCH(SCC_Alkaline_Carbonate!Q18,'Tables - Part 2'!$AX$5:$BA$5,0))+INDEX('Tables - Part 2'!$BB$6:$BE$13,MATCH(SCC_Alkaline_Carbonate!$S18,'Tables - Part 2'!$AV$6:$AV$13,0),MATCH(SCC_Alkaline_Carbonate!$Q18,'Tables - Part 2'!$AX$5:$BA$5,0)))/2)+(((INDEX('Tables - Part 2'!$AX$6:$BA$13,MATCH(SCC_Alkaline_Carbonate!S18,'Tables - Part 2'!$AV$6:$AV$13,0),MATCH(SCC_Alkaline_Carbonate!Q18,'Tables - Part 2'!$AX$5:$BA$5,0))+INDEX('Tables - Part 2'!$BB$6:$BE$13,MATCH(SCC_Alkaline_Carbonate!$S18,'Tables - Part 2'!$AV$6:$AV$13,0),MATCH(SCC_Alkaline_Carbonate!$Q18,'Tables - Part 2'!$AX$5:$BA$5,0)))/2)+INDEX('Tables - Part 2'!$BB$6:$BE$13,MATCH(SCC_Alkaline_Carbonate!$S18,'Tables - Part 2'!$AV$6:$AV$13,0),MATCH(SCC_Alkaline_Carbonate!$Q18,'Tables - Part 2'!$AX$5:$BA$5,0)))/2)/2,0)</f>
        <v>0</v>
      </c>
      <c r="AE18" s="248">
        <f>IF($P18=$AE$3,(((INDEX('Tables - Part 2'!$AX$6:$BA$13,MATCH(SCC_Alkaline_Carbonate!S18,'Tables - Part 2'!$AV$6:$AV$13,0),MATCH(SCC_Alkaline_Carbonate!Q18,'Tables - Part 2'!$AX$5:$BA$5,0))+INDEX('Tables - Part 2'!$BB$6:$BE$13,MATCH(SCC_Alkaline_Carbonate!$S18,'Tables - Part 2'!$AV$6:$AV$13,0),MATCH(SCC_Alkaline_Carbonate!$Q18,'Tables - Part 2'!$AX$5:$BA$5,0)))/2)+INDEX('Tables - Part 2'!$BB$6:$BE$13,MATCH(SCC_Alkaline_Carbonate!$S18,'Tables - Part 2'!$AV$6:$AV$13,0),MATCH(SCC_Alkaline_Carbonate!$Q18,'Tables - Part 2'!$AX$5:$BA$5,0)))/2,0)</f>
        <v>0</v>
      </c>
      <c r="AF18" s="248">
        <f>IF($P18=$AF$3,(((((INDEX('Tables - Part 2'!$AX$6:$BA$13,MATCH(SCC_Alkaline_Carbonate!S18,'Tables - Part 2'!$AV$6:$AV$13,0),MATCH(SCC_Alkaline_Carbonate!Q18,'Tables - Part 2'!$AX$5:$BA$5,0))+INDEX('Tables - Part 2'!$BB$6:$BE$13,MATCH(SCC_Alkaline_Carbonate!$S18,'Tables - Part 2'!$AV$6:$AV$13,0),MATCH(SCC_Alkaline_Carbonate!$Q18,'Tables - Part 2'!$AX$5:$BA$5,0)))/2)+INDEX('Tables - Part 2'!$BB$6:$BE$13,MATCH(SCC_Alkaline_Carbonate!$S18,'Tables - Part 2'!$AV$6:$AV$13,0),MATCH(SCC_Alkaline_Carbonate!$Q18,'Tables - Part 2'!$AX$5:$BA$5,0)))/2)+INDEX('Tables - Part 2'!$BB$6:$BE$13,MATCH(SCC_Alkaline_Carbonate!$S18,'Tables - Part 2'!$AV$6:$AV$13,0),MATCH(SCC_Alkaline_Carbonate!$Q18,'Tables - Part 2'!$AX$5:$BA$5,0)))/2,0)</f>
        <v>0</v>
      </c>
      <c r="AG18" s="248">
        <f>IF($P18=$AG$3,INDEX('Tables - Part 2'!$BB$6:$BE$13,MATCH(SCC_Alkaline_Carbonate!$S18,'Tables - Part 2'!$AV$6:$AV$13,0),MATCH(SCC_Alkaline_Carbonate!$Q18,'Tables - Part 2'!$AX$5:$BA$5,0)),0)</f>
        <v>0</v>
      </c>
      <c r="AH18" s="248">
        <f>IF($P18=$AH$3,((INDEX('Tables - Part 2'!$BB$6:$BE$13,MATCH(SCC_Alkaline_Carbonate!$S18,'Tables - Part 2'!$AV$6:$AV$13,0),MATCH(SCC_Alkaline_Carbonate!$Q18,'Tables - Part 2'!$AX$5:$BA$5,0)))+(INDEX('Tables - Part 2'!$BB$6:$BE$13,MATCH(SCC_Alkaline_Carbonate!$S18,'Tables - Part 2'!$AV$6:$AV$13,0),MATCH(SCC_Alkaline_Carbonate!$Q18,'Tables - Part 2'!$AX$5:$BA$5,0))+(INDEX('Tables - Part 2'!$BB$6:$BE$13,MATCH(SCC_Alkaline_Carbonate!$S18,'Tables - Part 2'!$AV$6:$AV$13,0),MATCH(SCC_Alkaline_Carbonate!$Q18,'Tables - Part 2'!$AX$5:$BA$5,0))+INDEX('Tables - Part 2'!$BF$6:$BI$13,MATCH(SCC_Alkaline_Carbonate!$S18,'Tables - Part 2'!$AV$6:$AV$13,0),MATCH(SCC_Alkaline_Carbonate!$Q18,'Tables - Part 2'!$AX$5:$BA$5,0)))/2)/2)/2,0)</f>
        <v>0</v>
      </c>
      <c r="AI18" s="248">
        <f>IF($P18=$AI$3,(INDEX('Tables - Part 2'!$BB$6:$BE$13,MATCH(SCC_Alkaline_Carbonate!$S18,'Tables - Part 2'!$AV$6:$AV$13,0),MATCH(SCC_Alkaline_Carbonate!$Q18,'Tables - Part 2'!$AX$5:$BA$5,0))+(INDEX('Tables - Part 2'!$BB$6:$BE$13,MATCH(SCC_Alkaline_Carbonate!$S18,'Tables - Part 2'!$AV$6:$AV$13,0),MATCH(SCC_Alkaline_Carbonate!$Q18,'Tables - Part 2'!$AX$5:$BA$5,0))+INDEX('Tables - Part 2'!$BF$6:$BI$13,MATCH(SCC_Alkaline_Carbonate!$S18,'Tables - Part 2'!$AV$6:$AV$13,0),MATCH(SCC_Alkaline_Carbonate!$Q18,'Tables - Part 2'!$AX$5:$BA$5,0)))/2)/2,0)</f>
        <v>0</v>
      </c>
      <c r="AJ18" s="248">
        <f>IF($P18=$AJ$3,(((INDEX('Tables - Part 2'!$BB$6:$BE$13,MATCH(SCC_Alkaline_Carbonate!$S18,'Tables - Part 2'!$AV$6:$AV$13,0),MATCH(SCC_Alkaline_Carbonate!$Q18,'Tables - Part 2'!$AX$5:$BA$5,0))+(INDEX('Tables - Part 2'!$BB$6:$BE$13,MATCH(SCC_Alkaline_Carbonate!$S18,'Tables - Part 2'!$AV$6:$AV$13,0),MATCH(SCC_Alkaline_Carbonate!$Q18,'Tables - Part 2'!$AX$5:$BA$5,0))+INDEX('Tables - Part 2'!$BF$6:$BI$13,MATCH(SCC_Alkaline_Carbonate!$S18,'Tables - Part 2'!$AV$6:$AV$13,0),MATCH(SCC_Alkaline_Carbonate!$Q18,'Tables - Part 2'!$AX$5:$BA$5,0)))/2)/2)+((INDEX('Tables - Part 2'!$BB$6:$BE$13,MATCH(SCC_Alkaline_Carbonate!$S18,'Tables - Part 2'!$AV$6:$AV$13,0),MATCH(SCC_Alkaline_Carbonate!$Q18,'Tables - Part 2'!$AX$5:$BA$5,0))+INDEX('Tables - Part 2'!$BF$6:$BI$13,MATCH(SCC_Alkaline_Carbonate!$S18,'Tables - Part 2'!$AV$6:$AV$13,0),MATCH(SCC_Alkaline_Carbonate!$Q18,'Tables - Part 2'!$AX$5:$BA$5,0)))/2))/2,0)</f>
        <v>0</v>
      </c>
      <c r="AK18" s="248">
        <f>IF($P18=$AK$3,(INDEX('Tables - Part 2'!$BB$6:$BE$13,MATCH(SCC_Alkaline_Carbonate!$S18,'Tables - Part 2'!$AV$6:$AV$13,0),MATCH(SCC_Alkaline_Carbonate!$Q18,'Tables - Part 2'!$AX$5:$BA$5,0))+INDEX('Tables - Part 2'!$BF$6:$BI$13,MATCH(SCC_Alkaline_Carbonate!$S18,'Tables - Part 2'!$AV$6:$AV$13,0),MATCH(SCC_Alkaline_Carbonate!$Q18,'Tables - Part 2'!$AX$5:$BA$5,0)))/2,0)</f>
        <v>3</v>
      </c>
      <c r="AL18" s="248">
        <f>IF($P18=$AL$3,(((INDEX('Tables - Part 2'!$BB$6:$BE$13,MATCH(SCC_Alkaline_Carbonate!$S18,'Tables - Part 2'!$AV$6:$AV$13,0),MATCH(SCC_Alkaline_Carbonate!$Q18,'Tables - Part 2'!$AX$5:$BA$5,0))+INDEX('Tables - Part 2'!$BF$6:$BI$13,MATCH(SCC_Alkaline_Carbonate!$S18,'Tables - Part 2'!$AV$6:$AV$13,0),MATCH(SCC_Alkaline_Carbonate!$Q18,'Tables - Part 2'!$AX$5:$BA$5,0)))/2)+((((INDEX('Tables - Part 2'!$BB$6:$BE$13,MATCH(SCC_Alkaline_Carbonate!$S18,'Tables - Part 2'!$AV$6:$AV$13,0),MATCH(SCC_Alkaline_Carbonate!$Q18,'Tables - Part 2'!$AX$5:$BA$5,0))+INDEX('Tables - Part 2'!$BF$6:$BI$13,MATCH(SCC_Alkaline_Carbonate!$S18,'Tables - Part 2'!$AV$6:$AV$13,0),MATCH(SCC_Alkaline_Carbonate!$Q18,'Tables - Part 2'!$AX$5:$BA$5,0)))/2)+INDEX('Tables - Part 2'!$BF$6:$BI$13,MATCH(SCC_Alkaline_Carbonate!$S18,'Tables - Part 2'!$AV$6:$AV$13,0),MATCH(SCC_Alkaline_Carbonate!$Q18,'Tables - Part 2'!$AX$5:$BA$5,0)))/2))/2,0)</f>
        <v>0</v>
      </c>
      <c r="AM18" s="248">
        <f>IF($P18=$AM$3,(((INDEX('Tables - Part 2'!$BB$6:$BE$13,MATCH(SCC_Alkaline_Carbonate!$S18,'Tables - Part 2'!$AV$6:$AV$13,0),MATCH(SCC_Alkaline_Carbonate!$Q18,'Tables - Part 2'!$AX$5:$BA$5,0))+INDEX('Tables - Part 2'!$BF$6:$BI$13,MATCH(SCC_Alkaline_Carbonate!$S18,'Tables - Part 2'!$AV$6:$AV$13,0),MATCH(SCC_Alkaline_Carbonate!$Q18,'Tables - Part 2'!$AX$5:$BA$5,0)))/2)+INDEX('Tables - Part 2'!$BF$6:$BI$13,MATCH(SCC_Alkaline_Carbonate!$S18,'Tables - Part 2'!$AV$6:$AV$13,0),MATCH(SCC_Alkaline_Carbonate!$Q18,'Tables - Part 2'!$AX$5:$BA$5,0)))/2,0)</f>
        <v>0</v>
      </c>
      <c r="AN18" s="248">
        <f>IF($P18=$AN$3,(((((INDEX('Tables - Part 2'!$BB$6:$BE$13,MATCH(SCC_Alkaline_Carbonate!$S18,'Tables - Part 2'!$AV$6:$AV$13,0),MATCH(SCC_Alkaline_Carbonate!$Q18,'Tables - Part 2'!$AX$5:$BA$5,0))+INDEX('Tables - Part 2'!$BF$6:$BI$13,MATCH(SCC_Alkaline_Carbonate!$S18,'Tables - Part 2'!$AV$6:$AV$13,0),MATCH(SCC_Alkaline_Carbonate!$Q18,'Tables - Part 2'!$AX$5:$BA$5,0)))/2)+INDEX('Tables - Part 2'!$BF$6:$BI$13,MATCH(SCC_Alkaline_Carbonate!$S18,'Tables - Part 2'!$AV$6:$AV$13,0),MATCH(SCC_Alkaline_Carbonate!$Q18,'Tables - Part 2'!$AX$5:$BA$5,0)))/2)+INDEX('Tables - Part 2'!$BF$6:$BI$13,MATCH(SCC_Alkaline_Carbonate!$S18,'Tables - Part 2'!$AV$6:$AV$13,0),MATCH(SCC_Alkaline_Carbonate!$Q18,'Tables - Part 2'!$AX$5:$BA$5,0)))/2,0)</f>
        <v>0</v>
      </c>
      <c r="AO18" s="248">
        <f>IF($P18=$AO$3,INDEX('Tables - Part 2'!$BF$6:$BI$13,MATCH(SCC_Alkaline_Carbonate!$S18,'Tables - Part 2'!$AV$6:$AV$13,0),MATCH(SCC_Alkaline_Carbonate!$Q18,'Tables - Part 2'!$AX$5:$BA$5,0)),0)</f>
        <v>0</v>
      </c>
      <c r="AP18" s="248">
        <f>IF($P18=$AP$3,(INDEX('Tables - Part 2'!$BF$6:$BI$13,MATCH(SCC_Alkaline_Carbonate!$S18,'Tables - Part 2'!$AV$6:$AV$13,0),MATCH(SCC_Alkaline_Carbonate!$Q18,'Tables - Part 2'!$AX$5:$BA$5,0))+((INDEX('Tables - Part 2'!$BF$6:$BI$13,MATCH(SCC_Alkaline_Carbonate!$S18,'Tables - Part 2'!$AV$6:$AV$13,0),MATCH(SCC_Alkaline_Carbonate!$Q18,'Tables - Part 2'!$AX$5:$BA$5,0))+(INDEX('Tables - Part 2'!$BF$6:$BI$13,MATCH(SCC_Alkaline_Carbonate!$S18,'Tables - Part 2'!$AV$6:$AV$13,0),MATCH(SCC_Alkaline_Carbonate!$Q18,'Tables - Part 2'!$AX$5:$BA$5,0))+INDEX('Tables - Part 2'!$AX$17:$BA$24,MATCH(SCC_Alkaline_Carbonate!$S18,'Tables - Part 2'!$AV$6:$AV$13,0),MATCH(SCC_Alkaline_Carbonate!$Q18,'Tables - Part 2'!$AX$5:$BA$5,0)))/2)/2))/2,0)</f>
        <v>0</v>
      </c>
      <c r="AQ18" s="248">
        <f>IF($P18=$AQ$3,(INDEX('Tables - Part 2'!$BF$6:$BI$13,MATCH(SCC_Alkaline_Carbonate!$S18,'Tables - Part 2'!$AV$6:$AV$13,0),MATCH(SCC_Alkaline_Carbonate!$Q18,'Tables - Part 2'!$AX$5:$BA$5,0))+(INDEX('Tables - Part 2'!$BF$6:$BI$13,MATCH(SCC_Alkaline_Carbonate!$S18,'Tables - Part 2'!$AV$6:$AV$13,0),MATCH(SCC_Alkaline_Carbonate!$Q18,'Tables - Part 2'!$AX$5:$BA$5,0))+INDEX('Tables - Part 2'!$AX$17:$BA$24,MATCH(SCC_Alkaline_Carbonate!$S18,'Tables - Part 2'!$AV$6:$AV$13,0),MATCH(SCC_Alkaline_Carbonate!$Q18,'Tables - Part 2'!$AX$5:$BA$5,0)))/2)/2,0)</f>
        <v>0</v>
      </c>
      <c r="AR18" s="248">
        <f>IF($P18=$AR$3,(((INDEX('Tables - Part 2'!$BF$6:$BI$13,MATCH(SCC_Alkaline_Carbonate!$S18,'Tables - Part 2'!$AV$6:$AV$13,0),MATCH(SCC_Alkaline_Carbonate!$Q18,'Tables - Part 2'!$AX$5:$BA$5,0))+(INDEX('Tables - Part 2'!$BF$6:$BI$13,MATCH(SCC_Alkaline_Carbonate!$S18,'Tables - Part 2'!$AV$6:$AV$13,0),MATCH(SCC_Alkaline_Carbonate!$Q18,'Tables - Part 2'!$AX$5:$BA$5,0))+INDEX('Tables - Part 2'!$AX$17:$BA$24,MATCH(SCC_Alkaline_Carbonate!$S18,'Tables - Part 2'!$AV$6:$AV$13,0),MATCH(SCC_Alkaline_Carbonate!$Q18,'Tables - Part 2'!$AX$5:$BA$5,0)))/2)/2)+((INDEX('Tables - Part 2'!$BF$6:$BI$13,MATCH(SCC_Alkaline_Carbonate!$S18,'Tables - Part 2'!$AV$6:$AV$13,0),MATCH(SCC_Alkaline_Carbonate!$Q18,'Tables - Part 2'!$AX$5:$BA$5,0))+INDEX('Tables - Part 2'!$AX$17:$BA$24,MATCH(SCC_Alkaline_Carbonate!$S18,'Tables - Part 2'!$AV$6:$AV$13,0),MATCH(SCC_Alkaline_Carbonate!$Q18,'Tables - Part 2'!$AX$5:$BA$5,0)))/2))/2,0)</f>
        <v>0</v>
      </c>
      <c r="AS18" s="248">
        <f>IF($P18=$AS$3,(INDEX('Tables - Part 2'!$BF$6:$BI$13,MATCH(SCC_Alkaline_Carbonate!$S18,'Tables - Part 2'!$AV$6:$AV$13,0),MATCH(SCC_Alkaline_Carbonate!$Q18,'Tables - Part 2'!$AX$5:$BA$5,0))+INDEX('Tables - Part 2'!$AX$17:$BA$24,MATCH(SCC_Alkaline_Carbonate!$S18,'Tables - Part 2'!$AV$6:$AV$13,0),MATCH(SCC_Alkaline_Carbonate!$Q18,'Tables - Part 2'!$AX$5:$BA$5,0)))/2,0)</f>
        <v>0</v>
      </c>
      <c r="AT18" s="248">
        <f>IF($P18=$AT$3,(((INDEX('Tables - Part 2'!$BF$6:$BI$13,MATCH(SCC_Alkaline_Carbonate!$S18,'Tables - Part 2'!$AV$6:$AV$13,0),MATCH(SCC_Alkaline_Carbonate!$Q18,'Tables - Part 2'!$AX$5:$BA$5,0))+INDEX('Tables - Part 2'!$AX$17:$BA$24,MATCH(SCC_Alkaline_Carbonate!$S18,'Tables - Part 2'!$AV$6:$AV$13,0),MATCH(SCC_Alkaline_Carbonate!$Q18,'Tables - Part 2'!$AX$5:$BA$5,0)))/2)+((((INDEX('Tables - Part 2'!$BF$6:$BI$13,MATCH(SCC_Alkaline_Carbonate!$S18,'Tables - Part 2'!$AV$6:$AV$13,0),MATCH(SCC_Alkaline_Carbonate!$Q18,'Tables - Part 2'!$AX$5:$BA$5,0))+INDEX('Tables - Part 2'!$AX$17:$BA$24,MATCH(SCC_Alkaline_Carbonate!$S18,'Tables - Part 2'!$AV$6:$AV$13,0),MATCH(SCC_Alkaline_Carbonate!$Q18,'Tables - Part 2'!$AX$5:$BA$5,0)))/2)+INDEX('Tables - Part 2'!$AX$17:$BA$24,MATCH(SCC_Alkaline_Carbonate!$S18,'Tables - Part 2'!$AV$6:$AV$13,0),MATCH(SCC_Alkaline_Carbonate!$Q18,'Tables - Part 2'!$AX$5:$BA$5,0)))/2))/2,0)</f>
        <v>0</v>
      </c>
      <c r="AU18" s="248">
        <f>IF($P18=$AU$3,(((INDEX('Tables - Part 2'!$BF$6:$BI$13,MATCH(SCC_Alkaline_Carbonate!$S18,'Tables - Part 2'!$AV$6:$AV$13,0),MATCH(SCC_Alkaline_Carbonate!$Q18,'Tables - Part 2'!$AX$5:$BA$5,0))+INDEX('Tables - Part 2'!$AX$17:$BA$24,MATCH(SCC_Alkaline_Carbonate!$S18,'Tables - Part 2'!$AV$6:$AV$13,0),MATCH(SCC_Alkaline_Carbonate!$Q18,'Tables - Part 2'!$AX$5:$BA$5,0)))/2)+INDEX('Tables - Part 2'!$AX$17:$BA$24,MATCH(SCC_Alkaline_Carbonate!$S18,'Tables - Part 2'!$AV$6:$AV$13,0),MATCH(SCC_Alkaline_Carbonate!$Q18,'Tables - Part 2'!$AX$5:$BA$5,0)))/2,0)</f>
        <v>0</v>
      </c>
      <c r="AV18" s="248">
        <f>IF($P18=$AV$3,(((((INDEX('Tables - Part 2'!$BF$6:$BI$13,MATCH(SCC_Alkaline_Carbonate!$S18,'Tables - Part 2'!$AV$6:$AV$13,0),MATCH(SCC_Alkaline_Carbonate!$Q18,'Tables - Part 2'!$AX$5:$BA$5,0))+INDEX('Tables - Part 2'!$AX$17:$BA$24,MATCH(SCC_Alkaline_Carbonate!$S18,'Tables - Part 2'!$AV$6:$AV$13,0),MATCH(SCC_Alkaline_Carbonate!$Q18,'Tables - Part 2'!$AX$5:$BA$5,0)))/2)+INDEX('Tables - Part 2'!$AX$17:$BA$24,MATCH(SCC_Alkaline_Carbonate!$S18,'Tables - Part 2'!$AV$6:$AV$13,0),MATCH(SCC_Alkaline_Carbonate!$Q18,'Tables - Part 2'!$AX$5:$BA$5,0)))/2)+(INDEX('Tables - Part 2'!$AX$17:$BA$24,MATCH(SCC_Alkaline_Carbonate!$S18,'Tables - Part 2'!$AV$6:$AV$13,0),MATCH(SCC_Alkaline_Carbonate!$Q18,'Tables - Part 2'!$AX$5:$BA$5,0))))/2,0)</f>
        <v>0</v>
      </c>
      <c r="AW18" s="248">
        <f>IF($P18=$AW$3,INDEX('Tables - Part 2'!$AX$17:$BA$24,MATCH(SCC_Alkaline_Carbonate!$S18,'Tables - Part 2'!$AV$6:$AV$13,0),MATCH(SCC_Alkaline_Carbonate!$Q18,'Tables - Part 2'!$AX$5:$BA$5,0)),0)</f>
        <v>0</v>
      </c>
      <c r="AX18" s="248">
        <f>IF($P18=$AX$3,((INDEX('Tables - Part 2'!$AX$17:$BA$24,MATCH(SCC_Alkaline_Carbonate!$S18,'Tables - Part 2'!$AV$6:$AV$13,0),MATCH(SCC_Alkaline_Carbonate!$Q18,'Tables - Part 2'!$AX$5:$BA$5,0)))+(((INDEX('Tables - Part 2'!$AX$17:$BA$24,MATCH(SCC_Alkaline_Carbonate!$S18,'Tables - Part 2'!$AV$6:$AV$13,0),MATCH(SCC_Alkaline_Carbonate!$Q18,'Tables - Part 2'!$AX$5:$BA$5,0)))+(INDEX('Tables - Part 2'!$AX$17:$BA$24,MATCH(SCC_Alkaline_Carbonate!$S18,'Tables - Part 2'!$AV$6:$AV$13,0),MATCH(SCC_Alkaline_Carbonate!$Q18,'Tables - Part 2'!$AX$5:$BA$5,0))+INDEX('Tables - Part 2'!$BB$17:$BE$24,MATCH(SCC_Alkaline_Carbonate!$S18,'Tables - Part 2'!$AV$6:$AV$13,0),MATCH(SCC_Alkaline_Carbonate!$Q18,'Tables - Part 2'!$AX$5:$BA$5,0)))/2)/2))/2,0)</f>
        <v>0</v>
      </c>
      <c r="AY18" s="248">
        <f>IF($P18=$AY$3,((INDEX('Tables - Part 2'!$AX$17:$BA$24,MATCH(SCC_Alkaline_Carbonate!$S18,'Tables - Part 2'!$AV$6:$AV$13,0),MATCH(SCC_Alkaline_Carbonate!$Q18,'Tables - Part 2'!$AX$5:$BA$5,0)))+(INDEX('Tables - Part 2'!$AX$17:$BA$24,MATCH(SCC_Alkaline_Carbonate!$S18,'Tables - Part 2'!$AV$6:$AV$13,0),MATCH(SCC_Alkaline_Carbonate!$Q18,'Tables - Part 2'!$AX$5:$BA$5,0))+INDEX('Tables - Part 2'!$BB$17:$BE$24,MATCH(SCC_Alkaline_Carbonate!$S18,'Tables - Part 2'!$AV$6:$AV$13,0),MATCH(SCC_Alkaline_Carbonate!$Q18,'Tables - Part 2'!$AX$5:$BA$5,0)))/2)/2,0)</f>
        <v>0</v>
      </c>
      <c r="AZ18" s="248">
        <f>IF($P18=$AZ$3,((((INDEX('Tables - Part 2'!$AX$17:$BA$24,MATCH(SCC_Alkaline_Carbonate!$S18,'Tables - Part 2'!$AV$6:$AV$13,0),MATCH(SCC_Alkaline_Carbonate!$Q18,'Tables - Part 2'!$AX$5:$BA$5,0)))+(INDEX('Tables - Part 2'!$AX$17:$BA$24,MATCH(SCC_Alkaline_Carbonate!$S18,'Tables - Part 2'!$AV$6:$AV$13,0),MATCH(SCC_Alkaline_Carbonate!$Q18,'Tables - Part 2'!$AX$5:$BA$5,0))+INDEX('Tables - Part 2'!$BB$17:$BE$24,MATCH(SCC_Alkaline_Carbonate!$S18,'Tables - Part 2'!$AV$6:$AV$13,0),MATCH(SCC_Alkaline_Carbonate!$Q18,'Tables - Part 2'!$AX$5:$BA$5,0)))/2)/2)+((INDEX('Tables - Part 2'!$AX$17:$BA$24,MATCH(SCC_Alkaline_Carbonate!$S18,'Tables - Part 2'!$AV$6:$AV$13,0),MATCH(SCC_Alkaline_Carbonate!$Q18,'Tables - Part 2'!$AX$5:$BA$5,0))+INDEX('Tables - Part 2'!$BB$17:$BE$24,MATCH(SCC_Alkaline_Carbonate!$S18,'Tables - Part 2'!$AV$6:$AV$13,0),MATCH(SCC_Alkaline_Carbonate!$Q18,'Tables - Part 2'!$AX$5:$BA$5,0)))/2))/2,0)</f>
        <v>0</v>
      </c>
      <c r="BA18" s="248">
        <f>IF($P18=$BA$3,(INDEX('Tables - Part 2'!$AX$17:$BA$24,MATCH(SCC_Alkaline_Carbonate!$S18,'Tables - Part 2'!$AV$6:$AV$13,0),MATCH(SCC_Alkaline_Carbonate!$Q18,'Tables - Part 2'!$AX$5:$BA$5,0))+INDEX('Tables - Part 2'!$BB$17:$BE$24,MATCH(SCC_Alkaline_Carbonate!$S18,'Tables - Part 2'!$AV$6:$AV$13,0),MATCH(SCC_Alkaline_Carbonate!$Q18,'Tables - Part 2'!$AX$5:$BA$5,0)))/2,0)</f>
        <v>0</v>
      </c>
      <c r="BB18" s="248">
        <f>IF($P18=$BB$3,(((INDEX('Tables - Part 2'!$AX$17:$BA$24,MATCH(SCC_Alkaline_Carbonate!$S18,'Tables - Part 2'!$AV$6:$AV$13,0),MATCH(SCC_Alkaline_Carbonate!$Q18,'Tables - Part 2'!$AX$5:$BA$5,0))+INDEX('Tables - Part 2'!$BB$17:$BE$24,MATCH(SCC_Alkaline_Carbonate!$S18,'Tables - Part 2'!$AV$6:$AV$13,0),MATCH(SCC_Alkaline_Carbonate!$Q18,'Tables - Part 2'!$AX$5:$BA$5,0)))/2)+((((INDEX('Tables - Part 2'!$AX$17:$BA$24,MATCH(SCC_Alkaline_Carbonate!$S18,'Tables - Part 2'!$AV$6:$AV$13,0),MATCH(SCC_Alkaline_Carbonate!$Q18,'Tables - Part 2'!$AX$5:$BA$5,0))+INDEX('Tables - Part 2'!$BB$17:$BE$24,MATCH(SCC_Alkaline_Carbonate!$S18,'Tables - Part 2'!$AV$6:$AV$13,0),MATCH(SCC_Alkaline_Carbonate!$Q18,'Tables - Part 2'!$AX$5:$BA$5,0)))/2)+INDEX('Tables - Part 2'!$BB$17:$BE$24,MATCH(SCC_Alkaline_Carbonate!$S18,'Tables - Part 2'!$AV$6:$AV$13,0),MATCH(SCC_Alkaline_Carbonate!$Q18,'Tables - Part 2'!$AX$5:$BA$5,0)))/2))/2,0)</f>
        <v>0</v>
      </c>
      <c r="BC18" s="248">
        <f>IF($P18=$BC$3,(((INDEX('Tables - Part 2'!$AX$17:$BA$24,MATCH(SCC_Alkaline_Carbonate!$S18,'Tables - Part 2'!$AV$6:$AV$13,0),MATCH(SCC_Alkaline_Carbonate!$Q18,'Tables - Part 2'!$AX$5:$BA$5,0))+INDEX('Tables - Part 2'!$BB$17:$BE$24,MATCH(SCC_Alkaline_Carbonate!$S18,'Tables - Part 2'!$AV$6:$AV$13,0),MATCH(SCC_Alkaline_Carbonate!$Q18,'Tables - Part 2'!$AX$5:$BA$5,0)))/2)+INDEX('Tables - Part 2'!$BB$17:$BE$24,MATCH(SCC_Alkaline_Carbonate!$S18,'Tables - Part 2'!$AV$6:$AV$13,0),MATCH(SCC_Alkaline_Carbonate!$Q18,'Tables - Part 2'!$AX$5:$BA$5,0)))/2,0)</f>
        <v>0</v>
      </c>
      <c r="BD18" s="248">
        <f>IF($P18=$BD$3,(((((INDEX('Tables - Part 2'!$AX$17:$BA$24,MATCH(SCC_Alkaline_Carbonate!$S18,'Tables - Part 2'!$AV$6:$AV$13,0),MATCH(SCC_Alkaline_Carbonate!$Q18,'Tables - Part 2'!$AX$5:$BA$5,0))+INDEX('Tables - Part 2'!$BB$17:$BE$24,MATCH(SCC_Alkaline_Carbonate!$S18,'Tables - Part 2'!$AV$6:$AV$13,0),MATCH(SCC_Alkaline_Carbonate!$Q18,'Tables - Part 2'!$AX$5:$BA$5,0)))/2)+INDEX('Tables - Part 2'!$BB$17:$BE$24,MATCH(SCC_Alkaline_Carbonate!$S18,'Tables - Part 2'!$AV$6:$AV$13,0),MATCH(SCC_Alkaline_Carbonate!$Q18,'Tables - Part 2'!$AX$5:$BA$5,0)))/2)+(INDEX('Tables - Part 2'!$BB$17:$BE$24,MATCH(SCC_Alkaline_Carbonate!$S18,'Tables - Part 2'!$AV$6:$AV$13,0),MATCH(SCC_Alkaline_Carbonate!$Q18,'Tables - Part 2'!$AX$5:$BA$5,0))))/2,0)</f>
        <v>0</v>
      </c>
      <c r="BE18" s="248">
        <f>IF($P18=$BE$3,INDEX('Tables - Part 2'!$BB$17:$BE$24,MATCH(SCC_Alkaline_Carbonate!$S18,'Tables - Part 2'!$AV$6:$AV$13,0),MATCH(SCC_Alkaline_Carbonate!$Q18,'Tables - Part 2'!$AX$5:$BA$5,0)),0)</f>
        <v>0</v>
      </c>
      <c r="BF18" s="248">
        <f>IF($P18=$BF$3,((INDEX('Tables - Part 2'!$BB$17:$BE$24,MATCH(SCC_Alkaline_Carbonate!$S18,'Tables - Part 2'!$AV$6:$AV$13,0),MATCH(SCC_Alkaline_Carbonate!$Q18,'Tables - Part 2'!$AX$5:$BA$5,0)))+(((INDEX('Tables - Part 2'!$BB$17:$BE$24,MATCH(SCC_Alkaline_Carbonate!$S18,'Tables - Part 2'!$AV$6:$AV$13,0),MATCH(SCC_Alkaline_Carbonate!$Q18,'Tables - Part 2'!$AX$5:$BA$5,0)))+(INDEX('Tables - Part 2'!$BB$17:$BE$24,MATCH(SCC_Alkaline_Carbonate!$S18,'Tables - Part 2'!$AV$6:$AV$13,0),MATCH(SCC_Alkaline_Carbonate!$Q18,'Tables - Part 2'!$AX$5:$BA$5,0))+INDEX('Tables - Part 2'!$BF$17:$BI$24,MATCH(SCC_Alkaline_Carbonate!$S18,'Tables - Part 2'!$AV$6:$AV$13,0),MATCH(SCC_Alkaline_Carbonate!$Q18,'Tables - Part 2'!$AX$5:$BA$5,0)))/2)/2))/2,0)</f>
        <v>0</v>
      </c>
      <c r="BG18" s="248">
        <f>IF($P18=$BG$3,((INDEX('Tables - Part 2'!$BB$17:$BE$24,MATCH(SCC_Alkaline_Carbonate!$S18,'Tables - Part 2'!$AV$6:$AV$13,0),MATCH(SCC_Alkaline_Carbonate!$Q18,'Tables - Part 2'!$AX$5:$BA$5,0)))+(INDEX('Tables - Part 2'!$BB$17:$BE$24,MATCH(SCC_Alkaline_Carbonate!$S18,'Tables - Part 2'!$AV$6:$AV$13,0),MATCH(SCC_Alkaline_Carbonate!$Q18,'Tables - Part 2'!$AX$5:$BA$5,0))+INDEX('Tables - Part 2'!$BF$17:$BI$24,MATCH(SCC_Alkaline_Carbonate!$S18,'Tables - Part 2'!$AV$6:$AV$13,0),MATCH(SCC_Alkaline_Carbonate!$Q18,'Tables - Part 2'!$AX$5:$BA$5,0)))/2)/2,0)</f>
        <v>0</v>
      </c>
      <c r="BH18" s="248">
        <f>IF($P18=$BH$3,((((INDEX('Tables - Part 2'!$BB$17:$BE$24,MATCH(SCC_Alkaline_Carbonate!$S18,'Tables - Part 2'!$AV$6:$AV$13,0),MATCH(SCC_Alkaline_Carbonate!$Q18,'Tables - Part 2'!$AX$5:$BA$5,0)))+(INDEX('Tables - Part 2'!$BB$17:$BE$24,MATCH(SCC_Alkaline_Carbonate!$S18,'Tables - Part 2'!$AV$6:$AV$13,0),MATCH(SCC_Alkaline_Carbonate!$Q18,'Tables - Part 2'!$AX$5:$BA$5,0))+INDEX('Tables - Part 2'!$BF$17:$BI$24,MATCH(SCC_Alkaline_Carbonate!$S18,'Tables - Part 2'!$AV$6:$AV$13,0),MATCH(SCC_Alkaline_Carbonate!$Q18,'Tables - Part 2'!$AX$5:$BA$5,0)))/2)/2)+((INDEX('Tables - Part 2'!$BB$17:$BE$24,MATCH(SCC_Alkaline_Carbonate!$S18,'Tables - Part 2'!$AV$6:$AV$13,0),MATCH(SCC_Alkaline_Carbonate!$Q18,'Tables - Part 2'!$AX$5:$BA$5,0))+INDEX('Tables - Part 2'!$BF$17:$BI$24,MATCH(SCC_Alkaline_Carbonate!$S18,'Tables - Part 2'!$AV$6:$AV$13,0),MATCH(SCC_Alkaline_Carbonate!$Q18,'Tables - Part 2'!$AX$5:$BA$5,0)))/2))/2,0)</f>
        <v>0</v>
      </c>
      <c r="BI18" s="248">
        <f>IF($P18=$BI$3,(INDEX('Tables - Part 2'!$BB$17:$BE$24,MATCH(SCC_Alkaline_Carbonate!$S18,'Tables - Part 2'!$AV$6:$AV$13,0),MATCH(SCC_Alkaline_Carbonate!$Q18,'Tables - Part 2'!$AX$5:$BA$5,0))+INDEX('Tables - Part 2'!$BF$17:$BI$24,MATCH(SCC_Alkaline_Carbonate!$S18,'Tables - Part 2'!$AV$6:$AV$13,0),MATCH(SCC_Alkaline_Carbonate!$Q18,'Tables - Part 2'!$AX$5:$BA$5,0)))/2,0)</f>
        <v>0</v>
      </c>
      <c r="BJ18" s="248">
        <f>IF($P18=$BJ$3,(((INDEX('Tables - Part 2'!$BB$17:$BE$24,MATCH(SCC_Alkaline_Carbonate!$S18,'Tables - Part 2'!$AV$6:$AV$13,0),MATCH(SCC_Alkaline_Carbonate!$Q18,'Tables - Part 2'!$AX$5:$BA$5,0))+INDEX('Tables - Part 2'!$BF$17:$BI$24,MATCH(SCC_Alkaline_Carbonate!$S18,'Tables - Part 2'!$AV$6:$AV$13,0),MATCH(SCC_Alkaline_Carbonate!$Q18,'Tables - Part 2'!$AX$5:$BA$5,0)))/2)+((((INDEX('Tables - Part 2'!$BB$17:$BE$24,MATCH(SCC_Alkaline_Carbonate!$S18,'Tables - Part 2'!$AV$6:$AV$13,0),MATCH(SCC_Alkaline_Carbonate!$Q18,'Tables - Part 2'!$AX$5:$BA$5,0))+INDEX('Tables - Part 2'!$BF$17:$BI$24,MATCH(SCC_Alkaline_Carbonate!$S18,'Tables - Part 2'!$AV$6:$AV$13,0),MATCH(SCC_Alkaline_Carbonate!$Q18,'Tables - Part 2'!$AX$5:$BA$5,0)))/2)+INDEX('Tables - Part 2'!$BF$17:$BI$24,MATCH(SCC_Alkaline_Carbonate!$S18,'Tables - Part 2'!$AV$6:$AV$13,0),MATCH(SCC_Alkaline_Carbonate!$Q18,'Tables - Part 2'!$AX$5:$BA$5,0)))/2))/2,0)</f>
        <v>0</v>
      </c>
      <c r="BK18" s="248">
        <f>IF($P18=$BK$3,(((INDEX('Tables - Part 2'!$BB$17:$BE$24,MATCH(SCC_Alkaline_Carbonate!$S18,'Tables - Part 2'!$AV$6:$AV$13,0),MATCH(SCC_Alkaline_Carbonate!$Q18,'Tables - Part 2'!$AX$5:$BA$5,0))+INDEX('Tables - Part 2'!$BF$17:$BI$24,MATCH(SCC_Alkaline_Carbonate!$S18,'Tables - Part 2'!$AV$6:$AV$13,0),MATCH(SCC_Alkaline_Carbonate!$Q18,'Tables - Part 2'!$AX$5:$BA$5,0)))/2)+INDEX('Tables - Part 2'!$BF$17:$BI$24,MATCH(SCC_Alkaline_Carbonate!$S18,'Tables - Part 2'!$AV$6:$AV$13,0),MATCH(SCC_Alkaline_Carbonate!$Q18,'Tables - Part 2'!$AX$5:$BA$5,0)))/2,0)</f>
        <v>0</v>
      </c>
      <c r="BL18" s="248">
        <f>IF($P18=$BL$3,(((((INDEX('Tables - Part 2'!$BB$17:$BE$24,MATCH(SCC_Alkaline_Carbonate!$S18,'Tables - Part 2'!$AV$6:$AV$13,0),MATCH(SCC_Alkaline_Carbonate!$Q18,'Tables - Part 2'!$AX$5:$BA$5,0))+INDEX('Tables - Part 2'!$BF$17:$BI$24,MATCH(SCC_Alkaline_Carbonate!$S18,'Tables - Part 2'!$AV$6:$AV$13,0),MATCH(SCC_Alkaline_Carbonate!$Q18,'Tables - Part 2'!$AX$5:$BA$5,0)))/2)+INDEX('Tables - Part 2'!$BF$17:$BI$24,MATCH(SCC_Alkaline_Carbonate!$S18,'Tables - Part 2'!$AV$6:$AV$13,0),MATCH(SCC_Alkaline_Carbonate!$Q18,'Tables - Part 2'!$AX$5:$BA$5,0)))/2)+(INDEX('Tables - Part 2'!$BF$17:$BI$24,MATCH(SCC_Alkaline_Carbonate!$S18,'Tables - Part 2'!$AV$6:$AV$13,0),MATCH(SCC_Alkaline_Carbonate!$Q18,'Tables - Part 2'!$AX$5:$BA$5,0))))/2,0)</f>
        <v>0</v>
      </c>
      <c r="BM18" s="248">
        <f>IF($P18=$BM$3,INDEX('Tables - Part 2'!$BF$17:$BI$24,MATCH(SCC_Alkaline_Carbonate!$S18,'Tables - Part 2'!$AV$6:$AV$13,0),MATCH(SCC_Alkaline_Carbonate!$Q18,'Tables - Part 2'!$AX$5:$BA$5,0)),0)</f>
        <v>0</v>
      </c>
      <c r="BN18" s="248">
        <f t="shared" si="6"/>
        <v>0</v>
      </c>
      <c r="BO18" s="238">
        <f t="shared" si="8"/>
        <v>3</v>
      </c>
      <c r="BP18" s="238">
        <f t="shared" si="7"/>
        <v>50.318647405225171</v>
      </c>
    </row>
    <row r="19" spans="2:68" x14ac:dyDescent="0.35">
      <c r="B19" s="161" t="str">
        <f>'Tratamento de Dados'!B27</f>
        <v>V-8</v>
      </c>
      <c r="C19" s="161" t="str">
        <f>'Tratamento de Dados'!D27</f>
        <v>Casco</v>
      </c>
      <c r="D19" s="209" t="s">
        <v>245</v>
      </c>
      <c r="E19" s="209" t="s">
        <v>61</v>
      </c>
      <c r="F19" s="209" t="s">
        <v>1134</v>
      </c>
      <c r="G19" s="209" t="s">
        <v>1132</v>
      </c>
      <c r="H19" s="209" t="s">
        <v>245</v>
      </c>
      <c r="I19" s="210">
        <v>39092</v>
      </c>
      <c r="J19" s="209">
        <v>0</v>
      </c>
      <c r="K19" s="209">
        <v>1</v>
      </c>
      <c r="L19" s="209">
        <v>1</v>
      </c>
      <c r="M19" s="209">
        <v>4</v>
      </c>
      <c r="N19" s="253">
        <f>'Tratamento de Dados'!DA27</f>
        <v>0</v>
      </c>
      <c r="O19" s="253">
        <f>'Tratamento de Dados'!DB27</f>
        <v>0</v>
      </c>
      <c r="P19" s="256">
        <f t="shared" si="0"/>
        <v>2.5</v>
      </c>
      <c r="Q19" s="246" t="str">
        <f t="shared" si="1"/>
        <v>B</v>
      </c>
      <c r="R19" s="238" t="str">
        <f>IF(D19=$BU$2,$BS$4,IF(H19=$BU$2,$BS$5,INDEX('Tables - Part 2'!$DA$6:$DB$9,MATCH(SCC_Alkaline_Carbonate!F19,'Tables - Part 2'!$CY$6:$CY$9,0),MATCH(SCC_Alkaline_Carbonate!G19,'Tables - Part 2'!$DA$5:$DB$5,0))))</f>
        <v>Medium</v>
      </c>
      <c r="S19" s="238">
        <f>IF(AND(D19=$BU$2,E19&lt;&gt;$BU$2),"Fitness-For-Service",INDEX('Tables - Part 2'!$DE$4:$DE$7,MATCH(SCC_Alkaline_Carbonate!R19,'Tables - Part 2'!$DD$4:$DD$7,0),))</f>
        <v>100</v>
      </c>
      <c r="T19" s="238">
        <f>IF(I19=0,(Thinning!G20-Thinning!F20)/365.25,(Thinning!G20-I19)/365.25)</f>
        <v>12.980150581793293</v>
      </c>
      <c r="U19" s="248">
        <f t="shared" si="2"/>
        <v>0</v>
      </c>
      <c r="V19" s="248">
        <f t="shared" si="3"/>
        <v>2.5</v>
      </c>
      <c r="W19" s="248">
        <f t="shared" si="4"/>
        <v>3</v>
      </c>
      <c r="X19" s="247">
        <f t="shared" si="5"/>
        <v>4</v>
      </c>
      <c r="Y19" s="248">
        <f>IF($P19=$Y$3,INDEX('Tables - Part 2'!$AX$6:$BA$13,MATCH(SCC_Alkaline_Carbonate!S19,'Tables - Part 2'!$AV$6:$AV$13,0),MATCH(SCC_Alkaline_Carbonate!Q19,'Tables - Part 2'!$AX$5:$BA$5,0)),0)</f>
        <v>0</v>
      </c>
      <c r="Z19" s="248">
        <f>IF($P19=$Z$3,(INDEX('Tables - Part 2'!$AX$6:$BA$13,MATCH(SCC_Alkaline_Carbonate!S19,'Tables - Part 2'!$AV$6:$AV$13,0),MATCH(SCC_Alkaline_Carbonate!Q19,'Tables - Part 2'!$AX$5:$BA$5,0))+(INDEX('Tables - Part 2'!$AX$6:$BA$13,MATCH(SCC_Alkaline_Carbonate!S19,'Tables - Part 2'!$AV$6:$AV$13,0),MATCH(SCC_Alkaline_Carbonate!Q19,'Tables - Part 2'!$AX$5:$BA$5,0))+((INDEX('Tables - Part 2'!$AX$6:$BA$13,MATCH(SCC_Alkaline_Carbonate!S19,'Tables - Part 2'!$AV$6:$AV$13,0),MATCH(SCC_Alkaline_Carbonate!Q19,'Tables - Part 2'!$AX$5:$BA$5,0))+INDEX('Tables - Part 2'!$BB$6:$BE$13,MATCH(SCC_Alkaline_Carbonate!$S19,'Tables - Part 2'!$AV$6:$AV$13,0),MATCH(SCC_Alkaline_Carbonate!$Q19,'Tables - Part 2'!$AX$5:$BA$5,0)))/2))/2)/2,0)</f>
        <v>0</v>
      </c>
      <c r="AA19" s="248">
        <f>IF($P19=$AA$3,(INDEX('Tables - Part 2'!$AX$6:$BA$13,MATCH(SCC_Alkaline_Carbonate!S19,'Tables - Part 2'!$AV$6:$AV$13,0),MATCH(SCC_Alkaline_Carbonate!Q19,'Tables - Part 2'!$AX$5:$BA$5,0))+((INDEX('Tables - Part 2'!$AX$6:$BA$13,MATCH(SCC_Alkaline_Carbonate!S19,'Tables - Part 2'!$AV$6:$AV$13,0),MATCH(SCC_Alkaline_Carbonate!Q19,'Tables - Part 2'!$AX$5:$BA$5,0))+INDEX('Tables - Part 2'!$BB$6:$BE$13,MATCH(SCC_Alkaline_Carbonate!$S19,'Tables - Part 2'!$AV$6:$AV$13,0),MATCH(SCC_Alkaline_Carbonate!$Q19,'Tables - Part 2'!$AX$5:$BA$5,0)))/2))/2,0)</f>
        <v>0</v>
      </c>
      <c r="AB19" s="248">
        <f>IF($P19=$AB$3,(((INDEX('Tables - Part 2'!$AX$6:$BA$13,MATCH(SCC_Alkaline_Carbonate!S19,'Tables - Part 2'!$AV$6:$AV$13,0),MATCH(SCC_Alkaline_Carbonate!Q19,'Tables - Part 2'!$AX$5:$BA$5,0))+((INDEX('Tables - Part 2'!$AX$6:$BA$13,MATCH(SCC_Alkaline_Carbonate!S19,'Tables - Part 2'!$AV$6:$AV$13,0),MATCH(SCC_Alkaline_Carbonate!Q19,'Tables - Part 2'!$AX$5:$BA$5,0))+INDEX('Tables - Part 2'!$BB$6:$BE$13,MATCH(SCC_Alkaline_Carbonate!$S19,'Tables - Part 2'!$AV$6:$AV$13,0),MATCH(SCC_Alkaline_Carbonate!$Q19,'Tables - Part 2'!$AX$5:$BA$5,0)))/2))/2)+(INDEX('Tables - Part 2'!$AX$6:$BA$13,MATCH(SCC_Alkaline_Carbonate!S19,'Tables - Part 2'!$AV$6:$AV$13,0),MATCH(SCC_Alkaline_Carbonate!Q19,'Tables - Part 2'!$AX$5:$BA$5,0))+INDEX('Tables - Part 2'!$BB$6:$BE$13,MATCH(SCC_Alkaline_Carbonate!$S19,'Tables - Part 2'!$AV$6:$AV$13,0),MATCH(SCC_Alkaline_Carbonate!$Q19,'Tables - Part 2'!$AX$5:$BA$5,0)))/2)/2,0)</f>
        <v>0</v>
      </c>
      <c r="AC19" s="248">
        <f>IF($P19=$AC$3,(INDEX('Tables - Part 2'!$AX$6:$BA$13,MATCH(SCC_Alkaline_Carbonate!S19,'Tables - Part 2'!$AV$6:$AV$13,0),MATCH(SCC_Alkaline_Carbonate!Q19,'Tables - Part 2'!$AX$5:$BA$5,0))+INDEX('Tables - Part 2'!$BB$6:$BE$13,MATCH(SCC_Alkaline_Carbonate!$S19,'Tables - Part 2'!$AV$6:$AV$13,0),MATCH(SCC_Alkaline_Carbonate!$Q19,'Tables - Part 2'!$AX$5:$BA$5,0)))/2,0)</f>
        <v>0</v>
      </c>
      <c r="AD19" s="248">
        <f>IF($P19=$AD$3,(((INDEX('Tables - Part 2'!$AX$6:$BA$13,MATCH(SCC_Alkaline_Carbonate!S19,'Tables - Part 2'!$AV$6:$AV$13,0),MATCH(SCC_Alkaline_Carbonate!Q19,'Tables - Part 2'!$AX$5:$BA$5,0))+INDEX('Tables - Part 2'!$BB$6:$BE$13,MATCH(SCC_Alkaline_Carbonate!$S19,'Tables - Part 2'!$AV$6:$AV$13,0),MATCH(SCC_Alkaline_Carbonate!$Q19,'Tables - Part 2'!$AX$5:$BA$5,0)))/2)+(((INDEX('Tables - Part 2'!$AX$6:$BA$13,MATCH(SCC_Alkaline_Carbonate!S19,'Tables - Part 2'!$AV$6:$AV$13,0),MATCH(SCC_Alkaline_Carbonate!Q19,'Tables - Part 2'!$AX$5:$BA$5,0))+INDEX('Tables - Part 2'!$BB$6:$BE$13,MATCH(SCC_Alkaline_Carbonate!$S19,'Tables - Part 2'!$AV$6:$AV$13,0),MATCH(SCC_Alkaline_Carbonate!$Q19,'Tables - Part 2'!$AX$5:$BA$5,0)))/2)+INDEX('Tables - Part 2'!$BB$6:$BE$13,MATCH(SCC_Alkaline_Carbonate!$S19,'Tables - Part 2'!$AV$6:$AV$13,0),MATCH(SCC_Alkaline_Carbonate!$Q19,'Tables - Part 2'!$AX$5:$BA$5,0)))/2)/2,0)</f>
        <v>0</v>
      </c>
      <c r="AE19" s="248">
        <f>IF($P19=$AE$3,(((INDEX('Tables - Part 2'!$AX$6:$BA$13,MATCH(SCC_Alkaline_Carbonate!S19,'Tables - Part 2'!$AV$6:$AV$13,0),MATCH(SCC_Alkaline_Carbonate!Q19,'Tables - Part 2'!$AX$5:$BA$5,0))+INDEX('Tables - Part 2'!$BB$6:$BE$13,MATCH(SCC_Alkaline_Carbonate!$S19,'Tables - Part 2'!$AV$6:$AV$13,0),MATCH(SCC_Alkaline_Carbonate!$Q19,'Tables - Part 2'!$AX$5:$BA$5,0)))/2)+INDEX('Tables - Part 2'!$BB$6:$BE$13,MATCH(SCC_Alkaline_Carbonate!$S19,'Tables - Part 2'!$AV$6:$AV$13,0),MATCH(SCC_Alkaline_Carbonate!$Q19,'Tables - Part 2'!$AX$5:$BA$5,0)))/2,0)</f>
        <v>0</v>
      </c>
      <c r="AF19" s="248">
        <f>IF($P19=$AF$3,(((((INDEX('Tables - Part 2'!$AX$6:$BA$13,MATCH(SCC_Alkaline_Carbonate!S19,'Tables - Part 2'!$AV$6:$AV$13,0),MATCH(SCC_Alkaline_Carbonate!Q19,'Tables - Part 2'!$AX$5:$BA$5,0))+INDEX('Tables - Part 2'!$BB$6:$BE$13,MATCH(SCC_Alkaline_Carbonate!$S19,'Tables - Part 2'!$AV$6:$AV$13,0),MATCH(SCC_Alkaline_Carbonate!$Q19,'Tables - Part 2'!$AX$5:$BA$5,0)))/2)+INDEX('Tables - Part 2'!$BB$6:$BE$13,MATCH(SCC_Alkaline_Carbonate!$S19,'Tables - Part 2'!$AV$6:$AV$13,0),MATCH(SCC_Alkaline_Carbonate!$Q19,'Tables - Part 2'!$AX$5:$BA$5,0)))/2)+INDEX('Tables - Part 2'!$BB$6:$BE$13,MATCH(SCC_Alkaline_Carbonate!$S19,'Tables - Part 2'!$AV$6:$AV$13,0),MATCH(SCC_Alkaline_Carbonate!$Q19,'Tables - Part 2'!$AX$5:$BA$5,0)))/2,0)</f>
        <v>0</v>
      </c>
      <c r="AG19" s="248">
        <f>IF($P19=$AG$3,INDEX('Tables - Part 2'!$BB$6:$BE$13,MATCH(SCC_Alkaline_Carbonate!$S19,'Tables - Part 2'!$AV$6:$AV$13,0),MATCH(SCC_Alkaline_Carbonate!$Q19,'Tables - Part 2'!$AX$5:$BA$5,0)),0)</f>
        <v>0</v>
      </c>
      <c r="AH19" s="248">
        <f>IF($P19=$AH$3,((INDEX('Tables - Part 2'!$BB$6:$BE$13,MATCH(SCC_Alkaline_Carbonate!$S19,'Tables - Part 2'!$AV$6:$AV$13,0),MATCH(SCC_Alkaline_Carbonate!$Q19,'Tables - Part 2'!$AX$5:$BA$5,0)))+(INDEX('Tables - Part 2'!$BB$6:$BE$13,MATCH(SCC_Alkaline_Carbonate!$S19,'Tables - Part 2'!$AV$6:$AV$13,0),MATCH(SCC_Alkaline_Carbonate!$Q19,'Tables - Part 2'!$AX$5:$BA$5,0))+(INDEX('Tables - Part 2'!$BB$6:$BE$13,MATCH(SCC_Alkaline_Carbonate!$S19,'Tables - Part 2'!$AV$6:$AV$13,0),MATCH(SCC_Alkaline_Carbonate!$Q19,'Tables - Part 2'!$AX$5:$BA$5,0))+INDEX('Tables - Part 2'!$BF$6:$BI$13,MATCH(SCC_Alkaline_Carbonate!$S19,'Tables - Part 2'!$AV$6:$AV$13,0),MATCH(SCC_Alkaline_Carbonate!$Q19,'Tables - Part 2'!$AX$5:$BA$5,0)))/2)/2)/2,0)</f>
        <v>0</v>
      </c>
      <c r="AI19" s="248">
        <f>IF($P19=$AI$3,(INDEX('Tables - Part 2'!$BB$6:$BE$13,MATCH(SCC_Alkaline_Carbonate!$S19,'Tables - Part 2'!$AV$6:$AV$13,0),MATCH(SCC_Alkaline_Carbonate!$Q19,'Tables - Part 2'!$AX$5:$BA$5,0))+(INDEX('Tables - Part 2'!$BB$6:$BE$13,MATCH(SCC_Alkaline_Carbonate!$S19,'Tables - Part 2'!$AV$6:$AV$13,0),MATCH(SCC_Alkaline_Carbonate!$Q19,'Tables - Part 2'!$AX$5:$BA$5,0))+INDEX('Tables - Part 2'!$BF$6:$BI$13,MATCH(SCC_Alkaline_Carbonate!$S19,'Tables - Part 2'!$AV$6:$AV$13,0),MATCH(SCC_Alkaline_Carbonate!$Q19,'Tables - Part 2'!$AX$5:$BA$5,0)))/2)/2,0)</f>
        <v>0</v>
      </c>
      <c r="AJ19" s="248">
        <f>IF($P19=$AJ$3,(((INDEX('Tables - Part 2'!$BB$6:$BE$13,MATCH(SCC_Alkaline_Carbonate!$S19,'Tables - Part 2'!$AV$6:$AV$13,0),MATCH(SCC_Alkaline_Carbonate!$Q19,'Tables - Part 2'!$AX$5:$BA$5,0))+(INDEX('Tables - Part 2'!$BB$6:$BE$13,MATCH(SCC_Alkaline_Carbonate!$S19,'Tables - Part 2'!$AV$6:$AV$13,0),MATCH(SCC_Alkaline_Carbonate!$Q19,'Tables - Part 2'!$AX$5:$BA$5,0))+INDEX('Tables - Part 2'!$BF$6:$BI$13,MATCH(SCC_Alkaline_Carbonate!$S19,'Tables - Part 2'!$AV$6:$AV$13,0),MATCH(SCC_Alkaline_Carbonate!$Q19,'Tables - Part 2'!$AX$5:$BA$5,0)))/2)/2)+((INDEX('Tables - Part 2'!$BB$6:$BE$13,MATCH(SCC_Alkaline_Carbonate!$S19,'Tables - Part 2'!$AV$6:$AV$13,0),MATCH(SCC_Alkaline_Carbonate!$Q19,'Tables - Part 2'!$AX$5:$BA$5,0))+INDEX('Tables - Part 2'!$BF$6:$BI$13,MATCH(SCC_Alkaline_Carbonate!$S19,'Tables - Part 2'!$AV$6:$AV$13,0),MATCH(SCC_Alkaline_Carbonate!$Q19,'Tables - Part 2'!$AX$5:$BA$5,0)))/2))/2,0)</f>
        <v>0</v>
      </c>
      <c r="AK19" s="248">
        <f>IF($P19=$AK$3,(INDEX('Tables - Part 2'!$BB$6:$BE$13,MATCH(SCC_Alkaline_Carbonate!$S19,'Tables - Part 2'!$AV$6:$AV$13,0),MATCH(SCC_Alkaline_Carbonate!$Q19,'Tables - Part 2'!$AX$5:$BA$5,0))+INDEX('Tables - Part 2'!$BF$6:$BI$13,MATCH(SCC_Alkaline_Carbonate!$S19,'Tables - Part 2'!$AV$6:$AV$13,0),MATCH(SCC_Alkaline_Carbonate!$Q19,'Tables - Part 2'!$AX$5:$BA$5,0)))/2,0)</f>
        <v>3</v>
      </c>
      <c r="AL19" s="248">
        <f>IF($P19=$AL$3,(((INDEX('Tables - Part 2'!$BB$6:$BE$13,MATCH(SCC_Alkaline_Carbonate!$S19,'Tables - Part 2'!$AV$6:$AV$13,0),MATCH(SCC_Alkaline_Carbonate!$Q19,'Tables - Part 2'!$AX$5:$BA$5,0))+INDEX('Tables - Part 2'!$BF$6:$BI$13,MATCH(SCC_Alkaline_Carbonate!$S19,'Tables - Part 2'!$AV$6:$AV$13,0),MATCH(SCC_Alkaline_Carbonate!$Q19,'Tables - Part 2'!$AX$5:$BA$5,0)))/2)+((((INDEX('Tables - Part 2'!$BB$6:$BE$13,MATCH(SCC_Alkaline_Carbonate!$S19,'Tables - Part 2'!$AV$6:$AV$13,0),MATCH(SCC_Alkaline_Carbonate!$Q19,'Tables - Part 2'!$AX$5:$BA$5,0))+INDEX('Tables - Part 2'!$BF$6:$BI$13,MATCH(SCC_Alkaline_Carbonate!$S19,'Tables - Part 2'!$AV$6:$AV$13,0),MATCH(SCC_Alkaline_Carbonate!$Q19,'Tables - Part 2'!$AX$5:$BA$5,0)))/2)+INDEX('Tables - Part 2'!$BF$6:$BI$13,MATCH(SCC_Alkaline_Carbonate!$S19,'Tables - Part 2'!$AV$6:$AV$13,0),MATCH(SCC_Alkaline_Carbonate!$Q19,'Tables - Part 2'!$AX$5:$BA$5,0)))/2))/2,0)</f>
        <v>0</v>
      </c>
      <c r="AM19" s="248">
        <f>IF($P19=$AM$3,(((INDEX('Tables - Part 2'!$BB$6:$BE$13,MATCH(SCC_Alkaline_Carbonate!$S19,'Tables - Part 2'!$AV$6:$AV$13,0),MATCH(SCC_Alkaline_Carbonate!$Q19,'Tables - Part 2'!$AX$5:$BA$5,0))+INDEX('Tables - Part 2'!$BF$6:$BI$13,MATCH(SCC_Alkaline_Carbonate!$S19,'Tables - Part 2'!$AV$6:$AV$13,0),MATCH(SCC_Alkaline_Carbonate!$Q19,'Tables - Part 2'!$AX$5:$BA$5,0)))/2)+INDEX('Tables - Part 2'!$BF$6:$BI$13,MATCH(SCC_Alkaline_Carbonate!$S19,'Tables - Part 2'!$AV$6:$AV$13,0),MATCH(SCC_Alkaline_Carbonate!$Q19,'Tables - Part 2'!$AX$5:$BA$5,0)))/2,0)</f>
        <v>0</v>
      </c>
      <c r="AN19" s="248">
        <f>IF($P19=$AN$3,(((((INDEX('Tables - Part 2'!$BB$6:$BE$13,MATCH(SCC_Alkaline_Carbonate!$S19,'Tables - Part 2'!$AV$6:$AV$13,0),MATCH(SCC_Alkaline_Carbonate!$Q19,'Tables - Part 2'!$AX$5:$BA$5,0))+INDEX('Tables - Part 2'!$BF$6:$BI$13,MATCH(SCC_Alkaline_Carbonate!$S19,'Tables - Part 2'!$AV$6:$AV$13,0),MATCH(SCC_Alkaline_Carbonate!$Q19,'Tables - Part 2'!$AX$5:$BA$5,0)))/2)+INDEX('Tables - Part 2'!$BF$6:$BI$13,MATCH(SCC_Alkaline_Carbonate!$S19,'Tables - Part 2'!$AV$6:$AV$13,0),MATCH(SCC_Alkaline_Carbonate!$Q19,'Tables - Part 2'!$AX$5:$BA$5,0)))/2)+INDEX('Tables - Part 2'!$BF$6:$BI$13,MATCH(SCC_Alkaline_Carbonate!$S19,'Tables - Part 2'!$AV$6:$AV$13,0),MATCH(SCC_Alkaline_Carbonate!$Q19,'Tables - Part 2'!$AX$5:$BA$5,0)))/2,0)</f>
        <v>0</v>
      </c>
      <c r="AO19" s="248">
        <f>IF($P19=$AO$3,INDEX('Tables - Part 2'!$BF$6:$BI$13,MATCH(SCC_Alkaline_Carbonate!$S19,'Tables - Part 2'!$AV$6:$AV$13,0),MATCH(SCC_Alkaline_Carbonate!$Q19,'Tables - Part 2'!$AX$5:$BA$5,0)),0)</f>
        <v>0</v>
      </c>
      <c r="AP19" s="248">
        <f>IF($P19=$AP$3,(INDEX('Tables - Part 2'!$BF$6:$BI$13,MATCH(SCC_Alkaline_Carbonate!$S19,'Tables - Part 2'!$AV$6:$AV$13,0),MATCH(SCC_Alkaline_Carbonate!$Q19,'Tables - Part 2'!$AX$5:$BA$5,0))+((INDEX('Tables - Part 2'!$BF$6:$BI$13,MATCH(SCC_Alkaline_Carbonate!$S19,'Tables - Part 2'!$AV$6:$AV$13,0),MATCH(SCC_Alkaline_Carbonate!$Q19,'Tables - Part 2'!$AX$5:$BA$5,0))+(INDEX('Tables - Part 2'!$BF$6:$BI$13,MATCH(SCC_Alkaline_Carbonate!$S19,'Tables - Part 2'!$AV$6:$AV$13,0),MATCH(SCC_Alkaline_Carbonate!$Q19,'Tables - Part 2'!$AX$5:$BA$5,0))+INDEX('Tables - Part 2'!$AX$17:$BA$24,MATCH(SCC_Alkaline_Carbonate!$S19,'Tables - Part 2'!$AV$6:$AV$13,0),MATCH(SCC_Alkaline_Carbonate!$Q19,'Tables - Part 2'!$AX$5:$BA$5,0)))/2)/2))/2,0)</f>
        <v>0</v>
      </c>
      <c r="AQ19" s="248">
        <f>IF($P19=$AQ$3,(INDEX('Tables - Part 2'!$BF$6:$BI$13,MATCH(SCC_Alkaline_Carbonate!$S19,'Tables - Part 2'!$AV$6:$AV$13,0),MATCH(SCC_Alkaline_Carbonate!$Q19,'Tables - Part 2'!$AX$5:$BA$5,0))+(INDEX('Tables - Part 2'!$BF$6:$BI$13,MATCH(SCC_Alkaline_Carbonate!$S19,'Tables - Part 2'!$AV$6:$AV$13,0),MATCH(SCC_Alkaline_Carbonate!$Q19,'Tables - Part 2'!$AX$5:$BA$5,0))+INDEX('Tables - Part 2'!$AX$17:$BA$24,MATCH(SCC_Alkaline_Carbonate!$S19,'Tables - Part 2'!$AV$6:$AV$13,0),MATCH(SCC_Alkaline_Carbonate!$Q19,'Tables - Part 2'!$AX$5:$BA$5,0)))/2)/2,0)</f>
        <v>0</v>
      </c>
      <c r="AR19" s="248">
        <f>IF($P19=$AR$3,(((INDEX('Tables - Part 2'!$BF$6:$BI$13,MATCH(SCC_Alkaline_Carbonate!$S19,'Tables - Part 2'!$AV$6:$AV$13,0),MATCH(SCC_Alkaline_Carbonate!$Q19,'Tables - Part 2'!$AX$5:$BA$5,0))+(INDEX('Tables - Part 2'!$BF$6:$BI$13,MATCH(SCC_Alkaline_Carbonate!$S19,'Tables - Part 2'!$AV$6:$AV$13,0),MATCH(SCC_Alkaline_Carbonate!$Q19,'Tables - Part 2'!$AX$5:$BA$5,0))+INDEX('Tables - Part 2'!$AX$17:$BA$24,MATCH(SCC_Alkaline_Carbonate!$S19,'Tables - Part 2'!$AV$6:$AV$13,0),MATCH(SCC_Alkaline_Carbonate!$Q19,'Tables - Part 2'!$AX$5:$BA$5,0)))/2)/2)+((INDEX('Tables - Part 2'!$BF$6:$BI$13,MATCH(SCC_Alkaline_Carbonate!$S19,'Tables - Part 2'!$AV$6:$AV$13,0),MATCH(SCC_Alkaline_Carbonate!$Q19,'Tables - Part 2'!$AX$5:$BA$5,0))+INDEX('Tables - Part 2'!$AX$17:$BA$24,MATCH(SCC_Alkaline_Carbonate!$S19,'Tables - Part 2'!$AV$6:$AV$13,0),MATCH(SCC_Alkaline_Carbonate!$Q19,'Tables - Part 2'!$AX$5:$BA$5,0)))/2))/2,0)</f>
        <v>0</v>
      </c>
      <c r="AS19" s="248">
        <f>IF($P19=$AS$3,(INDEX('Tables - Part 2'!$BF$6:$BI$13,MATCH(SCC_Alkaline_Carbonate!$S19,'Tables - Part 2'!$AV$6:$AV$13,0),MATCH(SCC_Alkaline_Carbonate!$Q19,'Tables - Part 2'!$AX$5:$BA$5,0))+INDEX('Tables - Part 2'!$AX$17:$BA$24,MATCH(SCC_Alkaline_Carbonate!$S19,'Tables - Part 2'!$AV$6:$AV$13,0),MATCH(SCC_Alkaline_Carbonate!$Q19,'Tables - Part 2'!$AX$5:$BA$5,0)))/2,0)</f>
        <v>0</v>
      </c>
      <c r="AT19" s="248">
        <f>IF($P19=$AT$3,(((INDEX('Tables - Part 2'!$BF$6:$BI$13,MATCH(SCC_Alkaline_Carbonate!$S19,'Tables - Part 2'!$AV$6:$AV$13,0),MATCH(SCC_Alkaline_Carbonate!$Q19,'Tables - Part 2'!$AX$5:$BA$5,0))+INDEX('Tables - Part 2'!$AX$17:$BA$24,MATCH(SCC_Alkaline_Carbonate!$S19,'Tables - Part 2'!$AV$6:$AV$13,0),MATCH(SCC_Alkaline_Carbonate!$Q19,'Tables - Part 2'!$AX$5:$BA$5,0)))/2)+((((INDEX('Tables - Part 2'!$BF$6:$BI$13,MATCH(SCC_Alkaline_Carbonate!$S19,'Tables - Part 2'!$AV$6:$AV$13,0),MATCH(SCC_Alkaline_Carbonate!$Q19,'Tables - Part 2'!$AX$5:$BA$5,0))+INDEX('Tables - Part 2'!$AX$17:$BA$24,MATCH(SCC_Alkaline_Carbonate!$S19,'Tables - Part 2'!$AV$6:$AV$13,0),MATCH(SCC_Alkaline_Carbonate!$Q19,'Tables - Part 2'!$AX$5:$BA$5,0)))/2)+INDEX('Tables - Part 2'!$AX$17:$BA$24,MATCH(SCC_Alkaline_Carbonate!$S19,'Tables - Part 2'!$AV$6:$AV$13,0),MATCH(SCC_Alkaline_Carbonate!$Q19,'Tables - Part 2'!$AX$5:$BA$5,0)))/2))/2,0)</f>
        <v>0</v>
      </c>
      <c r="AU19" s="248">
        <f>IF($P19=$AU$3,(((INDEX('Tables - Part 2'!$BF$6:$BI$13,MATCH(SCC_Alkaline_Carbonate!$S19,'Tables - Part 2'!$AV$6:$AV$13,0),MATCH(SCC_Alkaline_Carbonate!$Q19,'Tables - Part 2'!$AX$5:$BA$5,0))+INDEX('Tables - Part 2'!$AX$17:$BA$24,MATCH(SCC_Alkaline_Carbonate!$S19,'Tables - Part 2'!$AV$6:$AV$13,0),MATCH(SCC_Alkaline_Carbonate!$Q19,'Tables - Part 2'!$AX$5:$BA$5,0)))/2)+INDEX('Tables - Part 2'!$AX$17:$BA$24,MATCH(SCC_Alkaline_Carbonate!$S19,'Tables - Part 2'!$AV$6:$AV$13,0),MATCH(SCC_Alkaline_Carbonate!$Q19,'Tables - Part 2'!$AX$5:$BA$5,0)))/2,0)</f>
        <v>0</v>
      </c>
      <c r="AV19" s="248">
        <f>IF($P19=$AV$3,(((((INDEX('Tables - Part 2'!$BF$6:$BI$13,MATCH(SCC_Alkaline_Carbonate!$S19,'Tables - Part 2'!$AV$6:$AV$13,0),MATCH(SCC_Alkaline_Carbonate!$Q19,'Tables - Part 2'!$AX$5:$BA$5,0))+INDEX('Tables - Part 2'!$AX$17:$BA$24,MATCH(SCC_Alkaline_Carbonate!$S19,'Tables - Part 2'!$AV$6:$AV$13,0),MATCH(SCC_Alkaline_Carbonate!$Q19,'Tables - Part 2'!$AX$5:$BA$5,0)))/2)+INDEX('Tables - Part 2'!$AX$17:$BA$24,MATCH(SCC_Alkaline_Carbonate!$S19,'Tables - Part 2'!$AV$6:$AV$13,0),MATCH(SCC_Alkaline_Carbonate!$Q19,'Tables - Part 2'!$AX$5:$BA$5,0)))/2)+(INDEX('Tables - Part 2'!$AX$17:$BA$24,MATCH(SCC_Alkaline_Carbonate!$S19,'Tables - Part 2'!$AV$6:$AV$13,0),MATCH(SCC_Alkaline_Carbonate!$Q19,'Tables - Part 2'!$AX$5:$BA$5,0))))/2,0)</f>
        <v>0</v>
      </c>
      <c r="AW19" s="248">
        <f>IF($P19=$AW$3,INDEX('Tables - Part 2'!$AX$17:$BA$24,MATCH(SCC_Alkaline_Carbonate!$S19,'Tables - Part 2'!$AV$6:$AV$13,0),MATCH(SCC_Alkaline_Carbonate!$Q19,'Tables - Part 2'!$AX$5:$BA$5,0)),0)</f>
        <v>0</v>
      </c>
      <c r="AX19" s="248">
        <f>IF($P19=$AX$3,((INDEX('Tables - Part 2'!$AX$17:$BA$24,MATCH(SCC_Alkaline_Carbonate!$S19,'Tables - Part 2'!$AV$6:$AV$13,0),MATCH(SCC_Alkaline_Carbonate!$Q19,'Tables - Part 2'!$AX$5:$BA$5,0)))+(((INDEX('Tables - Part 2'!$AX$17:$BA$24,MATCH(SCC_Alkaline_Carbonate!$S19,'Tables - Part 2'!$AV$6:$AV$13,0),MATCH(SCC_Alkaline_Carbonate!$Q19,'Tables - Part 2'!$AX$5:$BA$5,0)))+(INDEX('Tables - Part 2'!$AX$17:$BA$24,MATCH(SCC_Alkaline_Carbonate!$S19,'Tables - Part 2'!$AV$6:$AV$13,0),MATCH(SCC_Alkaline_Carbonate!$Q19,'Tables - Part 2'!$AX$5:$BA$5,0))+INDEX('Tables - Part 2'!$BB$17:$BE$24,MATCH(SCC_Alkaline_Carbonate!$S19,'Tables - Part 2'!$AV$6:$AV$13,0),MATCH(SCC_Alkaline_Carbonate!$Q19,'Tables - Part 2'!$AX$5:$BA$5,0)))/2)/2))/2,0)</f>
        <v>0</v>
      </c>
      <c r="AY19" s="248">
        <f>IF($P19=$AY$3,((INDEX('Tables - Part 2'!$AX$17:$BA$24,MATCH(SCC_Alkaline_Carbonate!$S19,'Tables - Part 2'!$AV$6:$AV$13,0),MATCH(SCC_Alkaline_Carbonate!$Q19,'Tables - Part 2'!$AX$5:$BA$5,0)))+(INDEX('Tables - Part 2'!$AX$17:$BA$24,MATCH(SCC_Alkaline_Carbonate!$S19,'Tables - Part 2'!$AV$6:$AV$13,0),MATCH(SCC_Alkaline_Carbonate!$Q19,'Tables - Part 2'!$AX$5:$BA$5,0))+INDEX('Tables - Part 2'!$BB$17:$BE$24,MATCH(SCC_Alkaline_Carbonate!$S19,'Tables - Part 2'!$AV$6:$AV$13,0),MATCH(SCC_Alkaline_Carbonate!$Q19,'Tables - Part 2'!$AX$5:$BA$5,0)))/2)/2,0)</f>
        <v>0</v>
      </c>
      <c r="AZ19" s="248">
        <f>IF($P19=$AZ$3,((((INDEX('Tables - Part 2'!$AX$17:$BA$24,MATCH(SCC_Alkaline_Carbonate!$S19,'Tables - Part 2'!$AV$6:$AV$13,0),MATCH(SCC_Alkaline_Carbonate!$Q19,'Tables - Part 2'!$AX$5:$BA$5,0)))+(INDEX('Tables - Part 2'!$AX$17:$BA$24,MATCH(SCC_Alkaline_Carbonate!$S19,'Tables - Part 2'!$AV$6:$AV$13,0),MATCH(SCC_Alkaline_Carbonate!$Q19,'Tables - Part 2'!$AX$5:$BA$5,0))+INDEX('Tables - Part 2'!$BB$17:$BE$24,MATCH(SCC_Alkaline_Carbonate!$S19,'Tables - Part 2'!$AV$6:$AV$13,0),MATCH(SCC_Alkaline_Carbonate!$Q19,'Tables - Part 2'!$AX$5:$BA$5,0)))/2)/2)+((INDEX('Tables - Part 2'!$AX$17:$BA$24,MATCH(SCC_Alkaline_Carbonate!$S19,'Tables - Part 2'!$AV$6:$AV$13,0),MATCH(SCC_Alkaline_Carbonate!$Q19,'Tables - Part 2'!$AX$5:$BA$5,0))+INDEX('Tables - Part 2'!$BB$17:$BE$24,MATCH(SCC_Alkaline_Carbonate!$S19,'Tables - Part 2'!$AV$6:$AV$13,0),MATCH(SCC_Alkaline_Carbonate!$Q19,'Tables - Part 2'!$AX$5:$BA$5,0)))/2))/2,0)</f>
        <v>0</v>
      </c>
      <c r="BA19" s="248">
        <f>IF($P19=$BA$3,(INDEX('Tables - Part 2'!$AX$17:$BA$24,MATCH(SCC_Alkaline_Carbonate!$S19,'Tables - Part 2'!$AV$6:$AV$13,0),MATCH(SCC_Alkaline_Carbonate!$Q19,'Tables - Part 2'!$AX$5:$BA$5,0))+INDEX('Tables - Part 2'!$BB$17:$BE$24,MATCH(SCC_Alkaline_Carbonate!$S19,'Tables - Part 2'!$AV$6:$AV$13,0),MATCH(SCC_Alkaline_Carbonate!$Q19,'Tables - Part 2'!$AX$5:$BA$5,0)))/2,0)</f>
        <v>0</v>
      </c>
      <c r="BB19" s="248">
        <f>IF($P19=$BB$3,(((INDEX('Tables - Part 2'!$AX$17:$BA$24,MATCH(SCC_Alkaline_Carbonate!$S19,'Tables - Part 2'!$AV$6:$AV$13,0),MATCH(SCC_Alkaline_Carbonate!$Q19,'Tables - Part 2'!$AX$5:$BA$5,0))+INDEX('Tables - Part 2'!$BB$17:$BE$24,MATCH(SCC_Alkaline_Carbonate!$S19,'Tables - Part 2'!$AV$6:$AV$13,0),MATCH(SCC_Alkaline_Carbonate!$Q19,'Tables - Part 2'!$AX$5:$BA$5,0)))/2)+((((INDEX('Tables - Part 2'!$AX$17:$BA$24,MATCH(SCC_Alkaline_Carbonate!$S19,'Tables - Part 2'!$AV$6:$AV$13,0),MATCH(SCC_Alkaline_Carbonate!$Q19,'Tables - Part 2'!$AX$5:$BA$5,0))+INDEX('Tables - Part 2'!$BB$17:$BE$24,MATCH(SCC_Alkaline_Carbonate!$S19,'Tables - Part 2'!$AV$6:$AV$13,0),MATCH(SCC_Alkaline_Carbonate!$Q19,'Tables - Part 2'!$AX$5:$BA$5,0)))/2)+INDEX('Tables - Part 2'!$BB$17:$BE$24,MATCH(SCC_Alkaline_Carbonate!$S19,'Tables - Part 2'!$AV$6:$AV$13,0),MATCH(SCC_Alkaline_Carbonate!$Q19,'Tables - Part 2'!$AX$5:$BA$5,0)))/2))/2,0)</f>
        <v>0</v>
      </c>
      <c r="BC19" s="248">
        <f>IF($P19=$BC$3,(((INDEX('Tables - Part 2'!$AX$17:$BA$24,MATCH(SCC_Alkaline_Carbonate!$S19,'Tables - Part 2'!$AV$6:$AV$13,0),MATCH(SCC_Alkaline_Carbonate!$Q19,'Tables - Part 2'!$AX$5:$BA$5,0))+INDEX('Tables - Part 2'!$BB$17:$BE$24,MATCH(SCC_Alkaline_Carbonate!$S19,'Tables - Part 2'!$AV$6:$AV$13,0),MATCH(SCC_Alkaline_Carbonate!$Q19,'Tables - Part 2'!$AX$5:$BA$5,0)))/2)+INDEX('Tables - Part 2'!$BB$17:$BE$24,MATCH(SCC_Alkaline_Carbonate!$S19,'Tables - Part 2'!$AV$6:$AV$13,0),MATCH(SCC_Alkaline_Carbonate!$Q19,'Tables - Part 2'!$AX$5:$BA$5,0)))/2,0)</f>
        <v>0</v>
      </c>
      <c r="BD19" s="248">
        <f>IF($P19=$BD$3,(((((INDEX('Tables - Part 2'!$AX$17:$BA$24,MATCH(SCC_Alkaline_Carbonate!$S19,'Tables - Part 2'!$AV$6:$AV$13,0),MATCH(SCC_Alkaline_Carbonate!$Q19,'Tables - Part 2'!$AX$5:$BA$5,0))+INDEX('Tables - Part 2'!$BB$17:$BE$24,MATCH(SCC_Alkaline_Carbonate!$S19,'Tables - Part 2'!$AV$6:$AV$13,0),MATCH(SCC_Alkaline_Carbonate!$Q19,'Tables - Part 2'!$AX$5:$BA$5,0)))/2)+INDEX('Tables - Part 2'!$BB$17:$BE$24,MATCH(SCC_Alkaline_Carbonate!$S19,'Tables - Part 2'!$AV$6:$AV$13,0),MATCH(SCC_Alkaline_Carbonate!$Q19,'Tables - Part 2'!$AX$5:$BA$5,0)))/2)+(INDEX('Tables - Part 2'!$BB$17:$BE$24,MATCH(SCC_Alkaline_Carbonate!$S19,'Tables - Part 2'!$AV$6:$AV$13,0),MATCH(SCC_Alkaline_Carbonate!$Q19,'Tables - Part 2'!$AX$5:$BA$5,0))))/2,0)</f>
        <v>0</v>
      </c>
      <c r="BE19" s="248">
        <f>IF($P19=$BE$3,INDEX('Tables - Part 2'!$BB$17:$BE$24,MATCH(SCC_Alkaline_Carbonate!$S19,'Tables - Part 2'!$AV$6:$AV$13,0),MATCH(SCC_Alkaline_Carbonate!$Q19,'Tables - Part 2'!$AX$5:$BA$5,0)),0)</f>
        <v>0</v>
      </c>
      <c r="BF19" s="248">
        <f>IF($P19=$BF$3,((INDEX('Tables - Part 2'!$BB$17:$BE$24,MATCH(SCC_Alkaline_Carbonate!$S19,'Tables - Part 2'!$AV$6:$AV$13,0),MATCH(SCC_Alkaline_Carbonate!$Q19,'Tables - Part 2'!$AX$5:$BA$5,0)))+(((INDEX('Tables - Part 2'!$BB$17:$BE$24,MATCH(SCC_Alkaline_Carbonate!$S19,'Tables - Part 2'!$AV$6:$AV$13,0),MATCH(SCC_Alkaline_Carbonate!$Q19,'Tables - Part 2'!$AX$5:$BA$5,0)))+(INDEX('Tables - Part 2'!$BB$17:$BE$24,MATCH(SCC_Alkaline_Carbonate!$S19,'Tables - Part 2'!$AV$6:$AV$13,0),MATCH(SCC_Alkaline_Carbonate!$Q19,'Tables - Part 2'!$AX$5:$BA$5,0))+INDEX('Tables - Part 2'!$BF$17:$BI$24,MATCH(SCC_Alkaline_Carbonate!$S19,'Tables - Part 2'!$AV$6:$AV$13,0),MATCH(SCC_Alkaline_Carbonate!$Q19,'Tables - Part 2'!$AX$5:$BA$5,0)))/2)/2))/2,0)</f>
        <v>0</v>
      </c>
      <c r="BG19" s="248">
        <f>IF($P19=$BG$3,((INDEX('Tables - Part 2'!$BB$17:$BE$24,MATCH(SCC_Alkaline_Carbonate!$S19,'Tables - Part 2'!$AV$6:$AV$13,0),MATCH(SCC_Alkaline_Carbonate!$Q19,'Tables - Part 2'!$AX$5:$BA$5,0)))+(INDEX('Tables - Part 2'!$BB$17:$BE$24,MATCH(SCC_Alkaline_Carbonate!$S19,'Tables - Part 2'!$AV$6:$AV$13,0),MATCH(SCC_Alkaline_Carbonate!$Q19,'Tables - Part 2'!$AX$5:$BA$5,0))+INDEX('Tables - Part 2'!$BF$17:$BI$24,MATCH(SCC_Alkaline_Carbonate!$S19,'Tables - Part 2'!$AV$6:$AV$13,0),MATCH(SCC_Alkaline_Carbonate!$Q19,'Tables - Part 2'!$AX$5:$BA$5,0)))/2)/2,0)</f>
        <v>0</v>
      </c>
      <c r="BH19" s="248">
        <f>IF($P19=$BH$3,((((INDEX('Tables - Part 2'!$BB$17:$BE$24,MATCH(SCC_Alkaline_Carbonate!$S19,'Tables - Part 2'!$AV$6:$AV$13,0),MATCH(SCC_Alkaline_Carbonate!$Q19,'Tables - Part 2'!$AX$5:$BA$5,0)))+(INDEX('Tables - Part 2'!$BB$17:$BE$24,MATCH(SCC_Alkaline_Carbonate!$S19,'Tables - Part 2'!$AV$6:$AV$13,0),MATCH(SCC_Alkaline_Carbonate!$Q19,'Tables - Part 2'!$AX$5:$BA$5,0))+INDEX('Tables - Part 2'!$BF$17:$BI$24,MATCH(SCC_Alkaline_Carbonate!$S19,'Tables - Part 2'!$AV$6:$AV$13,0),MATCH(SCC_Alkaline_Carbonate!$Q19,'Tables - Part 2'!$AX$5:$BA$5,0)))/2)/2)+((INDEX('Tables - Part 2'!$BB$17:$BE$24,MATCH(SCC_Alkaline_Carbonate!$S19,'Tables - Part 2'!$AV$6:$AV$13,0),MATCH(SCC_Alkaline_Carbonate!$Q19,'Tables - Part 2'!$AX$5:$BA$5,0))+INDEX('Tables - Part 2'!$BF$17:$BI$24,MATCH(SCC_Alkaline_Carbonate!$S19,'Tables - Part 2'!$AV$6:$AV$13,0),MATCH(SCC_Alkaline_Carbonate!$Q19,'Tables - Part 2'!$AX$5:$BA$5,0)))/2))/2,0)</f>
        <v>0</v>
      </c>
      <c r="BI19" s="248">
        <f>IF($P19=$BI$3,(INDEX('Tables - Part 2'!$BB$17:$BE$24,MATCH(SCC_Alkaline_Carbonate!$S19,'Tables - Part 2'!$AV$6:$AV$13,0),MATCH(SCC_Alkaline_Carbonate!$Q19,'Tables - Part 2'!$AX$5:$BA$5,0))+INDEX('Tables - Part 2'!$BF$17:$BI$24,MATCH(SCC_Alkaline_Carbonate!$S19,'Tables - Part 2'!$AV$6:$AV$13,0),MATCH(SCC_Alkaline_Carbonate!$Q19,'Tables - Part 2'!$AX$5:$BA$5,0)))/2,0)</f>
        <v>0</v>
      </c>
      <c r="BJ19" s="248">
        <f>IF($P19=$BJ$3,(((INDEX('Tables - Part 2'!$BB$17:$BE$24,MATCH(SCC_Alkaline_Carbonate!$S19,'Tables - Part 2'!$AV$6:$AV$13,0),MATCH(SCC_Alkaline_Carbonate!$Q19,'Tables - Part 2'!$AX$5:$BA$5,0))+INDEX('Tables - Part 2'!$BF$17:$BI$24,MATCH(SCC_Alkaline_Carbonate!$S19,'Tables - Part 2'!$AV$6:$AV$13,0),MATCH(SCC_Alkaline_Carbonate!$Q19,'Tables - Part 2'!$AX$5:$BA$5,0)))/2)+((((INDEX('Tables - Part 2'!$BB$17:$BE$24,MATCH(SCC_Alkaline_Carbonate!$S19,'Tables - Part 2'!$AV$6:$AV$13,0),MATCH(SCC_Alkaline_Carbonate!$Q19,'Tables - Part 2'!$AX$5:$BA$5,0))+INDEX('Tables - Part 2'!$BF$17:$BI$24,MATCH(SCC_Alkaline_Carbonate!$S19,'Tables - Part 2'!$AV$6:$AV$13,0),MATCH(SCC_Alkaline_Carbonate!$Q19,'Tables - Part 2'!$AX$5:$BA$5,0)))/2)+INDEX('Tables - Part 2'!$BF$17:$BI$24,MATCH(SCC_Alkaline_Carbonate!$S19,'Tables - Part 2'!$AV$6:$AV$13,0),MATCH(SCC_Alkaline_Carbonate!$Q19,'Tables - Part 2'!$AX$5:$BA$5,0)))/2))/2,0)</f>
        <v>0</v>
      </c>
      <c r="BK19" s="248">
        <f>IF($P19=$BK$3,(((INDEX('Tables - Part 2'!$BB$17:$BE$24,MATCH(SCC_Alkaline_Carbonate!$S19,'Tables - Part 2'!$AV$6:$AV$13,0),MATCH(SCC_Alkaline_Carbonate!$Q19,'Tables - Part 2'!$AX$5:$BA$5,0))+INDEX('Tables - Part 2'!$BF$17:$BI$24,MATCH(SCC_Alkaline_Carbonate!$S19,'Tables - Part 2'!$AV$6:$AV$13,0),MATCH(SCC_Alkaline_Carbonate!$Q19,'Tables - Part 2'!$AX$5:$BA$5,0)))/2)+INDEX('Tables - Part 2'!$BF$17:$BI$24,MATCH(SCC_Alkaline_Carbonate!$S19,'Tables - Part 2'!$AV$6:$AV$13,0),MATCH(SCC_Alkaline_Carbonate!$Q19,'Tables - Part 2'!$AX$5:$BA$5,0)))/2,0)</f>
        <v>0</v>
      </c>
      <c r="BL19" s="248">
        <f>IF($P19=$BL$3,(((((INDEX('Tables - Part 2'!$BB$17:$BE$24,MATCH(SCC_Alkaline_Carbonate!$S19,'Tables - Part 2'!$AV$6:$AV$13,0),MATCH(SCC_Alkaline_Carbonate!$Q19,'Tables - Part 2'!$AX$5:$BA$5,0))+INDEX('Tables - Part 2'!$BF$17:$BI$24,MATCH(SCC_Alkaline_Carbonate!$S19,'Tables - Part 2'!$AV$6:$AV$13,0),MATCH(SCC_Alkaline_Carbonate!$Q19,'Tables - Part 2'!$AX$5:$BA$5,0)))/2)+INDEX('Tables - Part 2'!$BF$17:$BI$24,MATCH(SCC_Alkaline_Carbonate!$S19,'Tables - Part 2'!$AV$6:$AV$13,0),MATCH(SCC_Alkaline_Carbonate!$Q19,'Tables - Part 2'!$AX$5:$BA$5,0)))/2)+(INDEX('Tables - Part 2'!$BF$17:$BI$24,MATCH(SCC_Alkaline_Carbonate!$S19,'Tables - Part 2'!$AV$6:$AV$13,0),MATCH(SCC_Alkaline_Carbonate!$Q19,'Tables - Part 2'!$AX$5:$BA$5,0))))/2,0)</f>
        <v>0</v>
      </c>
      <c r="BM19" s="248">
        <f>IF($P19=$BM$3,INDEX('Tables - Part 2'!$BF$17:$BI$24,MATCH(SCC_Alkaline_Carbonate!$S19,'Tables - Part 2'!$AV$6:$AV$13,0),MATCH(SCC_Alkaline_Carbonate!$Q19,'Tables - Part 2'!$AX$5:$BA$5,0)),0)</f>
        <v>0</v>
      </c>
      <c r="BN19" s="248">
        <f t="shared" si="6"/>
        <v>0</v>
      </c>
      <c r="BO19" s="238">
        <f t="shared" si="8"/>
        <v>3</v>
      </c>
      <c r="BP19" s="238">
        <f t="shared" si="7"/>
        <v>50.318647405225171</v>
      </c>
    </row>
    <row r="20" spans="2:68" x14ac:dyDescent="0.35">
      <c r="B20" s="161" t="str">
        <f>'Tratamento de Dados'!B28</f>
        <v>V-90</v>
      </c>
      <c r="C20" s="161" t="str">
        <f>'Tratamento de Dados'!D28</f>
        <v>Casco</v>
      </c>
      <c r="D20" s="209" t="s">
        <v>245</v>
      </c>
      <c r="E20" s="209" t="s">
        <v>61</v>
      </c>
      <c r="F20" s="209" t="s">
        <v>1134</v>
      </c>
      <c r="G20" s="209" t="s">
        <v>1132</v>
      </c>
      <c r="H20" s="209" t="s">
        <v>245</v>
      </c>
      <c r="I20" s="210">
        <v>39092</v>
      </c>
      <c r="J20" s="209">
        <v>0</v>
      </c>
      <c r="K20" s="209">
        <v>1</v>
      </c>
      <c r="L20" s="209">
        <v>1</v>
      </c>
      <c r="M20" s="209">
        <v>4</v>
      </c>
      <c r="N20" s="253">
        <f>'Tratamento de Dados'!DA28</f>
        <v>0</v>
      </c>
      <c r="O20" s="253">
        <f>'Tratamento de Dados'!DB28</f>
        <v>0</v>
      </c>
      <c r="P20" s="256">
        <f t="shared" si="0"/>
        <v>2.5</v>
      </c>
      <c r="Q20" s="246" t="str">
        <f t="shared" si="1"/>
        <v>B</v>
      </c>
      <c r="R20" s="238" t="str">
        <f>IF(D20=$BU$2,$BS$4,IF(H20=$BU$2,$BS$5,INDEX('Tables - Part 2'!$DA$6:$DB$9,MATCH(SCC_Alkaline_Carbonate!F20,'Tables - Part 2'!$CY$6:$CY$9,0),MATCH(SCC_Alkaline_Carbonate!G20,'Tables - Part 2'!$DA$5:$DB$5,0))))</f>
        <v>Medium</v>
      </c>
      <c r="S20" s="238">
        <f>IF(AND(D20=$BU$2,E20&lt;&gt;$BU$2),"Fitness-For-Service",INDEX('Tables - Part 2'!$DE$4:$DE$7,MATCH(SCC_Alkaline_Carbonate!R20,'Tables - Part 2'!$DD$4:$DD$7,0),))</f>
        <v>100</v>
      </c>
      <c r="T20" s="238">
        <f>IF(I20=0,(Thinning!G21-Thinning!F21)/365.25,(Thinning!G21-I20)/365.25)</f>
        <v>12.980150581793293</v>
      </c>
      <c r="U20" s="248">
        <f t="shared" si="2"/>
        <v>0</v>
      </c>
      <c r="V20" s="248">
        <f t="shared" si="3"/>
        <v>2.5</v>
      </c>
      <c r="W20" s="248">
        <f t="shared" si="4"/>
        <v>3</v>
      </c>
      <c r="X20" s="247">
        <f t="shared" si="5"/>
        <v>4</v>
      </c>
      <c r="Y20" s="248">
        <f>IF($P20=$Y$3,INDEX('Tables - Part 2'!$AX$6:$BA$13,MATCH(SCC_Alkaline_Carbonate!S20,'Tables - Part 2'!$AV$6:$AV$13,0),MATCH(SCC_Alkaline_Carbonate!Q20,'Tables - Part 2'!$AX$5:$BA$5,0)),0)</f>
        <v>0</v>
      </c>
      <c r="Z20" s="248">
        <f>IF($P20=$Z$3,(INDEX('Tables - Part 2'!$AX$6:$BA$13,MATCH(SCC_Alkaline_Carbonate!S20,'Tables - Part 2'!$AV$6:$AV$13,0),MATCH(SCC_Alkaline_Carbonate!Q20,'Tables - Part 2'!$AX$5:$BA$5,0))+(INDEX('Tables - Part 2'!$AX$6:$BA$13,MATCH(SCC_Alkaline_Carbonate!S20,'Tables - Part 2'!$AV$6:$AV$13,0),MATCH(SCC_Alkaline_Carbonate!Q20,'Tables - Part 2'!$AX$5:$BA$5,0))+((INDEX('Tables - Part 2'!$AX$6:$BA$13,MATCH(SCC_Alkaline_Carbonate!S20,'Tables - Part 2'!$AV$6:$AV$13,0),MATCH(SCC_Alkaline_Carbonate!Q20,'Tables - Part 2'!$AX$5:$BA$5,0))+INDEX('Tables - Part 2'!$BB$6:$BE$13,MATCH(SCC_Alkaline_Carbonate!$S20,'Tables - Part 2'!$AV$6:$AV$13,0),MATCH(SCC_Alkaline_Carbonate!$Q20,'Tables - Part 2'!$AX$5:$BA$5,0)))/2))/2)/2,0)</f>
        <v>0</v>
      </c>
      <c r="AA20" s="248">
        <f>IF($P20=$AA$3,(INDEX('Tables - Part 2'!$AX$6:$BA$13,MATCH(SCC_Alkaline_Carbonate!S20,'Tables - Part 2'!$AV$6:$AV$13,0),MATCH(SCC_Alkaline_Carbonate!Q20,'Tables - Part 2'!$AX$5:$BA$5,0))+((INDEX('Tables - Part 2'!$AX$6:$BA$13,MATCH(SCC_Alkaline_Carbonate!S20,'Tables - Part 2'!$AV$6:$AV$13,0),MATCH(SCC_Alkaline_Carbonate!Q20,'Tables - Part 2'!$AX$5:$BA$5,0))+INDEX('Tables - Part 2'!$BB$6:$BE$13,MATCH(SCC_Alkaline_Carbonate!$S20,'Tables - Part 2'!$AV$6:$AV$13,0),MATCH(SCC_Alkaline_Carbonate!$Q20,'Tables - Part 2'!$AX$5:$BA$5,0)))/2))/2,0)</f>
        <v>0</v>
      </c>
      <c r="AB20" s="248">
        <f>IF($P20=$AB$3,(((INDEX('Tables - Part 2'!$AX$6:$BA$13,MATCH(SCC_Alkaline_Carbonate!S20,'Tables - Part 2'!$AV$6:$AV$13,0),MATCH(SCC_Alkaline_Carbonate!Q20,'Tables - Part 2'!$AX$5:$BA$5,0))+((INDEX('Tables - Part 2'!$AX$6:$BA$13,MATCH(SCC_Alkaline_Carbonate!S20,'Tables - Part 2'!$AV$6:$AV$13,0),MATCH(SCC_Alkaline_Carbonate!Q20,'Tables - Part 2'!$AX$5:$BA$5,0))+INDEX('Tables - Part 2'!$BB$6:$BE$13,MATCH(SCC_Alkaline_Carbonate!$S20,'Tables - Part 2'!$AV$6:$AV$13,0),MATCH(SCC_Alkaline_Carbonate!$Q20,'Tables - Part 2'!$AX$5:$BA$5,0)))/2))/2)+(INDEX('Tables - Part 2'!$AX$6:$BA$13,MATCH(SCC_Alkaline_Carbonate!S20,'Tables - Part 2'!$AV$6:$AV$13,0),MATCH(SCC_Alkaline_Carbonate!Q20,'Tables - Part 2'!$AX$5:$BA$5,0))+INDEX('Tables - Part 2'!$BB$6:$BE$13,MATCH(SCC_Alkaline_Carbonate!$S20,'Tables - Part 2'!$AV$6:$AV$13,0),MATCH(SCC_Alkaline_Carbonate!$Q20,'Tables - Part 2'!$AX$5:$BA$5,0)))/2)/2,0)</f>
        <v>0</v>
      </c>
      <c r="AC20" s="248">
        <f>IF($P20=$AC$3,(INDEX('Tables - Part 2'!$AX$6:$BA$13,MATCH(SCC_Alkaline_Carbonate!S20,'Tables - Part 2'!$AV$6:$AV$13,0),MATCH(SCC_Alkaline_Carbonate!Q20,'Tables - Part 2'!$AX$5:$BA$5,0))+INDEX('Tables - Part 2'!$BB$6:$BE$13,MATCH(SCC_Alkaline_Carbonate!$S20,'Tables - Part 2'!$AV$6:$AV$13,0),MATCH(SCC_Alkaline_Carbonate!$Q20,'Tables - Part 2'!$AX$5:$BA$5,0)))/2,0)</f>
        <v>0</v>
      </c>
      <c r="AD20" s="248">
        <f>IF($P20=$AD$3,(((INDEX('Tables - Part 2'!$AX$6:$BA$13,MATCH(SCC_Alkaline_Carbonate!S20,'Tables - Part 2'!$AV$6:$AV$13,0),MATCH(SCC_Alkaline_Carbonate!Q20,'Tables - Part 2'!$AX$5:$BA$5,0))+INDEX('Tables - Part 2'!$BB$6:$BE$13,MATCH(SCC_Alkaline_Carbonate!$S20,'Tables - Part 2'!$AV$6:$AV$13,0),MATCH(SCC_Alkaline_Carbonate!$Q20,'Tables - Part 2'!$AX$5:$BA$5,0)))/2)+(((INDEX('Tables - Part 2'!$AX$6:$BA$13,MATCH(SCC_Alkaline_Carbonate!S20,'Tables - Part 2'!$AV$6:$AV$13,0),MATCH(SCC_Alkaline_Carbonate!Q20,'Tables - Part 2'!$AX$5:$BA$5,0))+INDEX('Tables - Part 2'!$BB$6:$BE$13,MATCH(SCC_Alkaline_Carbonate!$S20,'Tables - Part 2'!$AV$6:$AV$13,0),MATCH(SCC_Alkaline_Carbonate!$Q20,'Tables - Part 2'!$AX$5:$BA$5,0)))/2)+INDEX('Tables - Part 2'!$BB$6:$BE$13,MATCH(SCC_Alkaline_Carbonate!$S20,'Tables - Part 2'!$AV$6:$AV$13,0),MATCH(SCC_Alkaline_Carbonate!$Q20,'Tables - Part 2'!$AX$5:$BA$5,0)))/2)/2,0)</f>
        <v>0</v>
      </c>
      <c r="AE20" s="248">
        <f>IF($P20=$AE$3,(((INDEX('Tables - Part 2'!$AX$6:$BA$13,MATCH(SCC_Alkaline_Carbonate!S20,'Tables - Part 2'!$AV$6:$AV$13,0),MATCH(SCC_Alkaline_Carbonate!Q20,'Tables - Part 2'!$AX$5:$BA$5,0))+INDEX('Tables - Part 2'!$BB$6:$BE$13,MATCH(SCC_Alkaline_Carbonate!$S20,'Tables - Part 2'!$AV$6:$AV$13,0),MATCH(SCC_Alkaline_Carbonate!$Q20,'Tables - Part 2'!$AX$5:$BA$5,0)))/2)+INDEX('Tables - Part 2'!$BB$6:$BE$13,MATCH(SCC_Alkaline_Carbonate!$S20,'Tables - Part 2'!$AV$6:$AV$13,0),MATCH(SCC_Alkaline_Carbonate!$Q20,'Tables - Part 2'!$AX$5:$BA$5,0)))/2,0)</f>
        <v>0</v>
      </c>
      <c r="AF20" s="248">
        <f>IF($P20=$AF$3,(((((INDEX('Tables - Part 2'!$AX$6:$BA$13,MATCH(SCC_Alkaline_Carbonate!S20,'Tables - Part 2'!$AV$6:$AV$13,0),MATCH(SCC_Alkaline_Carbonate!Q20,'Tables - Part 2'!$AX$5:$BA$5,0))+INDEX('Tables - Part 2'!$BB$6:$BE$13,MATCH(SCC_Alkaline_Carbonate!$S20,'Tables - Part 2'!$AV$6:$AV$13,0),MATCH(SCC_Alkaline_Carbonate!$Q20,'Tables - Part 2'!$AX$5:$BA$5,0)))/2)+INDEX('Tables - Part 2'!$BB$6:$BE$13,MATCH(SCC_Alkaline_Carbonate!$S20,'Tables - Part 2'!$AV$6:$AV$13,0),MATCH(SCC_Alkaline_Carbonate!$Q20,'Tables - Part 2'!$AX$5:$BA$5,0)))/2)+INDEX('Tables - Part 2'!$BB$6:$BE$13,MATCH(SCC_Alkaline_Carbonate!$S20,'Tables - Part 2'!$AV$6:$AV$13,0),MATCH(SCC_Alkaline_Carbonate!$Q20,'Tables - Part 2'!$AX$5:$BA$5,0)))/2,0)</f>
        <v>0</v>
      </c>
      <c r="AG20" s="248">
        <f>IF($P20=$AG$3,INDEX('Tables - Part 2'!$BB$6:$BE$13,MATCH(SCC_Alkaline_Carbonate!$S20,'Tables - Part 2'!$AV$6:$AV$13,0),MATCH(SCC_Alkaline_Carbonate!$Q20,'Tables - Part 2'!$AX$5:$BA$5,0)),0)</f>
        <v>0</v>
      </c>
      <c r="AH20" s="248">
        <f>IF($P20=$AH$3,((INDEX('Tables - Part 2'!$BB$6:$BE$13,MATCH(SCC_Alkaline_Carbonate!$S20,'Tables - Part 2'!$AV$6:$AV$13,0),MATCH(SCC_Alkaline_Carbonate!$Q20,'Tables - Part 2'!$AX$5:$BA$5,0)))+(INDEX('Tables - Part 2'!$BB$6:$BE$13,MATCH(SCC_Alkaline_Carbonate!$S20,'Tables - Part 2'!$AV$6:$AV$13,0),MATCH(SCC_Alkaline_Carbonate!$Q20,'Tables - Part 2'!$AX$5:$BA$5,0))+(INDEX('Tables - Part 2'!$BB$6:$BE$13,MATCH(SCC_Alkaline_Carbonate!$S20,'Tables - Part 2'!$AV$6:$AV$13,0),MATCH(SCC_Alkaline_Carbonate!$Q20,'Tables - Part 2'!$AX$5:$BA$5,0))+INDEX('Tables - Part 2'!$BF$6:$BI$13,MATCH(SCC_Alkaline_Carbonate!$S20,'Tables - Part 2'!$AV$6:$AV$13,0),MATCH(SCC_Alkaline_Carbonate!$Q20,'Tables - Part 2'!$AX$5:$BA$5,0)))/2)/2)/2,0)</f>
        <v>0</v>
      </c>
      <c r="AI20" s="248">
        <f>IF($P20=$AI$3,(INDEX('Tables - Part 2'!$BB$6:$BE$13,MATCH(SCC_Alkaline_Carbonate!$S20,'Tables - Part 2'!$AV$6:$AV$13,0),MATCH(SCC_Alkaline_Carbonate!$Q20,'Tables - Part 2'!$AX$5:$BA$5,0))+(INDEX('Tables - Part 2'!$BB$6:$BE$13,MATCH(SCC_Alkaline_Carbonate!$S20,'Tables - Part 2'!$AV$6:$AV$13,0),MATCH(SCC_Alkaline_Carbonate!$Q20,'Tables - Part 2'!$AX$5:$BA$5,0))+INDEX('Tables - Part 2'!$BF$6:$BI$13,MATCH(SCC_Alkaline_Carbonate!$S20,'Tables - Part 2'!$AV$6:$AV$13,0),MATCH(SCC_Alkaline_Carbonate!$Q20,'Tables - Part 2'!$AX$5:$BA$5,0)))/2)/2,0)</f>
        <v>0</v>
      </c>
      <c r="AJ20" s="248">
        <f>IF($P20=$AJ$3,(((INDEX('Tables - Part 2'!$BB$6:$BE$13,MATCH(SCC_Alkaline_Carbonate!$S20,'Tables - Part 2'!$AV$6:$AV$13,0),MATCH(SCC_Alkaline_Carbonate!$Q20,'Tables - Part 2'!$AX$5:$BA$5,0))+(INDEX('Tables - Part 2'!$BB$6:$BE$13,MATCH(SCC_Alkaline_Carbonate!$S20,'Tables - Part 2'!$AV$6:$AV$13,0),MATCH(SCC_Alkaline_Carbonate!$Q20,'Tables - Part 2'!$AX$5:$BA$5,0))+INDEX('Tables - Part 2'!$BF$6:$BI$13,MATCH(SCC_Alkaline_Carbonate!$S20,'Tables - Part 2'!$AV$6:$AV$13,0),MATCH(SCC_Alkaline_Carbonate!$Q20,'Tables - Part 2'!$AX$5:$BA$5,0)))/2)/2)+((INDEX('Tables - Part 2'!$BB$6:$BE$13,MATCH(SCC_Alkaline_Carbonate!$S20,'Tables - Part 2'!$AV$6:$AV$13,0),MATCH(SCC_Alkaline_Carbonate!$Q20,'Tables - Part 2'!$AX$5:$BA$5,0))+INDEX('Tables - Part 2'!$BF$6:$BI$13,MATCH(SCC_Alkaline_Carbonate!$S20,'Tables - Part 2'!$AV$6:$AV$13,0),MATCH(SCC_Alkaline_Carbonate!$Q20,'Tables - Part 2'!$AX$5:$BA$5,0)))/2))/2,0)</f>
        <v>0</v>
      </c>
      <c r="AK20" s="248">
        <f>IF($P20=$AK$3,(INDEX('Tables - Part 2'!$BB$6:$BE$13,MATCH(SCC_Alkaline_Carbonate!$S20,'Tables - Part 2'!$AV$6:$AV$13,0),MATCH(SCC_Alkaline_Carbonate!$Q20,'Tables - Part 2'!$AX$5:$BA$5,0))+INDEX('Tables - Part 2'!$BF$6:$BI$13,MATCH(SCC_Alkaline_Carbonate!$S20,'Tables - Part 2'!$AV$6:$AV$13,0),MATCH(SCC_Alkaline_Carbonate!$Q20,'Tables - Part 2'!$AX$5:$BA$5,0)))/2,0)</f>
        <v>3</v>
      </c>
      <c r="AL20" s="248">
        <f>IF($P20=$AL$3,(((INDEX('Tables - Part 2'!$BB$6:$BE$13,MATCH(SCC_Alkaline_Carbonate!$S20,'Tables - Part 2'!$AV$6:$AV$13,0),MATCH(SCC_Alkaline_Carbonate!$Q20,'Tables - Part 2'!$AX$5:$BA$5,0))+INDEX('Tables - Part 2'!$BF$6:$BI$13,MATCH(SCC_Alkaline_Carbonate!$S20,'Tables - Part 2'!$AV$6:$AV$13,0),MATCH(SCC_Alkaline_Carbonate!$Q20,'Tables - Part 2'!$AX$5:$BA$5,0)))/2)+((((INDEX('Tables - Part 2'!$BB$6:$BE$13,MATCH(SCC_Alkaline_Carbonate!$S20,'Tables - Part 2'!$AV$6:$AV$13,0),MATCH(SCC_Alkaline_Carbonate!$Q20,'Tables - Part 2'!$AX$5:$BA$5,0))+INDEX('Tables - Part 2'!$BF$6:$BI$13,MATCH(SCC_Alkaline_Carbonate!$S20,'Tables - Part 2'!$AV$6:$AV$13,0),MATCH(SCC_Alkaline_Carbonate!$Q20,'Tables - Part 2'!$AX$5:$BA$5,0)))/2)+INDEX('Tables - Part 2'!$BF$6:$BI$13,MATCH(SCC_Alkaline_Carbonate!$S20,'Tables - Part 2'!$AV$6:$AV$13,0),MATCH(SCC_Alkaline_Carbonate!$Q20,'Tables - Part 2'!$AX$5:$BA$5,0)))/2))/2,0)</f>
        <v>0</v>
      </c>
      <c r="AM20" s="248">
        <f>IF($P20=$AM$3,(((INDEX('Tables - Part 2'!$BB$6:$BE$13,MATCH(SCC_Alkaline_Carbonate!$S20,'Tables - Part 2'!$AV$6:$AV$13,0),MATCH(SCC_Alkaline_Carbonate!$Q20,'Tables - Part 2'!$AX$5:$BA$5,0))+INDEX('Tables - Part 2'!$BF$6:$BI$13,MATCH(SCC_Alkaline_Carbonate!$S20,'Tables - Part 2'!$AV$6:$AV$13,0),MATCH(SCC_Alkaline_Carbonate!$Q20,'Tables - Part 2'!$AX$5:$BA$5,0)))/2)+INDEX('Tables - Part 2'!$BF$6:$BI$13,MATCH(SCC_Alkaline_Carbonate!$S20,'Tables - Part 2'!$AV$6:$AV$13,0),MATCH(SCC_Alkaline_Carbonate!$Q20,'Tables - Part 2'!$AX$5:$BA$5,0)))/2,0)</f>
        <v>0</v>
      </c>
      <c r="AN20" s="248">
        <f>IF($P20=$AN$3,(((((INDEX('Tables - Part 2'!$BB$6:$BE$13,MATCH(SCC_Alkaline_Carbonate!$S20,'Tables - Part 2'!$AV$6:$AV$13,0),MATCH(SCC_Alkaline_Carbonate!$Q20,'Tables - Part 2'!$AX$5:$BA$5,0))+INDEX('Tables - Part 2'!$BF$6:$BI$13,MATCH(SCC_Alkaline_Carbonate!$S20,'Tables - Part 2'!$AV$6:$AV$13,0),MATCH(SCC_Alkaline_Carbonate!$Q20,'Tables - Part 2'!$AX$5:$BA$5,0)))/2)+INDEX('Tables - Part 2'!$BF$6:$BI$13,MATCH(SCC_Alkaline_Carbonate!$S20,'Tables - Part 2'!$AV$6:$AV$13,0),MATCH(SCC_Alkaline_Carbonate!$Q20,'Tables - Part 2'!$AX$5:$BA$5,0)))/2)+INDEX('Tables - Part 2'!$BF$6:$BI$13,MATCH(SCC_Alkaline_Carbonate!$S20,'Tables - Part 2'!$AV$6:$AV$13,0),MATCH(SCC_Alkaline_Carbonate!$Q20,'Tables - Part 2'!$AX$5:$BA$5,0)))/2,0)</f>
        <v>0</v>
      </c>
      <c r="AO20" s="248">
        <f>IF($P20=$AO$3,INDEX('Tables - Part 2'!$BF$6:$BI$13,MATCH(SCC_Alkaline_Carbonate!$S20,'Tables - Part 2'!$AV$6:$AV$13,0),MATCH(SCC_Alkaline_Carbonate!$Q20,'Tables - Part 2'!$AX$5:$BA$5,0)),0)</f>
        <v>0</v>
      </c>
      <c r="AP20" s="248">
        <f>IF($P20=$AP$3,(INDEX('Tables - Part 2'!$BF$6:$BI$13,MATCH(SCC_Alkaline_Carbonate!$S20,'Tables - Part 2'!$AV$6:$AV$13,0),MATCH(SCC_Alkaline_Carbonate!$Q20,'Tables - Part 2'!$AX$5:$BA$5,0))+((INDEX('Tables - Part 2'!$BF$6:$BI$13,MATCH(SCC_Alkaline_Carbonate!$S20,'Tables - Part 2'!$AV$6:$AV$13,0),MATCH(SCC_Alkaline_Carbonate!$Q20,'Tables - Part 2'!$AX$5:$BA$5,0))+(INDEX('Tables - Part 2'!$BF$6:$BI$13,MATCH(SCC_Alkaline_Carbonate!$S20,'Tables - Part 2'!$AV$6:$AV$13,0),MATCH(SCC_Alkaline_Carbonate!$Q20,'Tables - Part 2'!$AX$5:$BA$5,0))+INDEX('Tables - Part 2'!$AX$17:$BA$24,MATCH(SCC_Alkaline_Carbonate!$S20,'Tables - Part 2'!$AV$6:$AV$13,0),MATCH(SCC_Alkaline_Carbonate!$Q20,'Tables - Part 2'!$AX$5:$BA$5,0)))/2)/2))/2,0)</f>
        <v>0</v>
      </c>
      <c r="AQ20" s="248">
        <f>IF($P20=$AQ$3,(INDEX('Tables - Part 2'!$BF$6:$BI$13,MATCH(SCC_Alkaline_Carbonate!$S20,'Tables - Part 2'!$AV$6:$AV$13,0),MATCH(SCC_Alkaline_Carbonate!$Q20,'Tables - Part 2'!$AX$5:$BA$5,0))+(INDEX('Tables - Part 2'!$BF$6:$BI$13,MATCH(SCC_Alkaline_Carbonate!$S20,'Tables - Part 2'!$AV$6:$AV$13,0),MATCH(SCC_Alkaline_Carbonate!$Q20,'Tables - Part 2'!$AX$5:$BA$5,0))+INDEX('Tables - Part 2'!$AX$17:$BA$24,MATCH(SCC_Alkaline_Carbonate!$S20,'Tables - Part 2'!$AV$6:$AV$13,0),MATCH(SCC_Alkaline_Carbonate!$Q20,'Tables - Part 2'!$AX$5:$BA$5,0)))/2)/2,0)</f>
        <v>0</v>
      </c>
      <c r="AR20" s="248">
        <f>IF($P20=$AR$3,(((INDEX('Tables - Part 2'!$BF$6:$BI$13,MATCH(SCC_Alkaline_Carbonate!$S20,'Tables - Part 2'!$AV$6:$AV$13,0),MATCH(SCC_Alkaline_Carbonate!$Q20,'Tables - Part 2'!$AX$5:$BA$5,0))+(INDEX('Tables - Part 2'!$BF$6:$BI$13,MATCH(SCC_Alkaline_Carbonate!$S20,'Tables - Part 2'!$AV$6:$AV$13,0),MATCH(SCC_Alkaline_Carbonate!$Q20,'Tables - Part 2'!$AX$5:$BA$5,0))+INDEX('Tables - Part 2'!$AX$17:$BA$24,MATCH(SCC_Alkaline_Carbonate!$S20,'Tables - Part 2'!$AV$6:$AV$13,0),MATCH(SCC_Alkaline_Carbonate!$Q20,'Tables - Part 2'!$AX$5:$BA$5,0)))/2)/2)+((INDEX('Tables - Part 2'!$BF$6:$BI$13,MATCH(SCC_Alkaline_Carbonate!$S20,'Tables - Part 2'!$AV$6:$AV$13,0),MATCH(SCC_Alkaline_Carbonate!$Q20,'Tables - Part 2'!$AX$5:$BA$5,0))+INDEX('Tables - Part 2'!$AX$17:$BA$24,MATCH(SCC_Alkaline_Carbonate!$S20,'Tables - Part 2'!$AV$6:$AV$13,0),MATCH(SCC_Alkaline_Carbonate!$Q20,'Tables - Part 2'!$AX$5:$BA$5,0)))/2))/2,0)</f>
        <v>0</v>
      </c>
      <c r="AS20" s="248">
        <f>IF($P20=$AS$3,(INDEX('Tables - Part 2'!$BF$6:$BI$13,MATCH(SCC_Alkaline_Carbonate!$S20,'Tables - Part 2'!$AV$6:$AV$13,0),MATCH(SCC_Alkaline_Carbonate!$Q20,'Tables - Part 2'!$AX$5:$BA$5,0))+INDEX('Tables - Part 2'!$AX$17:$BA$24,MATCH(SCC_Alkaline_Carbonate!$S20,'Tables - Part 2'!$AV$6:$AV$13,0),MATCH(SCC_Alkaline_Carbonate!$Q20,'Tables - Part 2'!$AX$5:$BA$5,0)))/2,0)</f>
        <v>0</v>
      </c>
      <c r="AT20" s="248">
        <f>IF($P20=$AT$3,(((INDEX('Tables - Part 2'!$BF$6:$BI$13,MATCH(SCC_Alkaline_Carbonate!$S20,'Tables - Part 2'!$AV$6:$AV$13,0),MATCH(SCC_Alkaline_Carbonate!$Q20,'Tables - Part 2'!$AX$5:$BA$5,0))+INDEX('Tables - Part 2'!$AX$17:$BA$24,MATCH(SCC_Alkaline_Carbonate!$S20,'Tables - Part 2'!$AV$6:$AV$13,0),MATCH(SCC_Alkaline_Carbonate!$Q20,'Tables - Part 2'!$AX$5:$BA$5,0)))/2)+((((INDEX('Tables - Part 2'!$BF$6:$BI$13,MATCH(SCC_Alkaline_Carbonate!$S20,'Tables - Part 2'!$AV$6:$AV$13,0),MATCH(SCC_Alkaline_Carbonate!$Q20,'Tables - Part 2'!$AX$5:$BA$5,0))+INDEX('Tables - Part 2'!$AX$17:$BA$24,MATCH(SCC_Alkaline_Carbonate!$S20,'Tables - Part 2'!$AV$6:$AV$13,0),MATCH(SCC_Alkaline_Carbonate!$Q20,'Tables - Part 2'!$AX$5:$BA$5,0)))/2)+INDEX('Tables - Part 2'!$AX$17:$BA$24,MATCH(SCC_Alkaline_Carbonate!$S20,'Tables - Part 2'!$AV$6:$AV$13,0),MATCH(SCC_Alkaline_Carbonate!$Q20,'Tables - Part 2'!$AX$5:$BA$5,0)))/2))/2,0)</f>
        <v>0</v>
      </c>
      <c r="AU20" s="248">
        <f>IF($P20=$AU$3,(((INDEX('Tables - Part 2'!$BF$6:$BI$13,MATCH(SCC_Alkaline_Carbonate!$S20,'Tables - Part 2'!$AV$6:$AV$13,0),MATCH(SCC_Alkaline_Carbonate!$Q20,'Tables - Part 2'!$AX$5:$BA$5,0))+INDEX('Tables - Part 2'!$AX$17:$BA$24,MATCH(SCC_Alkaline_Carbonate!$S20,'Tables - Part 2'!$AV$6:$AV$13,0),MATCH(SCC_Alkaline_Carbonate!$Q20,'Tables - Part 2'!$AX$5:$BA$5,0)))/2)+INDEX('Tables - Part 2'!$AX$17:$BA$24,MATCH(SCC_Alkaline_Carbonate!$S20,'Tables - Part 2'!$AV$6:$AV$13,0),MATCH(SCC_Alkaline_Carbonate!$Q20,'Tables - Part 2'!$AX$5:$BA$5,0)))/2,0)</f>
        <v>0</v>
      </c>
      <c r="AV20" s="248">
        <f>IF($P20=$AV$3,(((((INDEX('Tables - Part 2'!$BF$6:$BI$13,MATCH(SCC_Alkaline_Carbonate!$S20,'Tables - Part 2'!$AV$6:$AV$13,0),MATCH(SCC_Alkaline_Carbonate!$Q20,'Tables - Part 2'!$AX$5:$BA$5,0))+INDEX('Tables - Part 2'!$AX$17:$BA$24,MATCH(SCC_Alkaline_Carbonate!$S20,'Tables - Part 2'!$AV$6:$AV$13,0),MATCH(SCC_Alkaline_Carbonate!$Q20,'Tables - Part 2'!$AX$5:$BA$5,0)))/2)+INDEX('Tables - Part 2'!$AX$17:$BA$24,MATCH(SCC_Alkaline_Carbonate!$S20,'Tables - Part 2'!$AV$6:$AV$13,0),MATCH(SCC_Alkaline_Carbonate!$Q20,'Tables - Part 2'!$AX$5:$BA$5,0)))/2)+(INDEX('Tables - Part 2'!$AX$17:$BA$24,MATCH(SCC_Alkaline_Carbonate!$S20,'Tables - Part 2'!$AV$6:$AV$13,0),MATCH(SCC_Alkaline_Carbonate!$Q20,'Tables - Part 2'!$AX$5:$BA$5,0))))/2,0)</f>
        <v>0</v>
      </c>
      <c r="AW20" s="248">
        <f>IF($P20=$AW$3,INDEX('Tables - Part 2'!$AX$17:$BA$24,MATCH(SCC_Alkaline_Carbonate!$S20,'Tables - Part 2'!$AV$6:$AV$13,0),MATCH(SCC_Alkaline_Carbonate!$Q20,'Tables - Part 2'!$AX$5:$BA$5,0)),0)</f>
        <v>0</v>
      </c>
      <c r="AX20" s="248">
        <f>IF($P20=$AX$3,((INDEX('Tables - Part 2'!$AX$17:$BA$24,MATCH(SCC_Alkaline_Carbonate!$S20,'Tables - Part 2'!$AV$6:$AV$13,0),MATCH(SCC_Alkaline_Carbonate!$Q20,'Tables - Part 2'!$AX$5:$BA$5,0)))+(((INDEX('Tables - Part 2'!$AX$17:$BA$24,MATCH(SCC_Alkaline_Carbonate!$S20,'Tables - Part 2'!$AV$6:$AV$13,0),MATCH(SCC_Alkaline_Carbonate!$Q20,'Tables - Part 2'!$AX$5:$BA$5,0)))+(INDEX('Tables - Part 2'!$AX$17:$BA$24,MATCH(SCC_Alkaline_Carbonate!$S20,'Tables - Part 2'!$AV$6:$AV$13,0),MATCH(SCC_Alkaline_Carbonate!$Q20,'Tables - Part 2'!$AX$5:$BA$5,0))+INDEX('Tables - Part 2'!$BB$17:$BE$24,MATCH(SCC_Alkaline_Carbonate!$S20,'Tables - Part 2'!$AV$6:$AV$13,0),MATCH(SCC_Alkaline_Carbonate!$Q20,'Tables - Part 2'!$AX$5:$BA$5,0)))/2)/2))/2,0)</f>
        <v>0</v>
      </c>
      <c r="AY20" s="248">
        <f>IF($P20=$AY$3,((INDEX('Tables - Part 2'!$AX$17:$BA$24,MATCH(SCC_Alkaline_Carbonate!$S20,'Tables - Part 2'!$AV$6:$AV$13,0),MATCH(SCC_Alkaline_Carbonate!$Q20,'Tables - Part 2'!$AX$5:$BA$5,0)))+(INDEX('Tables - Part 2'!$AX$17:$BA$24,MATCH(SCC_Alkaline_Carbonate!$S20,'Tables - Part 2'!$AV$6:$AV$13,0),MATCH(SCC_Alkaline_Carbonate!$Q20,'Tables - Part 2'!$AX$5:$BA$5,0))+INDEX('Tables - Part 2'!$BB$17:$BE$24,MATCH(SCC_Alkaline_Carbonate!$S20,'Tables - Part 2'!$AV$6:$AV$13,0),MATCH(SCC_Alkaline_Carbonate!$Q20,'Tables - Part 2'!$AX$5:$BA$5,0)))/2)/2,0)</f>
        <v>0</v>
      </c>
      <c r="AZ20" s="248">
        <f>IF($P20=$AZ$3,((((INDEX('Tables - Part 2'!$AX$17:$BA$24,MATCH(SCC_Alkaline_Carbonate!$S20,'Tables - Part 2'!$AV$6:$AV$13,0),MATCH(SCC_Alkaline_Carbonate!$Q20,'Tables - Part 2'!$AX$5:$BA$5,0)))+(INDEX('Tables - Part 2'!$AX$17:$BA$24,MATCH(SCC_Alkaline_Carbonate!$S20,'Tables - Part 2'!$AV$6:$AV$13,0),MATCH(SCC_Alkaline_Carbonate!$Q20,'Tables - Part 2'!$AX$5:$BA$5,0))+INDEX('Tables - Part 2'!$BB$17:$BE$24,MATCH(SCC_Alkaline_Carbonate!$S20,'Tables - Part 2'!$AV$6:$AV$13,0),MATCH(SCC_Alkaline_Carbonate!$Q20,'Tables - Part 2'!$AX$5:$BA$5,0)))/2)/2)+((INDEX('Tables - Part 2'!$AX$17:$BA$24,MATCH(SCC_Alkaline_Carbonate!$S20,'Tables - Part 2'!$AV$6:$AV$13,0),MATCH(SCC_Alkaline_Carbonate!$Q20,'Tables - Part 2'!$AX$5:$BA$5,0))+INDEX('Tables - Part 2'!$BB$17:$BE$24,MATCH(SCC_Alkaline_Carbonate!$S20,'Tables - Part 2'!$AV$6:$AV$13,0),MATCH(SCC_Alkaline_Carbonate!$Q20,'Tables - Part 2'!$AX$5:$BA$5,0)))/2))/2,0)</f>
        <v>0</v>
      </c>
      <c r="BA20" s="248">
        <f>IF($P20=$BA$3,(INDEX('Tables - Part 2'!$AX$17:$BA$24,MATCH(SCC_Alkaline_Carbonate!$S20,'Tables - Part 2'!$AV$6:$AV$13,0),MATCH(SCC_Alkaline_Carbonate!$Q20,'Tables - Part 2'!$AX$5:$BA$5,0))+INDEX('Tables - Part 2'!$BB$17:$BE$24,MATCH(SCC_Alkaline_Carbonate!$S20,'Tables - Part 2'!$AV$6:$AV$13,0),MATCH(SCC_Alkaline_Carbonate!$Q20,'Tables - Part 2'!$AX$5:$BA$5,0)))/2,0)</f>
        <v>0</v>
      </c>
      <c r="BB20" s="248">
        <f>IF($P20=$BB$3,(((INDEX('Tables - Part 2'!$AX$17:$BA$24,MATCH(SCC_Alkaline_Carbonate!$S20,'Tables - Part 2'!$AV$6:$AV$13,0),MATCH(SCC_Alkaline_Carbonate!$Q20,'Tables - Part 2'!$AX$5:$BA$5,0))+INDEX('Tables - Part 2'!$BB$17:$BE$24,MATCH(SCC_Alkaline_Carbonate!$S20,'Tables - Part 2'!$AV$6:$AV$13,0),MATCH(SCC_Alkaline_Carbonate!$Q20,'Tables - Part 2'!$AX$5:$BA$5,0)))/2)+((((INDEX('Tables - Part 2'!$AX$17:$BA$24,MATCH(SCC_Alkaline_Carbonate!$S20,'Tables - Part 2'!$AV$6:$AV$13,0),MATCH(SCC_Alkaline_Carbonate!$Q20,'Tables - Part 2'!$AX$5:$BA$5,0))+INDEX('Tables - Part 2'!$BB$17:$BE$24,MATCH(SCC_Alkaline_Carbonate!$S20,'Tables - Part 2'!$AV$6:$AV$13,0),MATCH(SCC_Alkaline_Carbonate!$Q20,'Tables - Part 2'!$AX$5:$BA$5,0)))/2)+INDEX('Tables - Part 2'!$BB$17:$BE$24,MATCH(SCC_Alkaline_Carbonate!$S20,'Tables - Part 2'!$AV$6:$AV$13,0),MATCH(SCC_Alkaline_Carbonate!$Q20,'Tables - Part 2'!$AX$5:$BA$5,0)))/2))/2,0)</f>
        <v>0</v>
      </c>
      <c r="BC20" s="248">
        <f>IF($P20=$BC$3,(((INDEX('Tables - Part 2'!$AX$17:$BA$24,MATCH(SCC_Alkaline_Carbonate!$S20,'Tables - Part 2'!$AV$6:$AV$13,0),MATCH(SCC_Alkaline_Carbonate!$Q20,'Tables - Part 2'!$AX$5:$BA$5,0))+INDEX('Tables - Part 2'!$BB$17:$BE$24,MATCH(SCC_Alkaline_Carbonate!$S20,'Tables - Part 2'!$AV$6:$AV$13,0),MATCH(SCC_Alkaline_Carbonate!$Q20,'Tables - Part 2'!$AX$5:$BA$5,0)))/2)+INDEX('Tables - Part 2'!$BB$17:$BE$24,MATCH(SCC_Alkaline_Carbonate!$S20,'Tables - Part 2'!$AV$6:$AV$13,0),MATCH(SCC_Alkaline_Carbonate!$Q20,'Tables - Part 2'!$AX$5:$BA$5,0)))/2,0)</f>
        <v>0</v>
      </c>
      <c r="BD20" s="248">
        <f>IF($P20=$BD$3,(((((INDEX('Tables - Part 2'!$AX$17:$BA$24,MATCH(SCC_Alkaline_Carbonate!$S20,'Tables - Part 2'!$AV$6:$AV$13,0),MATCH(SCC_Alkaline_Carbonate!$Q20,'Tables - Part 2'!$AX$5:$BA$5,0))+INDEX('Tables - Part 2'!$BB$17:$BE$24,MATCH(SCC_Alkaline_Carbonate!$S20,'Tables - Part 2'!$AV$6:$AV$13,0),MATCH(SCC_Alkaline_Carbonate!$Q20,'Tables - Part 2'!$AX$5:$BA$5,0)))/2)+INDEX('Tables - Part 2'!$BB$17:$BE$24,MATCH(SCC_Alkaline_Carbonate!$S20,'Tables - Part 2'!$AV$6:$AV$13,0),MATCH(SCC_Alkaline_Carbonate!$Q20,'Tables - Part 2'!$AX$5:$BA$5,0)))/2)+(INDEX('Tables - Part 2'!$BB$17:$BE$24,MATCH(SCC_Alkaline_Carbonate!$S20,'Tables - Part 2'!$AV$6:$AV$13,0),MATCH(SCC_Alkaline_Carbonate!$Q20,'Tables - Part 2'!$AX$5:$BA$5,0))))/2,0)</f>
        <v>0</v>
      </c>
      <c r="BE20" s="248">
        <f>IF($P20=$BE$3,INDEX('Tables - Part 2'!$BB$17:$BE$24,MATCH(SCC_Alkaline_Carbonate!$S20,'Tables - Part 2'!$AV$6:$AV$13,0),MATCH(SCC_Alkaline_Carbonate!$Q20,'Tables - Part 2'!$AX$5:$BA$5,0)),0)</f>
        <v>0</v>
      </c>
      <c r="BF20" s="248">
        <f>IF($P20=$BF$3,((INDEX('Tables - Part 2'!$BB$17:$BE$24,MATCH(SCC_Alkaline_Carbonate!$S20,'Tables - Part 2'!$AV$6:$AV$13,0),MATCH(SCC_Alkaline_Carbonate!$Q20,'Tables - Part 2'!$AX$5:$BA$5,0)))+(((INDEX('Tables - Part 2'!$BB$17:$BE$24,MATCH(SCC_Alkaline_Carbonate!$S20,'Tables - Part 2'!$AV$6:$AV$13,0),MATCH(SCC_Alkaline_Carbonate!$Q20,'Tables - Part 2'!$AX$5:$BA$5,0)))+(INDEX('Tables - Part 2'!$BB$17:$BE$24,MATCH(SCC_Alkaline_Carbonate!$S20,'Tables - Part 2'!$AV$6:$AV$13,0),MATCH(SCC_Alkaline_Carbonate!$Q20,'Tables - Part 2'!$AX$5:$BA$5,0))+INDEX('Tables - Part 2'!$BF$17:$BI$24,MATCH(SCC_Alkaline_Carbonate!$S20,'Tables - Part 2'!$AV$6:$AV$13,0),MATCH(SCC_Alkaline_Carbonate!$Q20,'Tables - Part 2'!$AX$5:$BA$5,0)))/2)/2))/2,0)</f>
        <v>0</v>
      </c>
      <c r="BG20" s="248">
        <f>IF($P20=$BG$3,((INDEX('Tables - Part 2'!$BB$17:$BE$24,MATCH(SCC_Alkaline_Carbonate!$S20,'Tables - Part 2'!$AV$6:$AV$13,0),MATCH(SCC_Alkaline_Carbonate!$Q20,'Tables - Part 2'!$AX$5:$BA$5,0)))+(INDEX('Tables - Part 2'!$BB$17:$BE$24,MATCH(SCC_Alkaline_Carbonate!$S20,'Tables - Part 2'!$AV$6:$AV$13,0),MATCH(SCC_Alkaline_Carbonate!$Q20,'Tables - Part 2'!$AX$5:$BA$5,0))+INDEX('Tables - Part 2'!$BF$17:$BI$24,MATCH(SCC_Alkaline_Carbonate!$S20,'Tables - Part 2'!$AV$6:$AV$13,0),MATCH(SCC_Alkaline_Carbonate!$Q20,'Tables - Part 2'!$AX$5:$BA$5,0)))/2)/2,0)</f>
        <v>0</v>
      </c>
      <c r="BH20" s="248">
        <f>IF($P20=$BH$3,((((INDEX('Tables - Part 2'!$BB$17:$BE$24,MATCH(SCC_Alkaline_Carbonate!$S20,'Tables - Part 2'!$AV$6:$AV$13,0),MATCH(SCC_Alkaline_Carbonate!$Q20,'Tables - Part 2'!$AX$5:$BA$5,0)))+(INDEX('Tables - Part 2'!$BB$17:$BE$24,MATCH(SCC_Alkaline_Carbonate!$S20,'Tables - Part 2'!$AV$6:$AV$13,0),MATCH(SCC_Alkaline_Carbonate!$Q20,'Tables - Part 2'!$AX$5:$BA$5,0))+INDEX('Tables - Part 2'!$BF$17:$BI$24,MATCH(SCC_Alkaline_Carbonate!$S20,'Tables - Part 2'!$AV$6:$AV$13,0),MATCH(SCC_Alkaline_Carbonate!$Q20,'Tables - Part 2'!$AX$5:$BA$5,0)))/2)/2)+((INDEX('Tables - Part 2'!$BB$17:$BE$24,MATCH(SCC_Alkaline_Carbonate!$S20,'Tables - Part 2'!$AV$6:$AV$13,0),MATCH(SCC_Alkaline_Carbonate!$Q20,'Tables - Part 2'!$AX$5:$BA$5,0))+INDEX('Tables - Part 2'!$BF$17:$BI$24,MATCH(SCC_Alkaline_Carbonate!$S20,'Tables - Part 2'!$AV$6:$AV$13,0),MATCH(SCC_Alkaline_Carbonate!$Q20,'Tables - Part 2'!$AX$5:$BA$5,0)))/2))/2,0)</f>
        <v>0</v>
      </c>
      <c r="BI20" s="248">
        <f>IF($P20=$BI$3,(INDEX('Tables - Part 2'!$BB$17:$BE$24,MATCH(SCC_Alkaline_Carbonate!$S20,'Tables - Part 2'!$AV$6:$AV$13,0),MATCH(SCC_Alkaline_Carbonate!$Q20,'Tables - Part 2'!$AX$5:$BA$5,0))+INDEX('Tables - Part 2'!$BF$17:$BI$24,MATCH(SCC_Alkaline_Carbonate!$S20,'Tables - Part 2'!$AV$6:$AV$13,0),MATCH(SCC_Alkaline_Carbonate!$Q20,'Tables - Part 2'!$AX$5:$BA$5,0)))/2,0)</f>
        <v>0</v>
      </c>
      <c r="BJ20" s="248">
        <f>IF($P20=$BJ$3,(((INDEX('Tables - Part 2'!$BB$17:$BE$24,MATCH(SCC_Alkaline_Carbonate!$S20,'Tables - Part 2'!$AV$6:$AV$13,0),MATCH(SCC_Alkaline_Carbonate!$Q20,'Tables - Part 2'!$AX$5:$BA$5,0))+INDEX('Tables - Part 2'!$BF$17:$BI$24,MATCH(SCC_Alkaline_Carbonate!$S20,'Tables - Part 2'!$AV$6:$AV$13,0),MATCH(SCC_Alkaline_Carbonate!$Q20,'Tables - Part 2'!$AX$5:$BA$5,0)))/2)+((((INDEX('Tables - Part 2'!$BB$17:$BE$24,MATCH(SCC_Alkaline_Carbonate!$S20,'Tables - Part 2'!$AV$6:$AV$13,0),MATCH(SCC_Alkaline_Carbonate!$Q20,'Tables - Part 2'!$AX$5:$BA$5,0))+INDEX('Tables - Part 2'!$BF$17:$BI$24,MATCH(SCC_Alkaline_Carbonate!$S20,'Tables - Part 2'!$AV$6:$AV$13,0),MATCH(SCC_Alkaline_Carbonate!$Q20,'Tables - Part 2'!$AX$5:$BA$5,0)))/2)+INDEX('Tables - Part 2'!$BF$17:$BI$24,MATCH(SCC_Alkaline_Carbonate!$S20,'Tables - Part 2'!$AV$6:$AV$13,0),MATCH(SCC_Alkaline_Carbonate!$Q20,'Tables - Part 2'!$AX$5:$BA$5,0)))/2))/2,0)</f>
        <v>0</v>
      </c>
      <c r="BK20" s="248">
        <f>IF($P20=$BK$3,(((INDEX('Tables - Part 2'!$BB$17:$BE$24,MATCH(SCC_Alkaline_Carbonate!$S20,'Tables - Part 2'!$AV$6:$AV$13,0),MATCH(SCC_Alkaline_Carbonate!$Q20,'Tables - Part 2'!$AX$5:$BA$5,0))+INDEX('Tables - Part 2'!$BF$17:$BI$24,MATCH(SCC_Alkaline_Carbonate!$S20,'Tables - Part 2'!$AV$6:$AV$13,0),MATCH(SCC_Alkaline_Carbonate!$Q20,'Tables - Part 2'!$AX$5:$BA$5,0)))/2)+INDEX('Tables - Part 2'!$BF$17:$BI$24,MATCH(SCC_Alkaline_Carbonate!$S20,'Tables - Part 2'!$AV$6:$AV$13,0),MATCH(SCC_Alkaline_Carbonate!$Q20,'Tables - Part 2'!$AX$5:$BA$5,0)))/2,0)</f>
        <v>0</v>
      </c>
      <c r="BL20" s="248">
        <f>IF($P20=$BL$3,(((((INDEX('Tables - Part 2'!$BB$17:$BE$24,MATCH(SCC_Alkaline_Carbonate!$S20,'Tables - Part 2'!$AV$6:$AV$13,0),MATCH(SCC_Alkaline_Carbonate!$Q20,'Tables - Part 2'!$AX$5:$BA$5,0))+INDEX('Tables - Part 2'!$BF$17:$BI$24,MATCH(SCC_Alkaline_Carbonate!$S20,'Tables - Part 2'!$AV$6:$AV$13,0),MATCH(SCC_Alkaline_Carbonate!$Q20,'Tables - Part 2'!$AX$5:$BA$5,0)))/2)+INDEX('Tables - Part 2'!$BF$17:$BI$24,MATCH(SCC_Alkaline_Carbonate!$S20,'Tables - Part 2'!$AV$6:$AV$13,0),MATCH(SCC_Alkaline_Carbonate!$Q20,'Tables - Part 2'!$AX$5:$BA$5,0)))/2)+(INDEX('Tables - Part 2'!$BF$17:$BI$24,MATCH(SCC_Alkaline_Carbonate!$S20,'Tables - Part 2'!$AV$6:$AV$13,0),MATCH(SCC_Alkaline_Carbonate!$Q20,'Tables - Part 2'!$AX$5:$BA$5,0))))/2,0)</f>
        <v>0</v>
      </c>
      <c r="BM20" s="248">
        <f>IF($P20=$BM$3,INDEX('Tables - Part 2'!$BF$17:$BI$24,MATCH(SCC_Alkaline_Carbonate!$S20,'Tables - Part 2'!$AV$6:$AV$13,0),MATCH(SCC_Alkaline_Carbonate!$Q20,'Tables - Part 2'!$AX$5:$BA$5,0)),0)</f>
        <v>0</v>
      </c>
      <c r="BN20" s="248">
        <f t="shared" si="6"/>
        <v>0</v>
      </c>
      <c r="BO20" s="238">
        <f t="shared" si="8"/>
        <v>3</v>
      </c>
      <c r="BP20" s="238">
        <f t="shared" si="7"/>
        <v>50.318647405225171</v>
      </c>
    </row>
    <row r="21" spans="2:68" x14ac:dyDescent="0.35">
      <c r="B21" s="161" t="str">
        <f>'Tratamento de Dados'!B29</f>
        <v>V-9</v>
      </c>
      <c r="C21" s="161" t="str">
        <f>'Tratamento de Dados'!D29</f>
        <v>Casco</v>
      </c>
      <c r="D21" s="209" t="s">
        <v>245</v>
      </c>
      <c r="E21" s="209" t="s">
        <v>61</v>
      </c>
      <c r="F21" s="209" t="s">
        <v>1134</v>
      </c>
      <c r="G21" s="209" t="s">
        <v>1132</v>
      </c>
      <c r="H21" s="209" t="s">
        <v>245</v>
      </c>
      <c r="I21" s="210">
        <v>39092</v>
      </c>
      <c r="J21" s="209">
        <v>0</v>
      </c>
      <c r="K21" s="209">
        <v>1</v>
      </c>
      <c r="L21" s="209">
        <v>1</v>
      </c>
      <c r="M21" s="209">
        <v>4</v>
      </c>
      <c r="N21" s="253">
        <f>'Tratamento de Dados'!DA29</f>
        <v>0</v>
      </c>
      <c r="O21" s="253">
        <f>'Tratamento de Dados'!DB29</f>
        <v>0</v>
      </c>
      <c r="P21" s="256">
        <f t="shared" si="0"/>
        <v>2.5</v>
      </c>
      <c r="Q21" s="246" t="str">
        <f t="shared" si="1"/>
        <v>B</v>
      </c>
      <c r="R21" s="238" t="str">
        <f>IF(D21=$BU$2,$BS$4,IF(H21=$BU$2,$BS$5,INDEX('Tables - Part 2'!$DA$6:$DB$9,MATCH(SCC_Alkaline_Carbonate!F21,'Tables - Part 2'!$CY$6:$CY$9,0),MATCH(SCC_Alkaline_Carbonate!G21,'Tables - Part 2'!$DA$5:$DB$5,0))))</f>
        <v>Medium</v>
      </c>
      <c r="S21" s="238">
        <f>IF(AND(D21=$BU$2,E21&lt;&gt;$BU$2),"Fitness-For-Service",INDEX('Tables - Part 2'!$DE$4:$DE$7,MATCH(SCC_Alkaline_Carbonate!R21,'Tables - Part 2'!$DD$4:$DD$7,0),))</f>
        <v>100</v>
      </c>
      <c r="T21" s="238">
        <f>IF(I21=0,(Thinning!G22-Thinning!F22)/365.25,(Thinning!G22-I21)/365.25)</f>
        <v>12.980150581793293</v>
      </c>
      <c r="U21" s="248">
        <f t="shared" si="2"/>
        <v>0</v>
      </c>
      <c r="V21" s="248">
        <f t="shared" si="3"/>
        <v>2.5</v>
      </c>
      <c r="W21" s="248">
        <f t="shared" si="4"/>
        <v>3</v>
      </c>
      <c r="X21" s="247">
        <f t="shared" si="5"/>
        <v>4</v>
      </c>
      <c r="Y21" s="248">
        <f>IF($P21=$Y$3,INDEX('Tables - Part 2'!$AX$6:$BA$13,MATCH(SCC_Alkaline_Carbonate!S21,'Tables - Part 2'!$AV$6:$AV$13,0),MATCH(SCC_Alkaline_Carbonate!Q21,'Tables - Part 2'!$AX$5:$BA$5,0)),0)</f>
        <v>0</v>
      </c>
      <c r="Z21" s="248">
        <f>IF($P21=$Z$3,(INDEX('Tables - Part 2'!$AX$6:$BA$13,MATCH(SCC_Alkaline_Carbonate!S21,'Tables - Part 2'!$AV$6:$AV$13,0),MATCH(SCC_Alkaline_Carbonate!Q21,'Tables - Part 2'!$AX$5:$BA$5,0))+(INDEX('Tables - Part 2'!$AX$6:$BA$13,MATCH(SCC_Alkaline_Carbonate!S21,'Tables - Part 2'!$AV$6:$AV$13,0),MATCH(SCC_Alkaline_Carbonate!Q21,'Tables - Part 2'!$AX$5:$BA$5,0))+((INDEX('Tables - Part 2'!$AX$6:$BA$13,MATCH(SCC_Alkaline_Carbonate!S21,'Tables - Part 2'!$AV$6:$AV$13,0),MATCH(SCC_Alkaline_Carbonate!Q21,'Tables - Part 2'!$AX$5:$BA$5,0))+INDEX('Tables - Part 2'!$BB$6:$BE$13,MATCH(SCC_Alkaline_Carbonate!$S21,'Tables - Part 2'!$AV$6:$AV$13,0),MATCH(SCC_Alkaline_Carbonate!$Q21,'Tables - Part 2'!$AX$5:$BA$5,0)))/2))/2)/2,0)</f>
        <v>0</v>
      </c>
      <c r="AA21" s="248">
        <f>IF($P21=$AA$3,(INDEX('Tables - Part 2'!$AX$6:$BA$13,MATCH(SCC_Alkaline_Carbonate!S21,'Tables - Part 2'!$AV$6:$AV$13,0),MATCH(SCC_Alkaline_Carbonate!Q21,'Tables - Part 2'!$AX$5:$BA$5,0))+((INDEX('Tables - Part 2'!$AX$6:$BA$13,MATCH(SCC_Alkaline_Carbonate!S21,'Tables - Part 2'!$AV$6:$AV$13,0),MATCH(SCC_Alkaline_Carbonate!Q21,'Tables - Part 2'!$AX$5:$BA$5,0))+INDEX('Tables - Part 2'!$BB$6:$BE$13,MATCH(SCC_Alkaline_Carbonate!$S21,'Tables - Part 2'!$AV$6:$AV$13,0),MATCH(SCC_Alkaline_Carbonate!$Q21,'Tables - Part 2'!$AX$5:$BA$5,0)))/2))/2,0)</f>
        <v>0</v>
      </c>
      <c r="AB21" s="248">
        <f>IF($P21=$AB$3,(((INDEX('Tables - Part 2'!$AX$6:$BA$13,MATCH(SCC_Alkaline_Carbonate!S21,'Tables - Part 2'!$AV$6:$AV$13,0),MATCH(SCC_Alkaline_Carbonate!Q21,'Tables - Part 2'!$AX$5:$BA$5,0))+((INDEX('Tables - Part 2'!$AX$6:$BA$13,MATCH(SCC_Alkaline_Carbonate!S21,'Tables - Part 2'!$AV$6:$AV$13,0),MATCH(SCC_Alkaline_Carbonate!Q21,'Tables - Part 2'!$AX$5:$BA$5,0))+INDEX('Tables - Part 2'!$BB$6:$BE$13,MATCH(SCC_Alkaline_Carbonate!$S21,'Tables - Part 2'!$AV$6:$AV$13,0),MATCH(SCC_Alkaline_Carbonate!$Q21,'Tables - Part 2'!$AX$5:$BA$5,0)))/2))/2)+(INDEX('Tables - Part 2'!$AX$6:$BA$13,MATCH(SCC_Alkaline_Carbonate!S21,'Tables - Part 2'!$AV$6:$AV$13,0),MATCH(SCC_Alkaline_Carbonate!Q21,'Tables - Part 2'!$AX$5:$BA$5,0))+INDEX('Tables - Part 2'!$BB$6:$BE$13,MATCH(SCC_Alkaline_Carbonate!$S21,'Tables - Part 2'!$AV$6:$AV$13,0),MATCH(SCC_Alkaline_Carbonate!$Q21,'Tables - Part 2'!$AX$5:$BA$5,0)))/2)/2,0)</f>
        <v>0</v>
      </c>
      <c r="AC21" s="248">
        <f>IF($P21=$AC$3,(INDEX('Tables - Part 2'!$AX$6:$BA$13,MATCH(SCC_Alkaline_Carbonate!S21,'Tables - Part 2'!$AV$6:$AV$13,0),MATCH(SCC_Alkaline_Carbonate!Q21,'Tables - Part 2'!$AX$5:$BA$5,0))+INDEX('Tables - Part 2'!$BB$6:$BE$13,MATCH(SCC_Alkaline_Carbonate!$S21,'Tables - Part 2'!$AV$6:$AV$13,0),MATCH(SCC_Alkaline_Carbonate!$Q21,'Tables - Part 2'!$AX$5:$BA$5,0)))/2,0)</f>
        <v>0</v>
      </c>
      <c r="AD21" s="248">
        <f>IF($P21=$AD$3,(((INDEX('Tables - Part 2'!$AX$6:$BA$13,MATCH(SCC_Alkaline_Carbonate!S21,'Tables - Part 2'!$AV$6:$AV$13,0),MATCH(SCC_Alkaline_Carbonate!Q21,'Tables - Part 2'!$AX$5:$BA$5,0))+INDEX('Tables - Part 2'!$BB$6:$BE$13,MATCH(SCC_Alkaline_Carbonate!$S21,'Tables - Part 2'!$AV$6:$AV$13,0),MATCH(SCC_Alkaline_Carbonate!$Q21,'Tables - Part 2'!$AX$5:$BA$5,0)))/2)+(((INDEX('Tables - Part 2'!$AX$6:$BA$13,MATCH(SCC_Alkaline_Carbonate!S21,'Tables - Part 2'!$AV$6:$AV$13,0),MATCH(SCC_Alkaline_Carbonate!Q21,'Tables - Part 2'!$AX$5:$BA$5,0))+INDEX('Tables - Part 2'!$BB$6:$BE$13,MATCH(SCC_Alkaline_Carbonate!$S21,'Tables - Part 2'!$AV$6:$AV$13,0),MATCH(SCC_Alkaline_Carbonate!$Q21,'Tables - Part 2'!$AX$5:$BA$5,0)))/2)+INDEX('Tables - Part 2'!$BB$6:$BE$13,MATCH(SCC_Alkaline_Carbonate!$S21,'Tables - Part 2'!$AV$6:$AV$13,0),MATCH(SCC_Alkaline_Carbonate!$Q21,'Tables - Part 2'!$AX$5:$BA$5,0)))/2)/2,0)</f>
        <v>0</v>
      </c>
      <c r="AE21" s="248">
        <f>IF($P21=$AE$3,(((INDEX('Tables - Part 2'!$AX$6:$BA$13,MATCH(SCC_Alkaline_Carbonate!S21,'Tables - Part 2'!$AV$6:$AV$13,0),MATCH(SCC_Alkaline_Carbonate!Q21,'Tables - Part 2'!$AX$5:$BA$5,0))+INDEX('Tables - Part 2'!$BB$6:$BE$13,MATCH(SCC_Alkaline_Carbonate!$S21,'Tables - Part 2'!$AV$6:$AV$13,0),MATCH(SCC_Alkaline_Carbonate!$Q21,'Tables - Part 2'!$AX$5:$BA$5,0)))/2)+INDEX('Tables - Part 2'!$BB$6:$BE$13,MATCH(SCC_Alkaline_Carbonate!$S21,'Tables - Part 2'!$AV$6:$AV$13,0),MATCH(SCC_Alkaline_Carbonate!$Q21,'Tables - Part 2'!$AX$5:$BA$5,0)))/2,0)</f>
        <v>0</v>
      </c>
      <c r="AF21" s="248">
        <f>IF($P21=$AF$3,(((((INDEX('Tables - Part 2'!$AX$6:$BA$13,MATCH(SCC_Alkaline_Carbonate!S21,'Tables - Part 2'!$AV$6:$AV$13,0),MATCH(SCC_Alkaline_Carbonate!Q21,'Tables - Part 2'!$AX$5:$BA$5,0))+INDEX('Tables - Part 2'!$BB$6:$BE$13,MATCH(SCC_Alkaline_Carbonate!$S21,'Tables - Part 2'!$AV$6:$AV$13,0),MATCH(SCC_Alkaline_Carbonate!$Q21,'Tables - Part 2'!$AX$5:$BA$5,0)))/2)+INDEX('Tables - Part 2'!$BB$6:$BE$13,MATCH(SCC_Alkaline_Carbonate!$S21,'Tables - Part 2'!$AV$6:$AV$13,0),MATCH(SCC_Alkaline_Carbonate!$Q21,'Tables - Part 2'!$AX$5:$BA$5,0)))/2)+INDEX('Tables - Part 2'!$BB$6:$BE$13,MATCH(SCC_Alkaline_Carbonate!$S21,'Tables - Part 2'!$AV$6:$AV$13,0),MATCH(SCC_Alkaline_Carbonate!$Q21,'Tables - Part 2'!$AX$5:$BA$5,0)))/2,0)</f>
        <v>0</v>
      </c>
      <c r="AG21" s="248">
        <f>IF($P21=$AG$3,INDEX('Tables - Part 2'!$BB$6:$BE$13,MATCH(SCC_Alkaline_Carbonate!$S21,'Tables - Part 2'!$AV$6:$AV$13,0),MATCH(SCC_Alkaline_Carbonate!$Q21,'Tables - Part 2'!$AX$5:$BA$5,0)),0)</f>
        <v>0</v>
      </c>
      <c r="AH21" s="248">
        <f>IF($P21=$AH$3,((INDEX('Tables - Part 2'!$BB$6:$BE$13,MATCH(SCC_Alkaline_Carbonate!$S21,'Tables - Part 2'!$AV$6:$AV$13,0),MATCH(SCC_Alkaline_Carbonate!$Q21,'Tables - Part 2'!$AX$5:$BA$5,0)))+(INDEX('Tables - Part 2'!$BB$6:$BE$13,MATCH(SCC_Alkaline_Carbonate!$S21,'Tables - Part 2'!$AV$6:$AV$13,0),MATCH(SCC_Alkaline_Carbonate!$Q21,'Tables - Part 2'!$AX$5:$BA$5,0))+(INDEX('Tables - Part 2'!$BB$6:$BE$13,MATCH(SCC_Alkaline_Carbonate!$S21,'Tables - Part 2'!$AV$6:$AV$13,0),MATCH(SCC_Alkaline_Carbonate!$Q21,'Tables - Part 2'!$AX$5:$BA$5,0))+INDEX('Tables - Part 2'!$BF$6:$BI$13,MATCH(SCC_Alkaline_Carbonate!$S21,'Tables - Part 2'!$AV$6:$AV$13,0),MATCH(SCC_Alkaline_Carbonate!$Q21,'Tables - Part 2'!$AX$5:$BA$5,0)))/2)/2)/2,0)</f>
        <v>0</v>
      </c>
      <c r="AI21" s="248">
        <f>IF($P21=$AI$3,(INDEX('Tables - Part 2'!$BB$6:$BE$13,MATCH(SCC_Alkaline_Carbonate!$S21,'Tables - Part 2'!$AV$6:$AV$13,0),MATCH(SCC_Alkaline_Carbonate!$Q21,'Tables - Part 2'!$AX$5:$BA$5,0))+(INDEX('Tables - Part 2'!$BB$6:$BE$13,MATCH(SCC_Alkaline_Carbonate!$S21,'Tables - Part 2'!$AV$6:$AV$13,0),MATCH(SCC_Alkaline_Carbonate!$Q21,'Tables - Part 2'!$AX$5:$BA$5,0))+INDEX('Tables - Part 2'!$BF$6:$BI$13,MATCH(SCC_Alkaline_Carbonate!$S21,'Tables - Part 2'!$AV$6:$AV$13,0),MATCH(SCC_Alkaline_Carbonate!$Q21,'Tables - Part 2'!$AX$5:$BA$5,0)))/2)/2,0)</f>
        <v>0</v>
      </c>
      <c r="AJ21" s="248">
        <f>IF($P21=$AJ$3,(((INDEX('Tables - Part 2'!$BB$6:$BE$13,MATCH(SCC_Alkaline_Carbonate!$S21,'Tables - Part 2'!$AV$6:$AV$13,0),MATCH(SCC_Alkaline_Carbonate!$Q21,'Tables - Part 2'!$AX$5:$BA$5,0))+(INDEX('Tables - Part 2'!$BB$6:$BE$13,MATCH(SCC_Alkaline_Carbonate!$S21,'Tables - Part 2'!$AV$6:$AV$13,0),MATCH(SCC_Alkaline_Carbonate!$Q21,'Tables - Part 2'!$AX$5:$BA$5,0))+INDEX('Tables - Part 2'!$BF$6:$BI$13,MATCH(SCC_Alkaline_Carbonate!$S21,'Tables - Part 2'!$AV$6:$AV$13,0),MATCH(SCC_Alkaline_Carbonate!$Q21,'Tables - Part 2'!$AX$5:$BA$5,0)))/2)/2)+((INDEX('Tables - Part 2'!$BB$6:$BE$13,MATCH(SCC_Alkaline_Carbonate!$S21,'Tables - Part 2'!$AV$6:$AV$13,0),MATCH(SCC_Alkaline_Carbonate!$Q21,'Tables - Part 2'!$AX$5:$BA$5,0))+INDEX('Tables - Part 2'!$BF$6:$BI$13,MATCH(SCC_Alkaline_Carbonate!$S21,'Tables - Part 2'!$AV$6:$AV$13,0),MATCH(SCC_Alkaline_Carbonate!$Q21,'Tables - Part 2'!$AX$5:$BA$5,0)))/2))/2,0)</f>
        <v>0</v>
      </c>
      <c r="AK21" s="248">
        <f>IF($P21=$AK$3,(INDEX('Tables - Part 2'!$BB$6:$BE$13,MATCH(SCC_Alkaline_Carbonate!$S21,'Tables - Part 2'!$AV$6:$AV$13,0),MATCH(SCC_Alkaline_Carbonate!$Q21,'Tables - Part 2'!$AX$5:$BA$5,0))+INDEX('Tables - Part 2'!$BF$6:$BI$13,MATCH(SCC_Alkaline_Carbonate!$S21,'Tables - Part 2'!$AV$6:$AV$13,0),MATCH(SCC_Alkaline_Carbonate!$Q21,'Tables - Part 2'!$AX$5:$BA$5,0)))/2,0)</f>
        <v>3</v>
      </c>
      <c r="AL21" s="248">
        <f>IF($P21=$AL$3,(((INDEX('Tables - Part 2'!$BB$6:$BE$13,MATCH(SCC_Alkaline_Carbonate!$S21,'Tables - Part 2'!$AV$6:$AV$13,0),MATCH(SCC_Alkaline_Carbonate!$Q21,'Tables - Part 2'!$AX$5:$BA$5,0))+INDEX('Tables - Part 2'!$BF$6:$BI$13,MATCH(SCC_Alkaline_Carbonate!$S21,'Tables - Part 2'!$AV$6:$AV$13,0),MATCH(SCC_Alkaline_Carbonate!$Q21,'Tables - Part 2'!$AX$5:$BA$5,0)))/2)+((((INDEX('Tables - Part 2'!$BB$6:$BE$13,MATCH(SCC_Alkaline_Carbonate!$S21,'Tables - Part 2'!$AV$6:$AV$13,0),MATCH(SCC_Alkaline_Carbonate!$Q21,'Tables - Part 2'!$AX$5:$BA$5,0))+INDEX('Tables - Part 2'!$BF$6:$BI$13,MATCH(SCC_Alkaline_Carbonate!$S21,'Tables - Part 2'!$AV$6:$AV$13,0),MATCH(SCC_Alkaline_Carbonate!$Q21,'Tables - Part 2'!$AX$5:$BA$5,0)))/2)+INDEX('Tables - Part 2'!$BF$6:$BI$13,MATCH(SCC_Alkaline_Carbonate!$S21,'Tables - Part 2'!$AV$6:$AV$13,0),MATCH(SCC_Alkaline_Carbonate!$Q21,'Tables - Part 2'!$AX$5:$BA$5,0)))/2))/2,0)</f>
        <v>0</v>
      </c>
      <c r="AM21" s="248">
        <f>IF($P21=$AM$3,(((INDEX('Tables - Part 2'!$BB$6:$BE$13,MATCH(SCC_Alkaline_Carbonate!$S21,'Tables - Part 2'!$AV$6:$AV$13,0),MATCH(SCC_Alkaline_Carbonate!$Q21,'Tables - Part 2'!$AX$5:$BA$5,0))+INDEX('Tables - Part 2'!$BF$6:$BI$13,MATCH(SCC_Alkaline_Carbonate!$S21,'Tables - Part 2'!$AV$6:$AV$13,0),MATCH(SCC_Alkaline_Carbonate!$Q21,'Tables - Part 2'!$AX$5:$BA$5,0)))/2)+INDEX('Tables - Part 2'!$BF$6:$BI$13,MATCH(SCC_Alkaline_Carbonate!$S21,'Tables - Part 2'!$AV$6:$AV$13,0),MATCH(SCC_Alkaline_Carbonate!$Q21,'Tables - Part 2'!$AX$5:$BA$5,0)))/2,0)</f>
        <v>0</v>
      </c>
      <c r="AN21" s="248">
        <f>IF($P21=$AN$3,(((((INDEX('Tables - Part 2'!$BB$6:$BE$13,MATCH(SCC_Alkaline_Carbonate!$S21,'Tables - Part 2'!$AV$6:$AV$13,0),MATCH(SCC_Alkaline_Carbonate!$Q21,'Tables - Part 2'!$AX$5:$BA$5,0))+INDEX('Tables - Part 2'!$BF$6:$BI$13,MATCH(SCC_Alkaline_Carbonate!$S21,'Tables - Part 2'!$AV$6:$AV$13,0),MATCH(SCC_Alkaline_Carbonate!$Q21,'Tables - Part 2'!$AX$5:$BA$5,0)))/2)+INDEX('Tables - Part 2'!$BF$6:$BI$13,MATCH(SCC_Alkaline_Carbonate!$S21,'Tables - Part 2'!$AV$6:$AV$13,0),MATCH(SCC_Alkaline_Carbonate!$Q21,'Tables - Part 2'!$AX$5:$BA$5,0)))/2)+INDEX('Tables - Part 2'!$BF$6:$BI$13,MATCH(SCC_Alkaline_Carbonate!$S21,'Tables - Part 2'!$AV$6:$AV$13,0),MATCH(SCC_Alkaline_Carbonate!$Q21,'Tables - Part 2'!$AX$5:$BA$5,0)))/2,0)</f>
        <v>0</v>
      </c>
      <c r="AO21" s="248">
        <f>IF($P21=$AO$3,INDEX('Tables - Part 2'!$BF$6:$BI$13,MATCH(SCC_Alkaline_Carbonate!$S21,'Tables - Part 2'!$AV$6:$AV$13,0),MATCH(SCC_Alkaline_Carbonate!$Q21,'Tables - Part 2'!$AX$5:$BA$5,0)),0)</f>
        <v>0</v>
      </c>
      <c r="AP21" s="248">
        <f>IF($P21=$AP$3,(INDEX('Tables - Part 2'!$BF$6:$BI$13,MATCH(SCC_Alkaline_Carbonate!$S21,'Tables - Part 2'!$AV$6:$AV$13,0),MATCH(SCC_Alkaline_Carbonate!$Q21,'Tables - Part 2'!$AX$5:$BA$5,0))+((INDEX('Tables - Part 2'!$BF$6:$BI$13,MATCH(SCC_Alkaline_Carbonate!$S21,'Tables - Part 2'!$AV$6:$AV$13,0),MATCH(SCC_Alkaline_Carbonate!$Q21,'Tables - Part 2'!$AX$5:$BA$5,0))+(INDEX('Tables - Part 2'!$BF$6:$BI$13,MATCH(SCC_Alkaline_Carbonate!$S21,'Tables - Part 2'!$AV$6:$AV$13,0),MATCH(SCC_Alkaline_Carbonate!$Q21,'Tables - Part 2'!$AX$5:$BA$5,0))+INDEX('Tables - Part 2'!$AX$17:$BA$24,MATCH(SCC_Alkaline_Carbonate!$S21,'Tables - Part 2'!$AV$6:$AV$13,0),MATCH(SCC_Alkaline_Carbonate!$Q21,'Tables - Part 2'!$AX$5:$BA$5,0)))/2)/2))/2,0)</f>
        <v>0</v>
      </c>
      <c r="AQ21" s="248">
        <f>IF($P21=$AQ$3,(INDEX('Tables - Part 2'!$BF$6:$BI$13,MATCH(SCC_Alkaline_Carbonate!$S21,'Tables - Part 2'!$AV$6:$AV$13,0),MATCH(SCC_Alkaline_Carbonate!$Q21,'Tables - Part 2'!$AX$5:$BA$5,0))+(INDEX('Tables - Part 2'!$BF$6:$BI$13,MATCH(SCC_Alkaline_Carbonate!$S21,'Tables - Part 2'!$AV$6:$AV$13,0),MATCH(SCC_Alkaline_Carbonate!$Q21,'Tables - Part 2'!$AX$5:$BA$5,0))+INDEX('Tables - Part 2'!$AX$17:$BA$24,MATCH(SCC_Alkaline_Carbonate!$S21,'Tables - Part 2'!$AV$6:$AV$13,0),MATCH(SCC_Alkaline_Carbonate!$Q21,'Tables - Part 2'!$AX$5:$BA$5,0)))/2)/2,0)</f>
        <v>0</v>
      </c>
      <c r="AR21" s="248">
        <f>IF($P21=$AR$3,(((INDEX('Tables - Part 2'!$BF$6:$BI$13,MATCH(SCC_Alkaline_Carbonate!$S21,'Tables - Part 2'!$AV$6:$AV$13,0),MATCH(SCC_Alkaline_Carbonate!$Q21,'Tables - Part 2'!$AX$5:$BA$5,0))+(INDEX('Tables - Part 2'!$BF$6:$BI$13,MATCH(SCC_Alkaline_Carbonate!$S21,'Tables - Part 2'!$AV$6:$AV$13,0),MATCH(SCC_Alkaline_Carbonate!$Q21,'Tables - Part 2'!$AX$5:$BA$5,0))+INDEX('Tables - Part 2'!$AX$17:$BA$24,MATCH(SCC_Alkaline_Carbonate!$S21,'Tables - Part 2'!$AV$6:$AV$13,0),MATCH(SCC_Alkaline_Carbonate!$Q21,'Tables - Part 2'!$AX$5:$BA$5,0)))/2)/2)+((INDEX('Tables - Part 2'!$BF$6:$BI$13,MATCH(SCC_Alkaline_Carbonate!$S21,'Tables - Part 2'!$AV$6:$AV$13,0),MATCH(SCC_Alkaline_Carbonate!$Q21,'Tables - Part 2'!$AX$5:$BA$5,0))+INDEX('Tables - Part 2'!$AX$17:$BA$24,MATCH(SCC_Alkaline_Carbonate!$S21,'Tables - Part 2'!$AV$6:$AV$13,0),MATCH(SCC_Alkaline_Carbonate!$Q21,'Tables - Part 2'!$AX$5:$BA$5,0)))/2))/2,0)</f>
        <v>0</v>
      </c>
      <c r="AS21" s="248">
        <f>IF($P21=$AS$3,(INDEX('Tables - Part 2'!$BF$6:$BI$13,MATCH(SCC_Alkaline_Carbonate!$S21,'Tables - Part 2'!$AV$6:$AV$13,0),MATCH(SCC_Alkaline_Carbonate!$Q21,'Tables - Part 2'!$AX$5:$BA$5,0))+INDEX('Tables - Part 2'!$AX$17:$BA$24,MATCH(SCC_Alkaline_Carbonate!$S21,'Tables - Part 2'!$AV$6:$AV$13,0),MATCH(SCC_Alkaline_Carbonate!$Q21,'Tables - Part 2'!$AX$5:$BA$5,0)))/2,0)</f>
        <v>0</v>
      </c>
      <c r="AT21" s="248">
        <f>IF($P21=$AT$3,(((INDEX('Tables - Part 2'!$BF$6:$BI$13,MATCH(SCC_Alkaline_Carbonate!$S21,'Tables - Part 2'!$AV$6:$AV$13,0),MATCH(SCC_Alkaline_Carbonate!$Q21,'Tables - Part 2'!$AX$5:$BA$5,0))+INDEX('Tables - Part 2'!$AX$17:$BA$24,MATCH(SCC_Alkaline_Carbonate!$S21,'Tables - Part 2'!$AV$6:$AV$13,0),MATCH(SCC_Alkaline_Carbonate!$Q21,'Tables - Part 2'!$AX$5:$BA$5,0)))/2)+((((INDEX('Tables - Part 2'!$BF$6:$BI$13,MATCH(SCC_Alkaline_Carbonate!$S21,'Tables - Part 2'!$AV$6:$AV$13,0),MATCH(SCC_Alkaline_Carbonate!$Q21,'Tables - Part 2'!$AX$5:$BA$5,0))+INDEX('Tables - Part 2'!$AX$17:$BA$24,MATCH(SCC_Alkaline_Carbonate!$S21,'Tables - Part 2'!$AV$6:$AV$13,0),MATCH(SCC_Alkaline_Carbonate!$Q21,'Tables - Part 2'!$AX$5:$BA$5,0)))/2)+INDEX('Tables - Part 2'!$AX$17:$BA$24,MATCH(SCC_Alkaline_Carbonate!$S21,'Tables - Part 2'!$AV$6:$AV$13,0),MATCH(SCC_Alkaline_Carbonate!$Q21,'Tables - Part 2'!$AX$5:$BA$5,0)))/2))/2,0)</f>
        <v>0</v>
      </c>
      <c r="AU21" s="248">
        <f>IF($P21=$AU$3,(((INDEX('Tables - Part 2'!$BF$6:$BI$13,MATCH(SCC_Alkaline_Carbonate!$S21,'Tables - Part 2'!$AV$6:$AV$13,0),MATCH(SCC_Alkaline_Carbonate!$Q21,'Tables - Part 2'!$AX$5:$BA$5,0))+INDEX('Tables - Part 2'!$AX$17:$BA$24,MATCH(SCC_Alkaline_Carbonate!$S21,'Tables - Part 2'!$AV$6:$AV$13,0),MATCH(SCC_Alkaline_Carbonate!$Q21,'Tables - Part 2'!$AX$5:$BA$5,0)))/2)+INDEX('Tables - Part 2'!$AX$17:$BA$24,MATCH(SCC_Alkaline_Carbonate!$S21,'Tables - Part 2'!$AV$6:$AV$13,0),MATCH(SCC_Alkaline_Carbonate!$Q21,'Tables - Part 2'!$AX$5:$BA$5,0)))/2,0)</f>
        <v>0</v>
      </c>
      <c r="AV21" s="248">
        <f>IF($P21=$AV$3,(((((INDEX('Tables - Part 2'!$BF$6:$BI$13,MATCH(SCC_Alkaline_Carbonate!$S21,'Tables - Part 2'!$AV$6:$AV$13,0),MATCH(SCC_Alkaline_Carbonate!$Q21,'Tables - Part 2'!$AX$5:$BA$5,0))+INDEX('Tables - Part 2'!$AX$17:$BA$24,MATCH(SCC_Alkaline_Carbonate!$S21,'Tables - Part 2'!$AV$6:$AV$13,0),MATCH(SCC_Alkaline_Carbonate!$Q21,'Tables - Part 2'!$AX$5:$BA$5,0)))/2)+INDEX('Tables - Part 2'!$AX$17:$BA$24,MATCH(SCC_Alkaline_Carbonate!$S21,'Tables - Part 2'!$AV$6:$AV$13,0),MATCH(SCC_Alkaline_Carbonate!$Q21,'Tables - Part 2'!$AX$5:$BA$5,0)))/2)+(INDEX('Tables - Part 2'!$AX$17:$BA$24,MATCH(SCC_Alkaline_Carbonate!$S21,'Tables - Part 2'!$AV$6:$AV$13,0),MATCH(SCC_Alkaline_Carbonate!$Q21,'Tables - Part 2'!$AX$5:$BA$5,0))))/2,0)</f>
        <v>0</v>
      </c>
      <c r="AW21" s="248">
        <f>IF($P21=$AW$3,INDEX('Tables - Part 2'!$AX$17:$BA$24,MATCH(SCC_Alkaline_Carbonate!$S21,'Tables - Part 2'!$AV$6:$AV$13,0),MATCH(SCC_Alkaline_Carbonate!$Q21,'Tables - Part 2'!$AX$5:$BA$5,0)),0)</f>
        <v>0</v>
      </c>
      <c r="AX21" s="248">
        <f>IF($P21=$AX$3,((INDEX('Tables - Part 2'!$AX$17:$BA$24,MATCH(SCC_Alkaline_Carbonate!$S21,'Tables - Part 2'!$AV$6:$AV$13,0),MATCH(SCC_Alkaline_Carbonate!$Q21,'Tables - Part 2'!$AX$5:$BA$5,0)))+(((INDEX('Tables - Part 2'!$AX$17:$BA$24,MATCH(SCC_Alkaline_Carbonate!$S21,'Tables - Part 2'!$AV$6:$AV$13,0),MATCH(SCC_Alkaline_Carbonate!$Q21,'Tables - Part 2'!$AX$5:$BA$5,0)))+(INDEX('Tables - Part 2'!$AX$17:$BA$24,MATCH(SCC_Alkaline_Carbonate!$S21,'Tables - Part 2'!$AV$6:$AV$13,0),MATCH(SCC_Alkaline_Carbonate!$Q21,'Tables - Part 2'!$AX$5:$BA$5,0))+INDEX('Tables - Part 2'!$BB$17:$BE$24,MATCH(SCC_Alkaline_Carbonate!$S21,'Tables - Part 2'!$AV$6:$AV$13,0),MATCH(SCC_Alkaline_Carbonate!$Q21,'Tables - Part 2'!$AX$5:$BA$5,0)))/2)/2))/2,0)</f>
        <v>0</v>
      </c>
      <c r="AY21" s="248">
        <f>IF($P21=$AY$3,((INDEX('Tables - Part 2'!$AX$17:$BA$24,MATCH(SCC_Alkaline_Carbonate!$S21,'Tables - Part 2'!$AV$6:$AV$13,0),MATCH(SCC_Alkaline_Carbonate!$Q21,'Tables - Part 2'!$AX$5:$BA$5,0)))+(INDEX('Tables - Part 2'!$AX$17:$BA$24,MATCH(SCC_Alkaline_Carbonate!$S21,'Tables - Part 2'!$AV$6:$AV$13,0),MATCH(SCC_Alkaline_Carbonate!$Q21,'Tables - Part 2'!$AX$5:$BA$5,0))+INDEX('Tables - Part 2'!$BB$17:$BE$24,MATCH(SCC_Alkaline_Carbonate!$S21,'Tables - Part 2'!$AV$6:$AV$13,0),MATCH(SCC_Alkaline_Carbonate!$Q21,'Tables - Part 2'!$AX$5:$BA$5,0)))/2)/2,0)</f>
        <v>0</v>
      </c>
      <c r="AZ21" s="248">
        <f>IF($P21=$AZ$3,((((INDEX('Tables - Part 2'!$AX$17:$BA$24,MATCH(SCC_Alkaline_Carbonate!$S21,'Tables - Part 2'!$AV$6:$AV$13,0),MATCH(SCC_Alkaline_Carbonate!$Q21,'Tables - Part 2'!$AX$5:$BA$5,0)))+(INDEX('Tables - Part 2'!$AX$17:$BA$24,MATCH(SCC_Alkaline_Carbonate!$S21,'Tables - Part 2'!$AV$6:$AV$13,0),MATCH(SCC_Alkaline_Carbonate!$Q21,'Tables - Part 2'!$AX$5:$BA$5,0))+INDEX('Tables - Part 2'!$BB$17:$BE$24,MATCH(SCC_Alkaline_Carbonate!$S21,'Tables - Part 2'!$AV$6:$AV$13,0),MATCH(SCC_Alkaline_Carbonate!$Q21,'Tables - Part 2'!$AX$5:$BA$5,0)))/2)/2)+((INDEX('Tables - Part 2'!$AX$17:$BA$24,MATCH(SCC_Alkaline_Carbonate!$S21,'Tables - Part 2'!$AV$6:$AV$13,0),MATCH(SCC_Alkaline_Carbonate!$Q21,'Tables - Part 2'!$AX$5:$BA$5,0))+INDEX('Tables - Part 2'!$BB$17:$BE$24,MATCH(SCC_Alkaline_Carbonate!$S21,'Tables - Part 2'!$AV$6:$AV$13,0),MATCH(SCC_Alkaline_Carbonate!$Q21,'Tables - Part 2'!$AX$5:$BA$5,0)))/2))/2,0)</f>
        <v>0</v>
      </c>
      <c r="BA21" s="248">
        <f>IF($P21=$BA$3,(INDEX('Tables - Part 2'!$AX$17:$BA$24,MATCH(SCC_Alkaline_Carbonate!$S21,'Tables - Part 2'!$AV$6:$AV$13,0),MATCH(SCC_Alkaline_Carbonate!$Q21,'Tables - Part 2'!$AX$5:$BA$5,0))+INDEX('Tables - Part 2'!$BB$17:$BE$24,MATCH(SCC_Alkaline_Carbonate!$S21,'Tables - Part 2'!$AV$6:$AV$13,0),MATCH(SCC_Alkaline_Carbonate!$Q21,'Tables - Part 2'!$AX$5:$BA$5,0)))/2,0)</f>
        <v>0</v>
      </c>
      <c r="BB21" s="248">
        <f>IF($P21=$BB$3,(((INDEX('Tables - Part 2'!$AX$17:$BA$24,MATCH(SCC_Alkaline_Carbonate!$S21,'Tables - Part 2'!$AV$6:$AV$13,0),MATCH(SCC_Alkaline_Carbonate!$Q21,'Tables - Part 2'!$AX$5:$BA$5,0))+INDEX('Tables - Part 2'!$BB$17:$BE$24,MATCH(SCC_Alkaline_Carbonate!$S21,'Tables - Part 2'!$AV$6:$AV$13,0),MATCH(SCC_Alkaline_Carbonate!$Q21,'Tables - Part 2'!$AX$5:$BA$5,0)))/2)+((((INDEX('Tables - Part 2'!$AX$17:$BA$24,MATCH(SCC_Alkaline_Carbonate!$S21,'Tables - Part 2'!$AV$6:$AV$13,0),MATCH(SCC_Alkaline_Carbonate!$Q21,'Tables - Part 2'!$AX$5:$BA$5,0))+INDEX('Tables - Part 2'!$BB$17:$BE$24,MATCH(SCC_Alkaline_Carbonate!$S21,'Tables - Part 2'!$AV$6:$AV$13,0),MATCH(SCC_Alkaline_Carbonate!$Q21,'Tables - Part 2'!$AX$5:$BA$5,0)))/2)+INDEX('Tables - Part 2'!$BB$17:$BE$24,MATCH(SCC_Alkaline_Carbonate!$S21,'Tables - Part 2'!$AV$6:$AV$13,0),MATCH(SCC_Alkaline_Carbonate!$Q21,'Tables - Part 2'!$AX$5:$BA$5,0)))/2))/2,0)</f>
        <v>0</v>
      </c>
      <c r="BC21" s="248">
        <f>IF($P21=$BC$3,(((INDEX('Tables - Part 2'!$AX$17:$BA$24,MATCH(SCC_Alkaline_Carbonate!$S21,'Tables - Part 2'!$AV$6:$AV$13,0),MATCH(SCC_Alkaline_Carbonate!$Q21,'Tables - Part 2'!$AX$5:$BA$5,0))+INDEX('Tables - Part 2'!$BB$17:$BE$24,MATCH(SCC_Alkaline_Carbonate!$S21,'Tables - Part 2'!$AV$6:$AV$13,0),MATCH(SCC_Alkaline_Carbonate!$Q21,'Tables - Part 2'!$AX$5:$BA$5,0)))/2)+INDEX('Tables - Part 2'!$BB$17:$BE$24,MATCH(SCC_Alkaline_Carbonate!$S21,'Tables - Part 2'!$AV$6:$AV$13,0),MATCH(SCC_Alkaline_Carbonate!$Q21,'Tables - Part 2'!$AX$5:$BA$5,0)))/2,0)</f>
        <v>0</v>
      </c>
      <c r="BD21" s="248">
        <f>IF($P21=$BD$3,(((((INDEX('Tables - Part 2'!$AX$17:$BA$24,MATCH(SCC_Alkaline_Carbonate!$S21,'Tables - Part 2'!$AV$6:$AV$13,0),MATCH(SCC_Alkaline_Carbonate!$Q21,'Tables - Part 2'!$AX$5:$BA$5,0))+INDEX('Tables - Part 2'!$BB$17:$BE$24,MATCH(SCC_Alkaline_Carbonate!$S21,'Tables - Part 2'!$AV$6:$AV$13,0),MATCH(SCC_Alkaline_Carbonate!$Q21,'Tables - Part 2'!$AX$5:$BA$5,0)))/2)+INDEX('Tables - Part 2'!$BB$17:$BE$24,MATCH(SCC_Alkaline_Carbonate!$S21,'Tables - Part 2'!$AV$6:$AV$13,0),MATCH(SCC_Alkaline_Carbonate!$Q21,'Tables - Part 2'!$AX$5:$BA$5,0)))/2)+(INDEX('Tables - Part 2'!$BB$17:$BE$24,MATCH(SCC_Alkaline_Carbonate!$S21,'Tables - Part 2'!$AV$6:$AV$13,0),MATCH(SCC_Alkaline_Carbonate!$Q21,'Tables - Part 2'!$AX$5:$BA$5,0))))/2,0)</f>
        <v>0</v>
      </c>
      <c r="BE21" s="248">
        <f>IF($P21=$BE$3,INDEX('Tables - Part 2'!$BB$17:$BE$24,MATCH(SCC_Alkaline_Carbonate!$S21,'Tables - Part 2'!$AV$6:$AV$13,0),MATCH(SCC_Alkaline_Carbonate!$Q21,'Tables - Part 2'!$AX$5:$BA$5,0)),0)</f>
        <v>0</v>
      </c>
      <c r="BF21" s="248">
        <f>IF($P21=$BF$3,((INDEX('Tables - Part 2'!$BB$17:$BE$24,MATCH(SCC_Alkaline_Carbonate!$S21,'Tables - Part 2'!$AV$6:$AV$13,0),MATCH(SCC_Alkaline_Carbonate!$Q21,'Tables - Part 2'!$AX$5:$BA$5,0)))+(((INDEX('Tables - Part 2'!$BB$17:$BE$24,MATCH(SCC_Alkaline_Carbonate!$S21,'Tables - Part 2'!$AV$6:$AV$13,0),MATCH(SCC_Alkaline_Carbonate!$Q21,'Tables - Part 2'!$AX$5:$BA$5,0)))+(INDEX('Tables - Part 2'!$BB$17:$BE$24,MATCH(SCC_Alkaline_Carbonate!$S21,'Tables - Part 2'!$AV$6:$AV$13,0),MATCH(SCC_Alkaline_Carbonate!$Q21,'Tables - Part 2'!$AX$5:$BA$5,0))+INDEX('Tables - Part 2'!$BF$17:$BI$24,MATCH(SCC_Alkaline_Carbonate!$S21,'Tables - Part 2'!$AV$6:$AV$13,0),MATCH(SCC_Alkaline_Carbonate!$Q21,'Tables - Part 2'!$AX$5:$BA$5,0)))/2)/2))/2,0)</f>
        <v>0</v>
      </c>
      <c r="BG21" s="248">
        <f>IF($P21=$BG$3,((INDEX('Tables - Part 2'!$BB$17:$BE$24,MATCH(SCC_Alkaline_Carbonate!$S21,'Tables - Part 2'!$AV$6:$AV$13,0),MATCH(SCC_Alkaline_Carbonate!$Q21,'Tables - Part 2'!$AX$5:$BA$5,0)))+(INDEX('Tables - Part 2'!$BB$17:$BE$24,MATCH(SCC_Alkaline_Carbonate!$S21,'Tables - Part 2'!$AV$6:$AV$13,0),MATCH(SCC_Alkaline_Carbonate!$Q21,'Tables - Part 2'!$AX$5:$BA$5,0))+INDEX('Tables - Part 2'!$BF$17:$BI$24,MATCH(SCC_Alkaline_Carbonate!$S21,'Tables - Part 2'!$AV$6:$AV$13,0),MATCH(SCC_Alkaline_Carbonate!$Q21,'Tables - Part 2'!$AX$5:$BA$5,0)))/2)/2,0)</f>
        <v>0</v>
      </c>
      <c r="BH21" s="248">
        <f>IF($P21=$BH$3,((((INDEX('Tables - Part 2'!$BB$17:$BE$24,MATCH(SCC_Alkaline_Carbonate!$S21,'Tables - Part 2'!$AV$6:$AV$13,0),MATCH(SCC_Alkaline_Carbonate!$Q21,'Tables - Part 2'!$AX$5:$BA$5,0)))+(INDEX('Tables - Part 2'!$BB$17:$BE$24,MATCH(SCC_Alkaline_Carbonate!$S21,'Tables - Part 2'!$AV$6:$AV$13,0),MATCH(SCC_Alkaline_Carbonate!$Q21,'Tables - Part 2'!$AX$5:$BA$5,0))+INDEX('Tables - Part 2'!$BF$17:$BI$24,MATCH(SCC_Alkaline_Carbonate!$S21,'Tables - Part 2'!$AV$6:$AV$13,0),MATCH(SCC_Alkaline_Carbonate!$Q21,'Tables - Part 2'!$AX$5:$BA$5,0)))/2)/2)+((INDEX('Tables - Part 2'!$BB$17:$BE$24,MATCH(SCC_Alkaline_Carbonate!$S21,'Tables - Part 2'!$AV$6:$AV$13,0),MATCH(SCC_Alkaline_Carbonate!$Q21,'Tables - Part 2'!$AX$5:$BA$5,0))+INDEX('Tables - Part 2'!$BF$17:$BI$24,MATCH(SCC_Alkaline_Carbonate!$S21,'Tables - Part 2'!$AV$6:$AV$13,0),MATCH(SCC_Alkaline_Carbonate!$Q21,'Tables - Part 2'!$AX$5:$BA$5,0)))/2))/2,0)</f>
        <v>0</v>
      </c>
      <c r="BI21" s="248">
        <f>IF($P21=$BI$3,(INDEX('Tables - Part 2'!$BB$17:$BE$24,MATCH(SCC_Alkaline_Carbonate!$S21,'Tables - Part 2'!$AV$6:$AV$13,0),MATCH(SCC_Alkaline_Carbonate!$Q21,'Tables - Part 2'!$AX$5:$BA$5,0))+INDEX('Tables - Part 2'!$BF$17:$BI$24,MATCH(SCC_Alkaline_Carbonate!$S21,'Tables - Part 2'!$AV$6:$AV$13,0),MATCH(SCC_Alkaline_Carbonate!$Q21,'Tables - Part 2'!$AX$5:$BA$5,0)))/2,0)</f>
        <v>0</v>
      </c>
      <c r="BJ21" s="248">
        <f>IF($P21=$BJ$3,(((INDEX('Tables - Part 2'!$BB$17:$BE$24,MATCH(SCC_Alkaline_Carbonate!$S21,'Tables - Part 2'!$AV$6:$AV$13,0),MATCH(SCC_Alkaline_Carbonate!$Q21,'Tables - Part 2'!$AX$5:$BA$5,0))+INDEX('Tables - Part 2'!$BF$17:$BI$24,MATCH(SCC_Alkaline_Carbonate!$S21,'Tables - Part 2'!$AV$6:$AV$13,0),MATCH(SCC_Alkaline_Carbonate!$Q21,'Tables - Part 2'!$AX$5:$BA$5,0)))/2)+((((INDEX('Tables - Part 2'!$BB$17:$BE$24,MATCH(SCC_Alkaline_Carbonate!$S21,'Tables - Part 2'!$AV$6:$AV$13,0),MATCH(SCC_Alkaline_Carbonate!$Q21,'Tables - Part 2'!$AX$5:$BA$5,0))+INDEX('Tables - Part 2'!$BF$17:$BI$24,MATCH(SCC_Alkaline_Carbonate!$S21,'Tables - Part 2'!$AV$6:$AV$13,0),MATCH(SCC_Alkaline_Carbonate!$Q21,'Tables - Part 2'!$AX$5:$BA$5,0)))/2)+INDEX('Tables - Part 2'!$BF$17:$BI$24,MATCH(SCC_Alkaline_Carbonate!$S21,'Tables - Part 2'!$AV$6:$AV$13,0),MATCH(SCC_Alkaline_Carbonate!$Q21,'Tables - Part 2'!$AX$5:$BA$5,0)))/2))/2,0)</f>
        <v>0</v>
      </c>
      <c r="BK21" s="248">
        <f>IF($P21=$BK$3,(((INDEX('Tables - Part 2'!$BB$17:$BE$24,MATCH(SCC_Alkaline_Carbonate!$S21,'Tables - Part 2'!$AV$6:$AV$13,0),MATCH(SCC_Alkaline_Carbonate!$Q21,'Tables - Part 2'!$AX$5:$BA$5,0))+INDEX('Tables - Part 2'!$BF$17:$BI$24,MATCH(SCC_Alkaline_Carbonate!$S21,'Tables - Part 2'!$AV$6:$AV$13,0),MATCH(SCC_Alkaline_Carbonate!$Q21,'Tables - Part 2'!$AX$5:$BA$5,0)))/2)+INDEX('Tables - Part 2'!$BF$17:$BI$24,MATCH(SCC_Alkaline_Carbonate!$S21,'Tables - Part 2'!$AV$6:$AV$13,0),MATCH(SCC_Alkaline_Carbonate!$Q21,'Tables - Part 2'!$AX$5:$BA$5,0)))/2,0)</f>
        <v>0</v>
      </c>
      <c r="BL21" s="248">
        <f>IF($P21=$BL$3,(((((INDEX('Tables - Part 2'!$BB$17:$BE$24,MATCH(SCC_Alkaline_Carbonate!$S21,'Tables - Part 2'!$AV$6:$AV$13,0),MATCH(SCC_Alkaline_Carbonate!$Q21,'Tables - Part 2'!$AX$5:$BA$5,0))+INDEX('Tables - Part 2'!$BF$17:$BI$24,MATCH(SCC_Alkaline_Carbonate!$S21,'Tables - Part 2'!$AV$6:$AV$13,0),MATCH(SCC_Alkaline_Carbonate!$Q21,'Tables - Part 2'!$AX$5:$BA$5,0)))/2)+INDEX('Tables - Part 2'!$BF$17:$BI$24,MATCH(SCC_Alkaline_Carbonate!$S21,'Tables - Part 2'!$AV$6:$AV$13,0),MATCH(SCC_Alkaline_Carbonate!$Q21,'Tables - Part 2'!$AX$5:$BA$5,0)))/2)+(INDEX('Tables - Part 2'!$BF$17:$BI$24,MATCH(SCC_Alkaline_Carbonate!$S21,'Tables - Part 2'!$AV$6:$AV$13,0),MATCH(SCC_Alkaline_Carbonate!$Q21,'Tables - Part 2'!$AX$5:$BA$5,0))))/2,0)</f>
        <v>0</v>
      </c>
      <c r="BM21" s="248">
        <f>IF($P21=$BM$3,INDEX('Tables - Part 2'!$BF$17:$BI$24,MATCH(SCC_Alkaline_Carbonate!$S21,'Tables - Part 2'!$AV$6:$AV$13,0),MATCH(SCC_Alkaline_Carbonate!$Q21,'Tables - Part 2'!$AX$5:$BA$5,0)),0)</f>
        <v>0</v>
      </c>
      <c r="BN21" s="248">
        <f t="shared" si="6"/>
        <v>0</v>
      </c>
      <c r="BO21" s="238">
        <f t="shared" si="8"/>
        <v>3</v>
      </c>
      <c r="BP21" s="238">
        <f t="shared" si="7"/>
        <v>50.318647405225171</v>
      </c>
    </row>
  </sheetData>
  <mergeCells count="1">
    <mergeCell ref="U2:X2"/>
  </mergeCells>
  <dataValidations count="2">
    <dataValidation type="list" allowBlank="1" showInputMessage="1" showErrorMessage="1" sqref="E4:E21" xr:uid="{00000000-0002-0000-1300-000000000000}">
      <formula1>$BU$2:$BU$4</formula1>
    </dataValidation>
    <dataValidation type="list" allowBlank="1" showInputMessage="1" showErrorMessage="1" sqref="D4:D21" xr:uid="{00000000-0002-0000-1300-000001000000}">
      <formula1>$U$8:$U$9</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300-000002000000}">
          <x14:formula1>
            <xm:f>'Tables - Part 2'!$DA$5:$DB$5</xm:f>
          </x14:formula1>
          <xm:sqref>G4:G21</xm:sqref>
        </x14:dataValidation>
        <x14:dataValidation type="list" allowBlank="1" showInputMessage="1" showErrorMessage="1" xr:uid="{00000000-0002-0000-1300-000003000000}">
          <x14:formula1>
            <xm:f>'Tables - Part 2'!$CY$6:$CY$9</xm:f>
          </x14:formula1>
          <xm:sqref>F4:F21</xm:sqref>
        </x14:dataValidation>
        <x14:dataValidation type="list" allowBlank="1" showInputMessage="1" showErrorMessage="1" xr:uid="{00000000-0002-0000-1300-000004000000}">
          <x14:formula1>
            <xm:f>COF!$TH$10:$TH$11</xm:f>
          </x14:formula1>
          <xm:sqref>H4:H21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24">
    <tabColor rgb="FFFFFF00"/>
  </sheetPr>
  <dimension ref="B1:CF21"/>
  <sheetViews>
    <sheetView topLeftCell="N1" zoomScale="70" zoomScaleNormal="70" workbookViewId="0">
      <selection activeCell="U4" sqref="U4"/>
    </sheetView>
  </sheetViews>
  <sheetFormatPr defaultRowHeight="14.5" x14ac:dyDescent="0.35"/>
  <cols>
    <col min="1" max="1" width="1.26953125" customWidth="1"/>
    <col min="2" max="3" width="18.26953125" customWidth="1"/>
    <col min="4" max="4" width="21.26953125" customWidth="1"/>
    <col min="5" max="5" width="10.453125" customWidth="1"/>
    <col min="6" max="6" width="38.7265625" customWidth="1"/>
    <col min="7" max="7" width="30.54296875" customWidth="1"/>
    <col min="8" max="8" width="47.453125" bestFit="1" customWidth="1"/>
    <col min="9" max="9" width="21.7265625" customWidth="1"/>
    <col min="10" max="10" width="35.7265625" customWidth="1"/>
    <col min="11" max="11" width="23.54296875" customWidth="1"/>
    <col min="12" max="12" width="13.453125" customWidth="1"/>
    <col min="13" max="15" width="12.81640625" customWidth="1"/>
    <col min="16" max="16" width="16.1796875" customWidth="1"/>
    <col min="17" max="17" width="12.81640625" customWidth="1"/>
    <col min="18" max="18" width="16.453125" customWidth="1"/>
    <col min="19" max="19" width="12.1796875" customWidth="1"/>
    <col min="20" max="20" width="25.81640625" bestFit="1" customWidth="1"/>
    <col min="21" max="21" width="20.26953125" bestFit="1" customWidth="1"/>
    <col min="22" max="22" width="11" customWidth="1"/>
    <col min="23" max="27" width="19.81640625" customWidth="1"/>
    <col min="28" max="28" width="5.7265625" bestFit="1" customWidth="1"/>
    <col min="29" max="29" width="6" customWidth="1"/>
    <col min="30" max="30" width="5.54296875" customWidth="1"/>
    <col min="31" max="31" width="6.7265625" customWidth="1"/>
    <col min="32" max="32" width="6" customWidth="1"/>
    <col min="33" max="33" width="6.7265625" customWidth="1"/>
    <col min="34" max="34" width="5.54296875" customWidth="1"/>
    <col min="35" max="35" width="6" customWidth="1"/>
    <col min="36" max="36" width="5.7265625" bestFit="1" customWidth="1"/>
    <col min="37" max="37" width="6.7265625" customWidth="1"/>
    <col min="38" max="38" width="6" customWidth="1"/>
    <col min="39" max="39" width="6.7265625" customWidth="1"/>
    <col min="40" max="40" width="6" bestFit="1" customWidth="1"/>
    <col min="41" max="41" width="6" customWidth="1"/>
    <col min="42" max="42" width="5.54296875" customWidth="1"/>
    <col min="43" max="43" width="6.7265625" customWidth="1"/>
    <col min="44" max="44" width="6" customWidth="1"/>
    <col min="45" max="45" width="6.7265625" customWidth="1"/>
    <col min="46" max="48" width="6" customWidth="1"/>
    <col min="49" max="49" width="6.7265625" customWidth="1"/>
    <col min="50" max="50" width="6" customWidth="1"/>
    <col min="51" max="51" width="6.7265625" customWidth="1"/>
    <col min="52" max="54" width="6" customWidth="1"/>
    <col min="55" max="55" width="6.7265625" customWidth="1"/>
    <col min="56" max="56" width="6" customWidth="1"/>
    <col min="57" max="57" width="6.7265625" customWidth="1"/>
    <col min="58" max="60" width="6" customWidth="1"/>
    <col min="61" max="61" width="6.7265625" customWidth="1"/>
    <col min="62" max="62" width="6" customWidth="1"/>
    <col min="63" max="63" width="6.7265625" customWidth="1"/>
    <col min="64" max="64" width="4.81640625" customWidth="1"/>
    <col min="65" max="65" width="6" customWidth="1"/>
    <col min="66" max="66" width="5.54296875" customWidth="1"/>
    <col min="67" max="67" width="6.7265625" customWidth="1"/>
    <col min="68" max="69" width="4.81640625" customWidth="1"/>
    <col min="70" max="71" width="19.81640625" customWidth="1"/>
    <col min="72" max="73" width="9.1796875" customWidth="1"/>
    <col min="74" max="74" width="26.81640625" customWidth="1"/>
    <col min="75" max="75" width="23.54296875" customWidth="1"/>
    <col min="76" max="76" width="35.54296875" customWidth="1"/>
  </cols>
  <sheetData>
    <row r="1" spans="2:84" ht="3.75" customHeight="1" x14ac:dyDescent="0.35"/>
    <row r="2" spans="2:84" x14ac:dyDescent="0.35">
      <c r="X2" s="702" t="s">
        <v>897</v>
      </c>
      <c r="Y2" s="702"/>
      <c r="Z2" s="702"/>
      <c r="AA2" s="702"/>
      <c r="AB2" s="449"/>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1"/>
      <c r="BV2" s="438" t="s">
        <v>898</v>
      </c>
      <c r="BX2" s="158" t="s">
        <v>244</v>
      </c>
      <c r="BY2" t="s">
        <v>1101</v>
      </c>
      <c r="BZ2" t="s">
        <v>1101</v>
      </c>
      <c r="CA2" t="s">
        <v>1102</v>
      </c>
      <c r="CB2" t="s">
        <v>1102</v>
      </c>
      <c r="CC2" s="208"/>
      <c r="CD2" s="208"/>
      <c r="CF2" s="208"/>
    </row>
    <row r="3" spans="2:84" ht="29.25" customHeight="1" x14ac:dyDescent="0.35">
      <c r="B3" s="346" t="s">
        <v>968</v>
      </c>
      <c r="C3" s="346" t="s">
        <v>969</v>
      </c>
      <c r="D3" s="139" t="s">
        <v>843</v>
      </c>
      <c r="E3" s="139" t="s">
        <v>860</v>
      </c>
      <c r="F3" s="139" t="s">
        <v>1153</v>
      </c>
      <c r="G3" s="139" t="s">
        <v>1154</v>
      </c>
      <c r="H3" s="139" t="s">
        <v>1137</v>
      </c>
      <c r="I3" s="139" t="s">
        <v>1152</v>
      </c>
      <c r="J3" s="139" t="s">
        <v>1155</v>
      </c>
      <c r="K3" s="139" t="s">
        <v>867</v>
      </c>
      <c r="L3" s="139" t="s">
        <v>893</v>
      </c>
      <c r="M3" s="139" t="s">
        <v>894</v>
      </c>
      <c r="N3" s="139" t="s">
        <v>895</v>
      </c>
      <c r="O3" s="139" t="s">
        <v>896</v>
      </c>
      <c r="P3" s="139" t="s">
        <v>882</v>
      </c>
      <c r="Q3" s="139" t="s">
        <v>880</v>
      </c>
      <c r="R3" s="139" t="s">
        <v>882</v>
      </c>
      <c r="S3" s="139" t="s">
        <v>880</v>
      </c>
      <c r="T3" s="346" t="s">
        <v>1095</v>
      </c>
      <c r="U3" s="139" t="s">
        <v>1156</v>
      </c>
      <c r="V3" s="244" t="s">
        <v>861</v>
      </c>
      <c r="W3" s="346" t="s">
        <v>869</v>
      </c>
      <c r="X3" s="346" t="s">
        <v>278</v>
      </c>
      <c r="Y3" s="346" t="s">
        <v>279</v>
      </c>
      <c r="Z3" s="346" t="s">
        <v>280</v>
      </c>
      <c r="AA3" s="346" t="s">
        <v>274</v>
      </c>
      <c r="AB3" s="346">
        <v>1</v>
      </c>
      <c r="AC3" s="252">
        <v>1.125</v>
      </c>
      <c r="AD3" s="346">
        <v>1.25</v>
      </c>
      <c r="AE3" s="346">
        <v>1.375</v>
      </c>
      <c r="AF3" s="254">
        <v>1.5</v>
      </c>
      <c r="AG3" s="346">
        <v>1.625</v>
      </c>
      <c r="AH3" s="346">
        <v>1.75</v>
      </c>
      <c r="AI3" s="252">
        <v>1.875</v>
      </c>
      <c r="AJ3" s="346">
        <v>2</v>
      </c>
      <c r="AK3" s="346">
        <v>2.125</v>
      </c>
      <c r="AL3" s="252">
        <v>2.25</v>
      </c>
      <c r="AM3" s="346">
        <v>2.375</v>
      </c>
      <c r="AN3" s="346">
        <v>2.5</v>
      </c>
      <c r="AO3" s="252">
        <v>2.625</v>
      </c>
      <c r="AP3" s="346">
        <v>2.75</v>
      </c>
      <c r="AQ3" s="346">
        <v>2.875</v>
      </c>
      <c r="AR3" s="255">
        <v>3</v>
      </c>
      <c r="AS3" s="346">
        <v>3.125</v>
      </c>
      <c r="AT3" s="346">
        <v>3.25</v>
      </c>
      <c r="AU3" s="252">
        <v>3.375</v>
      </c>
      <c r="AV3" s="346">
        <v>3.5</v>
      </c>
      <c r="AW3" s="346">
        <v>3.625</v>
      </c>
      <c r="AX3" s="252">
        <v>3.75</v>
      </c>
      <c r="AY3" s="346">
        <v>3.875</v>
      </c>
      <c r="AZ3" s="346">
        <v>4</v>
      </c>
      <c r="BA3" s="252">
        <v>4.125</v>
      </c>
      <c r="BB3" s="346">
        <v>4.25</v>
      </c>
      <c r="BC3" s="346">
        <v>4.375</v>
      </c>
      <c r="BD3" s="254">
        <v>4.5</v>
      </c>
      <c r="BE3" s="346">
        <v>4.625</v>
      </c>
      <c r="BF3" s="346">
        <v>4.75</v>
      </c>
      <c r="BG3" s="252">
        <v>4.875</v>
      </c>
      <c r="BH3" s="346">
        <v>5</v>
      </c>
      <c r="BI3" s="346">
        <v>5.125</v>
      </c>
      <c r="BJ3" s="252">
        <v>5.25</v>
      </c>
      <c r="BK3" s="346">
        <v>5.375</v>
      </c>
      <c r="BL3" s="346">
        <v>5.5</v>
      </c>
      <c r="BM3" s="252">
        <v>5.625</v>
      </c>
      <c r="BN3" s="346">
        <v>5.75</v>
      </c>
      <c r="BO3" s="346">
        <v>5.875</v>
      </c>
      <c r="BP3" s="346">
        <v>6</v>
      </c>
      <c r="BQ3" s="346" t="s">
        <v>281</v>
      </c>
      <c r="BR3" s="346" t="s">
        <v>1157</v>
      </c>
      <c r="BS3" s="141" t="s">
        <v>1158</v>
      </c>
      <c r="BV3" s="237" t="s">
        <v>839</v>
      </c>
      <c r="BX3" s="158" t="s">
        <v>245</v>
      </c>
      <c r="BY3">
        <v>180</v>
      </c>
      <c r="BZ3" t="s">
        <v>1103</v>
      </c>
      <c r="CA3">
        <v>82.222200000000001</v>
      </c>
      <c r="CB3" s="208" t="s">
        <v>1103</v>
      </c>
    </row>
    <row r="4" spans="2:84" x14ac:dyDescent="0.35">
      <c r="B4" s="161" t="str">
        <f>'Tratamento de Dados'!B12</f>
        <v>V-90</v>
      </c>
      <c r="C4" s="161" t="str">
        <f>'Tratamento de Dados'!D12</f>
        <v>Casco</v>
      </c>
      <c r="D4" s="209" t="s">
        <v>244</v>
      </c>
      <c r="E4" s="209" t="s">
        <v>244</v>
      </c>
      <c r="F4" s="209" t="s">
        <v>244</v>
      </c>
      <c r="G4" s="209" t="s">
        <v>244</v>
      </c>
      <c r="H4" s="209" t="s">
        <v>1145</v>
      </c>
      <c r="I4" s="247">
        <f>'Tratamento de Dados'!S12</f>
        <v>2</v>
      </c>
      <c r="J4" s="209" t="s">
        <v>1146</v>
      </c>
      <c r="K4" s="210">
        <v>39092</v>
      </c>
      <c r="L4" s="209">
        <v>0</v>
      </c>
      <c r="M4" s="209">
        <v>1</v>
      </c>
      <c r="N4" s="209">
        <v>1</v>
      </c>
      <c r="O4" s="209">
        <v>4</v>
      </c>
      <c r="P4" s="253">
        <f>'Tratamento de Dados'!DA12</f>
        <v>0</v>
      </c>
      <c r="Q4" s="253">
        <f>'Tratamento de Dados'!DB12</f>
        <v>0</v>
      </c>
      <c r="R4" s="256">
        <f t="shared" ref="R4:R21" si="0">IF(P4=0,IF(X4&gt;=1,X4,IF(Y4&gt;=1,Y4,IF(Z4&gt;=1,Z4,IF(AA4&gt;=1,AA4,0)))),P4)</f>
        <v>2.5</v>
      </c>
      <c r="S4" s="246" t="str">
        <f t="shared" ref="S4:S21" si="1">IF(Q4=0,IF(X4&gt;=1,$X$3,IF(Y4&gt;=1,$Y$3,IF(Z4&gt;=1,$Z$3,IF(AA4&gt;=1,$AA$3,"E")))),Q4)</f>
        <v>B</v>
      </c>
      <c r="T4" s="238" t="str">
        <f>IF(D4=$BX$2,$BV$5,IF(F4=$BX$3,$BV$2,INDEX(IF(I4&lt;427,'Tables - Part 2'!$DH$6:$DJ$10,'Tables - Part 2'!$DH$14:$DJ$18),MATCH(SCC_Polythionic_Acid!H4,'Tables - Part 2'!$DG$6:$DG$10,0),MATCH(J4,'Tables - Part 2'!$DH$5:$DJ$5,0))))</f>
        <v>High</v>
      </c>
      <c r="U4" s="238" t="str">
        <f>IF(D4=$BX$2,$BV$5,IF(G4=$BX$2,IF(T4=$BV$5,$BV$4,IF(T4=$BV$4,$BV$3,IF(T4=$BV$3,$BV$2,$BV$2))),T4))</f>
        <v>High</v>
      </c>
      <c r="V4" s="238">
        <f>IF(AND(D4=$BX$2,E4&lt;&gt;$BX$2),"Fitness-For-Service",INDEX('Tables - Part 2'!$DM$4:$DM$7,MATCH(SCC_Polythionic_Acid!U4,'Tables - Part 2'!$DL$4:$DL$7,0),))</f>
        <v>5000</v>
      </c>
      <c r="W4" s="238">
        <f>IF(K4=0,(Thinning!G5-Thinning!F5)/365.25,(Thinning!G5-K4)/365.25)</f>
        <v>12.980150581793293</v>
      </c>
      <c r="X4" s="248">
        <f t="shared" ref="X4:X21" si="2">IF(L4=0,0,_xlfn.FLOOR.MATH((Y4/2)+L4,0.25))</f>
        <v>0</v>
      </c>
      <c r="Y4" s="248">
        <f t="shared" ref="Y4:Y21" si="3">IF(AND(L4=0,M4=0),0,_xlfn.FLOOR.MATH((Z4/2)+M4,0.25))</f>
        <v>2.5</v>
      </c>
      <c r="Z4" s="248">
        <f>_xlfn.FLOOR.MATH((AA4/2)+N4,0.25)</f>
        <v>3</v>
      </c>
      <c r="AA4" s="247">
        <f t="shared" ref="AA4:AA21" si="4">O4</f>
        <v>4</v>
      </c>
      <c r="AB4" s="248">
        <f>IF($R4=$AB$3,INDEX('Tables - Part 2'!$AX$6:$BA$13,MATCH(SCC_Polythionic_Acid!V4,'Tables - Part 2'!$AV$6:$AV$13,0),MATCH(SCC_Polythionic_Acid!S4,'Tables - Part 2'!$AX$5:$BA$5,0)),0)</f>
        <v>0</v>
      </c>
      <c r="AC4" s="248">
        <f>IF($R4=$AC$3,(INDEX('Tables - Part 2'!$AX$6:$BA$13,MATCH(SCC_Polythionic_Acid!V4,'Tables - Part 2'!$AV$6:$AV$13,0),MATCH(SCC_Polythionic_Acid!S4,'Tables - Part 2'!$AX$5:$BA$5,0))+(INDEX('Tables - Part 2'!$AX$6:$BA$13,MATCH(SCC_Polythionic_Acid!V4,'Tables - Part 2'!$AV$6:$AV$13,0),MATCH(SCC_Polythionic_Acid!S4,'Tables - Part 2'!$AX$5:$BA$5,0))+((INDEX('Tables - Part 2'!$AX$6:$BA$13,MATCH(SCC_Polythionic_Acid!V4,'Tables - Part 2'!$AV$6:$AV$13,0),MATCH(SCC_Polythionic_Acid!S4,'Tables - Part 2'!$AX$5:$BA$5,0))+INDEX('Tables - Part 2'!$BB$6:$BE$13,MATCH(SCC_Polythionic_Acid!$V4,'Tables - Part 2'!$AV$6:$AV$13,0),MATCH(SCC_Polythionic_Acid!$S4,'Tables - Part 2'!$AX$5:$BA$5,0)))/2))/2)/2,0)</f>
        <v>0</v>
      </c>
      <c r="AD4" s="248">
        <f>IF($R4=$AD$3,(INDEX('Tables - Part 2'!$AX$6:$BA$13,MATCH(SCC_Polythionic_Acid!V4,'Tables - Part 2'!$AV$6:$AV$13,0),MATCH(SCC_Polythionic_Acid!S4,'Tables - Part 2'!$AX$5:$BA$5,0))+((INDEX('Tables - Part 2'!$AX$6:$BA$13,MATCH(SCC_Polythionic_Acid!V4,'Tables - Part 2'!$AV$6:$AV$13,0),MATCH(SCC_Polythionic_Acid!S4,'Tables - Part 2'!$AX$5:$BA$5,0))+INDEX('Tables - Part 2'!$BB$6:$BE$13,MATCH(SCC_Polythionic_Acid!$V4,'Tables - Part 2'!$AV$6:$AV$13,0),MATCH(SCC_Polythionic_Acid!$S4,'Tables - Part 2'!$AX$5:$BA$5,0)))/2))/2,0)</f>
        <v>0</v>
      </c>
      <c r="AE4" s="248">
        <f>IF($R4=$AE$3,(((INDEX('Tables - Part 2'!$AX$6:$BA$13,MATCH(SCC_Polythionic_Acid!V4,'Tables - Part 2'!$AV$6:$AV$13,0),MATCH(SCC_Polythionic_Acid!S4,'Tables - Part 2'!$AX$5:$BA$5,0))+((INDEX('Tables - Part 2'!$AX$6:$BA$13,MATCH(SCC_Polythionic_Acid!V4,'Tables - Part 2'!$AV$6:$AV$13,0),MATCH(SCC_Polythionic_Acid!S4,'Tables - Part 2'!$AX$5:$BA$5,0))+INDEX('Tables - Part 2'!$BB$6:$BE$13,MATCH(SCC_Polythionic_Acid!$V4,'Tables - Part 2'!$AV$6:$AV$13,0),MATCH(SCC_Polythionic_Acid!$S4,'Tables - Part 2'!$AX$5:$BA$5,0)))/2))/2)+(INDEX('Tables - Part 2'!$AX$6:$BA$13,MATCH(SCC_Polythionic_Acid!V4,'Tables - Part 2'!$AV$6:$AV$13,0),MATCH(SCC_Polythionic_Acid!S4,'Tables - Part 2'!$AX$5:$BA$5,0))+INDEX('Tables - Part 2'!$BB$6:$BE$13,MATCH(SCC_Polythionic_Acid!$V4,'Tables - Part 2'!$AV$6:$AV$13,0),MATCH(SCC_Polythionic_Acid!$S4,'Tables - Part 2'!$AX$5:$BA$5,0)))/2)/2,0)</f>
        <v>0</v>
      </c>
      <c r="AF4" s="248">
        <f>IF($R4=$AF$3,(INDEX('Tables - Part 2'!$AX$6:$BA$13,MATCH(SCC_Polythionic_Acid!V4,'Tables - Part 2'!$AV$6:$AV$13,0),MATCH(SCC_Polythionic_Acid!S4,'Tables - Part 2'!$AX$5:$BA$5,0))+INDEX('Tables - Part 2'!$BB$6:$BE$13,MATCH(SCC_Polythionic_Acid!$V4,'Tables - Part 2'!$AV$6:$AV$13,0),MATCH(SCC_Polythionic_Acid!$S4,'Tables - Part 2'!$AX$5:$BA$5,0)))/2,0)</f>
        <v>0</v>
      </c>
      <c r="AG4" s="248">
        <f>IF($R4=$AG$3,(((INDEX('Tables - Part 2'!$AX$6:$BA$13,MATCH(SCC_Polythionic_Acid!V4,'Tables - Part 2'!$AV$6:$AV$13,0),MATCH(SCC_Polythionic_Acid!S4,'Tables - Part 2'!$AX$5:$BA$5,0))+INDEX('Tables - Part 2'!$BB$6:$BE$13,MATCH(SCC_Polythionic_Acid!$V4,'Tables - Part 2'!$AV$6:$AV$13,0),MATCH(SCC_Polythionic_Acid!$S4,'Tables - Part 2'!$AX$5:$BA$5,0)))/2)+(((INDEX('Tables - Part 2'!$AX$6:$BA$13,MATCH(SCC_Polythionic_Acid!V4,'Tables - Part 2'!$AV$6:$AV$13,0),MATCH(SCC_Polythionic_Acid!S4,'Tables - Part 2'!$AX$5:$BA$5,0))+INDEX('Tables - Part 2'!$BB$6:$BE$13,MATCH(SCC_Polythionic_Acid!$V4,'Tables - Part 2'!$AV$6:$AV$13,0),MATCH(SCC_Polythionic_Acid!$S4,'Tables - Part 2'!$AX$5:$BA$5,0)))/2)+INDEX('Tables - Part 2'!$BB$6:$BE$13,MATCH(SCC_Polythionic_Acid!$V4,'Tables - Part 2'!$AV$6:$AV$13,0),MATCH(SCC_Polythionic_Acid!$S4,'Tables - Part 2'!$AX$5:$BA$5,0)))/2)/2,0)</f>
        <v>0</v>
      </c>
      <c r="AH4" s="248">
        <f>IF($R4=$AH$3,(((INDEX('Tables - Part 2'!$AX$6:$BA$13,MATCH(SCC_Polythionic_Acid!V4,'Tables - Part 2'!$AV$6:$AV$13,0),MATCH(SCC_Polythionic_Acid!S4,'Tables - Part 2'!$AX$5:$BA$5,0))+INDEX('Tables - Part 2'!$BB$6:$BE$13,MATCH(SCC_Polythionic_Acid!$V4,'Tables - Part 2'!$AV$6:$AV$13,0),MATCH(SCC_Polythionic_Acid!$S4,'Tables - Part 2'!$AX$5:$BA$5,0)))/2)+INDEX('Tables - Part 2'!$BB$6:$BE$13,MATCH(SCC_Polythionic_Acid!$V4,'Tables - Part 2'!$AV$6:$AV$13,0),MATCH(SCC_Polythionic_Acid!$S4,'Tables - Part 2'!$AX$5:$BA$5,0)))/2,0)</f>
        <v>0</v>
      </c>
      <c r="AI4" s="248">
        <f>IF($R4=$AI$3,(((((INDEX('Tables - Part 2'!$AX$6:$BA$13,MATCH(SCC_Polythionic_Acid!V4,'Tables - Part 2'!$AV$6:$AV$13,0),MATCH(SCC_Polythionic_Acid!S4,'Tables - Part 2'!$AX$5:$BA$5,0))+INDEX('Tables - Part 2'!$BB$6:$BE$13,MATCH(SCC_Polythionic_Acid!$V4,'Tables - Part 2'!$AV$6:$AV$13,0),MATCH(SCC_Polythionic_Acid!$S4,'Tables - Part 2'!$AX$5:$BA$5,0)))/2)+INDEX('Tables - Part 2'!$BB$6:$BE$13,MATCH(SCC_Polythionic_Acid!$V4,'Tables - Part 2'!$AV$6:$AV$13,0),MATCH(SCC_Polythionic_Acid!$S4,'Tables - Part 2'!$AX$5:$BA$5,0)))/2)+INDEX('Tables - Part 2'!$BB$6:$BE$13,MATCH(SCC_Polythionic_Acid!$V4,'Tables - Part 2'!$AV$6:$AV$13,0),MATCH(SCC_Polythionic_Acid!$S4,'Tables - Part 2'!$AX$5:$BA$5,0)))/2,0)</f>
        <v>0</v>
      </c>
      <c r="AJ4" s="248">
        <f>IF($R4=$AJ$3,INDEX('Tables - Part 2'!$BB$6:$BE$13,MATCH(SCC_Polythionic_Acid!$V4,'Tables - Part 2'!$AV$6:$AV$13,0),MATCH(SCC_Polythionic_Acid!$S4,'Tables - Part 2'!$AX$5:$BA$5,0)),0)</f>
        <v>0</v>
      </c>
      <c r="AK4" s="248">
        <f>IF($R4=$AK$3,((INDEX('Tables - Part 2'!$BB$6:$BE$13,MATCH(SCC_Polythionic_Acid!$V4,'Tables - Part 2'!$AV$6:$AV$13,0),MATCH(SCC_Polythionic_Acid!$S4,'Tables - Part 2'!$AX$5:$BA$5,0)))+(INDEX('Tables - Part 2'!$BB$6:$BE$13,MATCH(SCC_Polythionic_Acid!$V4,'Tables - Part 2'!$AV$6:$AV$13,0),MATCH(SCC_Polythionic_Acid!$S4,'Tables - Part 2'!$AX$5:$BA$5,0))+(INDEX('Tables - Part 2'!$BB$6:$BE$13,MATCH(SCC_Polythionic_Acid!$V4,'Tables - Part 2'!$AV$6:$AV$13,0),MATCH(SCC_Polythionic_Acid!$S4,'Tables - Part 2'!$AX$5:$BA$5,0))+INDEX('Tables - Part 2'!$BF$6:$BI$13,MATCH(SCC_Polythionic_Acid!$V4,'Tables - Part 2'!$AV$6:$AV$13,0),MATCH(SCC_Polythionic_Acid!$S4,'Tables - Part 2'!$AX$5:$BA$5,0)))/2)/2)/2,0)</f>
        <v>0</v>
      </c>
      <c r="AL4" s="248">
        <f>IF($R4=$AL$3,(INDEX('Tables - Part 2'!$BB$6:$BE$13,MATCH(SCC_Polythionic_Acid!$V4,'Tables - Part 2'!$AV$6:$AV$13,0),MATCH(SCC_Polythionic_Acid!$S4,'Tables - Part 2'!$AX$5:$BA$5,0))+(INDEX('Tables - Part 2'!$BB$6:$BE$13,MATCH(SCC_Polythionic_Acid!$V4,'Tables - Part 2'!$AV$6:$AV$13,0),MATCH(SCC_Polythionic_Acid!$S4,'Tables - Part 2'!$AX$5:$BA$5,0))+INDEX('Tables - Part 2'!$BF$6:$BI$13,MATCH(SCC_Polythionic_Acid!$V4,'Tables - Part 2'!$AV$6:$AV$13,0),MATCH(SCC_Polythionic_Acid!$S4,'Tables - Part 2'!$AX$5:$BA$5,0)))/2)/2,0)</f>
        <v>0</v>
      </c>
      <c r="AM4" s="248">
        <f>IF($R4=$AM$3,(((INDEX('Tables - Part 2'!$BB$6:$BE$13,MATCH(SCC_Polythionic_Acid!$V4,'Tables - Part 2'!$AV$6:$AV$13,0),MATCH(SCC_Polythionic_Acid!$S4,'Tables - Part 2'!$AX$5:$BA$5,0))+(INDEX('Tables - Part 2'!$BB$6:$BE$13,MATCH(SCC_Polythionic_Acid!$V4,'Tables - Part 2'!$AV$6:$AV$13,0),MATCH(SCC_Polythionic_Acid!$S4,'Tables - Part 2'!$AX$5:$BA$5,0))+INDEX('Tables - Part 2'!$BF$6:$BI$13,MATCH(SCC_Polythionic_Acid!$V4,'Tables - Part 2'!$AV$6:$AV$13,0),MATCH(SCC_Polythionic_Acid!$S4,'Tables - Part 2'!$AX$5:$BA$5,0)))/2)/2)+((INDEX('Tables - Part 2'!$BB$6:$BE$13,MATCH(SCC_Polythionic_Acid!$V4,'Tables - Part 2'!$AV$6:$AV$13,0),MATCH(SCC_Polythionic_Acid!$S4,'Tables - Part 2'!$AX$5:$BA$5,0))+INDEX('Tables - Part 2'!$BF$6:$BI$13,MATCH(SCC_Polythionic_Acid!$V4,'Tables - Part 2'!$AV$6:$AV$13,0),MATCH(SCC_Polythionic_Acid!$S4,'Tables - Part 2'!$AX$5:$BA$5,0)))/2))/2,0)</f>
        <v>0</v>
      </c>
      <c r="AN4" s="248">
        <f>IF($R4=$AN$3,(INDEX('Tables - Part 2'!$BB$6:$BE$13,MATCH(SCC_Polythionic_Acid!$V4,'Tables - Part 2'!$AV$6:$AV$13,0),MATCH(SCC_Polythionic_Acid!$S4,'Tables - Part 2'!$AX$5:$BA$5,0))+INDEX('Tables - Part 2'!$BF$6:$BI$13,MATCH(SCC_Polythionic_Acid!$V4,'Tables - Part 2'!$AV$6:$AV$13,0),MATCH(SCC_Polythionic_Acid!$S4,'Tables - Part 2'!$AX$5:$BA$5,0)))/2,0)</f>
        <v>165</v>
      </c>
      <c r="AO4" s="248">
        <f>IF($R4=$AO$3,(((INDEX('Tables - Part 2'!$BB$6:$BE$13,MATCH(SCC_Polythionic_Acid!$V4,'Tables - Part 2'!$AV$6:$AV$13,0),MATCH(SCC_Polythionic_Acid!$S4,'Tables - Part 2'!$AX$5:$BA$5,0))+INDEX('Tables - Part 2'!$BF$6:$BI$13,MATCH(SCC_Polythionic_Acid!$V4,'Tables - Part 2'!$AV$6:$AV$13,0),MATCH(SCC_Polythionic_Acid!$S4,'Tables - Part 2'!$AX$5:$BA$5,0)))/2)+((((INDEX('Tables - Part 2'!$BB$6:$BE$13,MATCH(SCC_Polythionic_Acid!$V4,'Tables - Part 2'!$AV$6:$AV$13,0),MATCH(SCC_Polythionic_Acid!$S4,'Tables - Part 2'!$AX$5:$BA$5,0))+INDEX('Tables - Part 2'!$BF$6:$BI$13,MATCH(SCC_Polythionic_Acid!$V4,'Tables - Part 2'!$AV$6:$AV$13,0),MATCH(SCC_Polythionic_Acid!$S4,'Tables - Part 2'!$AX$5:$BA$5,0)))/2)+INDEX('Tables - Part 2'!$BF$6:$BI$13,MATCH(SCC_Polythionic_Acid!$V4,'Tables - Part 2'!$AV$6:$AV$13,0),MATCH(SCC_Polythionic_Acid!$S4,'Tables - Part 2'!$AX$5:$BA$5,0)))/2))/2,0)</f>
        <v>0</v>
      </c>
      <c r="AP4" s="248">
        <f>IF($R4=$AP$3,(((INDEX('Tables - Part 2'!$BB$6:$BE$13,MATCH(SCC_Polythionic_Acid!$V4,'Tables - Part 2'!$AV$6:$AV$13,0),MATCH(SCC_Polythionic_Acid!$S4,'Tables - Part 2'!$AX$5:$BA$5,0))+INDEX('Tables - Part 2'!$BF$6:$BI$13,MATCH(SCC_Polythionic_Acid!$V4,'Tables - Part 2'!$AV$6:$AV$13,0),MATCH(SCC_Polythionic_Acid!$S4,'Tables - Part 2'!$AX$5:$BA$5,0)))/2)+INDEX('Tables - Part 2'!$BF$6:$BI$13,MATCH(SCC_Polythionic_Acid!$V4,'Tables - Part 2'!$AV$6:$AV$13,0),MATCH(SCC_Polythionic_Acid!$S4,'Tables - Part 2'!$AX$5:$BA$5,0)))/2,0)</f>
        <v>0</v>
      </c>
      <c r="AQ4" s="248">
        <f>IF($R4=$AQ$3,(((((INDEX('Tables - Part 2'!$BB$6:$BE$13,MATCH(SCC_Polythionic_Acid!$V4,'Tables - Part 2'!$AV$6:$AV$13,0),MATCH(SCC_Polythionic_Acid!$S4,'Tables - Part 2'!$AX$5:$BA$5,0))+INDEX('Tables - Part 2'!$BF$6:$BI$13,MATCH(SCC_Polythionic_Acid!$V4,'Tables - Part 2'!$AV$6:$AV$13,0),MATCH(SCC_Polythionic_Acid!$S4,'Tables - Part 2'!$AX$5:$BA$5,0)))/2)+INDEX('Tables - Part 2'!$BF$6:$BI$13,MATCH(SCC_Polythionic_Acid!$V4,'Tables - Part 2'!$AV$6:$AV$13,0),MATCH(SCC_Polythionic_Acid!$S4,'Tables - Part 2'!$AX$5:$BA$5,0)))/2)+INDEX('Tables - Part 2'!$BF$6:$BI$13,MATCH(SCC_Polythionic_Acid!$V4,'Tables - Part 2'!$AV$6:$AV$13,0),MATCH(SCC_Polythionic_Acid!$S4,'Tables - Part 2'!$AX$5:$BA$5,0)))/2,0)</f>
        <v>0</v>
      </c>
      <c r="AR4" s="248">
        <f>IF($R4=$AR$3,INDEX('Tables - Part 2'!$BF$6:$BI$13,MATCH(SCC_Polythionic_Acid!$V4,'Tables - Part 2'!$AV$6:$AV$13,0),MATCH(SCC_Polythionic_Acid!$S4,'Tables - Part 2'!$AX$5:$BA$5,0)),0)</f>
        <v>0</v>
      </c>
      <c r="AS4" s="248">
        <f>IF($R4=$AS$3,(INDEX('Tables - Part 2'!$BF$6:$BI$13,MATCH(SCC_Polythionic_Acid!$V4,'Tables - Part 2'!$AV$6:$AV$13,0),MATCH(SCC_Polythionic_Acid!$S4,'Tables - Part 2'!$AX$5:$BA$5,0))+((INDEX('Tables - Part 2'!$BF$6:$BI$13,MATCH(SCC_Polythionic_Acid!$V4,'Tables - Part 2'!$AV$6:$AV$13,0),MATCH(SCC_Polythionic_Acid!$S4,'Tables - Part 2'!$AX$5:$BA$5,0))+(INDEX('Tables - Part 2'!$BF$6:$BI$13,MATCH(SCC_Polythionic_Acid!$V4,'Tables - Part 2'!$AV$6:$AV$13,0),MATCH(SCC_Polythionic_Acid!$S4,'Tables - Part 2'!$AX$5:$BA$5,0))+INDEX('Tables - Part 2'!$AX$17:$BA$24,MATCH(SCC_Polythionic_Acid!$V4,'Tables - Part 2'!$AV$6:$AV$13,0),MATCH(SCC_Polythionic_Acid!$S4,'Tables - Part 2'!$AX$5:$BA$5,0)))/2)/2))/2,0)</f>
        <v>0</v>
      </c>
      <c r="AT4" s="248">
        <f>IF($R4=$AT$3,(INDEX('Tables - Part 2'!$BF$6:$BI$13,MATCH(SCC_Polythionic_Acid!$V4,'Tables - Part 2'!$AV$6:$AV$13,0),MATCH(SCC_Polythionic_Acid!$S4,'Tables - Part 2'!$AX$5:$BA$5,0))+(INDEX('Tables - Part 2'!$BF$6:$BI$13,MATCH(SCC_Polythionic_Acid!$V4,'Tables - Part 2'!$AV$6:$AV$13,0),MATCH(SCC_Polythionic_Acid!$S4,'Tables - Part 2'!$AX$5:$BA$5,0))+INDEX('Tables - Part 2'!$AX$17:$BA$24,MATCH(SCC_Polythionic_Acid!$V4,'Tables - Part 2'!$AV$6:$AV$13,0),MATCH(SCC_Polythionic_Acid!$S4,'Tables - Part 2'!$AX$5:$BA$5,0)))/2)/2,0)</f>
        <v>0</v>
      </c>
      <c r="AU4" s="248">
        <f>IF($R4=$AU$3,(((INDEX('Tables - Part 2'!$BF$6:$BI$13,MATCH(SCC_Polythionic_Acid!$V4,'Tables - Part 2'!$AV$6:$AV$13,0),MATCH(SCC_Polythionic_Acid!$S4,'Tables - Part 2'!$AX$5:$BA$5,0))+(INDEX('Tables - Part 2'!$BF$6:$BI$13,MATCH(SCC_Polythionic_Acid!$V4,'Tables - Part 2'!$AV$6:$AV$13,0),MATCH(SCC_Polythionic_Acid!$S4,'Tables - Part 2'!$AX$5:$BA$5,0))+INDEX('Tables - Part 2'!$AX$17:$BA$24,MATCH(SCC_Polythionic_Acid!$V4,'Tables - Part 2'!$AV$6:$AV$13,0),MATCH(SCC_Polythionic_Acid!$S4,'Tables - Part 2'!$AX$5:$BA$5,0)))/2)/2)+((INDEX('Tables - Part 2'!$BF$6:$BI$13,MATCH(SCC_Polythionic_Acid!$V4,'Tables - Part 2'!$AV$6:$AV$13,0),MATCH(SCC_Polythionic_Acid!$S4,'Tables - Part 2'!$AX$5:$BA$5,0))+INDEX('Tables - Part 2'!$AX$17:$BA$24,MATCH(SCC_Polythionic_Acid!$V4,'Tables - Part 2'!$AV$6:$AV$13,0),MATCH(SCC_Polythionic_Acid!$S4,'Tables - Part 2'!$AX$5:$BA$5,0)))/2))/2,0)</f>
        <v>0</v>
      </c>
      <c r="AV4" s="248">
        <f>IF($R4=$AV$3,(INDEX('Tables - Part 2'!$BF$6:$BI$13,MATCH(SCC_Polythionic_Acid!$V4,'Tables - Part 2'!$AV$6:$AV$13,0),MATCH(SCC_Polythionic_Acid!$S4,'Tables - Part 2'!$AX$5:$BA$5,0))+INDEX('Tables - Part 2'!$AX$17:$BA$24,MATCH(SCC_Polythionic_Acid!$V4,'Tables - Part 2'!$AV$6:$AV$13,0),MATCH(SCC_Polythionic_Acid!$S4,'Tables - Part 2'!$AX$5:$BA$5,0)))/2,0)</f>
        <v>0</v>
      </c>
      <c r="AW4" s="248">
        <f>IF($R4=$AW$3,(((INDEX('Tables - Part 2'!$BF$6:$BI$13,MATCH(SCC_Polythionic_Acid!$V4,'Tables - Part 2'!$AV$6:$AV$13,0),MATCH(SCC_Polythionic_Acid!$S4,'Tables - Part 2'!$AX$5:$BA$5,0))+INDEX('Tables - Part 2'!$AX$17:$BA$24,MATCH(SCC_Polythionic_Acid!$V4,'Tables - Part 2'!$AV$6:$AV$13,0),MATCH(SCC_Polythionic_Acid!$S4,'Tables - Part 2'!$AX$5:$BA$5,0)))/2)+((((INDEX('Tables - Part 2'!$BF$6:$BI$13,MATCH(SCC_Polythionic_Acid!$V4,'Tables - Part 2'!$AV$6:$AV$13,0),MATCH(SCC_Polythionic_Acid!$S4,'Tables - Part 2'!$AX$5:$BA$5,0))+INDEX('Tables - Part 2'!$AX$17:$BA$24,MATCH(SCC_Polythionic_Acid!$V4,'Tables - Part 2'!$AV$6:$AV$13,0),MATCH(SCC_Polythionic_Acid!$S4,'Tables - Part 2'!$AX$5:$BA$5,0)))/2)+INDEX('Tables - Part 2'!$AX$17:$BA$24,MATCH(SCC_Polythionic_Acid!$V4,'Tables - Part 2'!$AV$6:$AV$13,0),MATCH(SCC_Polythionic_Acid!$S4,'Tables - Part 2'!$AX$5:$BA$5,0)))/2))/2,0)</f>
        <v>0</v>
      </c>
      <c r="AX4" s="248">
        <f>IF($R4=$AX$3,(((INDEX('Tables - Part 2'!$BF$6:$BI$13,MATCH(SCC_Polythionic_Acid!$V4,'Tables - Part 2'!$AV$6:$AV$13,0),MATCH(SCC_Polythionic_Acid!$S4,'Tables - Part 2'!$AX$5:$BA$5,0))+INDEX('Tables - Part 2'!$AX$17:$BA$24,MATCH(SCC_Polythionic_Acid!$V4,'Tables - Part 2'!$AV$6:$AV$13,0),MATCH(SCC_Polythionic_Acid!$S4,'Tables - Part 2'!$AX$5:$BA$5,0)))/2)+INDEX('Tables - Part 2'!$AX$17:$BA$24,MATCH(SCC_Polythionic_Acid!$V4,'Tables - Part 2'!$AV$6:$AV$13,0),MATCH(SCC_Polythionic_Acid!$S4,'Tables - Part 2'!$AX$5:$BA$5,0)))/2,0)</f>
        <v>0</v>
      </c>
      <c r="AY4" s="248">
        <f>IF($R4=$AY$3,(((((INDEX('Tables - Part 2'!$BF$6:$BI$13,MATCH(SCC_Polythionic_Acid!$V4,'Tables - Part 2'!$AV$6:$AV$13,0),MATCH(SCC_Polythionic_Acid!$S4,'Tables - Part 2'!$AX$5:$BA$5,0))+INDEX('Tables - Part 2'!$AX$17:$BA$24,MATCH(SCC_Polythionic_Acid!$V4,'Tables - Part 2'!$AV$6:$AV$13,0),MATCH(SCC_Polythionic_Acid!$S4,'Tables - Part 2'!$AX$5:$BA$5,0)))/2)+INDEX('Tables - Part 2'!$AX$17:$BA$24,MATCH(SCC_Polythionic_Acid!$V4,'Tables - Part 2'!$AV$6:$AV$13,0),MATCH(SCC_Polythionic_Acid!$S4,'Tables - Part 2'!$AX$5:$BA$5,0)))/2)+(INDEX('Tables - Part 2'!$AX$17:$BA$24,MATCH(SCC_Polythionic_Acid!$V4,'Tables - Part 2'!$AV$6:$AV$13,0),MATCH(SCC_Polythionic_Acid!$S4,'Tables - Part 2'!$AX$5:$BA$5,0))))/2,0)</f>
        <v>0</v>
      </c>
      <c r="AZ4" s="248">
        <f>IF($R4=$AZ$3,INDEX('Tables - Part 2'!$AX$17:$BA$24,MATCH(SCC_Polythionic_Acid!$V4,'Tables - Part 2'!$AV$6:$AV$13,0),MATCH(SCC_Polythionic_Acid!$S4,'Tables - Part 2'!$AX$5:$BA$5,0)),0)</f>
        <v>0</v>
      </c>
      <c r="BA4" s="248">
        <f>IF($R4=$BA$3,((INDEX('Tables - Part 2'!$AX$17:$BA$24,MATCH(SCC_Polythionic_Acid!$V4,'Tables - Part 2'!$AV$6:$AV$13,0),MATCH(SCC_Polythionic_Acid!$S4,'Tables - Part 2'!$AX$5:$BA$5,0)))+(((INDEX('Tables - Part 2'!$AX$17:$BA$24,MATCH(SCC_Polythionic_Acid!$V4,'Tables - Part 2'!$AV$6:$AV$13,0),MATCH(SCC_Polythionic_Acid!$S4,'Tables - Part 2'!$AX$5:$BA$5,0)))+(INDEX('Tables - Part 2'!$AX$17:$BA$24,MATCH(SCC_Polythionic_Acid!$V4,'Tables - Part 2'!$AV$6:$AV$13,0),MATCH(SCC_Polythionic_Acid!$S4,'Tables - Part 2'!$AX$5:$BA$5,0))+INDEX('Tables - Part 2'!$BB$17:$BE$24,MATCH(SCC_Polythionic_Acid!$V4,'Tables - Part 2'!$AV$6:$AV$13,0),MATCH(SCC_Polythionic_Acid!$S4,'Tables - Part 2'!$AX$5:$BA$5,0)))/2)/2))/2,0)</f>
        <v>0</v>
      </c>
      <c r="BB4" s="248">
        <f>IF($R4=$BB$3,((INDEX('Tables - Part 2'!$AX$17:$BA$24,MATCH(SCC_Polythionic_Acid!$V4,'Tables - Part 2'!$AV$6:$AV$13,0),MATCH(SCC_Polythionic_Acid!$S4,'Tables - Part 2'!$AX$5:$BA$5,0)))+(INDEX('Tables - Part 2'!$AX$17:$BA$24,MATCH(SCC_Polythionic_Acid!$V4,'Tables - Part 2'!$AV$6:$AV$13,0),MATCH(SCC_Polythionic_Acid!$S4,'Tables - Part 2'!$AX$5:$BA$5,0))+INDEX('Tables - Part 2'!$BB$17:$BE$24,MATCH(SCC_Polythionic_Acid!$V4,'Tables - Part 2'!$AV$6:$AV$13,0),MATCH(SCC_Polythionic_Acid!$S4,'Tables - Part 2'!$AX$5:$BA$5,0)))/2)/2,0)</f>
        <v>0</v>
      </c>
      <c r="BC4" s="248">
        <f>IF($R4=$BC$3,((((INDEX('Tables - Part 2'!$AX$17:$BA$24,MATCH(SCC_Polythionic_Acid!$V4,'Tables - Part 2'!$AV$6:$AV$13,0),MATCH(SCC_Polythionic_Acid!$S4,'Tables - Part 2'!$AX$5:$BA$5,0)))+(INDEX('Tables - Part 2'!$AX$17:$BA$24,MATCH(SCC_Polythionic_Acid!$V4,'Tables - Part 2'!$AV$6:$AV$13,0),MATCH(SCC_Polythionic_Acid!$S4,'Tables - Part 2'!$AX$5:$BA$5,0))+INDEX('Tables - Part 2'!$BB$17:$BE$24,MATCH(SCC_Polythionic_Acid!$V4,'Tables - Part 2'!$AV$6:$AV$13,0),MATCH(SCC_Polythionic_Acid!$S4,'Tables - Part 2'!$AX$5:$BA$5,0)))/2)/2)+((INDEX('Tables - Part 2'!$AX$17:$BA$24,MATCH(SCC_Polythionic_Acid!$V4,'Tables - Part 2'!$AV$6:$AV$13,0),MATCH(SCC_Polythionic_Acid!$S4,'Tables - Part 2'!$AX$5:$BA$5,0))+INDEX('Tables - Part 2'!$BB$17:$BE$24,MATCH(SCC_Polythionic_Acid!$V4,'Tables - Part 2'!$AV$6:$AV$13,0),MATCH(SCC_Polythionic_Acid!$S4,'Tables - Part 2'!$AX$5:$BA$5,0)))/2))/2,0)</f>
        <v>0</v>
      </c>
      <c r="BD4" s="248">
        <f>IF($R4=$BD$3,(INDEX('Tables - Part 2'!$AX$17:$BA$24,MATCH(SCC_Polythionic_Acid!$V4,'Tables - Part 2'!$AV$6:$AV$13,0),MATCH(SCC_Polythionic_Acid!$S4,'Tables - Part 2'!$AX$5:$BA$5,0))+INDEX('Tables - Part 2'!$BB$17:$BE$24,MATCH(SCC_Polythionic_Acid!$V4,'Tables - Part 2'!$AV$6:$AV$13,0),MATCH(SCC_Polythionic_Acid!$S4,'Tables - Part 2'!$AX$5:$BA$5,0)))/2,0)</f>
        <v>0</v>
      </c>
      <c r="BE4" s="248">
        <f>IF($R4=$BE$3,(((INDEX('Tables - Part 2'!$AX$17:$BA$24,MATCH(SCC_Polythionic_Acid!$V4,'Tables - Part 2'!$AV$6:$AV$13,0),MATCH(SCC_Polythionic_Acid!$S4,'Tables - Part 2'!$AX$5:$BA$5,0))+INDEX('Tables - Part 2'!$BB$17:$BE$24,MATCH(SCC_Polythionic_Acid!$V4,'Tables - Part 2'!$AV$6:$AV$13,0),MATCH(SCC_Polythionic_Acid!$S4,'Tables - Part 2'!$AX$5:$BA$5,0)))/2)+((((INDEX('Tables - Part 2'!$AX$17:$BA$24,MATCH(SCC_Polythionic_Acid!$V4,'Tables - Part 2'!$AV$6:$AV$13,0),MATCH(SCC_Polythionic_Acid!$S4,'Tables - Part 2'!$AX$5:$BA$5,0))+INDEX('Tables - Part 2'!$BB$17:$BE$24,MATCH(SCC_Polythionic_Acid!$V4,'Tables - Part 2'!$AV$6:$AV$13,0),MATCH(SCC_Polythionic_Acid!$S4,'Tables - Part 2'!$AX$5:$BA$5,0)))/2)+INDEX('Tables - Part 2'!$BB$17:$BE$24,MATCH(SCC_Polythionic_Acid!$V4,'Tables - Part 2'!$AV$6:$AV$13,0),MATCH(SCC_Polythionic_Acid!$S4,'Tables - Part 2'!$AX$5:$BA$5,0)))/2))/2,0)</f>
        <v>0</v>
      </c>
      <c r="BF4" s="248">
        <f>IF($R4=$BF$3,(((INDEX('Tables - Part 2'!$AX$17:$BA$24,MATCH(SCC_Polythionic_Acid!$V4,'Tables - Part 2'!$AV$6:$AV$13,0),MATCH(SCC_Polythionic_Acid!$S4,'Tables - Part 2'!$AX$5:$BA$5,0))+INDEX('Tables - Part 2'!$BB$17:$BE$24,MATCH(SCC_Polythionic_Acid!$V4,'Tables - Part 2'!$AV$6:$AV$13,0),MATCH(SCC_Polythionic_Acid!$S4,'Tables - Part 2'!$AX$5:$BA$5,0)))/2)+INDEX('Tables - Part 2'!$BB$17:$BE$24,MATCH(SCC_Polythionic_Acid!$V4,'Tables - Part 2'!$AV$6:$AV$13,0),MATCH(SCC_Polythionic_Acid!$S4,'Tables - Part 2'!$AX$5:$BA$5,0)))/2,0)</f>
        <v>0</v>
      </c>
      <c r="BG4" s="248">
        <f>IF($R4=$BG$3,(((((INDEX('Tables - Part 2'!$AX$17:$BA$24,MATCH(SCC_Polythionic_Acid!$V4,'Tables - Part 2'!$AV$6:$AV$13,0),MATCH(SCC_Polythionic_Acid!$S4,'Tables - Part 2'!$AX$5:$BA$5,0))+INDEX('Tables - Part 2'!$BB$17:$BE$24,MATCH(SCC_Polythionic_Acid!$V4,'Tables - Part 2'!$AV$6:$AV$13,0),MATCH(SCC_Polythionic_Acid!$S4,'Tables - Part 2'!$AX$5:$BA$5,0)))/2)+INDEX('Tables - Part 2'!$BB$17:$BE$24,MATCH(SCC_Polythionic_Acid!$V4,'Tables - Part 2'!$AV$6:$AV$13,0),MATCH(SCC_Polythionic_Acid!$S4,'Tables - Part 2'!$AX$5:$BA$5,0)))/2)+(INDEX('Tables - Part 2'!$BB$17:$BE$24,MATCH(SCC_Polythionic_Acid!$V4,'Tables - Part 2'!$AV$6:$AV$13,0),MATCH(SCC_Polythionic_Acid!$S4,'Tables - Part 2'!$AX$5:$BA$5,0))))/2,0)</f>
        <v>0</v>
      </c>
      <c r="BH4" s="248">
        <f>IF($R4=$BH$3,INDEX('Tables - Part 2'!$BB$17:$BE$24,MATCH(SCC_Polythionic_Acid!$V4,'Tables - Part 2'!$AV$6:$AV$13,0),MATCH(SCC_Polythionic_Acid!$S4,'Tables - Part 2'!$AX$5:$BA$5,0)),0)</f>
        <v>0</v>
      </c>
      <c r="BI4" s="248">
        <f>IF($R4=$BI$3,((INDEX('Tables - Part 2'!$BB$17:$BE$24,MATCH(SCC_Polythionic_Acid!$V4,'Tables - Part 2'!$AV$6:$AV$13,0),MATCH(SCC_Polythionic_Acid!$S4,'Tables - Part 2'!$AX$5:$BA$5,0)))+(((INDEX('Tables - Part 2'!$BB$17:$BE$24,MATCH(SCC_Polythionic_Acid!$V4,'Tables - Part 2'!$AV$6:$AV$13,0),MATCH(SCC_Polythionic_Acid!$S4,'Tables - Part 2'!$AX$5:$BA$5,0)))+(INDEX('Tables - Part 2'!$BB$17:$BE$24,MATCH(SCC_Polythionic_Acid!$V4,'Tables - Part 2'!$AV$6:$AV$13,0),MATCH(SCC_Polythionic_Acid!$S4,'Tables - Part 2'!$AX$5:$BA$5,0))+INDEX('Tables - Part 2'!$BF$17:$BI$24,MATCH(SCC_Polythionic_Acid!$V4,'Tables - Part 2'!$AV$6:$AV$13,0),MATCH(SCC_Polythionic_Acid!$S4,'Tables - Part 2'!$AX$5:$BA$5,0)))/2)/2))/2,0)</f>
        <v>0</v>
      </c>
      <c r="BJ4" s="248">
        <f>IF($R4=$BJ$3,((INDEX('Tables - Part 2'!$BB$17:$BE$24,MATCH(SCC_Polythionic_Acid!$V4,'Tables - Part 2'!$AV$6:$AV$13,0),MATCH(SCC_Polythionic_Acid!$S4,'Tables - Part 2'!$AX$5:$BA$5,0)))+(INDEX('Tables - Part 2'!$BB$17:$BE$24,MATCH(SCC_Polythionic_Acid!$V4,'Tables - Part 2'!$AV$6:$AV$13,0),MATCH(SCC_Polythionic_Acid!$S4,'Tables - Part 2'!$AX$5:$BA$5,0))+INDEX('Tables - Part 2'!$BF$17:$BI$24,MATCH(SCC_Polythionic_Acid!$V4,'Tables - Part 2'!$AV$6:$AV$13,0),MATCH(SCC_Polythionic_Acid!$S4,'Tables - Part 2'!$AX$5:$BA$5,0)))/2)/2,0)</f>
        <v>0</v>
      </c>
      <c r="BK4" s="248">
        <f>IF($R4=$BK$3,((((INDEX('Tables - Part 2'!$BB$17:$BE$24,MATCH(SCC_Polythionic_Acid!$V4,'Tables - Part 2'!$AV$6:$AV$13,0),MATCH(SCC_Polythionic_Acid!$S4,'Tables - Part 2'!$AX$5:$BA$5,0)))+(INDEX('Tables - Part 2'!$BB$17:$BE$24,MATCH(SCC_Polythionic_Acid!$V4,'Tables - Part 2'!$AV$6:$AV$13,0),MATCH(SCC_Polythionic_Acid!$S4,'Tables - Part 2'!$AX$5:$BA$5,0))+INDEX('Tables - Part 2'!$BF$17:$BI$24,MATCH(SCC_Polythionic_Acid!$V4,'Tables - Part 2'!$AV$6:$AV$13,0),MATCH(SCC_Polythionic_Acid!$S4,'Tables - Part 2'!$AX$5:$BA$5,0)))/2)/2)+((INDEX('Tables - Part 2'!$BB$17:$BE$24,MATCH(SCC_Polythionic_Acid!$V4,'Tables - Part 2'!$AV$6:$AV$13,0),MATCH(SCC_Polythionic_Acid!$S4,'Tables - Part 2'!$AX$5:$BA$5,0))+INDEX('Tables - Part 2'!$BF$17:$BI$24,MATCH(SCC_Polythionic_Acid!$V4,'Tables - Part 2'!$AV$6:$AV$13,0),MATCH(SCC_Polythionic_Acid!$S4,'Tables - Part 2'!$AX$5:$BA$5,0)))/2))/2,0)</f>
        <v>0</v>
      </c>
      <c r="BL4" s="248">
        <f>IF($R4=$BL$3,(INDEX('Tables - Part 2'!$BB$17:$BE$24,MATCH(SCC_Polythionic_Acid!$V4,'Tables - Part 2'!$AV$6:$AV$13,0),MATCH(SCC_Polythionic_Acid!$S4,'Tables - Part 2'!$AX$5:$BA$5,0))+INDEX('Tables - Part 2'!$BF$17:$BI$24,MATCH(SCC_Polythionic_Acid!$V4,'Tables - Part 2'!$AV$6:$AV$13,0),MATCH(SCC_Polythionic_Acid!$S4,'Tables - Part 2'!$AX$5:$BA$5,0)))/2,0)</f>
        <v>0</v>
      </c>
      <c r="BM4" s="248">
        <f>IF($R4=$BM$3,(((INDEX('Tables - Part 2'!$BB$17:$BE$24,MATCH(SCC_Polythionic_Acid!$V4,'Tables - Part 2'!$AV$6:$AV$13,0),MATCH(SCC_Polythionic_Acid!$S4,'Tables - Part 2'!$AX$5:$BA$5,0))+INDEX('Tables - Part 2'!$BF$17:$BI$24,MATCH(SCC_Polythionic_Acid!$V4,'Tables - Part 2'!$AV$6:$AV$13,0),MATCH(SCC_Polythionic_Acid!$S4,'Tables - Part 2'!$AX$5:$BA$5,0)))/2)+((((INDEX('Tables - Part 2'!$BB$17:$BE$24,MATCH(SCC_Polythionic_Acid!$V4,'Tables - Part 2'!$AV$6:$AV$13,0),MATCH(SCC_Polythionic_Acid!$S4,'Tables - Part 2'!$AX$5:$BA$5,0))+INDEX('Tables - Part 2'!$BF$17:$BI$24,MATCH(SCC_Polythionic_Acid!$V4,'Tables - Part 2'!$AV$6:$AV$13,0),MATCH(SCC_Polythionic_Acid!$S4,'Tables - Part 2'!$AX$5:$BA$5,0)))/2)+INDEX('Tables - Part 2'!$BF$17:$BI$24,MATCH(SCC_Polythionic_Acid!$V4,'Tables - Part 2'!$AV$6:$AV$13,0),MATCH(SCC_Polythionic_Acid!$S4,'Tables - Part 2'!$AX$5:$BA$5,0)))/2))/2,0)</f>
        <v>0</v>
      </c>
      <c r="BN4" s="248">
        <f>IF($R4=$BN$3,(((INDEX('Tables - Part 2'!$BB$17:$BE$24,MATCH(SCC_Polythionic_Acid!$V4,'Tables - Part 2'!$AV$6:$AV$13,0),MATCH(SCC_Polythionic_Acid!$S4,'Tables - Part 2'!$AX$5:$BA$5,0))+INDEX('Tables - Part 2'!$BF$17:$BI$24,MATCH(SCC_Polythionic_Acid!$V4,'Tables - Part 2'!$AV$6:$AV$13,0),MATCH(SCC_Polythionic_Acid!$S4,'Tables - Part 2'!$AX$5:$BA$5,0)))/2)+INDEX('Tables - Part 2'!$BF$17:$BI$24,MATCH(SCC_Polythionic_Acid!$V4,'Tables - Part 2'!$AV$6:$AV$13,0),MATCH(SCC_Polythionic_Acid!$S4,'Tables - Part 2'!$AX$5:$BA$5,0)))/2,0)</f>
        <v>0</v>
      </c>
      <c r="BO4" s="248">
        <f>IF($R4=$BO$3,(((((INDEX('Tables - Part 2'!$BB$17:$BE$24,MATCH(SCC_Polythionic_Acid!$V4,'Tables - Part 2'!$AV$6:$AV$13,0),MATCH(SCC_Polythionic_Acid!$S4,'Tables - Part 2'!$AX$5:$BA$5,0))+INDEX('Tables - Part 2'!$BF$17:$BI$24,MATCH(SCC_Polythionic_Acid!$V4,'Tables - Part 2'!$AV$6:$AV$13,0),MATCH(SCC_Polythionic_Acid!$S4,'Tables - Part 2'!$AX$5:$BA$5,0)))/2)+INDEX('Tables - Part 2'!$BF$17:$BI$24,MATCH(SCC_Polythionic_Acid!$V4,'Tables - Part 2'!$AV$6:$AV$13,0),MATCH(SCC_Polythionic_Acid!$S4,'Tables - Part 2'!$AX$5:$BA$5,0)))/2)+(INDEX('Tables - Part 2'!$BF$17:$BI$24,MATCH(SCC_Polythionic_Acid!$V4,'Tables - Part 2'!$AV$6:$AV$13,0),MATCH(SCC_Polythionic_Acid!$S4,'Tables - Part 2'!$AX$5:$BA$5,0))))/2,0)</f>
        <v>0</v>
      </c>
      <c r="BP4" s="248">
        <f>IF($R4=$BP$3,INDEX('Tables - Part 2'!$BF$17:$BI$24,MATCH(SCC_Polythionic_Acid!$V4,'Tables - Part 2'!$AV$6:$AV$13,0),MATCH(SCC_Polythionic_Acid!$S4,'Tables - Part 2'!$AX$5:$BA$5,0)),0)</f>
        <v>0</v>
      </c>
      <c r="BQ4" s="248">
        <f t="shared" ref="BQ4:BQ21" si="5">IF(R4=0,V4,0)</f>
        <v>0</v>
      </c>
      <c r="BR4" s="238">
        <f>SUM(AB4:BQ4)</f>
        <v>165</v>
      </c>
      <c r="BS4" s="238">
        <f>IF(B4="",0,MIN(BR4*POWER(MAX(W4,1),1.1),5000))</f>
        <v>2767.5256072873844</v>
      </c>
      <c r="BV4" s="237" t="s">
        <v>111</v>
      </c>
      <c r="BX4" t="s">
        <v>61</v>
      </c>
      <c r="BY4">
        <v>100</v>
      </c>
      <c r="BZ4">
        <v>180</v>
      </c>
      <c r="CA4">
        <v>37.777799999999999</v>
      </c>
      <c r="CB4" s="208">
        <v>82.222200000000001</v>
      </c>
    </row>
    <row r="5" spans="2:84" x14ac:dyDescent="0.35">
      <c r="B5" s="161" t="str">
        <f>'Tratamento de Dados'!B13</f>
        <v>V-07</v>
      </c>
      <c r="C5" s="161" t="str">
        <f>'Tratamento de Dados'!D13</f>
        <v>Tampo_Sul</v>
      </c>
      <c r="D5" s="209" t="s">
        <v>244</v>
      </c>
      <c r="E5" s="209" t="s">
        <v>244</v>
      </c>
      <c r="F5" s="209" t="s">
        <v>244</v>
      </c>
      <c r="G5" s="209" t="s">
        <v>244</v>
      </c>
      <c r="H5" s="209" t="s">
        <v>1145</v>
      </c>
      <c r="I5" s="247">
        <f>'Tratamento de Dados'!S13</f>
        <v>49</v>
      </c>
      <c r="J5" s="209" t="s">
        <v>1146</v>
      </c>
      <c r="K5" s="210">
        <v>39092</v>
      </c>
      <c r="L5" s="209">
        <v>0</v>
      </c>
      <c r="M5" s="209">
        <v>1</v>
      </c>
      <c r="N5" s="209">
        <v>1</v>
      </c>
      <c r="O5" s="209">
        <v>4</v>
      </c>
      <c r="P5" s="253">
        <f>'Tratamento de Dados'!DA13</f>
        <v>0</v>
      </c>
      <c r="Q5" s="253">
        <f>'Tratamento de Dados'!DB13</f>
        <v>0</v>
      </c>
      <c r="R5" s="256">
        <f t="shared" si="0"/>
        <v>2.5</v>
      </c>
      <c r="S5" s="246" t="str">
        <f t="shared" si="1"/>
        <v>B</v>
      </c>
      <c r="T5" s="238" t="str">
        <f>IF(D5=$BX$2,$BV$5,IF(F5=$BX$3,$BV$2,INDEX(IF(I5&lt;427,'Tables - Part 2'!$DH$6:$DJ$10,'Tables - Part 2'!$DH$14:$DJ$18),MATCH(SCC_Polythionic_Acid!H5,'Tables - Part 2'!$DG$6:$DG$10,0),MATCH(J5,'Tables - Part 2'!$DH$5:$DJ$5,0))))</f>
        <v>High</v>
      </c>
      <c r="U5" s="238" t="str">
        <f t="shared" ref="U5:U21" si="6">IF(D5=$BX$2,$BV$5,IF(G5=$BX$2,IF(T5=$BV$5,$BV$4,IF(T5=$BV$4,$BV$3,IF(T5=$BV$3,$BV$2,$BV$2))),T5))</f>
        <v>High</v>
      </c>
      <c r="V5" s="238">
        <f>IF(AND(D5=$BX$2,E5&lt;&gt;$BX$2),"Fitness-For-Service",INDEX('Tables - Part 2'!$DM$4:$DM$7,MATCH(SCC_Polythionic_Acid!U5,'Tables - Part 2'!$DL$4:$DL$7,0),))</f>
        <v>5000</v>
      </c>
      <c r="W5" s="238">
        <f>IF(K5=0,(Thinning!G6-Thinning!F6)/365.25,(Thinning!G6-K5)/365.25)</f>
        <v>13.390828199863108</v>
      </c>
      <c r="X5" s="248">
        <f t="shared" si="2"/>
        <v>0</v>
      </c>
      <c r="Y5" s="248">
        <f t="shared" si="3"/>
        <v>2.5</v>
      </c>
      <c r="Z5" s="247">
        <f t="shared" ref="Z5:Z21" si="7">_xlfn.FLOOR.MATH((AA5/2)+N5,0.5)</f>
        <v>3</v>
      </c>
      <c r="AA5" s="247">
        <f t="shared" si="4"/>
        <v>4</v>
      </c>
      <c r="AB5" s="248">
        <f>IF($R5=$AB$3,INDEX('Tables - Part 2'!$AX$6:$BA$13,MATCH(SCC_Polythionic_Acid!V5,'Tables - Part 2'!$AV$6:$AV$13,0),MATCH(SCC_Polythionic_Acid!S5,'Tables - Part 2'!$AX$5:$BA$5,0)),0)</f>
        <v>0</v>
      </c>
      <c r="AC5" s="248">
        <f>IF($R5=$AC$3,(INDEX('Tables - Part 2'!$AX$6:$BA$13,MATCH(SCC_Polythionic_Acid!V5,'Tables - Part 2'!$AV$6:$AV$13,0),MATCH(SCC_Polythionic_Acid!S5,'Tables - Part 2'!$AX$5:$BA$5,0))+(INDEX('Tables - Part 2'!$AX$6:$BA$13,MATCH(SCC_Polythionic_Acid!V5,'Tables - Part 2'!$AV$6:$AV$13,0),MATCH(SCC_Polythionic_Acid!S5,'Tables - Part 2'!$AX$5:$BA$5,0))+((INDEX('Tables - Part 2'!$AX$6:$BA$13,MATCH(SCC_Polythionic_Acid!V5,'Tables - Part 2'!$AV$6:$AV$13,0),MATCH(SCC_Polythionic_Acid!S5,'Tables - Part 2'!$AX$5:$BA$5,0))+INDEX('Tables - Part 2'!$BB$6:$BE$13,MATCH(SCC_Polythionic_Acid!$V5,'Tables - Part 2'!$AV$6:$AV$13,0),MATCH(SCC_Polythionic_Acid!$S5,'Tables - Part 2'!$AX$5:$BA$5,0)))/2))/2)/2,0)</f>
        <v>0</v>
      </c>
      <c r="AD5" s="248">
        <f>IF($R5=$AD$3,(INDEX('Tables - Part 2'!$AX$6:$BA$13,MATCH(SCC_Polythionic_Acid!V5,'Tables - Part 2'!$AV$6:$AV$13,0),MATCH(SCC_Polythionic_Acid!S5,'Tables - Part 2'!$AX$5:$BA$5,0))+((INDEX('Tables - Part 2'!$AX$6:$BA$13,MATCH(SCC_Polythionic_Acid!V5,'Tables - Part 2'!$AV$6:$AV$13,0),MATCH(SCC_Polythionic_Acid!S5,'Tables - Part 2'!$AX$5:$BA$5,0))+INDEX('Tables - Part 2'!$BB$6:$BE$13,MATCH(SCC_Polythionic_Acid!$V5,'Tables - Part 2'!$AV$6:$AV$13,0),MATCH(SCC_Polythionic_Acid!$S5,'Tables - Part 2'!$AX$5:$BA$5,0)))/2))/2,0)</f>
        <v>0</v>
      </c>
      <c r="AE5" s="248">
        <f>IF($R5=$AE$3,(((INDEX('Tables - Part 2'!$AX$6:$BA$13,MATCH(SCC_Polythionic_Acid!V5,'Tables - Part 2'!$AV$6:$AV$13,0),MATCH(SCC_Polythionic_Acid!S5,'Tables - Part 2'!$AX$5:$BA$5,0))+((INDEX('Tables - Part 2'!$AX$6:$BA$13,MATCH(SCC_Polythionic_Acid!V5,'Tables - Part 2'!$AV$6:$AV$13,0),MATCH(SCC_Polythionic_Acid!S5,'Tables - Part 2'!$AX$5:$BA$5,0))+INDEX('Tables - Part 2'!$BB$6:$BE$13,MATCH(SCC_Polythionic_Acid!$V5,'Tables - Part 2'!$AV$6:$AV$13,0),MATCH(SCC_Polythionic_Acid!$S5,'Tables - Part 2'!$AX$5:$BA$5,0)))/2))/2)+(INDEX('Tables - Part 2'!$AX$6:$BA$13,MATCH(SCC_Polythionic_Acid!V5,'Tables - Part 2'!$AV$6:$AV$13,0),MATCH(SCC_Polythionic_Acid!S5,'Tables - Part 2'!$AX$5:$BA$5,0))+INDEX('Tables - Part 2'!$BB$6:$BE$13,MATCH(SCC_Polythionic_Acid!$V5,'Tables - Part 2'!$AV$6:$AV$13,0),MATCH(SCC_Polythionic_Acid!$S5,'Tables - Part 2'!$AX$5:$BA$5,0)))/2)/2,0)</f>
        <v>0</v>
      </c>
      <c r="AF5" s="248">
        <f>IF($R5=$AF$3,(INDEX('Tables - Part 2'!$AX$6:$BA$13,MATCH(SCC_Polythionic_Acid!V5,'Tables - Part 2'!$AV$6:$AV$13,0),MATCH(SCC_Polythionic_Acid!S5,'Tables - Part 2'!$AX$5:$BA$5,0))+INDEX('Tables - Part 2'!$BB$6:$BE$13,MATCH(SCC_Polythionic_Acid!$V5,'Tables - Part 2'!$AV$6:$AV$13,0),MATCH(SCC_Polythionic_Acid!$S5,'Tables - Part 2'!$AX$5:$BA$5,0)))/2,0)</f>
        <v>0</v>
      </c>
      <c r="AG5" s="248">
        <f>IF($R5=$AG$3,(((INDEX('Tables - Part 2'!$AX$6:$BA$13,MATCH(SCC_Polythionic_Acid!V5,'Tables - Part 2'!$AV$6:$AV$13,0),MATCH(SCC_Polythionic_Acid!S5,'Tables - Part 2'!$AX$5:$BA$5,0))+INDEX('Tables - Part 2'!$BB$6:$BE$13,MATCH(SCC_Polythionic_Acid!$V5,'Tables - Part 2'!$AV$6:$AV$13,0),MATCH(SCC_Polythionic_Acid!$S5,'Tables - Part 2'!$AX$5:$BA$5,0)))/2)+(((INDEX('Tables - Part 2'!$AX$6:$BA$13,MATCH(SCC_Polythionic_Acid!V5,'Tables - Part 2'!$AV$6:$AV$13,0),MATCH(SCC_Polythionic_Acid!S5,'Tables - Part 2'!$AX$5:$BA$5,0))+INDEX('Tables - Part 2'!$BB$6:$BE$13,MATCH(SCC_Polythionic_Acid!$V5,'Tables - Part 2'!$AV$6:$AV$13,0),MATCH(SCC_Polythionic_Acid!$S5,'Tables - Part 2'!$AX$5:$BA$5,0)))/2)+INDEX('Tables - Part 2'!$BB$6:$BE$13,MATCH(SCC_Polythionic_Acid!$V5,'Tables - Part 2'!$AV$6:$AV$13,0),MATCH(SCC_Polythionic_Acid!$S5,'Tables - Part 2'!$AX$5:$BA$5,0)))/2)/2,0)</f>
        <v>0</v>
      </c>
      <c r="AH5" s="248">
        <f>IF($R5=$AH$3,(((INDEX('Tables - Part 2'!$AX$6:$BA$13,MATCH(SCC_Polythionic_Acid!V5,'Tables - Part 2'!$AV$6:$AV$13,0),MATCH(SCC_Polythionic_Acid!S5,'Tables - Part 2'!$AX$5:$BA$5,0))+INDEX('Tables - Part 2'!$BB$6:$BE$13,MATCH(SCC_Polythionic_Acid!$V5,'Tables - Part 2'!$AV$6:$AV$13,0),MATCH(SCC_Polythionic_Acid!$S5,'Tables - Part 2'!$AX$5:$BA$5,0)))/2)+INDEX('Tables - Part 2'!$BB$6:$BE$13,MATCH(SCC_Polythionic_Acid!$V5,'Tables - Part 2'!$AV$6:$AV$13,0),MATCH(SCC_Polythionic_Acid!$S5,'Tables - Part 2'!$AX$5:$BA$5,0)))/2,0)</f>
        <v>0</v>
      </c>
      <c r="AI5" s="248">
        <f>IF($R5=$AI$3,(((((INDEX('Tables - Part 2'!$AX$6:$BA$13,MATCH(SCC_Polythionic_Acid!V5,'Tables - Part 2'!$AV$6:$AV$13,0),MATCH(SCC_Polythionic_Acid!S5,'Tables - Part 2'!$AX$5:$BA$5,0))+INDEX('Tables - Part 2'!$BB$6:$BE$13,MATCH(SCC_Polythionic_Acid!$V5,'Tables - Part 2'!$AV$6:$AV$13,0),MATCH(SCC_Polythionic_Acid!$S5,'Tables - Part 2'!$AX$5:$BA$5,0)))/2)+INDEX('Tables - Part 2'!$BB$6:$BE$13,MATCH(SCC_Polythionic_Acid!$V5,'Tables - Part 2'!$AV$6:$AV$13,0),MATCH(SCC_Polythionic_Acid!$S5,'Tables - Part 2'!$AX$5:$BA$5,0)))/2)+INDEX('Tables - Part 2'!$BB$6:$BE$13,MATCH(SCC_Polythionic_Acid!$V5,'Tables - Part 2'!$AV$6:$AV$13,0),MATCH(SCC_Polythionic_Acid!$S5,'Tables - Part 2'!$AX$5:$BA$5,0)))/2,0)</f>
        <v>0</v>
      </c>
      <c r="AJ5" s="248">
        <f>IF($R5=$AJ$3,INDEX('Tables - Part 2'!$BB$6:$BE$13,MATCH(SCC_Polythionic_Acid!$V5,'Tables - Part 2'!$AV$6:$AV$13,0),MATCH(SCC_Polythionic_Acid!$S5,'Tables - Part 2'!$AX$5:$BA$5,0)),0)</f>
        <v>0</v>
      </c>
      <c r="AK5" s="248">
        <f>IF($R5=$AK$3,((INDEX('Tables - Part 2'!$BB$6:$BE$13,MATCH(SCC_Polythionic_Acid!$V5,'Tables - Part 2'!$AV$6:$AV$13,0),MATCH(SCC_Polythionic_Acid!$S5,'Tables - Part 2'!$AX$5:$BA$5,0)))+(INDEX('Tables - Part 2'!$BB$6:$BE$13,MATCH(SCC_Polythionic_Acid!$V5,'Tables - Part 2'!$AV$6:$AV$13,0),MATCH(SCC_Polythionic_Acid!$S5,'Tables - Part 2'!$AX$5:$BA$5,0))+(INDEX('Tables - Part 2'!$BB$6:$BE$13,MATCH(SCC_Polythionic_Acid!$V5,'Tables - Part 2'!$AV$6:$AV$13,0),MATCH(SCC_Polythionic_Acid!$S5,'Tables - Part 2'!$AX$5:$BA$5,0))+INDEX('Tables - Part 2'!$BF$6:$BI$13,MATCH(SCC_Polythionic_Acid!$V5,'Tables - Part 2'!$AV$6:$AV$13,0),MATCH(SCC_Polythionic_Acid!$S5,'Tables - Part 2'!$AX$5:$BA$5,0)))/2)/2)/2,0)</f>
        <v>0</v>
      </c>
      <c r="AL5" s="248">
        <f>IF($R5=$AL$3,(INDEX('Tables - Part 2'!$BB$6:$BE$13,MATCH(SCC_Polythionic_Acid!$V5,'Tables - Part 2'!$AV$6:$AV$13,0),MATCH(SCC_Polythionic_Acid!$S5,'Tables - Part 2'!$AX$5:$BA$5,0))+(INDEX('Tables - Part 2'!$BB$6:$BE$13,MATCH(SCC_Polythionic_Acid!$V5,'Tables - Part 2'!$AV$6:$AV$13,0),MATCH(SCC_Polythionic_Acid!$S5,'Tables - Part 2'!$AX$5:$BA$5,0))+INDEX('Tables - Part 2'!$BF$6:$BI$13,MATCH(SCC_Polythionic_Acid!$V5,'Tables - Part 2'!$AV$6:$AV$13,0),MATCH(SCC_Polythionic_Acid!$S5,'Tables - Part 2'!$AX$5:$BA$5,0)))/2)/2,0)</f>
        <v>0</v>
      </c>
      <c r="AM5" s="248">
        <f>IF($R5=$AM$3,(((INDEX('Tables - Part 2'!$BB$6:$BE$13,MATCH(SCC_Polythionic_Acid!$V5,'Tables - Part 2'!$AV$6:$AV$13,0),MATCH(SCC_Polythionic_Acid!$S5,'Tables - Part 2'!$AX$5:$BA$5,0))+(INDEX('Tables - Part 2'!$BB$6:$BE$13,MATCH(SCC_Polythionic_Acid!$V5,'Tables - Part 2'!$AV$6:$AV$13,0),MATCH(SCC_Polythionic_Acid!$S5,'Tables - Part 2'!$AX$5:$BA$5,0))+INDEX('Tables - Part 2'!$BF$6:$BI$13,MATCH(SCC_Polythionic_Acid!$V5,'Tables - Part 2'!$AV$6:$AV$13,0),MATCH(SCC_Polythionic_Acid!$S5,'Tables - Part 2'!$AX$5:$BA$5,0)))/2)/2)+((INDEX('Tables - Part 2'!$BB$6:$BE$13,MATCH(SCC_Polythionic_Acid!$V5,'Tables - Part 2'!$AV$6:$AV$13,0),MATCH(SCC_Polythionic_Acid!$S5,'Tables - Part 2'!$AX$5:$BA$5,0))+INDEX('Tables - Part 2'!$BF$6:$BI$13,MATCH(SCC_Polythionic_Acid!$V5,'Tables - Part 2'!$AV$6:$AV$13,0),MATCH(SCC_Polythionic_Acid!$S5,'Tables - Part 2'!$AX$5:$BA$5,0)))/2))/2,0)</f>
        <v>0</v>
      </c>
      <c r="AN5" s="248">
        <f>IF($R5=$AN$3,(INDEX('Tables - Part 2'!$BB$6:$BE$13,MATCH(SCC_Polythionic_Acid!$V5,'Tables - Part 2'!$AV$6:$AV$13,0),MATCH(SCC_Polythionic_Acid!$S5,'Tables - Part 2'!$AX$5:$BA$5,0))+INDEX('Tables - Part 2'!$BF$6:$BI$13,MATCH(SCC_Polythionic_Acid!$V5,'Tables - Part 2'!$AV$6:$AV$13,0),MATCH(SCC_Polythionic_Acid!$S5,'Tables - Part 2'!$AX$5:$BA$5,0)))/2,0)</f>
        <v>165</v>
      </c>
      <c r="AO5" s="248">
        <f>IF($R5=$AO$3,(((INDEX('Tables - Part 2'!$BB$6:$BE$13,MATCH(SCC_Polythionic_Acid!$V5,'Tables - Part 2'!$AV$6:$AV$13,0),MATCH(SCC_Polythionic_Acid!$S5,'Tables - Part 2'!$AX$5:$BA$5,0))+INDEX('Tables - Part 2'!$BF$6:$BI$13,MATCH(SCC_Polythionic_Acid!$V5,'Tables - Part 2'!$AV$6:$AV$13,0),MATCH(SCC_Polythionic_Acid!$S5,'Tables - Part 2'!$AX$5:$BA$5,0)))/2)+((((INDEX('Tables - Part 2'!$BB$6:$BE$13,MATCH(SCC_Polythionic_Acid!$V5,'Tables - Part 2'!$AV$6:$AV$13,0),MATCH(SCC_Polythionic_Acid!$S5,'Tables - Part 2'!$AX$5:$BA$5,0))+INDEX('Tables - Part 2'!$BF$6:$BI$13,MATCH(SCC_Polythionic_Acid!$V5,'Tables - Part 2'!$AV$6:$AV$13,0),MATCH(SCC_Polythionic_Acid!$S5,'Tables - Part 2'!$AX$5:$BA$5,0)))/2)+INDEX('Tables - Part 2'!$BF$6:$BI$13,MATCH(SCC_Polythionic_Acid!$V5,'Tables - Part 2'!$AV$6:$AV$13,0),MATCH(SCC_Polythionic_Acid!$S5,'Tables - Part 2'!$AX$5:$BA$5,0)))/2))/2,0)</f>
        <v>0</v>
      </c>
      <c r="AP5" s="248">
        <f>IF($R5=$AP$3,(((INDEX('Tables - Part 2'!$BB$6:$BE$13,MATCH(SCC_Polythionic_Acid!$V5,'Tables - Part 2'!$AV$6:$AV$13,0),MATCH(SCC_Polythionic_Acid!$S5,'Tables - Part 2'!$AX$5:$BA$5,0))+INDEX('Tables - Part 2'!$BF$6:$BI$13,MATCH(SCC_Polythionic_Acid!$V5,'Tables - Part 2'!$AV$6:$AV$13,0),MATCH(SCC_Polythionic_Acid!$S5,'Tables - Part 2'!$AX$5:$BA$5,0)))/2)+INDEX('Tables - Part 2'!$BF$6:$BI$13,MATCH(SCC_Polythionic_Acid!$V5,'Tables - Part 2'!$AV$6:$AV$13,0),MATCH(SCC_Polythionic_Acid!$S5,'Tables - Part 2'!$AX$5:$BA$5,0)))/2,0)</f>
        <v>0</v>
      </c>
      <c r="AQ5" s="248">
        <f>IF($R5=$AQ$3,(((((INDEX('Tables - Part 2'!$BB$6:$BE$13,MATCH(SCC_Polythionic_Acid!$V5,'Tables - Part 2'!$AV$6:$AV$13,0),MATCH(SCC_Polythionic_Acid!$S5,'Tables - Part 2'!$AX$5:$BA$5,0))+INDEX('Tables - Part 2'!$BF$6:$BI$13,MATCH(SCC_Polythionic_Acid!$V5,'Tables - Part 2'!$AV$6:$AV$13,0),MATCH(SCC_Polythionic_Acid!$S5,'Tables - Part 2'!$AX$5:$BA$5,0)))/2)+INDEX('Tables - Part 2'!$BF$6:$BI$13,MATCH(SCC_Polythionic_Acid!$V5,'Tables - Part 2'!$AV$6:$AV$13,0),MATCH(SCC_Polythionic_Acid!$S5,'Tables - Part 2'!$AX$5:$BA$5,0)))/2)+INDEX('Tables - Part 2'!$BF$6:$BI$13,MATCH(SCC_Polythionic_Acid!$V5,'Tables - Part 2'!$AV$6:$AV$13,0),MATCH(SCC_Polythionic_Acid!$S5,'Tables - Part 2'!$AX$5:$BA$5,0)))/2,0)</f>
        <v>0</v>
      </c>
      <c r="AR5" s="248">
        <f>IF($R5=$AR$3,INDEX('Tables - Part 2'!$BF$6:$BI$13,MATCH(SCC_Polythionic_Acid!$V5,'Tables - Part 2'!$AV$6:$AV$13,0),MATCH(SCC_Polythionic_Acid!$S5,'Tables - Part 2'!$AX$5:$BA$5,0)),0)</f>
        <v>0</v>
      </c>
      <c r="AS5" s="248">
        <f>IF($R5=$AS$3,(INDEX('Tables - Part 2'!$BF$6:$BI$13,MATCH(SCC_Polythionic_Acid!$V5,'Tables - Part 2'!$AV$6:$AV$13,0),MATCH(SCC_Polythionic_Acid!$S5,'Tables - Part 2'!$AX$5:$BA$5,0))+((INDEX('Tables - Part 2'!$BF$6:$BI$13,MATCH(SCC_Polythionic_Acid!$V5,'Tables - Part 2'!$AV$6:$AV$13,0),MATCH(SCC_Polythionic_Acid!$S5,'Tables - Part 2'!$AX$5:$BA$5,0))+(INDEX('Tables - Part 2'!$BF$6:$BI$13,MATCH(SCC_Polythionic_Acid!$V5,'Tables - Part 2'!$AV$6:$AV$13,0),MATCH(SCC_Polythionic_Acid!$S5,'Tables - Part 2'!$AX$5:$BA$5,0))+INDEX('Tables - Part 2'!$AX$17:$BA$24,MATCH(SCC_Polythionic_Acid!$V5,'Tables - Part 2'!$AV$6:$AV$13,0),MATCH(SCC_Polythionic_Acid!$S5,'Tables - Part 2'!$AX$5:$BA$5,0)))/2)/2))/2,0)</f>
        <v>0</v>
      </c>
      <c r="AT5" s="248">
        <f>IF($R5=$AT$3,(INDEX('Tables - Part 2'!$BF$6:$BI$13,MATCH(SCC_Polythionic_Acid!$V5,'Tables - Part 2'!$AV$6:$AV$13,0),MATCH(SCC_Polythionic_Acid!$S5,'Tables - Part 2'!$AX$5:$BA$5,0))+(INDEX('Tables - Part 2'!$BF$6:$BI$13,MATCH(SCC_Polythionic_Acid!$V5,'Tables - Part 2'!$AV$6:$AV$13,0),MATCH(SCC_Polythionic_Acid!$S5,'Tables - Part 2'!$AX$5:$BA$5,0))+INDEX('Tables - Part 2'!$AX$17:$BA$24,MATCH(SCC_Polythionic_Acid!$V5,'Tables - Part 2'!$AV$6:$AV$13,0),MATCH(SCC_Polythionic_Acid!$S5,'Tables - Part 2'!$AX$5:$BA$5,0)))/2)/2,0)</f>
        <v>0</v>
      </c>
      <c r="AU5" s="248">
        <f>IF($R5=$AU$3,(((INDEX('Tables - Part 2'!$BF$6:$BI$13,MATCH(SCC_Polythionic_Acid!$V5,'Tables - Part 2'!$AV$6:$AV$13,0),MATCH(SCC_Polythionic_Acid!$S5,'Tables - Part 2'!$AX$5:$BA$5,0))+(INDEX('Tables - Part 2'!$BF$6:$BI$13,MATCH(SCC_Polythionic_Acid!$V5,'Tables - Part 2'!$AV$6:$AV$13,0),MATCH(SCC_Polythionic_Acid!$S5,'Tables - Part 2'!$AX$5:$BA$5,0))+INDEX('Tables - Part 2'!$AX$17:$BA$24,MATCH(SCC_Polythionic_Acid!$V5,'Tables - Part 2'!$AV$6:$AV$13,0),MATCH(SCC_Polythionic_Acid!$S5,'Tables - Part 2'!$AX$5:$BA$5,0)))/2)/2)+((INDEX('Tables - Part 2'!$BF$6:$BI$13,MATCH(SCC_Polythionic_Acid!$V5,'Tables - Part 2'!$AV$6:$AV$13,0),MATCH(SCC_Polythionic_Acid!$S5,'Tables - Part 2'!$AX$5:$BA$5,0))+INDEX('Tables - Part 2'!$AX$17:$BA$24,MATCH(SCC_Polythionic_Acid!$V5,'Tables - Part 2'!$AV$6:$AV$13,0),MATCH(SCC_Polythionic_Acid!$S5,'Tables - Part 2'!$AX$5:$BA$5,0)))/2))/2,0)</f>
        <v>0</v>
      </c>
      <c r="AV5" s="248">
        <f>IF($R5=$AV$3,(INDEX('Tables - Part 2'!$BF$6:$BI$13,MATCH(SCC_Polythionic_Acid!$V5,'Tables - Part 2'!$AV$6:$AV$13,0),MATCH(SCC_Polythionic_Acid!$S5,'Tables - Part 2'!$AX$5:$BA$5,0))+INDEX('Tables - Part 2'!$AX$17:$BA$24,MATCH(SCC_Polythionic_Acid!$V5,'Tables - Part 2'!$AV$6:$AV$13,0),MATCH(SCC_Polythionic_Acid!$S5,'Tables - Part 2'!$AX$5:$BA$5,0)))/2,0)</f>
        <v>0</v>
      </c>
      <c r="AW5" s="248">
        <f>IF($R5=$AW$3,(((INDEX('Tables - Part 2'!$BF$6:$BI$13,MATCH(SCC_Polythionic_Acid!$V5,'Tables - Part 2'!$AV$6:$AV$13,0),MATCH(SCC_Polythionic_Acid!$S5,'Tables - Part 2'!$AX$5:$BA$5,0))+INDEX('Tables - Part 2'!$AX$17:$BA$24,MATCH(SCC_Polythionic_Acid!$V5,'Tables - Part 2'!$AV$6:$AV$13,0),MATCH(SCC_Polythionic_Acid!$S5,'Tables - Part 2'!$AX$5:$BA$5,0)))/2)+((((INDEX('Tables - Part 2'!$BF$6:$BI$13,MATCH(SCC_Polythionic_Acid!$V5,'Tables - Part 2'!$AV$6:$AV$13,0),MATCH(SCC_Polythionic_Acid!$S5,'Tables - Part 2'!$AX$5:$BA$5,0))+INDEX('Tables - Part 2'!$AX$17:$BA$24,MATCH(SCC_Polythionic_Acid!$V5,'Tables - Part 2'!$AV$6:$AV$13,0),MATCH(SCC_Polythionic_Acid!$S5,'Tables - Part 2'!$AX$5:$BA$5,0)))/2)+INDEX('Tables - Part 2'!$AX$17:$BA$24,MATCH(SCC_Polythionic_Acid!$V5,'Tables - Part 2'!$AV$6:$AV$13,0),MATCH(SCC_Polythionic_Acid!$S5,'Tables - Part 2'!$AX$5:$BA$5,0)))/2))/2,0)</f>
        <v>0</v>
      </c>
      <c r="AX5" s="248">
        <f>IF($R5=$AX$3,(((INDEX('Tables - Part 2'!$BF$6:$BI$13,MATCH(SCC_Polythionic_Acid!$V5,'Tables - Part 2'!$AV$6:$AV$13,0),MATCH(SCC_Polythionic_Acid!$S5,'Tables - Part 2'!$AX$5:$BA$5,0))+INDEX('Tables - Part 2'!$AX$17:$BA$24,MATCH(SCC_Polythionic_Acid!$V5,'Tables - Part 2'!$AV$6:$AV$13,0),MATCH(SCC_Polythionic_Acid!$S5,'Tables - Part 2'!$AX$5:$BA$5,0)))/2)+INDEX('Tables - Part 2'!$AX$17:$BA$24,MATCH(SCC_Polythionic_Acid!$V5,'Tables - Part 2'!$AV$6:$AV$13,0),MATCH(SCC_Polythionic_Acid!$S5,'Tables - Part 2'!$AX$5:$BA$5,0)))/2,0)</f>
        <v>0</v>
      </c>
      <c r="AY5" s="248">
        <f>IF($R5=$AY$3,(((((INDEX('Tables - Part 2'!$BF$6:$BI$13,MATCH(SCC_Polythionic_Acid!$V5,'Tables - Part 2'!$AV$6:$AV$13,0),MATCH(SCC_Polythionic_Acid!$S5,'Tables - Part 2'!$AX$5:$BA$5,0))+INDEX('Tables - Part 2'!$AX$17:$BA$24,MATCH(SCC_Polythionic_Acid!$V5,'Tables - Part 2'!$AV$6:$AV$13,0),MATCH(SCC_Polythionic_Acid!$S5,'Tables - Part 2'!$AX$5:$BA$5,0)))/2)+INDEX('Tables - Part 2'!$AX$17:$BA$24,MATCH(SCC_Polythionic_Acid!$V5,'Tables - Part 2'!$AV$6:$AV$13,0),MATCH(SCC_Polythionic_Acid!$S5,'Tables - Part 2'!$AX$5:$BA$5,0)))/2)+(INDEX('Tables - Part 2'!$AX$17:$BA$24,MATCH(SCC_Polythionic_Acid!$V5,'Tables - Part 2'!$AV$6:$AV$13,0),MATCH(SCC_Polythionic_Acid!$S5,'Tables - Part 2'!$AX$5:$BA$5,0))))/2,0)</f>
        <v>0</v>
      </c>
      <c r="AZ5" s="248">
        <f>IF($R5=$AZ$3,INDEX('Tables - Part 2'!$AX$17:$BA$24,MATCH(SCC_Polythionic_Acid!$V5,'Tables - Part 2'!$AV$6:$AV$13,0),MATCH(SCC_Polythionic_Acid!$S5,'Tables - Part 2'!$AX$5:$BA$5,0)),0)</f>
        <v>0</v>
      </c>
      <c r="BA5" s="248">
        <f>IF($R5=$BA$3,((INDEX('Tables - Part 2'!$AX$17:$BA$24,MATCH(SCC_Polythionic_Acid!$V5,'Tables - Part 2'!$AV$6:$AV$13,0),MATCH(SCC_Polythionic_Acid!$S5,'Tables - Part 2'!$AX$5:$BA$5,0)))+(((INDEX('Tables - Part 2'!$AX$17:$BA$24,MATCH(SCC_Polythionic_Acid!$V5,'Tables - Part 2'!$AV$6:$AV$13,0),MATCH(SCC_Polythionic_Acid!$S5,'Tables - Part 2'!$AX$5:$BA$5,0)))+(INDEX('Tables - Part 2'!$AX$17:$BA$24,MATCH(SCC_Polythionic_Acid!$V5,'Tables - Part 2'!$AV$6:$AV$13,0),MATCH(SCC_Polythionic_Acid!$S5,'Tables - Part 2'!$AX$5:$BA$5,0))+INDEX('Tables - Part 2'!$BB$17:$BE$24,MATCH(SCC_Polythionic_Acid!$V5,'Tables - Part 2'!$AV$6:$AV$13,0),MATCH(SCC_Polythionic_Acid!$S5,'Tables - Part 2'!$AX$5:$BA$5,0)))/2)/2))/2,0)</f>
        <v>0</v>
      </c>
      <c r="BB5" s="248">
        <f>IF($R5=$BB$3,((INDEX('Tables - Part 2'!$AX$17:$BA$24,MATCH(SCC_Polythionic_Acid!$V5,'Tables - Part 2'!$AV$6:$AV$13,0),MATCH(SCC_Polythionic_Acid!$S5,'Tables - Part 2'!$AX$5:$BA$5,0)))+(INDEX('Tables - Part 2'!$AX$17:$BA$24,MATCH(SCC_Polythionic_Acid!$V5,'Tables - Part 2'!$AV$6:$AV$13,0),MATCH(SCC_Polythionic_Acid!$S5,'Tables - Part 2'!$AX$5:$BA$5,0))+INDEX('Tables - Part 2'!$BB$17:$BE$24,MATCH(SCC_Polythionic_Acid!$V5,'Tables - Part 2'!$AV$6:$AV$13,0),MATCH(SCC_Polythionic_Acid!$S5,'Tables - Part 2'!$AX$5:$BA$5,0)))/2)/2,0)</f>
        <v>0</v>
      </c>
      <c r="BC5" s="248">
        <f>IF($R5=$BC$3,((((INDEX('Tables - Part 2'!$AX$17:$BA$24,MATCH(SCC_Polythionic_Acid!$V5,'Tables - Part 2'!$AV$6:$AV$13,0),MATCH(SCC_Polythionic_Acid!$S5,'Tables - Part 2'!$AX$5:$BA$5,0)))+(INDEX('Tables - Part 2'!$AX$17:$BA$24,MATCH(SCC_Polythionic_Acid!$V5,'Tables - Part 2'!$AV$6:$AV$13,0),MATCH(SCC_Polythionic_Acid!$S5,'Tables - Part 2'!$AX$5:$BA$5,0))+INDEX('Tables - Part 2'!$BB$17:$BE$24,MATCH(SCC_Polythionic_Acid!$V5,'Tables - Part 2'!$AV$6:$AV$13,0),MATCH(SCC_Polythionic_Acid!$S5,'Tables - Part 2'!$AX$5:$BA$5,0)))/2)/2)+((INDEX('Tables - Part 2'!$AX$17:$BA$24,MATCH(SCC_Polythionic_Acid!$V5,'Tables - Part 2'!$AV$6:$AV$13,0),MATCH(SCC_Polythionic_Acid!$S5,'Tables - Part 2'!$AX$5:$BA$5,0))+INDEX('Tables - Part 2'!$BB$17:$BE$24,MATCH(SCC_Polythionic_Acid!$V5,'Tables - Part 2'!$AV$6:$AV$13,0),MATCH(SCC_Polythionic_Acid!$S5,'Tables - Part 2'!$AX$5:$BA$5,0)))/2))/2,0)</f>
        <v>0</v>
      </c>
      <c r="BD5" s="248">
        <f>IF($R5=$BD$3,(INDEX('Tables - Part 2'!$AX$17:$BA$24,MATCH(SCC_Polythionic_Acid!$V5,'Tables - Part 2'!$AV$6:$AV$13,0),MATCH(SCC_Polythionic_Acid!$S5,'Tables - Part 2'!$AX$5:$BA$5,0))+INDEX('Tables - Part 2'!$BB$17:$BE$24,MATCH(SCC_Polythionic_Acid!$V5,'Tables - Part 2'!$AV$6:$AV$13,0),MATCH(SCC_Polythionic_Acid!$S5,'Tables - Part 2'!$AX$5:$BA$5,0)))/2,0)</f>
        <v>0</v>
      </c>
      <c r="BE5" s="248">
        <f>IF($R5=$BE$3,(((INDEX('Tables - Part 2'!$AX$17:$BA$24,MATCH(SCC_Polythionic_Acid!$V5,'Tables - Part 2'!$AV$6:$AV$13,0),MATCH(SCC_Polythionic_Acid!$S5,'Tables - Part 2'!$AX$5:$BA$5,0))+INDEX('Tables - Part 2'!$BB$17:$BE$24,MATCH(SCC_Polythionic_Acid!$V5,'Tables - Part 2'!$AV$6:$AV$13,0),MATCH(SCC_Polythionic_Acid!$S5,'Tables - Part 2'!$AX$5:$BA$5,0)))/2)+((((INDEX('Tables - Part 2'!$AX$17:$BA$24,MATCH(SCC_Polythionic_Acid!$V5,'Tables - Part 2'!$AV$6:$AV$13,0),MATCH(SCC_Polythionic_Acid!$S5,'Tables - Part 2'!$AX$5:$BA$5,0))+INDEX('Tables - Part 2'!$BB$17:$BE$24,MATCH(SCC_Polythionic_Acid!$V5,'Tables - Part 2'!$AV$6:$AV$13,0),MATCH(SCC_Polythionic_Acid!$S5,'Tables - Part 2'!$AX$5:$BA$5,0)))/2)+INDEX('Tables - Part 2'!$BB$17:$BE$24,MATCH(SCC_Polythionic_Acid!$V5,'Tables - Part 2'!$AV$6:$AV$13,0),MATCH(SCC_Polythionic_Acid!$S5,'Tables - Part 2'!$AX$5:$BA$5,0)))/2))/2,0)</f>
        <v>0</v>
      </c>
      <c r="BF5" s="248">
        <f>IF($R5=$BF$3,(((INDEX('Tables - Part 2'!$AX$17:$BA$24,MATCH(SCC_Polythionic_Acid!$V5,'Tables - Part 2'!$AV$6:$AV$13,0),MATCH(SCC_Polythionic_Acid!$S5,'Tables - Part 2'!$AX$5:$BA$5,0))+INDEX('Tables - Part 2'!$BB$17:$BE$24,MATCH(SCC_Polythionic_Acid!$V5,'Tables - Part 2'!$AV$6:$AV$13,0),MATCH(SCC_Polythionic_Acid!$S5,'Tables - Part 2'!$AX$5:$BA$5,0)))/2)+INDEX('Tables - Part 2'!$BB$17:$BE$24,MATCH(SCC_Polythionic_Acid!$V5,'Tables - Part 2'!$AV$6:$AV$13,0),MATCH(SCC_Polythionic_Acid!$S5,'Tables - Part 2'!$AX$5:$BA$5,0)))/2,0)</f>
        <v>0</v>
      </c>
      <c r="BG5" s="248">
        <f>IF($R5=$BG$3,(((((INDEX('Tables - Part 2'!$AX$17:$BA$24,MATCH(SCC_Polythionic_Acid!$V5,'Tables - Part 2'!$AV$6:$AV$13,0),MATCH(SCC_Polythionic_Acid!$S5,'Tables - Part 2'!$AX$5:$BA$5,0))+INDEX('Tables - Part 2'!$BB$17:$BE$24,MATCH(SCC_Polythionic_Acid!$V5,'Tables - Part 2'!$AV$6:$AV$13,0),MATCH(SCC_Polythionic_Acid!$S5,'Tables - Part 2'!$AX$5:$BA$5,0)))/2)+INDEX('Tables - Part 2'!$BB$17:$BE$24,MATCH(SCC_Polythionic_Acid!$V5,'Tables - Part 2'!$AV$6:$AV$13,0),MATCH(SCC_Polythionic_Acid!$S5,'Tables - Part 2'!$AX$5:$BA$5,0)))/2)+(INDEX('Tables - Part 2'!$BB$17:$BE$24,MATCH(SCC_Polythionic_Acid!$V5,'Tables - Part 2'!$AV$6:$AV$13,0),MATCH(SCC_Polythionic_Acid!$S5,'Tables - Part 2'!$AX$5:$BA$5,0))))/2,0)</f>
        <v>0</v>
      </c>
      <c r="BH5" s="248">
        <f>IF($R5=$BH$3,INDEX('Tables - Part 2'!$BB$17:$BE$24,MATCH(SCC_Polythionic_Acid!$V5,'Tables - Part 2'!$AV$6:$AV$13,0),MATCH(SCC_Polythionic_Acid!$S5,'Tables - Part 2'!$AX$5:$BA$5,0)),0)</f>
        <v>0</v>
      </c>
      <c r="BI5" s="248">
        <f>IF($R5=$BI$3,((INDEX('Tables - Part 2'!$BB$17:$BE$24,MATCH(SCC_Polythionic_Acid!$V5,'Tables - Part 2'!$AV$6:$AV$13,0),MATCH(SCC_Polythionic_Acid!$S5,'Tables - Part 2'!$AX$5:$BA$5,0)))+(((INDEX('Tables - Part 2'!$BB$17:$BE$24,MATCH(SCC_Polythionic_Acid!$V5,'Tables - Part 2'!$AV$6:$AV$13,0),MATCH(SCC_Polythionic_Acid!$S5,'Tables - Part 2'!$AX$5:$BA$5,0)))+(INDEX('Tables - Part 2'!$BB$17:$BE$24,MATCH(SCC_Polythionic_Acid!$V5,'Tables - Part 2'!$AV$6:$AV$13,0),MATCH(SCC_Polythionic_Acid!$S5,'Tables - Part 2'!$AX$5:$BA$5,0))+INDEX('Tables - Part 2'!$BF$17:$BI$24,MATCH(SCC_Polythionic_Acid!$V5,'Tables - Part 2'!$AV$6:$AV$13,0),MATCH(SCC_Polythionic_Acid!$S5,'Tables - Part 2'!$AX$5:$BA$5,0)))/2)/2))/2,0)</f>
        <v>0</v>
      </c>
      <c r="BJ5" s="248">
        <f>IF($R5=$BJ$3,((INDEX('Tables - Part 2'!$BB$17:$BE$24,MATCH(SCC_Polythionic_Acid!$V5,'Tables - Part 2'!$AV$6:$AV$13,0),MATCH(SCC_Polythionic_Acid!$S5,'Tables - Part 2'!$AX$5:$BA$5,0)))+(INDEX('Tables - Part 2'!$BB$17:$BE$24,MATCH(SCC_Polythionic_Acid!$V5,'Tables - Part 2'!$AV$6:$AV$13,0),MATCH(SCC_Polythionic_Acid!$S5,'Tables - Part 2'!$AX$5:$BA$5,0))+INDEX('Tables - Part 2'!$BF$17:$BI$24,MATCH(SCC_Polythionic_Acid!$V5,'Tables - Part 2'!$AV$6:$AV$13,0),MATCH(SCC_Polythionic_Acid!$S5,'Tables - Part 2'!$AX$5:$BA$5,0)))/2)/2,0)</f>
        <v>0</v>
      </c>
      <c r="BK5" s="248">
        <f>IF($R5=$BK$3,((((INDEX('Tables - Part 2'!$BB$17:$BE$24,MATCH(SCC_Polythionic_Acid!$V5,'Tables - Part 2'!$AV$6:$AV$13,0),MATCH(SCC_Polythionic_Acid!$S5,'Tables - Part 2'!$AX$5:$BA$5,0)))+(INDEX('Tables - Part 2'!$BB$17:$BE$24,MATCH(SCC_Polythionic_Acid!$V5,'Tables - Part 2'!$AV$6:$AV$13,0),MATCH(SCC_Polythionic_Acid!$S5,'Tables - Part 2'!$AX$5:$BA$5,0))+INDEX('Tables - Part 2'!$BF$17:$BI$24,MATCH(SCC_Polythionic_Acid!$V5,'Tables - Part 2'!$AV$6:$AV$13,0),MATCH(SCC_Polythionic_Acid!$S5,'Tables - Part 2'!$AX$5:$BA$5,0)))/2)/2)+((INDEX('Tables - Part 2'!$BB$17:$BE$24,MATCH(SCC_Polythionic_Acid!$V5,'Tables - Part 2'!$AV$6:$AV$13,0),MATCH(SCC_Polythionic_Acid!$S5,'Tables - Part 2'!$AX$5:$BA$5,0))+INDEX('Tables - Part 2'!$BF$17:$BI$24,MATCH(SCC_Polythionic_Acid!$V5,'Tables - Part 2'!$AV$6:$AV$13,0),MATCH(SCC_Polythionic_Acid!$S5,'Tables - Part 2'!$AX$5:$BA$5,0)))/2))/2,0)</f>
        <v>0</v>
      </c>
      <c r="BL5" s="248">
        <f>IF($R5=$BL$3,(INDEX('Tables - Part 2'!$BB$17:$BE$24,MATCH(SCC_Polythionic_Acid!$V5,'Tables - Part 2'!$AV$6:$AV$13,0),MATCH(SCC_Polythionic_Acid!$S5,'Tables - Part 2'!$AX$5:$BA$5,0))+INDEX('Tables - Part 2'!$BF$17:$BI$24,MATCH(SCC_Polythionic_Acid!$V5,'Tables - Part 2'!$AV$6:$AV$13,0),MATCH(SCC_Polythionic_Acid!$S5,'Tables - Part 2'!$AX$5:$BA$5,0)))/2,0)</f>
        <v>0</v>
      </c>
      <c r="BM5" s="248">
        <f>IF($R5=$BM$3,(((INDEX('Tables - Part 2'!$BB$17:$BE$24,MATCH(SCC_Polythionic_Acid!$V5,'Tables - Part 2'!$AV$6:$AV$13,0),MATCH(SCC_Polythionic_Acid!$S5,'Tables - Part 2'!$AX$5:$BA$5,0))+INDEX('Tables - Part 2'!$BF$17:$BI$24,MATCH(SCC_Polythionic_Acid!$V5,'Tables - Part 2'!$AV$6:$AV$13,0),MATCH(SCC_Polythionic_Acid!$S5,'Tables - Part 2'!$AX$5:$BA$5,0)))/2)+((((INDEX('Tables - Part 2'!$BB$17:$BE$24,MATCH(SCC_Polythionic_Acid!$V5,'Tables - Part 2'!$AV$6:$AV$13,0),MATCH(SCC_Polythionic_Acid!$S5,'Tables - Part 2'!$AX$5:$BA$5,0))+INDEX('Tables - Part 2'!$BF$17:$BI$24,MATCH(SCC_Polythionic_Acid!$V5,'Tables - Part 2'!$AV$6:$AV$13,0),MATCH(SCC_Polythionic_Acid!$S5,'Tables - Part 2'!$AX$5:$BA$5,0)))/2)+INDEX('Tables - Part 2'!$BF$17:$BI$24,MATCH(SCC_Polythionic_Acid!$V5,'Tables - Part 2'!$AV$6:$AV$13,0),MATCH(SCC_Polythionic_Acid!$S5,'Tables - Part 2'!$AX$5:$BA$5,0)))/2))/2,0)</f>
        <v>0</v>
      </c>
      <c r="BN5" s="248">
        <f>IF($R5=$BN$3,(((INDEX('Tables - Part 2'!$BB$17:$BE$24,MATCH(SCC_Polythionic_Acid!$V5,'Tables - Part 2'!$AV$6:$AV$13,0),MATCH(SCC_Polythionic_Acid!$S5,'Tables - Part 2'!$AX$5:$BA$5,0))+INDEX('Tables - Part 2'!$BF$17:$BI$24,MATCH(SCC_Polythionic_Acid!$V5,'Tables - Part 2'!$AV$6:$AV$13,0),MATCH(SCC_Polythionic_Acid!$S5,'Tables - Part 2'!$AX$5:$BA$5,0)))/2)+INDEX('Tables - Part 2'!$BF$17:$BI$24,MATCH(SCC_Polythionic_Acid!$V5,'Tables - Part 2'!$AV$6:$AV$13,0),MATCH(SCC_Polythionic_Acid!$S5,'Tables - Part 2'!$AX$5:$BA$5,0)))/2,0)</f>
        <v>0</v>
      </c>
      <c r="BO5" s="248">
        <f>IF($R5=$BO$3,(((((INDEX('Tables - Part 2'!$BB$17:$BE$24,MATCH(SCC_Polythionic_Acid!$V5,'Tables - Part 2'!$AV$6:$AV$13,0),MATCH(SCC_Polythionic_Acid!$S5,'Tables - Part 2'!$AX$5:$BA$5,0))+INDEX('Tables - Part 2'!$BF$17:$BI$24,MATCH(SCC_Polythionic_Acid!$V5,'Tables - Part 2'!$AV$6:$AV$13,0),MATCH(SCC_Polythionic_Acid!$S5,'Tables - Part 2'!$AX$5:$BA$5,0)))/2)+INDEX('Tables - Part 2'!$BF$17:$BI$24,MATCH(SCC_Polythionic_Acid!$V5,'Tables - Part 2'!$AV$6:$AV$13,0),MATCH(SCC_Polythionic_Acid!$S5,'Tables - Part 2'!$AX$5:$BA$5,0)))/2)+(INDEX('Tables - Part 2'!$BF$17:$BI$24,MATCH(SCC_Polythionic_Acid!$V5,'Tables - Part 2'!$AV$6:$AV$13,0),MATCH(SCC_Polythionic_Acid!$S5,'Tables - Part 2'!$AX$5:$BA$5,0))))/2,0)</f>
        <v>0</v>
      </c>
      <c r="BP5" s="248">
        <f>IF($R5=$BP$3,INDEX('Tables - Part 2'!$BF$17:$BI$24,MATCH(SCC_Polythionic_Acid!$V5,'Tables - Part 2'!$AV$6:$AV$13,0),MATCH(SCC_Polythionic_Acid!$S5,'Tables - Part 2'!$AX$5:$BA$5,0)),0)</f>
        <v>0</v>
      </c>
      <c r="BQ5" s="248">
        <f t="shared" si="5"/>
        <v>0</v>
      </c>
      <c r="BR5" s="238">
        <f t="shared" ref="BR5:BR21" si="8">SUM(AB5:BQ5)</f>
        <v>165</v>
      </c>
      <c r="BS5" s="238">
        <f t="shared" ref="BS5:BS21" si="9">IF(B5="",0,MIN(BR5*POWER(MAX(W5,1),1.1),5000))</f>
        <v>2863.9941480504772</v>
      </c>
      <c r="BV5" s="237" t="s">
        <v>841</v>
      </c>
      <c r="BY5">
        <v>140</v>
      </c>
      <c r="CA5">
        <v>60</v>
      </c>
    </row>
    <row r="6" spans="2:84" x14ac:dyDescent="0.35">
      <c r="B6" s="161" t="str">
        <f>'Tratamento de Dados'!B14</f>
        <v>V-10</v>
      </c>
      <c r="C6" s="161" t="str">
        <f>'Tratamento de Dados'!D14</f>
        <v>Casco</v>
      </c>
      <c r="D6" s="209" t="s">
        <v>244</v>
      </c>
      <c r="E6" s="209" t="s">
        <v>244</v>
      </c>
      <c r="F6" s="209" t="s">
        <v>244</v>
      </c>
      <c r="G6" s="209" t="s">
        <v>244</v>
      </c>
      <c r="H6" s="209" t="s">
        <v>1145</v>
      </c>
      <c r="I6" s="247">
        <f>'Tratamento de Dados'!S14</f>
        <v>2</v>
      </c>
      <c r="J6" s="209" t="s">
        <v>1146</v>
      </c>
      <c r="K6" s="210">
        <v>39092</v>
      </c>
      <c r="L6" s="209">
        <v>0</v>
      </c>
      <c r="M6" s="209">
        <v>1</v>
      </c>
      <c r="N6" s="209">
        <v>1</v>
      </c>
      <c r="O6" s="209">
        <v>4</v>
      </c>
      <c r="P6" s="253">
        <f>'Tratamento de Dados'!DA14</f>
        <v>0</v>
      </c>
      <c r="Q6" s="253">
        <f>'Tratamento de Dados'!DB14</f>
        <v>0</v>
      </c>
      <c r="R6" s="256">
        <f t="shared" si="0"/>
        <v>2.5</v>
      </c>
      <c r="S6" s="246" t="str">
        <f t="shared" si="1"/>
        <v>B</v>
      </c>
      <c r="T6" s="238" t="str">
        <f>IF(D6=$BX$2,$BV$5,IF(F6=$BX$3,$BV$2,INDEX(IF(I6&lt;427,'Tables - Part 2'!$DH$6:$DJ$10,'Tables - Part 2'!$DH$14:$DJ$18),MATCH(SCC_Polythionic_Acid!H6,'Tables - Part 2'!$DG$6:$DG$10,0),MATCH(J6,'Tables - Part 2'!$DH$5:$DJ$5,0))))</f>
        <v>High</v>
      </c>
      <c r="U6" s="238" t="str">
        <f t="shared" si="6"/>
        <v>High</v>
      </c>
      <c r="V6" s="238">
        <f>IF(AND(D6=$BX$2,E6&lt;&gt;$BX$2),"Fitness-For-Service",INDEX('Tables - Part 2'!$DM$4:$DM$7,MATCH(SCC_Polythionic_Acid!U6,'Tables - Part 2'!$DL$4:$DL$7,0),))</f>
        <v>5000</v>
      </c>
      <c r="W6" s="238">
        <f>IF(K6=0,(Thinning!G7-Thinning!F7)/365.25,(Thinning!G7-K6)/365.25)</f>
        <v>12.980150581793293</v>
      </c>
      <c r="X6" s="248">
        <f t="shared" si="2"/>
        <v>0</v>
      </c>
      <c r="Y6" s="248">
        <f t="shared" si="3"/>
        <v>2.5</v>
      </c>
      <c r="Z6" s="247">
        <f t="shared" si="7"/>
        <v>3</v>
      </c>
      <c r="AA6" s="247">
        <f t="shared" si="4"/>
        <v>4</v>
      </c>
      <c r="AB6" s="248">
        <f>IF($R6=$AB$3,INDEX('Tables - Part 2'!$AX$6:$BA$13,MATCH(SCC_Polythionic_Acid!V6,'Tables - Part 2'!$AV$6:$AV$13,0),MATCH(SCC_Polythionic_Acid!S6,'Tables - Part 2'!$AX$5:$BA$5,0)),0)</f>
        <v>0</v>
      </c>
      <c r="AC6" s="248">
        <f>IF($R6=$AC$3,(INDEX('Tables - Part 2'!$AX$6:$BA$13,MATCH(SCC_Polythionic_Acid!V6,'Tables - Part 2'!$AV$6:$AV$13,0),MATCH(SCC_Polythionic_Acid!S6,'Tables - Part 2'!$AX$5:$BA$5,0))+(INDEX('Tables - Part 2'!$AX$6:$BA$13,MATCH(SCC_Polythionic_Acid!V6,'Tables - Part 2'!$AV$6:$AV$13,0),MATCH(SCC_Polythionic_Acid!S6,'Tables - Part 2'!$AX$5:$BA$5,0))+((INDEX('Tables - Part 2'!$AX$6:$BA$13,MATCH(SCC_Polythionic_Acid!V6,'Tables - Part 2'!$AV$6:$AV$13,0),MATCH(SCC_Polythionic_Acid!S6,'Tables - Part 2'!$AX$5:$BA$5,0))+INDEX('Tables - Part 2'!$BB$6:$BE$13,MATCH(SCC_Polythionic_Acid!$V6,'Tables - Part 2'!$AV$6:$AV$13,0),MATCH(SCC_Polythionic_Acid!$S6,'Tables - Part 2'!$AX$5:$BA$5,0)))/2))/2)/2,0)</f>
        <v>0</v>
      </c>
      <c r="AD6" s="248">
        <f>IF($R6=$AD$3,(INDEX('Tables - Part 2'!$AX$6:$BA$13,MATCH(SCC_Polythionic_Acid!V6,'Tables - Part 2'!$AV$6:$AV$13,0),MATCH(SCC_Polythionic_Acid!S6,'Tables - Part 2'!$AX$5:$BA$5,0))+((INDEX('Tables - Part 2'!$AX$6:$BA$13,MATCH(SCC_Polythionic_Acid!V6,'Tables - Part 2'!$AV$6:$AV$13,0),MATCH(SCC_Polythionic_Acid!S6,'Tables - Part 2'!$AX$5:$BA$5,0))+INDEX('Tables - Part 2'!$BB$6:$BE$13,MATCH(SCC_Polythionic_Acid!$V6,'Tables - Part 2'!$AV$6:$AV$13,0),MATCH(SCC_Polythionic_Acid!$S6,'Tables - Part 2'!$AX$5:$BA$5,0)))/2))/2,0)</f>
        <v>0</v>
      </c>
      <c r="AE6" s="248">
        <f>IF($R6=$AE$3,(((INDEX('Tables - Part 2'!$AX$6:$BA$13,MATCH(SCC_Polythionic_Acid!V6,'Tables - Part 2'!$AV$6:$AV$13,0),MATCH(SCC_Polythionic_Acid!S6,'Tables - Part 2'!$AX$5:$BA$5,0))+((INDEX('Tables - Part 2'!$AX$6:$BA$13,MATCH(SCC_Polythionic_Acid!V6,'Tables - Part 2'!$AV$6:$AV$13,0),MATCH(SCC_Polythionic_Acid!S6,'Tables - Part 2'!$AX$5:$BA$5,0))+INDEX('Tables - Part 2'!$BB$6:$BE$13,MATCH(SCC_Polythionic_Acid!$V6,'Tables - Part 2'!$AV$6:$AV$13,0),MATCH(SCC_Polythionic_Acid!$S6,'Tables - Part 2'!$AX$5:$BA$5,0)))/2))/2)+(INDEX('Tables - Part 2'!$AX$6:$BA$13,MATCH(SCC_Polythionic_Acid!V6,'Tables - Part 2'!$AV$6:$AV$13,0),MATCH(SCC_Polythionic_Acid!S6,'Tables - Part 2'!$AX$5:$BA$5,0))+INDEX('Tables - Part 2'!$BB$6:$BE$13,MATCH(SCC_Polythionic_Acid!$V6,'Tables - Part 2'!$AV$6:$AV$13,0),MATCH(SCC_Polythionic_Acid!$S6,'Tables - Part 2'!$AX$5:$BA$5,0)))/2)/2,0)</f>
        <v>0</v>
      </c>
      <c r="AF6" s="248">
        <f>IF($R6=$AF$3,(INDEX('Tables - Part 2'!$AX$6:$BA$13,MATCH(SCC_Polythionic_Acid!V6,'Tables - Part 2'!$AV$6:$AV$13,0),MATCH(SCC_Polythionic_Acid!S6,'Tables - Part 2'!$AX$5:$BA$5,0))+INDEX('Tables - Part 2'!$BB$6:$BE$13,MATCH(SCC_Polythionic_Acid!$V6,'Tables - Part 2'!$AV$6:$AV$13,0),MATCH(SCC_Polythionic_Acid!$S6,'Tables - Part 2'!$AX$5:$BA$5,0)))/2,0)</f>
        <v>0</v>
      </c>
      <c r="AG6" s="248">
        <f>IF($R6=$AG$3,(((INDEX('Tables - Part 2'!$AX$6:$BA$13,MATCH(SCC_Polythionic_Acid!V6,'Tables - Part 2'!$AV$6:$AV$13,0),MATCH(SCC_Polythionic_Acid!S6,'Tables - Part 2'!$AX$5:$BA$5,0))+INDEX('Tables - Part 2'!$BB$6:$BE$13,MATCH(SCC_Polythionic_Acid!$V6,'Tables - Part 2'!$AV$6:$AV$13,0),MATCH(SCC_Polythionic_Acid!$S6,'Tables - Part 2'!$AX$5:$BA$5,0)))/2)+(((INDEX('Tables - Part 2'!$AX$6:$BA$13,MATCH(SCC_Polythionic_Acid!V6,'Tables - Part 2'!$AV$6:$AV$13,0),MATCH(SCC_Polythionic_Acid!S6,'Tables - Part 2'!$AX$5:$BA$5,0))+INDEX('Tables - Part 2'!$BB$6:$BE$13,MATCH(SCC_Polythionic_Acid!$V6,'Tables - Part 2'!$AV$6:$AV$13,0),MATCH(SCC_Polythionic_Acid!$S6,'Tables - Part 2'!$AX$5:$BA$5,0)))/2)+INDEX('Tables - Part 2'!$BB$6:$BE$13,MATCH(SCC_Polythionic_Acid!$V6,'Tables - Part 2'!$AV$6:$AV$13,0),MATCH(SCC_Polythionic_Acid!$S6,'Tables - Part 2'!$AX$5:$BA$5,0)))/2)/2,0)</f>
        <v>0</v>
      </c>
      <c r="AH6" s="248">
        <f>IF($R6=$AH$3,(((INDEX('Tables - Part 2'!$AX$6:$BA$13,MATCH(SCC_Polythionic_Acid!V6,'Tables - Part 2'!$AV$6:$AV$13,0),MATCH(SCC_Polythionic_Acid!S6,'Tables - Part 2'!$AX$5:$BA$5,0))+INDEX('Tables - Part 2'!$BB$6:$BE$13,MATCH(SCC_Polythionic_Acid!$V6,'Tables - Part 2'!$AV$6:$AV$13,0),MATCH(SCC_Polythionic_Acid!$S6,'Tables - Part 2'!$AX$5:$BA$5,0)))/2)+INDEX('Tables - Part 2'!$BB$6:$BE$13,MATCH(SCC_Polythionic_Acid!$V6,'Tables - Part 2'!$AV$6:$AV$13,0),MATCH(SCC_Polythionic_Acid!$S6,'Tables - Part 2'!$AX$5:$BA$5,0)))/2,0)</f>
        <v>0</v>
      </c>
      <c r="AI6" s="248">
        <f>IF($R6=$AI$3,(((((INDEX('Tables - Part 2'!$AX$6:$BA$13,MATCH(SCC_Polythionic_Acid!V6,'Tables - Part 2'!$AV$6:$AV$13,0),MATCH(SCC_Polythionic_Acid!S6,'Tables - Part 2'!$AX$5:$BA$5,0))+INDEX('Tables - Part 2'!$BB$6:$BE$13,MATCH(SCC_Polythionic_Acid!$V6,'Tables - Part 2'!$AV$6:$AV$13,0),MATCH(SCC_Polythionic_Acid!$S6,'Tables - Part 2'!$AX$5:$BA$5,0)))/2)+INDEX('Tables - Part 2'!$BB$6:$BE$13,MATCH(SCC_Polythionic_Acid!$V6,'Tables - Part 2'!$AV$6:$AV$13,0),MATCH(SCC_Polythionic_Acid!$S6,'Tables - Part 2'!$AX$5:$BA$5,0)))/2)+INDEX('Tables - Part 2'!$BB$6:$BE$13,MATCH(SCC_Polythionic_Acid!$V6,'Tables - Part 2'!$AV$6:$AV$13,0),MATCH(SCC_Polythionic_Acid!$S6,'Tables - Part 2'!$AX$5:$BA$5,0)))/2,0)</f>
        <v>0</v>
      </c>
      <c r="AJ6" s="248">
        <f>IF($R6=$AJ$3,INDEX('Tables - Part 2'!$BB$6:$BE$13,MATCH(SCC_Polythionic_Acid!$V6,'Tables - Part 2'!$AV$6:$AV$13,0),MATCH(SCC_Polythionic_Acid!$S6,'Tables - Part 2'!$AX$5:$BA$5,0)),0)</f>
        <v>0</v>
      </c>
      <c r="AK6" s="248">
        <f>IF($R6=$AK$3,((INDEX('Tables - Part 2'!$BB$6:$BE$13,MATCH(SCC_Polythionic_Acid!$V6,'Tables - Part 2'!$AV$6:$AV$13,0),MATCH(SCC_Polythionic_Acid!$S6,'Tables - Part 2'!$AX$5:$BA$5,0)))+(INDEX('Tables - Part 2'!$BB$6:$BE$13,MATCH(SCC_Polythionic_Acid!$V6,'Tables - Part 2'!$AV$6:$AV$13,0),MATCH(SCC_Polythionic_Acid!$S6,'Tables - Part 2'!$AX$5:$BA$5,0))+(INDEX('Tables - Part 2'!$BB$6:$BE$13,MATCH(SCC_Polythionic_Acid!$V6,'Tables - Part 2'!$AV$6:$AV$13,0),MATCH(SCC_Polythionic_Acid!$S6,'Tables - Part 2'!$AX$5:$BA$5,0))+INDEX('Tables - Part 2'!$BF$6:$BI$13,MATCH(SCC_Polythionic_Acid!$V6,'Tables - Part 2'!$AV$6:$AV$13,0),MATCH(SCC_Polythionic_Acid!$S6,'Tables - Part 2'!$AX$5:$BA$5,0)))/2)/2)/2,0)</f>
        <v>0</v>
      </c>
      <c r="AL6" s="248">
        <f>IF($R6=$AL$3,(INDEX('Tables - Part 2'!$BB$6:$BE$13,MATCH(SCC_Polythionic_Acid!$V6,'Tables - Part 2'!$AV$6:$AV$13,0),MATCH(SCC_Polythionic_Acid!$S6,'Tables - Part 2'!$AX$5:$BA$5,0))+(INDEX('Tables - Part 2'!$BB$6:$BE$13,MATCH(SCC_Polythionic_Acid!$V6,'Tables - Part 2'!$AV$6:$AV$13,0),MATCH(SCC_Polythionic_Acid!$S6,'Tables - Part 2'!$AX$5:$BA$5,0))+INDEX('Tables - Part 2'!$BF$6:$BI$13,MATCH(SCC_Polythionic_Acid!$V6,'Tables - Part 2'!$AV$6:$AV$13,0),MATCH(SCC_Polythionic_Acid!$S6,'Tables - Part 2'!$AX$5:$BA$5,0)))/2)/2,0)</f>
        <v>0</v>
      </c>
      <c r="AM6" s="248">
        <f>IF($R6=$AM$3,(((INDEX('Tables - Part 2'!$BB$6:$BE$13,MATCH(SCC_Polythionic_Acid!$V6,'Tables - Part 2'!$AV$6:$AV$13,0),MATCH(SCC_Polythionic_Acid!$S6,'Tables - Part 2'!$AX$5:$BA$5,0))+(INDEX('Tables - Part 2'!$BB$6:$BE$13,MATCH(SCC_Polythionic_Acid!$V6,'Tables - Part 2'!$AV$6:$AV$13,0),MATCH(SCC_Polythionic_Acid!$S6,'Tables - Part 2'!$AX$5:$BA$5,0))+INDEX('Tables - Part 2'!$BF$6:$BI$13,MATCH(SCC_Polythionic_Acid!$V6,'Tables - Part 2'!$AV$6:$AV$13,0),MATCH(SCC_Polythionic_Acid!$S6,'Tables - Part 2'!$AX$5:$BA$5,0)))/2)/2)+((INDEX('Tables - Part 2'!$BB$6:$BE$13,MATCH(SCC_Polythionic_Acid!$V6,'Tables - Part 2'!$AV$6:$AV$13,0),MATCH(SCC_Polythionic_Acid!$S6,'Tables - Part 2'!$AX$5:$BA$5,0))+INDEX('Tables - Part 2'!$BF$6:$BI$13,MATCH(SCC_Polythionic_Acid!$V6,'Tables - Part 2'!$AV$6:$AV$13,0),MATCH(SCC_Polythionic_Acid!$S6,'Tables - Part 2'!$AX$5:$BA$5,0)))/2))/2,0)</f>
        <v>0</v>
      </c>
      <c r="AN6" s="248">
        <f>IF($R6=$AN$3,(INDEX('Tables - Part 2'!$BB$6:$BE$13,MATCH(SCC_Polythionic_Acid!$V6,'Tables - Part 2'!$AV$6:$AV$13,0),MATCH(SCC_Polythionic_Acid!$S6,'Tables - Part 2'!$AX$5:$BA$5,0))+INDEX('Tables - Part 2'!$BF$6:$BI$13,MATCH(SCC_Polythionic_Acid!$V6,'Tables - Part 2'!$AV$6:$AV$13,0),MATCH(SCC_Polythionic_Acid!$S6,'Tables - Part 2'!$AX$5:$BA$5,0)))/2,0)</f>
        <v>165</v>
      </c>
      <c r="AO6" s="248">
        <f>IF($R6=$AO$3,(((INDEX('Tables - Part 2'!$BB$6:$BE$13,MATCH(SCC_Polythionic_Acid!$V6,'Tables - Part 2'!$AV$6:$AV$13,0),MATCH(SCC_Polythionic_Acid!$S6,'Tables - Part 2'!$AX$5:$BA$5,0))+INDEX('Tables - Part 2'!$BF$6:$BI$13,MATCH(SCC_Polythionic_Acid!$V6,'Tables - Part 2'!$AV$6:$AV$13,0),MATCH(SCC_Polythionic_Acid!$S6,'Tables - Part 2'!$AX$5:$BA$5,0)))/2)+((((INDEX('Tables - Part 2'!$BB$6:$BE$13,MATCH(SCC_Polythionic_Acid!$V6,'Tables - Part 2'!$AV$6:$AV$13,0),MATCH(SCC_Polythionic_Acid!$S6,'Tables - Part 2'!$AX$5:$BA$5,0))+INDEX('Tables - Part 2'!$BF$6:$BI$13,MATCH(SCC_Polythionic_Acid!$V6,'Tables - Part 2'!$AV$6:$AV$13,0),MATCH(SCC_Polythionic_Acid!$S6,'Tables - Part 2'!$AX$5:$BA$5,0)))/2)+INDEX('Tables - Part 2'!$BF$6:$BI$13,MATCH(SCC_Polythionic_Acid!$V6,'Tables - Part 2'!$AV$6:$AV$13,0),MATCH(SCC_Polythionic_Acid!$S6,'Tables - Part 2'!$AX$5:$BA$5,0)))/2))/2,0)</f>
        <v>0</v>
      </c>
      <c r="AP6" s="248">
        <f>IF($R6=$AP$3,(((INDEX('Tables - Part 2'!$BB$6:$BE$13,MATCH(SCC_Polythionic_Acid!$V6,'Tables - Part 2'!$AV$6:$AV$13,0),MATCH(SCC_Polythionic_Acid!$S6,'Tables - Part 2'!$AX$5:$BA$5,0))+INDEX('Tables - Part 2'!$BF$6:$BI$13,MATCH(SCC_Polythionic_Acid!$V6,'Tables - Part 2'!$AV$6:$AV$13,0),MATCH(SCC_Polythionic_Acid!$S6,'Tables - Part 2'!$AX$5:$BA$5,0)))/2)+INDEX('Tables - Part 2'!$BF$6:$BI$13,MATCH(SCC_Polythionic_Acid!$V6,'Tables - Part 2'!$AV$6:$AV$13,0),MATCH(SCC_Polythionic_Acid!$S6,'Tables - Part 2'!$AX$5:$BA$5,0)))/2,0)</f>
        <v>0</v>
      </c>
      <c r="AQ6" s="248">
        <f>IF($R6=$AQ$3,(((((INDEX('Tables - Part 2'!$BB$6:$BE$13,MATCH(SCC_Polythionic_Acid!$V6,'Tables - Part 2'!$AV$6:$AV$13,0),MATCH(SCC_Polythionic_Acid!$S6,'Tables - Part 2'!$AX$5:$BA$5,0))+INDEX('Tables - Part 2'!$BF$6:$BI$13,MATCH(SCC_Polythionic_Acid!$V6,'Tables - Part 2'!$AV$6:$AV$13,0),MATCH(SCC_Polythionic_Acid!$S6,'Tables - Part 2'!$AX$5:$BA$5,0)))/2)+INDEX('Tables - Part 2'!$BF$6:$BI$13,MATCH(SCC_Polythionic_Acid!$V6,'Tables - Part 2'!$AV$6:$AV$13,0),MATCH(SCC_Polythionic_Acid!$S6,'Tables - Part 2'!$AX$5:$BA$5,0)))/2)+INDEX('Tables - Part 2'!$BF$6:$BI$13,MATCH(SCC_Polythionic_Acid!$V6,'Tables - Part 2'!$AV$6:$AV$13,0),MATCH(SCC_Polythionic_Acid!$S6,'Tables - Part 2'!$AX$5:$BA$5,0)))/2,0)</f>
        <v>0</v>
      </c>
      <c r="AR6" s="248">
        <f>IF($R6=$AR$3,INDEX('Tables - Part 2'!$BF$6:$BI$13,MATCH(SCC_Polythionic_Acid!$V6,'Tables - Part 2'!$AV$6:$AV$13,0),MATCH(SCC_Polythionic_Acid!$S6,'Tables - Part 2'!$AX$5:$BA$5,0)),0)</f>
        <v>0</v>
      </c>
      <c r="AS6" s="248">
        <f>IF($R6=$AS$3,(INDEX('Tables - Part 2'!$BF$6:$BI$13,MATCH(SCC_Polythionic_Acid!$V6,'Tables - Part 2'!$AV$6:$AV$13,0),MATCH(SCC_Polythionic_Acid!$S6,'Tables - Part 2'!$AX$5:$BA$5,0))+((INDEX('Tables - Part 2'!$BF$6:$BI$13,MATCH(SCC_Polythionic_Acid!$V6,'Tables - Part 2'!$AV$6:$AV$13,0),MATCH(SCC_Polythionic_Acid!$S6,'Tables - Part 2'!$AX$5:$BA$5,0))+(INDEX('Tables - Part 2'!$BF$6:$BI$13,MATCH(SCC_Polythionic_Acid!$V6,'Tables - Part 2'!$AV$6:$AV$13,0),MATCH(SCC_Polythionic_Acid!$S6,'Tables - Part 2'!$AX$5:$BA$5,0))+INDEX('Tables - Part 2'!$AX$17:$BA$24,MATCH(SCC_Polythionic_Acid!$V6,'Tables - Part 2'!$AV$6:$AV$13,0),MATCH(SCC_Polythionic_Acid!$S6,'Tables - Part 2'!$AX$5:$BA$5,0)))/2)/2))/2,0)</f>
        <v>0</v>
      </c>
      <c r="AT6" s="248">
        <f>IF($R6=$AT$3,(INDEX('Tables - Part 2'!$BF$6:$BI$13,MATCH(SCC_Polythionic_Acid!$V6,'Tables - Part 2'!$AV$6:$AV$13,0),MATCH(SCC_Polythionic_Acid!$S6,'Tables - Part 2'!$AX$5:$BA$5,0))+(INDEX('Tables - Part 2'!$BF$6:$BI$13,MATCH(SCC_Polythionic_Acid!$V6,'Tables - Part 2'!$AV$6:$AV$13,0),MATCH(SCC_Polythionic_Acid!$S6,'Tables - Part 2'!$AX$5:$BA$5,0))+INDEX('Tables - Part 2'!$AX$17:$BA$24,MATCH(SCC_Polythionic_Acid!$V6,'Tables - Part 2'!$AV$6:$AV$13,0),MATCH(SCC_Polythionic_Acid!$S6,'Tables - Part 2'!$AX$5:$BA$5,0)))/2)/2,0)</f>
        <v>0</v>
      </c>
      <c r="AU6" s="248">
        <f>IF($R6=$AU$3,(((INDEX('Tables - Part 2'!$BF$6:$BI$13,MATCH(SCC_Polythionic_Acid!$V6,'Tables - Part 2'!$AV$6:$AV$13,0),MATCH(SCC_Polythionic_Acid!$S6,'Tables - Part 2'!$AX$5:$BA$5,0))+(INDEX('Tables - Part 2'!$BF$6:$BI$13,MATCH(SCC_Polythionic_Acid!$V6,'Tables - Part 2'!$AV$6:$AV$13,0),MATCH(SCC_Polythionic_Acid!$S6,'Tables - Part 2'!$AX$5:$BA$5,0))+INDEX('Tables - Part 2'!$AX$17:$BA$24,MATCH(SCC_Polythionic_Acid!$V6,'Tables - Part 2'!$AV$6:$AV$13,0),MATCH(SCC_Polythionic_Acid!$S6,'Tables - Part 2'!$AX$5:$BA$5,0)))/2)/2)+((INDEX('Tables - Part 2'!$BF$6:$BI$13,MATCH(SCC_Polythionic_Acid!$V6,'Tables - Part 2'!$AV$6:$AV$13,0),MATCH(SCC_Polythionic_Acid!$S6,'Tables - Part 2'!$AX$5:$BA$5,0))+INDEX('Tables - Part 2'!$AX$17:$BA$24,MATCH(SCC_Polythionic_Acid!$V6,'Tables - Part 2'!$AV$6:$AV$13,0),MATCH(SCC_Polythionic_Acid!$S6,'Tables - Part 2'!$AX$5:$BA$5,0)))/2))/2,0)</f>
        <v>0</v>
      </c>
      <c r="AV6" s="248">
        <f>IF($R6=$AV$3,(INDEX('Tables - Part 2'!$BF$6:$BI$13,MATCH(SCC_Polythionic_Acid!$V6,'Tables - Part 2'!$AV$6:$AV$13,0),MATCH(SCC_Polythionic_Acid!$S6,'Tables - Part 2'!$AX$5:$BA$5,0))+INDEX('Tables - Part 2'!$AX$17:$BA$24,MATCH(SCC_Polythionic_Acid!$V6,'Tables - Part 2'!$AV$6:$AV$13,0),MATCH(SCC_Polythionic_Acid!$S6,'Tables - Part 2'!$AX$5:$BA$5,0)))/2,0)</f>
        <v>0</v>
      </c>
      <c r="AW6" s="248">
        <f>IF($R6=$AW$3,(((INDEX('Tables - Part 2'!$BF$6:$BI$13,MATCH(SCC_Polythionic_Acid!$V6,'Tables - Part 2'!$AV$6:$AV$13,0),MATCH(SCC_Polythionic_Acid!$S6,'Tables - Part 2'!$AX$5:$BA$5,0))+INDEX('Tables - Part 2'!$AX$17:$BA$24,MATCH(SCC_Polythionic_Acid!$V6,'Tables - Part 2'!$AV$6:$AV$13,0),MATCH(SCC_Polythionic_Acid!$S6,'Tables - Part 2'!$AX$5:$BA$5,0)))/2)+((((INDEX('Tables - Part 2'!$BF$6:$BI$13,MATCH(SCC_Polythionic_Acid!$V6,'Tables - Part 2'!$AV$6:$AV$13,0),MATCH(SCC_Polythionic_Acid!$S6,'Tables - Part 2'!$AX$5:$BA$5,0))+INDEX('Tables - Part 2'!$AX$17:$BA$24,MATCH(SCC_Polythionic_Acid!$V6,'Tables - Part 2'!$AV$6:$AV$13,0),MATCH(SCC_Polythionic_Acid!$S6,'Tables - Part 2'!$AX$5:$BA$5,0)))/2)+INDEX('Tables - Part 2'!$AX$17:$BA$24,MATCH(SCC_Polythionic_Acid!$V6,'Tables - Part 2'!$AV$6:$AV$13,0),MATCH(SCC_Polythionic_Acid!$S6,'Tables - Part 2'!$AX$5:$BA$5,0)))/2))/2,0)</f>
        <v>0</v>
      </c>
      <c r="AX6" s="248">
        <f>IF($R6=$AX$3,(((INDEX('Tables - Part 2'!$BF$6:$BI$13,MATCH(SCC_Polythionic_Acid!$V6,'Tables - Part 2'!$AV$6:$AV$13,0),MATCH(SCC_Polythionic_Acid!$S6,'Tables - Part 2'!$AX$5:$BA$5,0))+INDEX('Tables - Part 2'!$AX$17:$BA$24,MATCH(SCC_Polythionic_Acid!$V6,'Tables - Part 2'!$AV$6:$AV$13,0),MATCH(SCC_Polythionic_Acid!$S6,'Tables - Part 2'!$AX$5:$BA$5,0)))/2)+INDEX('Tables - Part 2'!$AX$17:$BA$24,MATCH(SCC_Polythionic_Acid!$V6,'Tables - Part 2'!$AV$6:$AV$13,0),MATCH(SCC_Polythionic_Acid!$S6,'Tables - Part 2'!$AX$5:$BA$5,0)))/2,0)</f>
        <v>0</v>
      </c>
      <c r="AY6" s="248">
        <f>IF($R6=$AY$3,(((((INDEX('Tables - Part 2'!$BF$6:$BI$13,MATCH(SCC_Polythionic_Acid!$V6,'Tables - Part 2'!$AV$6:$AV$13,0),MATCH(SCC_Polythionic_Acid!$S6,'Tables - Part 2'!$AX$5:$BA$5,0))+INDEX('Tables - Part 2'!$AX$17:$BA$24,MATCH(SCC_Polythionic_Acid!$V6,'Tables - Part 2'!$AV$6:$AV$13,0),MATCH(SCC_Polythionic_Acid!$S6,'Tables - Part 2'!$AX$5:$BA$5,0)))/2)+INDEX('Tables - Part 2'!$AX$17:$BA$24,MATCH(SCC_Polythionic_Acid!$V6,'Tables - Part 2'!$AV$6:$AV$13,0),MATCH(SCC_Polythionic_Acid!$S6,'Tables - Part 2'!$AX$5:$BA$5,0)))/2)+(INDEX('Tables - Part 2'!$AX$17:$BA$24,MATCH(SCC_Polythionic_Acid!$V6,'Tables - Part 2'!$AV$6:$AV$13,0),MATCH(SCC_Polythionic_Acid!$S6,'Tables - Part 2'!$AX$5:$BA$5,0))))/2,0)</f>
        <v>0</v>
      </c>
      <c r="AZ6" s="248">
        <f>IF($R6=$AZ$3,INDEX('Tables - Part 2'!$AX$17:$BA$24,MATCH(SCC_Polythionic_Acid!$V6,'Tables - Part 2'!$AV$6:$AV$13,0),MATCH(SCC_Polythionic_Acid!$S6,'Tables - Part 2'!$AX$5:$BA$5,0)),0)</f>
        <v>0</v>
      </c>
      <c r="BA6" s="248">
        <f>IF($R6=$BA$3,((INDEX('Tables - Part 2'!$AX$17:$BA$24,MATCH(SCC_Polythionic_Acid!$V6,'Tables - Part 2'!$AV$6:$AV$13,0),MATCH(SCC_Polythionic_Acid!$S6,'Tables - Part 2'!$AX$5:$BA$5,0)))+(((INDEX('Tables - Part 2'!$AX$17:$BA$24,MATCH(SCC_Polythionic_Acid!$V6,'Tables - Part 2'!$AV$6:$AV$13,0),MATCH(SCC_Polythionic_Acid!$S6,'Tables - Part 2'!$AX$5:$BA$5,0)))+(INDEX('Tables - Part 2'!$AX$17:$BA$24,MATCH(SCC_Polythionic_Acid!$V6,'Tables - Part 2'!$AV$6:$AV$13,0),MATCH(SCC_Polythionic_Acid!$S6,'Tables - Part 2'!$AX$5:$BA$5,0))+INDEX('Tables - Part 2'!$BB$17:$BE$24,MATCH(SCC_Polythionic_Acid!$V6,'Tables - Part 2'!$AV$6:$AV$13,0),MATCH(SCC_Polythionic_Acid!$S6,'Tables - Part 2'!$AX$5:$BA$5,0)))/2)/2))/2,0)</f>
        <v>0</v>
      </c>
      <c r="BB6" s="248">
        <f>IF($R6=$BB$3,((INDEX('Tables - Part 2'!$AX$17:$BA$24,MATCH(SCC_Polythionic_Acid!$V6,'Tables - Part 2'!$AV$6:$AV$13,0),MATCH(SCC_Polythionic_Acid!$S6,'Tables - Part 2'!$AX$5:$BA$5,0)))+(INDEX('Tables - Part 2'!$AX$17:$BA$24,MATCH(SCC_Polythionic_Acid!$V6,'Tables - Part 2'!$AV$6:$AV$13,0),MATCH(SCC_Polythionic_Acid!$S6,'Tables - Part 2'!$AX$5:$BA$5,0))+INDEX('Tables - Part 2'!$BB$17:$BE$24,MATCH(SCC_Polythionic_Acid!$V6,'Tables - Part 2'!$AV$6:$AV$13,0),MATCH(SCC_Polythionic_Acid!$S6,'Tables - Part 2'!$AX$5:$BA$5,0)))/2)/2,0)</f>
        <v>0</v>
      </c>
      <c r="BC6" s="248">
        <f>IF($R6=$BC$3,((((INDEX('Tables - Part 2'!$AX$17:$BA$24,MATCH(SCC_Polythionic_Acid!$V6,'Tables - Part 2'!$AV$6:$AV$13,0),MATCH(SCC_Polythionic_Acid!$S6,'Tables - Part 2'!$AX$5:$BA$5,0)))+(INDEX('Tables - Part 2'!$AX$17:$BA$24,MATCH(SCC_Polythionic_Acid!$V6,'Tables - Part 2'!$AV$6:$AV$13,0),MATCH(SCC_Polythionic_Acid!$S6,'Tables - Part 2'!$AX$5:$BA$5,0))+INDEX('Tables - Part 2'!$BB$17:$BE$24,MATCH(SCC_Polythionic_Acid!$V6,'Tables - Part 2'!$AV$6:$AV$13,0),MATCH(SCC_Polythionic_Acid!$S6,'Tables - Part 2'!$AX$5:$BA$5,0)))/2)/2)+((INDEX('Tables - Part 2'!$AX$17:$BA$24,MATCH(SCC_Polythionic_Acid!$V6,'Tables - Part 2'!$AV$6:$AV$13,0),MATCH(SCC_Polythionic_Acid!$S6,'Tables - Part 2'!$AX$5:$BA$5,0))+INDEX('Tables - Part 2'!$BB$17:$BE$24,MATCH(SCC_Polythionic_Acid!$V6,'Tables - Part 2'!$AV$6:$AV$13,0),MATCH(SCC_Polythionic_Acid!$S6,'Tables - Part 2'!$AX$5:$BA$5,0)))/2))/2,0)</f>
        <v>0</v>
      </c>
      <c r="BD6" s="248">
        <f>IF($R6=$BD$3,(INDEX('Tables - Part 2'!$AX$17:$BA$24,MATCH(SCC_Polythionic_Acid!$V6,'Tables - Part 2'!$AV$6:$AV$13,0),MATCH(SCC_Polythionic_Acid!$S6,'Tables - Part 2'!$AX$5:$BA$5,0))+INDEX('Tables - Part 2'!$BB$17:$BE$24,MATCH(SCC_Polythionic_Acid!$V6,'Tables - Part 2'!$AV$6:$AV$13,0),MATCH(SCC_Polythionic_Acid!$S6,'Tables - Part 2'!$AX$5:$BA$5,0)))/2,0)</f>
        <v>0</v>
      </c>
      <c r="BE6" s="248">
        <f>IF($R6=$BE$3,(((INDEX('Tables - Part 2'!$AX$17:$BA$24,MATCH(SCC_Polythionic_Acid!$V6,'Tables - Part 2'!$AV$6:$AV$13,0),MATCH(SCC_Polythionic_Acid!$S6,'Tables - Part 2'!$AX$5:$BA$5,0))+INDEX('Tables - Part 2'!$BB$17:$BE$24,MATCH(SCC_Polythionic_Acid!$V6,'Tables - Part 2'!$AV$6:$AV$13,0),MATCH(SCC_Polythionic_Acid!$S6,'Tables - Part 2'!$AX$5:$BA$5,0)))/2)+((((INDEX('Tables - Part 2'!$AX$17:$BA$24,MATCH(SCC_Polythionic_Acid!$V6,'Tables - Part 2'!$AV$6:$AV$13,0),MATCH(SCC_Polythionic_Acid!$S6,'Tables - Part 2'!$AX$5:$BA$5,0))+INDEX('Tables - Part 2'!$BB$17:$BE$24,MATCH(SCC_Polythionic_Acid!$V6,'Tables - Part 2'!$AV$6:$AV$13,0),MATCH(SCC_Polythionic_Acid!$S6,'Tables - Part 2'!$AX$5:$BA$5,0)))/2)+INDEX('Tables - Part 2'!$BB$17:$BE$24,MATCH(SCC_Polythionic_Acid!$V6,'Tables - Part 2'!$AV$6:$AV$13,0),MATCH(SCC_Polythionic_Acid!$S6,'Tables - Part 2'!$AX$5:$BA$5,0)))/2))/2,0)</f>
        <v>0</v>
      </c>
      <c r="BF6" s="248">
        <f>IF($R6=$BF$3,(((INDEX('Tables - Part 2'!$AX$17:$BA$24,MATCH(SCC_Polythionic_Acid!$V6,'Tables - Part 2'!$AV$6:$AV$13,0),MATCH(SCC_Polythionic_Acid!$S6,'Tables - Part 2'!$AX$5:$BA$5,0))+INDEX('Tables - Part 2'!$BB$17:$BE$24,MATCH(SCC_Polythionic_Acid!$V6,'Tables - Part 2'!$AV$6:$AV$13,0),MATCH(SCC_Polythionic_Acid!$S6,'Tables - Part 2'!$AX$5:$BA$5,0)))/2)+INDEX('Tables - Part 2'!$BB$17:$BE$24,MATCH(SCC_Polythionic_Acid!$V6,'Tables - Part 2'!$AV$6:$AV$13,0),MATCH(SCC_Polythionic_Acid!$S6,'Tables - Part 2'!$AX$5:$BA$5,0)))/2,0)</f>
        <v>0</v>
      </c>
      <c r="BG6" s="248">
        <f>IF($R6=$BG$3,(((((INDEX('Tables - Part 2'!$AX$17:$BA$24,MATCH(SCC_Polythionic_Acid!$V6,'Tables - Part 2'!$AV$6:$AV$13,0),MATCH(SCC_Polythionic_Acid!$S6,'Tables - Part 2'!$AX$5:$BA$5,0))+INDEX('Tables - Part 2'!$BB$17:$BE$24,MATCH(SCC_Polythionic_Acid!$V6,'Tables - Part 2'!$AV$6:$AV$13,0),MATCH(SCC_Polythionic_Acid!$S6,'Tables - Part 2'!$AX$5:$BA$5,0)))/2)+INDEX('Tables - Part 2'!$BB$17:$BE$24,MATCH(SCC_Polythionic_Acid!$V6,'Tables - Part 2'!$AV$6:$AV$13,0),MATCH(SCC_Polythionic_Acid!$S6,'Tables - Part 2'!$AX$5:$BA$5,0)))/2)+(INDEX('Tables - Part 2'!$BB$17:$BE$24,MATCH(SCC_Polythionic_Acid!$V6,'Tables - Part 2'!$AV$6:$AV$13,0),MATCH(SCC_Polythionic_Acid!$S6,'Tables - Part 2'!$AX$5:$BA$5,0))))/2,0)</f>
        <v>0</v>
      </c>
      <c r="BH6" s="248">
        <f>IF($R6=$BH$3,INDEX('Tables - Part 2'!$BB$17:$BE$24,MATCH(SCC_Polythionic_Acid!$V6,'Tables - Part 2'!$AV$6:$AV$13,0),MATCH(SCC_Polythionic_Acid!$S6,'Tables - Part 2'!$AX$5:$BA$5,0)),0)</f>
        <v>0</v>
      </c>
      <c r="BI6" s="248">
        <f>IF($R6=$BI$3,((INDEX('Tables - Part 2'!$BB$17:$BE$24,MATCH(SCC_Polythionic_Acid!$V6,'Tables - Part 2'!$AV$6:$AV$13,0),MATCH(SCC_Polythionic_Acid!$S6,'Tables - Part 2'!$AX$5:$BA$5,0)))+(((INDEX('Tables - Part 2'!$BB$17:$BE$24,MATCH(SCC_Polythionic_Acid!$V6,'Tables - Part 2'!$AV$6:$AV$13,0),MATCH(SCC_Polythionic_Acid!$S6,'Tables - Part 2'!$AX$5:$BA$5,0)))+(INDEX('Tables - Part 2'!$BB$17:$BE$24,MATCH(SCC_Polythionic_Acid!$V6,'Tables - Part 2'!$AV$6:$AV$13,0),MATCH(SCC_Polythionic_Acid!$S6,'Tables - Part 2'!$AX$5:$BA$5,0))+INDEX('Tables - Part 2'!$BF$17:$BI$24,MATCH(SCC_Polythionic_Acid!$V6,'Tables - Part 2'!$AV$6:$AV$13,0),MATCH(SCC_Polythionic_Acid!$S6,'Tables - Part 2'!$AX$5:$BA$5,0)))/2)/2))/2,0)</f>
        <v>0</v>
      </c>
      <c r="BJ6" s="248">
        <f>IF($R6=$BJ$3,((INDEX('Tables - Part 2'!$BB$17:$BE$24,MATCH(SCC_Polythionic_Acid!$V6,'Tables - Part 2'!$AV$6:$AV$13,0),MATCH(SCC_Polythionic_Acid!$S6,'Tables - Part 2'!$AX$5:$BA$5,0)))+(INDEX('Tables - Part 2'!$BB$17:$BE$24,MATCH(SCC_Polythionic_Acid!$V6,'Tables - Part 2'!$AV$6:$AV$13,0),MATCH(SCC_Polythionic_Acid!$S6,'Tables - Part 2'!$AX$5:$BA$5,0))+INDEX('Tables - Part 2'!$BF$17:$BI$24,MATCH(SCC_Polythionic_Acid!$V6,'Tables - Part 2'!$AV$6:$AV$13,0),MATCH(SCC_Polythionic_Acid!$S6,'Tables - Part 2'!$AX$5:$BA$5,0)))/2)/2,0)</f>
        <v>0</v>
      </c>
      <c r="BK6" s="248">
        <f>IF($R6=$BK$3,((((INDEX('Tables - Part 2'!$BB$17:$BE$24,MATCH(SCC_Polythionic_Acid!$V6,'Tables - Part 2'!$AV$6:$AV$13,0),MATCH(SCC_Polythionic_Acid!$S6,'Tables - Part 2'!$AX$5:$BA$5,0)))+(INDEX('Tables - Part 2'!$BB$17:$BE$24,MATCH(SCC_Polythionic_Acid!$V6,'Tables - Part 2'!$AV$6:$AV$13,0),MATCH(SCC_Polythionic_Acid!$S6,'Tables - Part 2'!$AX$5:$BA$5,0))+INDEX('Tables - Part 2'!$BF$17:$BI$24,MATCH(SCC_Polythionic_Acid!$V6,'Tables - Part 2'!$AV$6:$AV$13,0),MATCH(SCC_Polythionic_Acid!$S6,'Tables - Part 2'!$AX$5:$BA$5,0)))/2)/2)+((INDEX('Tables - Part 2'!$BB$17:$BE$24,MATCH(SCC_Polythionic_Acid!$V6,'Tables - Part 2'!$AV$6:$AV$13,0),MATCH(SCC_Polythionic_Acid!$S6,'Tables - Part 2'!$AX$5:$BA$5,0))+INDEX('Tables - Part 2'!$BF$17:$BI$24,MATCH(SCC_Polythionic_Acid!$V6,'Tables - Part 2'!$AV$6:$AV$13,0),MATCH(SCC_Polythionic_Acid!$S6,'Tables - Part 2'!$AX$5:$BA$5,0)))/2))/2,0)</f>
        <v>0</v>
      </c>
      <c r="BL6" s="248">
        <f>IF($R6=$BL$3,(INDEX('Tables - Part 2'!$BB$17:$BE$24,MATCH(SCC_Polythionic_Acid!$V6,'Tables - Part 2'!$AV$6:$AV$13,0),MATCH(SCC_Polythionic_Acid!$S6,'Tables - Part 2'!$AX$5:$BA$5,0))+INDEX('Tables - Part 2'!$BF$17:$BI$24,MATCH(SCC_Polythionic_Acid!$V6,'Tables - Part 2'!$AV$6:$AV$13,0),MATCH(SCC_Polythionic_Acid!$S6,'Tables - Part 2'!$AX$5:$BA$5,0)))/2,0)</f>
        <v>0</v>
      </c>
      <c r="BM6" s="248">
        <f>IF($R6=$BM$3,(((INDEX('Tables - Part 2'!$BB$17:$BE$24,MATCH(SCC_Polythionic_Acid!$V6,'Tables - Part 2'!$AV$6:$AV$13,0),MATCH(SCC_Polythionic_Acid!$S6,'Tables - Part 2'!$AX$5:$BA$5,0))+INDEX('Tables - Part 2'!$BF$17:$BI$24,MATCH(SCC_Polythionic_Acid!$V6,'Tables - Part 2'!$AV$6:$AV$13,0),MATCH(SCC_Polythionic_Acid!$S6,'Tables - Part 2'!$AX$5:$BA$5,0)))/2)+((((INDEX('Tables - Part 2'!$BB$17:$BE$24,MATCH(SCC_Polythionic_Acid!$V6,'Tables - Part 2'!$AV$6:$AV$13,0),MATCH(SCC_Polythionic_Acid!$S6,'Tables - Part 2'!$AX$5:$BA$5,0))+INDEX('Tables - Part 2'!$BF$17:$BI$24,MATCH(SCC_Polythionic_Acid!$V6,'Tables - Part 2'!$AV$6:$AV$13,0),MATCH(SCC_Polythionic_Acid!$S6,'Tables - Part 2'!$AX$5:$BA$5,0)))/2)+INDEX('Tables - Part 2'!$BF$17:$BI$24,MATCH(SCC_Polythionic_Acid!$V6,'Tables - Part 2'!$AV$6:$AV$13,0),MATCH(SCC_Polythionic_Acid!$S6,'Tables - Part 2'!$AX$5:$BA$5,0)))/2))/2,0)</f>
        <v>0</v>
      </c>
      <c r="BN6" s="248">
        <f>IF($R6=$BN$3,(((INDEX('Tables - Part 2'!$BB$17:$BE$24,MATCH(SCC_Polythionic_Acid!$V6,'Tables - Part 2'!$AV$6:$AV$13,0),MATCH(SCC_Polythionic_Acid!$S6,'Tables - Part 2'!$AX$5:$BA$5,0))+INDEX('Tables - Part 2'!$BF$17:$BI$24,MATCH(SCC_Polythionic_Acid!$V6,'Tables - Part 2'!$AV$6:$AV$13,0),MATCH(SCC_Polythionic_Acid!$S6,'Tables - Part 2'!$AX$5:$BA$5,0)))/2)+INDEX('Tables - Part 2'!$BF$17:$BI$24,MATCH(SCC_Polythionic_Acid!$V6,'Tables - Part 2'!$AV$6:$AV$13,0),MATCH(SCC_Polythionic_Acid!$S6,'Tables - Part 2'!$AX$5:$BA$5,0)))/2,0)</f>
        <v>0</v>
      </c>
      <c r="BO6" s="248">
        <f>IF($R6=$BO$3,(((((INDEX('Tables - Part 2'!$BB$17:$BE$24,MATCH(SCC_Polythionic_Acid!$V6,'Tables - Part 2'!$AV$6:$AV$13,0),MATCH(SCC_Polythionic_Acid!$S6,'Tables - Part 2'!$AX$5:$BA$5,0))+INDEX('Tables - Part 2'!$BF$17:$BI$24,MATCH(SCC_Polythionic_Acid!$V6,'Tables - Part 2'!$AV$6:$AV$13,0),MATCH(SCC_Polythionic_Acid!$S6,'Tables - Part 2'!$AX$5:$BA$5,0)))/2)+INDEX('Tables - Part 2'!$BF$17:$BI$24,MATCH(SCC_Polythionic_Acid!$V6,'Tables - Part 2'!$AV$6:$AV$13,0),MATCH(SCC_Polythionic_Acid!$S6,'Tables - Part 2'!$AX$5:$BA$5,0)))/2)+(INDEX('Tables - Part 2'!$BF$17:$BI$24,MATCH(SCC_Polythionic_Acid!$V6,'Tables - Part 2'!$AV$6:$AV$13,0),MATCH(SCC_Polythionic_Acid!$S6,'Tables - Part 2'!$AX$5:$BA$5,0))))/2,0)</f>
        <v>0</v>
      </c>
      <c r="BP6" s="248">
        <f>IF($R6=$BP$3,INDEX('Tables - Part 2'!$BF$17:$BI$24,MATCH(SCC_Polythionic_Acid!$V6,'Tables - Part 2'!$AV$6:$AV$13,0),MATCH(SCC_Polythionic_Acid!$S6,'Tables - Part 2'!$AX$5:$BA$5,0)),0)</f>
        <v>0</v>
      </c>
      <c r="BQ6" s="248">
        <f t="shared" si="5"/>
        <v>0</v>
      </c>
      <c r="BR6" s="238">
        <f t="shared" si="8"/>
        <v>165</v>
      </c>
      <c r="BS6" s="238">
        <f t="shared" si="9"/>
        <v>2767.5256072873844</v>
      </c>
    </row>
    <row r="7" spans="2:84" x14ac:dyDescent="0.35">
      <c r="B7" s="161" t="str">
        <f>'Tratamento de Dados'!B15</f>
        <v>V-11</v>
      </c>
      <c r="C7" s="161" t="str">
        <f>'Tratamento de Dados'!D15</f>
        <v>Casco</v>
      </c>
      <c r="D7" s="209" t="s">
        <v>244</v>
      </c>
      <c r="E7" s="209" t="s">
        <v>244</v>
      </c>
      <c r="F7" s="209" t="s">
        <v>244</v>
      </c>
      <c r="G7" s="209" t="s">
        <v>244</v>
      </c>
      <c r="H7" s="209" t="s">
        <v>1145</v>
      </c>
      <c r="I7" s="247">
        <f>'Tratamento de Dados'!S15</f>
        <v>2</v>
      </c>
      <c r="J7" s="209" t="s">
        <v>1146</v>
      </c>
      <c r="K7" s="210">
        <v>39092</v>
      </c>
      <c r="L7" s="209">
        <v>0</v>
      </c>
      <c r="M7" s="209">
        <v>1</v>
      </c>
      <c r="N7" s="209">
        <v>1</v>
      </c>
      <c r="O7" s="209">
        <v>4</v>
      </c>
      <c r="P7" s="253">
        <f>'Tratamento de Dados'!DA15</f>
        <v>0</v>
      </c>
      <c r="Q7" s="253">
        <f>'Tratamento de Dados'!DB15</f>
        <v>0</v>
      </c>
      <c r="R7" s="256">
        <f t="shared" si="0"/>
        <v>2.5</v>
      </c>
      <c r="S7" s="246" t="str">
        <f t="shared" si="1"/>
        <v>B</v>
      </c>
      <c r="T7" s="238" t="str">
        <f>IF(D7=$BX$2,$BV$5,IF(F7=$BX$3,$BV$2,INDEX(IF(I7&lt;427,'Tables - Part 2'!$DH$6:$DJ$10,'Tables - Part 2'!$DH$14:$DJ$18),MATCH(SCC_Polythionic_Acid!H7,'Tables - Part 2'!$DG$6:$DG$10,0),MATCH(J7,'Tables - Part 2'!$DH$5:$DJ$5,0))))</f>
        <v>High</v>
      </c>
      <c r="U7" s="238" t="str">
        <f t="shared" si="6"/>
        <v>High</v>
      </c>
      <c r="V7" s="238">
        <f>IF(AND(D7=$BX$2,E7&lt;&gt;$BX$2),"Fitness-For-Service",INDEX('Tables - Part 2'!$DM$4:$DM$7,MATCH(SCC_Polythionic_Acid!U7,'Tables - Part 2'!$DL$4:$DL$7,0),))</f>
        <v>5000</v>
      </c>
      <c r="W7" s="238">
        <f>IF(K7=0,(Thinning!G8-Thinning!F8)/365.25,(Thinning!G8-K7)/365.25)</f>
        <v>12.980150581793293</v>
      </c>
      <c r="X7" s="248">
        <f t="shared" si="2"/>
        <v>0</v>
      </c>
      <c r="Y7" s="248">
        <f t="shared" si="3"/>
        <v>2.5</v>
      </c>
      <c r="Z7" s="247">
        <f t="shared" si="7"/>
        <v>3</v>
      </c>
      <c r="AA7" s="247">
        <f t="shared" si="4"/>
        <v>4</v>
      </c>
      <c r="AB7" s="248">
        <f>IF($R7=$AB$3,INDEX('Tables - Part 2'!$AX$6:$BA$13,MATCH(SCC_Polythionic_Acid!V7,'Tables - Part 2'!$AV$6:$AV$13,0),MATCH(SCC_Polythionic_Acid!S7,'Tables - Part 2'!$AX$5:$BA$5,0)),0)</f>
        <v>0</v>
      </c>
      <c r="AC7" s="248">
        <f>IF($R7=$AC$3,(INDEX('Tables - Part 2'!$AX$6:$BA$13,MATCH(SCC_Polythionic_Acid!V7,'Tables - Part 2'!$AV$6:$AV$13,0),MATCH(SCC_Polythionic_Acid!S7,'Tables - Part 2'!$AX$5:$BA$5,0))+(INDEX('Tables - Part 2'!$AX$6:$BA$13,MATCH(SCC_Polythionic_Acid!V7,'Tables - Part 2'!$AV$6:$AV$13,0),MATCH(SCC_Polythionic_Acid!S7,'Tables - Part 2'!$AX$5:$BA$5,0))+((INDEX('Tables - Part 2'!$AX$6:$BA$13,MATCH(SCC_Polythionic_Acid!V7,'Tables - Part 2'!$AV$6:$AV$13,0),MATCH(SCC_Polythionic_Acid!S7,'Tables - Part 2'!$AX$5:$BA$5,0))+INDEX('Tables - Part 2'!$BB$6:$BE$13,MATCH(SCC_Polythionic_Acid!$V7,'Tables - Part 2'!$AV$6:$AV$13,0),MATCH(SCC_Polythionic_Acid!$S7,'Tables - Part 2'!$AX$5:$BA$5,0)))/2))/2)/2,0)</f>
        <v>0</v>
      </c>
      <c r="AD7" s="248">
        <f>IF($R7=$AD$3,(INDEX('Tables - Part 2'!$AX$6:$BA$13,MATCH(SCC_Polythionic_Acid!V7,'Tables - Part 2'!$AV$6:$AV$13,0),MATCH(SCC_Polythionic_Acid!S7,'Tables - Part 2'!$AX$5:$BA$5,0))+((INDEX('Tables - Part 2'!$AX$6:$BA$13,MATCH(SCC_Polythionic_Acid!V7,'Tables - Part 2'!$AV$6:$AV$13,0),MATCH(SCC_Polythionic_Acid!S7,'Tables - Part 2'!$AX$5:$BA$5,0))+INDEX('Tables - Part 2'!$BB$6:$BE$13,MATCH(SCC_Polythionic_Acid!$V7,'Tables - Part 2'!$AV$6:$AV$13,0),MATCH(SCC_Polythionic_Acid!$S7,'Tables - Part 2'!$AX$5:$BA$5,0)))/2))/2,0)</f>
        <v>0</v>
      </c>
      <c r="AE7" s="248">
        <f>IF($R7=$AE$3,(((INDEX('Tables - Part 2'!$AX$6:$BA$13,MATCH(SCC_Polythionic_Acid!V7,'Tables - Part 2'!$AV$6:$AV$13,0),MATCH(SCC_Polythionic_Acid!S7,'Tables - Part 2'!$AX$5:$BA$5,0))+((INDEX('Tables - Part 2'!$AX$6:$BA$13,MATCH(SCC_Polythionic_Acid!V7,'Tables - Part 2'!$AV$6:$AV$13,0),MATCH(SCC_Polythionic_Acid!S7,'Tables - Part 2'!$AX$5:$BA$5,0))+INDEX('Tables - Part 2'!$BB$6:$BE$13,MATCH(SCC_Polythionic_Acid!$V7,'Tables - Part 2'!$AV$6:$AV$13,0),MATCH(SCC_Polythionic_Acid!$S7,'Tables - Part 2'!$AX$5:$BA$5,0)))/2))/2)+(INDEX('Tables - Part 2'!$AX$6:$BA$13,MATCH(SCC_Polythionic_Acid!V7,'Tables - Part 2'!$AV$6:$AV$13,0),MATCH(SCC_Polythionic_Acid!S7,'Tables - Part 2'!$AX$5:$BA$5,0))+INDEX('Tables - Part 2'!$BB$6:$BE$13,MATCH(SCC_Polythionic_Acid!$V7,'Tables - Part 2'!$AV$6:$AV$13,0),MATCH(SCC_Polythionic_Acid!$S7,'Tables - Part 2'!$AX$5:$BA$5,0)))/2)/2,0)</f>
        <v>0</v>
      </c>
      <c r="AF7" s="248">
        <f>IF($R7=$AF$3,(INDEX('Tables - Part 2'!$AX$6:$BA$13,MATCH(SCC_Polythionic_Acid!V7,'Tables - Part 2'!$AV$6:$AV$13,0),MATCH(SCC_Polythionic_Acid!S7,'Tables - Part 2'!$AX$5:$BA$5,0))+INDEX('Tables - Part 2'!$BB$6:$BE$13,MATCH(SCC_Polythionic_Acid!$V7,'Tables - Part 2'!$AV$6:$AV$13,0),MATCH(SCC_Polythionic_Acid!$S7,'Tables - Part 2'!$AX$5:$BA$5,0)))/2,0)</f>
        <v>0</v>
      </c>
      <c r="AG7" s="248">
        <f>IF($R7=$AG$3,(((INDEX('Tables - Part 2'!$AX$6:$BA$13,MATCH(SCC_Polythionic_Acid!V7,'Tables - Part 2'!$AV$6:$AV$13,0),MATCH(SCC_Polythionic_Acid!S7,'Tables - Part 2'!$AX$5:$BA$5,0))+INDEX('Tables - Part 2'!$BB$6:$BE$13,MATCH(SCC_Polythionic_Acid!$V7,'Tables - Part 2'!$AV$6:$AV$13,0),MATCH(SCC_Polythionic_Acid!$S7,'Tables - Part 2'!$AX$5:$BA$5,0)))/2)+(((INDEX('Tables - Part 2'!$AX$6:$BA$13,MATCH(SCC_Polythionic_Acid!V7,'Tables - Part 2'!$AV$6:$AV$13,0),MATCH(SCC_Polythionic_Acid!S7,'Tables - Part 2'!$AX$5:$BA$5,0))+INDEX('Tables - Part 2'!$BB$6:$BE$13,MATCH(SCC_Polythionic_Acid!$V7,'Tables - Part 2'!$AV$6:$AV$13,0),MATCH(SCC_Polythionic_Acid!$S7,'Tables - Part 2'!$AX$5:$BA$5,0)))/2)+INDEX('Tables - Part 2'!$BB$6:$BE$13,MATCH(SCC_Polythionic_Acid!$V7,'Tables - Part 2'!$AV$6:$AV$13,0),MATCH(SCC_Polythionic_Acid!$S7,'Tables - Part 2'!$AX$5:$BA$5,0)))/2)/2,0)</f>
        <v>0</v>
      </c>
      <c r="AH7" s="248">
        <f>IF($R7=$AH$3,(((INDEX('Tables - Part 2'!$AX$6:$BA$13,MATCH(SCC_Polythionic_Acid!V7,'Tables - Part 2'!$AV$6:$AV$13,0),MATCH(SCC_Polythionic_Acid!S7,'Tables - Part 2'!$AX$5:$BA$5,0))+INDEX('Tables - Part 2'!$BB$6:$BE$13,MATCH(SCC_Polythionic_Acid!$V7,'Tables - Part 2'!$AV$6:$AV$13,0),MATCH(SCC_Polythionic_Acid!$S7,'Tables - Part 2'!$AX$5:$BA$5,0)))/2)+INDEX('Tables - Part 2'!$BB$6:$BE$13,MATCH(SCC_Polythionic_Acid!$V7,'Tables - Part 2'!$AV$6:$AV$13,0),MATCH(SCC_Polythionic_Acid!$S7,'Tables - Part 2'!$AX$5:$BA$5,0)))/2,0)</f>
        <v>0</v>
      </c>
      <c r="AI7" s="248">
        <f>IF($R7=$AI$3,(((((INDEX('Tables - Part 2'!$AX$6:$BA$13,MATCH(SCC_Polythionic_Acid!V7,'Tables - Part 2'!$AV$6:$AV$13,0),MATCH(SCC_Polythionic_Acid!S7,'Tables - Part 2'!$AX$5:$BA$5,0))+INDEX('Tables - Part 2'!$BB$6:$BE$13,MATCH(SCC_Polythionic_Acid!$V7,'Tables - Part 2'!$AV$6:$AV$13,0),MATCH(SCC_Polythionic_Acid!$S7,'Tables - Part 2'!$AX$5:$BA$5,0)))/2)+INDEX('Tables - Part 2'!$BB$6:$BE$13,MATCH(SCC_Polythionic_Acid!$V7,'Tables - Part 2'!$AV$6:$AV$13,0),MATCH(SCC_Polythionic_Acid!$S7,'Tables - Part 2'!$AX$5:$BA$5,0)))/2)+INDEX('Tables - Part 2'!$BB$6:$BE$13,MATCH(SCC_Polythionic_Acid!$V7,'Tables - Part 2'!$AV$6:$AV$13,0),MATCH(SCC_Polythionic_Acid!$S7,'Tables - Part 2'!$AX$5:$BA$5,0)))/2,0)</f>
        <v>0</v>
      </c>
      <c r="AJ7" s="248">
        <f>IF($R7=$AJ$3,INDEX('Tables - Part 2'!$BB$6:$BE$13,MATCH(SCC_Polythionic_Acid!$V7,'Tables - Part 2'!$AV$6:$AV$13,0),MATCH(SCC_Polythionic_Acid!$S7,'Tables - Part 2'!$AX$5:$BA$5,0)),0)</f>
        <v>0</v>
      </c>
      <c r="AK7" s="248">
        <f>IF($R7=$AK$3,((INDEX('Tables - Part 2'!$BB$6:$BE$13,MATCH(SCC_Polythionic_Acid!$V7,'Tables - Part 2'!$AV$6:$AV$13,0),MATCH(SCC_Polythionic_Acid!$S7,'Tables - Part 2'!$AX$5:$BA$5,0)))+(INDEX('Tables - Part 2'!$BB$6:$BE$13,MATCH(SCC_Polythionic_Acid!$V7,'Tables - Part 2'!$AV$6:$AV$13,0),MATCH(SCC_Polythionic_Acid!$S7,'Tables - Part 2'!$AX$5:$BA$5,0))+(INDEX('Tables - Part 2'!$BB$6:$BE$13,MATCH(SCC_Polythionic_Acid!$V7,'Tables - Part 2'!$AV$6:$AV$13,0),MATCH(SCC_Polythionic_Acid!$S7,'Tables - Part 2'!$AX$5:$BA$5,0))+INDEX('Tables - Part 2'!$BF$6:$BI$13,MATCH(SCC_Polythionic_Acid!$V7,'Tables - Part 2'!$AV$6:$AV$13,0),MATCH(SCC_Polythionic_Acid!$S7,'Tables - Part 2'!$AX$5:$BA$5,0)))/2)/2)/2,0)</f>
        <v>0</v>
      </c>
      <c r="AL7" s="248">
        <f>IF($R7=$AL$3,(INDEX('Tables - Part 2'!$BB$6:$BE$13,MATCH(SCC_Polythionic_Acid!$V7,'Tables - Part 2'!$AV$6:$AV$13,0),MATCH(SCC_Polythionic_Acid!$S7,'Tables - Part 2'!$AX$5:$BA$5,0))+(INDEX('Tables - Part 2'!$BB$6:$BE$13,MATCH(SCC_Polythionic_Acid!$V7,'Tables - Part 2'!$AV$6:$AV$13,0),MATCH(SCC_Polythionic_Acid!$S7,'Tables - Part 2'!$AX$5:$BA$5,0))+INDEX('Tables - Part 2'!$BF$6:$BI$13,MATCH(SCC_Polythionic_Acid!$V7,'Tables - Part 2'!$AV$6:$AV$13,0),MATCH(SCC_Polythionic_Acid!$S7,'Tables - Part 2'!$AX$5:$BA$5,0)))/2)/2,0)</f>
        <v>0</v>
      </c>
      <c r="AM7" s="248">
        <f>IF($R7=$AM$3,(((INDEX('Tables - Part 2'!$BB$6:$BE$13,MATCH(SCC_Polythionic_Acid!$V7,'Tables - Part 2'!$AV$6:$AV$13,0),MATCH(SCC_Polythionic_Acid!$S7,'Tables - Part 2'!$AX$5:$BA$5,0))+(INDEX('Tables - Part 2'!$BB$6:$BE$13,MATCH(SCC_Polythionic_Acid!$V7,'Tables - Part 2'!$AV$6:$AV$13,0),MATCH(SCC_Polythionic_Acid!$S7,'Tables - Part 2'!$AX$5:$BA$5,0))+INDEX('Tables - Part 2'!$BF$6:$BI$13,MATCH(SCC_Polythionic_Acid!$V7,'Tables - Part 2'!$AV$6:$AV$13,0),MATCH(SCC_Polythionic_Acid!$S7,'Tables - Part 2'!$AX$5:$BA$5,0)))/2)/2)+((INDEX('Tables - Part 2'!$BB$6:$BE$13,MATCH(SCC_Polythionic_Acid!$V7,'Tables - Part 2'!$AV$6:$AV$13,0),MATCH(SCC_Polythionic_Acid!$S7,'Tables - Part 2'!$AX$5:$BA$5,0))+INDEX('Tables - Part 2'!$BF$6:$BI$13,MATCH(SCC_Polythionic_Acid!$V7,'Tables - Part 2'!$AV$6:$AV$13,0),MATCH(SCC_Polythionic_Acid!$S7,'Tables - Part 2'!$AX$5:$BA$5,0)))/2))/2,0)</f>
        <v>0</v>
      </c>
      <c r="AN7" s="248">
        <f>IF($R7=$AN$3,(INDEX('Tables - Part 2'!$BB$6:$BE$13,MATCH(SCC_Polythionic_Acid!$V7,'Tables - Part 2'!$AV$6:$AV$13,0),MATCH(SCC_Polythionic_Acid!$S7,'Tables - Part 2'!$AX$5:$BA$5,0))+INDEX('Tables - Part 2'!$BF$6:$BI$13,MATCH(SCC_Polythionic_Acid!$V7,'Tables - Part 2'!$AV$6:$AV$13,0),MATCH(SCC_Polythionic_Acid!$S7,'Tables - Part 2'!$AX$5:$BA$5,0)))/2,0)</f>
        <v>165</v>
      </c>
      <c r="AO7" s="248">
        <f>IF($R7=$AO$3,(((INDEX('Tables - Part 2'!$BB$6:$BE$13,MATCH(SCC_Polythionic_Acid!$V7,'Tables - Part 2'!$AV$6:$AV$13,0),MATCH(SCC_Polythionic_Acid!$S7,'Tables - Part 2'!$AX$5:$BA$5,0))+INDEX('Tables - Part 2'!$BF$6:$BI$13,MATCH(SCC_Polythionic_Acid!$V7,'Tables - Part 2'!$AV$6:$AV$13,0),MATCH(SCC_Polythionic_Acid!$S7,'Tables - Part 2'!$AX$5:$BA$5,0)))/2)+((((INDEX('Tables - Part 2'!$BB$6:$BE$13,MATCH(SCC_Polythionic_Acid!$V7,'Tables - Part 2'!$AV$6:$AV$13,0),MATCH(SCC_Polythionic_Acid!$S7,'Tables - Part 2'!$AX$5:$BA$5,0))+INDEX('Tables - Part 2'!$BF$6:$BI$13,MATCH(SCC_Polythionic_Acid!$V7,'Tables - Part 2'!$AV$6:$AV$13,0),MATCH(SCC_Polythionic_Acid!$S7,'Tables - Part 2'!$AX$5:$BA$5,0)))/2)+INDEX('Tables - Part 2'!$BF$6:$BI$13,MATCH(SCC_Polythionic_Acid!$V7,'Tables - Part 2'!$AV$6:$AV$13,0),MATCH(SCC_Polythionic_Acid!$S7,'Tables - Part 2'!$AX$5:$BA$5,0)))/2))/2,0)</f>
        <v>0</v>
      </c>
      <c r="AP7" s="248">
        <f>IF($R7=$AP$3,(((INDEX('Tables - Part 2'!$BB$6:$BE$13,MATCH(SCC_Polythionic_Acid!$V7,'Tables - Part 2'!$AV$6:$AV$13,0),MATCH(SCC_Polythionic_Acid!$S7,'Tables - Part 2'!$AX$5:$BA$5,0))+INDEX('Tables - Part 2'!$BF$6:$BI$13,MATCH(SCC_Polythionic_Acid!$V7,'Tables - Part 2'!$AV$6:$AV$13,0),MATCH(SCC_Polythionic_Acid!$S7,'Tables - Part 2'!$AX$5:$BA$5,0)))/2)+INDEX('Tables - Part 2'!$BF$6:$BI$13,MATCH(SCC_Polythionic_Acid!$V7,'Tables - Part 2'!$AV$6:$AV$13,0),MATCH(SCC_Polythionic_Acid!$S7,'Tables - Part 2'!$AX$5:$BA$5,0)))/2,0)</f>
        <v>0</v>
      </c>
      <c r="AQ7" s="248">
        <f>IF($R7=$AQ$3,(((((INDEX('Tables - Part 2'!$BB$6:$BE$13,MATCH(SCC_Polythionic_Acid!$V7,'Tables - Part 2'!$AV$6:$AV$13,0),MATCH(SCC_Polythionic_Acid!$S7,'Tables - Part 2'!$AX$5:$BA$5,0))+INDEX('Tables - Part 2'!$BF$6:$BI$13,MATCH(SCC_Polythionic_Acid!$V7,'Tables - Part 2'!$AV$6:$AV$13,0),MATCH(SCC_Polythionic_Acid!$S7,'Tables - Part 2'!$AX$5:$BA$5,0)))/2)+INDEX('Tables - Part 2'!$BF$6:$BI$13,MATCH(SCC_Polythionic_Acid!$V7,'Tables - Part 2'!$AV$6:$AV$13,0),MATCH(SCC_Polythionic_Acid!$S7,'Tables - Part 2'!$AX$5:$BA$5,0)))/2)+INDEX('Tables - Part 2'!$BF$6:$BI$13,MATCH(SCC_Polythionic_Acid!$V7,'Tables - Part 2'!$AV$6:$AV$13,0),MATCH(SCC_Polythionic_Acid!$S7,'Tables - Part 2'!$AX$5:$BA$5,0)))/2,0)</f>
        <v>0</v>
      </c>
      <c r="AR7" s="248">
        <f>IF($R7=$AR$3,INDEX('Tables - Part 2'!$BF$6:$BI$13,MATCH(SCC_Polythionic_Acid!$V7,'Tables - Part 2'!$AV$6:$AV$13,0),MATCH(SCC_Polythionic_Acid!$S7,'Tables - Part 2'!$AX$5:$BA$5,0)),0)</f>
        <v>0</v>
      </c>
      <c r="AS7" s="248">
        <f>IF($R7=$AS$3,(INDEX('Tables - Part 2'!$BF$6:$BI$13,MATCH(SCC_Polythionic_Acid!$V7,'Tables - Part 2'!$AV$6:$AV$13,0),MATCH(SCC_Polythionic_Acid!$S7,'Tables - Part 2'!$AX$5:$BA$5,0))+((INDEX('Tables - Part 2'!$BF$6:$BI$13,MATCH(SCC_Polythionic_Acid!$V7,'Tables - Part 2'!$AV$6:$AV$13,0),MATCH(SCC_Polythionic_Acid!$S7,'Tables - Part 2'!$AX$5:$BA$5,0))+(INDEX('Tables - Part 2'!$BF$6:$BI$13,MATCH(SCC_Polythionic_Acid!$V7,'Tables - Part 2'!$AV$6:$AV$13,0),MATCH(SCC_Polythionic_Acid!$S7,'Tables - Part 2'!$AX$5:$BA$5,0))+INDEX('Tables - Part 2'!$AX$17:$BA$24,MATCH(SCC_Polythionic_Acid!$V7,'Tables - Part 2'!$AV$6:$AV$13,0),MATCH(SCC_Polythionic_Acid!$S7,'Tables - Part 2'!$AX$5:$BA$5,0)))/2)/2))/2,0)</f>
        <v>0</v>
      </c>
      <c r="AT7" s="248">
        <f>IF($R7=$AT$3,(INDEX('Tables - Part 2'!$BF$6:$BI$13,MATCH(SCC_Polythionic_Acid!$V7,'Tables - Part 2'!$AV$6:$AV$13,0),MATCH(SCC_Polythionic_Acid!$S7,'Tables - Part 2'!$AX$5:$BA$5,0))+(INDEX('Tables - Part 2'!$BF$6:$BI$13,MATCH(SCC_Polythionic_Acid!$V7,'Tables - Part 2'!$AV$6:$AV$13,0),MATCH(SCC_Polythionic_Acid!$S7,'Tables - Part 2'!$AX$5:$BA$5,0))+INDEX('Tables - Part 2'!$AX$17:$BA$24,MATCH(SCC_Polythionic_Acid!$V7,'Tables - Part 2'!$AV$6:$AV$13,0),MATCH(SCC_Polythionic_Acid!$S7,'Tables - Part 2'!$AX$5:$BA$5,0)))/2)/2,0)</f>
        <v>0</v>
      </c>
      <c r="AU7" s="248">
        <f>IF($R7=$AU$3,(((INDEX('Tables - Part 2'!$BF$6:$BI$13,MATCH(SCC_Polythionic_Acid!$V7,'Tables - Part 2'!$AV$6:$AV$13,0),MATCH(SCC_Polythionic_Acid!$S7,'Tables - Part 2'!$AX$5:$BA$5,0))+(INDEX('Tables - Part 2'!$BF$6:$BI$13,MATCH(SCC_Polythionic_Acid!$V7,'Tables - Part 2'!$AV$6:$AV$13,0),MATCH(SCC_Polythionic_Acid!$S7,'Tables - Part 2'!$AX$5:$BA$5,0))+INDEX('Tables - Part 2'!$AX$17:$BA$24,MATCH(SCC_Polythionic_Acid!$V7,'Tables - Part 2'!$AV$6:$AV$13,0),MATCH(SCC_Polythionic_Acid!$S7,'Tables - Part 2'!$AX$5:$BA$5,0)))/2)/2)+((INDEX('Tables - Part 2'!$BF$6:$BI$13,MATCH(SCC_Polythionic_Acid!$V7,'Tables - Part 2'!$AV$6:$AV$13,0),MATCH(SCC_Polythionic_Acid!$S7,'Tables - Part 2'!$AX$5:$BA$5,0))+INDEX('Tables - Part 2'!$AX$17:$BA$24,MATCH(SCC_Polythionic_Acid!$V7,'Tables - Part 2'!$AV$6:$AV$13,0),MATCH(SCC_Polythionic_Acid!$S7,'Tables - Part 2'!$AX$5:$BA$5,0)))/2))/2,0)</f>
        <v>0</v>
      </c>
      <c r="AV7" s="248">
        <f>IF($R7=$AV$3,(INDEX('Tables - Part 2'!$BF$6:$BI$13,MATCH(SCC_Polythionic_Acid!$V7,'Tables - Part 2'!$AV$6:$AV$13,0),MATCH(SCC_Polythionic_Acid!$S7,'Tables - Part 2'!$AX$5:$BA$5,0))+INDEX('Tables - Part 2'!$AX$17:$BA$24,MATCH(SCC_Polythionic_Acid!$V7,'Tables - Part 2'!$AV$6:$AV$13,0),MATCH(SCC_Polythionic_Acid!$S7,'Tables - Part 2'!$AX$5:$BA$5,0)))/2,0)</f>
        <v>0</v>
      </c>
      <c r="AW7" s="248">
        <f>IF($R7=$AW$3,(((INDEX('Tables - Part 2'!$BF$6:$BI$13,MATCH(SCC_Polythionic_Acid!$V7,'Tables - Part 2'!$AV$6:$AV$13,0),MATCH(SCC_Polythionic_Acid!$S7,'Tables - Part 2'!$AX$5:$BA$5,0))+INDEX('Tables - Part 2'!$AX$17:$BA$24,MATCH(SCC_Polythionic_Acid!$V7,'Tables - Part 2'!$AV$6:$AV$13,0),MATCH(SCC_Polythionic_Acid!$S7,'Tables - Part 2'!$AX$5:$BA$5,0)))/2)+((((INDEX('Tables - Part 2'!$BF$6:$BI$13,MATCH(SCC_Polythionic_Acid!$V7,'Tables - Part 2'!$AV$6:$AV$13,0),MATCH(SCC_Polythionic_Acid!$S7,'Tables - Part 2'!$AX$5:$BA$5,0))+INDEX('Tables - Part 2'!$AX$17:$BA$24,MATCH(SCC_Polythionic_Acid!$V7,'Tables - Part 2'!$AV$6:$AV$13,0),MATCH(SCC_Polythionic_Acid!$S7,'Tables - Part 2'!$AX$5:$BA$5,0)))/2)+INDEX('Tables - Part 2'!$AX$17:$BA$24,MATCH(SCC_Polythionic_Acid!$V7,'Tables - Part 2'!$AV$6:$AV$13,0),MATCH(SCC_Polythionic_Acid!$S7,'Tables - Part 2'!$AX$5:$BA$5,0)))/2))/2,0)</f>
        <v>0</v>
      </c>
      <c r="AX7" s="248">
        <f>IF($R7=$AX$3,(((INDEX('Tables - Part 2'!$BF$6:$BI$13,MATCH(SCC_Polythionic_Acid!$V7,'Tables - Part 2'!$AV$6:$AV$13,0),MATCH(SCC_Polythionic_Acid!$S7,'Tables - Part 2'!$AX$5:$BA$5,0))+INDEX('Tables - Part 2'!$AX$17:$BA$24,MATCH(SCC_Polythionic_Acid!$V7,'Tables - Part 2'!$AV$6:$AV$13,0),MATCH(SCC_Polythionic_Acid!$S7,'Tables - Part 2'!$AX$5:$BA$5,0)))/2)+INDEX('Tables - Part 2'!$AX$17:$BA$24,MATCH(SCC_Polythionic_Acid!$V7,'Tables - Part 2'!$AV$6:$AV$13,0),MATCH(SCC_Polythionic_Acid!$S7,'Tables - Part 2'!$AX$5:$BA$5,0)))/2,0)</f>
        <v>0</v>
      </c>
      <c r="AY7" s="248">
        <f>IF($R7=$AY$3,(((((INDEX('Tables - Part 2'!$BF$6:$BI$13,MATCH(SCC_Polythionic_Acid!$V7,'Tables - Part 2'!$AV$6:$AV$13,0),MATCH(SCC_Polythionic_Acid!$S7,'Tables - Part 2'!$AX$5:$BA$5,0))+INDEX('Tables - Part 2'!$AX$17:$BA$24,MATCH(SCC_Polythionic_Acid!$V7,'Tables - Part 2'!$AV$6:$AV$13,0),MATCH(SCC_Polythionic_Acid!$S7,'Tables - Part 2'!$AX$5:$BA$5,0)))/2)+INDEX('Tables - Part 2'!$AX$17:$BA$24,MATCH(SCC_Polythionic_Acid!$V7,'Tables - Part 2'!$AV$6:$AV$13,0),MATCH(SCC_Polythionic_Acid!$S7,'Tables - Part 2'!$AX$5:$BA$5,0)))/2)+(INDEX('Tables - Part 2'!$AX$17:$BA$24,MATCH(SCC_Polythionic_Acid!$V7,'Tables - Part 2'!$AV$6:$AV$13,0),MATCH(SCC_Polythionic_Acid!$S7,'Tables - Part 2'!$AX$5:$BA$5,0))))/2,0)</f>
        <v>0</v>
      </c>
      <c r="AZ7" s="248">
        <f>IF($R7=$AZ$3,INDEX('Tables - Part 2'!$AX$17:$BA$24,MATCH(SCC_Polythionic_Acid!$V7,'Tables - Part 2'!$AV$6:$AV$13,0),MATCH(SCC_Polythionic_Acid!$S7,'Tables - Part 2'!$AX$5:$BA$5,0)),0)</f>
        <v>0</v>
      </c>
      <c r="BA7" s="248">
        <f>IF($R7=$BA$3,((INDEX('Tables - Part 2'!$AX$17:$BA$24,MATCH(SCC_Polythionic_Acid!$V7,'Tables - Part 2'!$AV$6:$AV$13,0),MATCH(SCC_Polythionic_Acid!$S7,'Tables - Part 2'!$AX$5:$BA$5,0)))+(((INDEX('Tables - Part 2'!$AX$17:$BA$24,MATCH(SCC_Polythionic_Acid!$V7,'Tables - Part 2'!$AV$6:$AV$13,0),MATCH(SCC_Polythionic_Acid!$S7,'Tables - Part 2'!$AX$5:$BA$5,0)))+(INDEX('Tables - Part 2'!$AX$17:$BA$24,MATCH(SCC_Polythionic_Acid!$V7,'Tables - Part 2'!$AV$6:$AV$13,0),MATCH(SCC_Polythionic_Acid!$S7,'Tables - Part 2'!$AX$5:$BA$5,0))+INDEX('Tables - Part 2'!$BB$17:$BE$24,MATCH(SCC_Polythionic_Acid!$V7,'Tables - Part 2'!$AV$6:$AV$13,0),MATCH(SCC_Polythionic_Acid!$S7,'Tables - Part 2'!$AX$5:$BA$5,0)))/2)/2))/2,0)</f>
        <v>0</v>
      </c>
      <c r="BB7" s="248">
        <f>IF($R7=$BB$3,((INDEX('Tables - Part 2'!$AX$17:$BA$24,MATCH(SCC_Polythionic_Acid!$V7,'Tables - Part 2'!$AV$6:$AV$13,0),MATCH(SCC_Polythionic_Acid!$S7,'Tables - Part 2'!$AX$5:$BA$5,0)))+(INDEX('Tables - Part 2'!$AX$17:$BA$24,MATCH(SCC_Polythionic_Acid!$V7,'Tables - Part 2'!$AV$6:$AV$13,0),MATCH(SCC_Polythionic_Acid!$S7,'Tables - Part 2'!$AX$5:$BA$5,0))+INDEX('Tables - Part 2'!$BB$17:$BE$24,MATCH(SCC_Polythionic_Acid!$V7,'Tables - Part 2'!$AV$6:$AV$13,0),MATCH(SCC_Polythionic_Acid!$S7,'Tables - Part 2'!$AX$5:$BA$5,0)))/2)/2,0)</f>
        <v>0</v>
      </c>
      <c r="BC7" s="248">
        <f>IF($R7=$BC$3,((((INDEX('Tables - Part 2'!$AX$17:$BA$24,MATCH(SCC_Polythionic_Acid!$V7,'Tables - Part 2'!$AV$6:$AV$13,0),MATCH(SCC_Polythionic_Acid!$S7,'Tables - Part 2'!$AX$5:$BA$5,0)))+(INDEX('Tables - Part 2'!$AX$17:$BA$24,MATCH(SCC_Polythionic_Acid!$V7,'Tables - Part 2'!$AV$6:$AV$13,0),MATCH(SCC_Polythionic_Acid!$S7,'Tables - Part 2'!$AX$5:$BA$5,0))+INDEX('Tables - Part 2'!$BB$17:$BE$24,MATCH(SCC_Polythionic_Acid!$V7,'Tables - Part 2'!$AV$6:$AV$13,0),MATCH(SCC_Polythionic_Acid!$S7,'Tables - Part 2'!$AX$5:$BA$5,0)))/2)/2)+((INDEX('Tables - Part 2'!$AX$17:$BA$24,MATCH(SCC_Polythionic_Acid!$V7,'Tables - Part 2'!$AV$6:$AV$13,0),MATCH(SCC_Polythionic_Acid!$S7,'Tables - Part 2'!$AX$5:$BA$5,0))+INDEX('Tables - Part 2'!$BB$17:$BE$24,MATCH(SCC_Polythionic_Acid!$V7,'Tables - Part 2'!$AV$6:$AV$13,0),MATCH(SCC_Polythionic_Acid!$S7,'Tables - Part 2'!$AX$5:$BA$5,0)))/2))/2,0)</f>
        <v>0</v>
      </c>
      <c r="BD7" s="248">
        <f>IF($R7=$BD$3,(INDEX('Tables - Part 2'!$AX$17:$BA$24,MATCH(SCC_Polythionic_Acid!$V7,'Tables - Part 2'!$AV$6:$AV$13,0),MATCH(SCC_Polythionic_Acid!$S7,'Tables - Part 2'!$AX$5:$BA$5,0))+INDEX('Tables - Part 2'!$BB$17:$BE$24,MATCH(SCC_Polythionic_Acid!$V7,'Tables - Part 2'!$AV$6:$AV$13,0),MATCH(SCC_Polythionic_Acid!$S7,'Tables - Part 2'!$AX$5:$BA$5,0)))/2,0)</f>
        <v>0</v>
      </c>
      <c r="BE7" s="248">
        <f>IF($R7=$BE$3,(((INDEX('Tables - Part 2'!$AX$17:$BA$24,MATCH(SCC_Polythionic_Acid!$V7,'Tables - Part 2'!$AV$6:$AV$13,0),MATCH(SCC_Polythionic_Acid!$S7,'Tables - Part 2'!$AX$5:$BA$5,0))+INDEX('Tables - Part 2'!$BB$17:$BE$24,MATCH(SCC_Polythionic_Acid!$V7,'Tables - Part 2'!$AV$6:$AV$13,0),MATCH(SCC_Polythionic_Acid!$S7,'Tables - Part 2'!$AX$5:$BA$5,0)))/2)+((((INDEX('Tables - Part 2'!$AX$17:$BA$24,MATCH(SCC_Polythionic_Acid!$V7,'Tables - Part 2'!$AV$6:$AV$13,0),MATCH(SCC_Polythionic_Acid!$S7,'Tables - Part 2'!$AX$5:$BA$5,0))+INDEX('Tables - Part 2'!$BB$17:$BE$24,MATCH(SCC_Polythionic_Acid!$V7,'Tables - Part 2'!$AV$6:$AV$13,0),MATCH(SCC_Polythionic_Acid!$S7,'Tables - Part 2'!$AX$5:$BA$5,0)))/2)+INDEX('Tables - Part 2'!$BB$17:$BE$24,MATCH(SCC_Polythionic_Acid!$V7,'Tables - Part 2'!$AV$6:$AV$13,0),MATCH(SCC_Polythionic_Acid!$S7,'Tables - Part 2'!$AX$5:$BA$5,0)))/2))/2,0)</f>
        <v>0</v>
      </c>
      <c r="BF7" s="248">
        <f>IF($R7=$BF$3,(((INDEX('Tables - Part 2'!$AX$17:$BA$24,MATCH(SCC_Polythionic_Acid!$V7,'Tables - Part 2'!$AV$6:$AV$13,0),MATCH(SCC_Polythionic_Acid!$S7,'Tables - Part 2'!$AX$5:$BA$5,0))+INDEX('Tables - Part 2'!$BB$17:$BE$24,MATCH(SCC_Polythionic_Acid!$V7,'Tables - Part 2'!$AV$6:$AV$13,0),MATCH(SCC_Polythionic_Acid!$S7,'Tables - Part 2'!$AX$5:$BA$5,0)))/2)+INDEX('Tables - Part 2'!$BB$17:$BE$24,MATCH(SCC_Polythionic_Acid!$V7,'Tables - Part 2'!$AV$6:$AV$13,0),MATCH(SCC_Polythionic_Acid!$S7,'Tables - Part 2'!$AX$5:$BA$5,0)))/2,0)</f>
        <v>0</v>
      </c>
      <c r="BG7" s="248">
        <f>IF($R7=$BG$3,(((((INDEX('Tables - Part 2'!$AX$17:$BA$24,MATCH(SCC_Polythionic_Acid!$V7,'Tables - Part 2'!$AV$6:$AV$13,0),MATCH(SCC_Polythionic_Acid!$S7,'Tables - Part 2'!$AX$5:$BA$5,0))+INDEX('Tables - Part 2'!$BB$17:$BE$24,MATCH(SCC_Polythionic_Acid!$V7,'Tables - Part 2'!$AV$6:$AV$13,0),MATCH(SCC_Polythionic_Acid!$S7,'Tables - Part 2'!$AX$5:$BA$5,0)))/2)+INDEX('Tables - Part 2'!$BB$17:$BE$24,MATCH(SCC_Polythionic_Acid!$V7,'Tables - Part 2'!$AV$6:$AV$13,0),MATCH(SCC_Polythionic_Acid!$S7,'Tables - Part 2'!$AX$5:$BA$5,0)))/2)+(INDEX('Tables - Part 2'!$BB$17:$BE$24,MATCH(SCC_Polythionic_Acid!$V7,'Tables - Part 2'!$AV$6:$AV$13,0),MATCH(SCC_Polythionic_Acid!$S7,'Tables - Part 2'!$AX$5:$BA$5,0))))/2,0)</f>
        <v>0</v>
      </c>
      <c r="BH7" s="248">
        <f>IF($R7=$BH$3,INDEX('Tables - Part 2'!$BB$17:$BE$24,MATCH(SCC_Polythionic_Acid!$V7,'Tables - Part 2'!$AV$6:$AV$13,0),MATCH(SCC_Polythionic_Acid!$S7,'Tables - Part 2'!$AX$5:$BA$5,0)),0)</f>
        <v>0</v>
      </c>
      <c r="BI7" s="248">
        <f>IF($R7=$BI$3,((INDEX('Tables - Part 2'!$BB$17:$BE$24,MATCH(SCC_Polythionic_Acid!$V7,'Tables - Part 2'!$AV$6:$AV$13,0),MATCH(SCC_Polythionic_Acid!$S7,'Tables - Part 2'!$AX$5:$BA$5,0)))+(((INDEX('Tables - Part 2'!$BB$17:$BE$24,MATCH(SCC_Polythionic_Acid!$V7,'Tables - Part 2'!$AV$6:$AV$13,0),MATCH(SCC_Polythionic_Acid!$S7,'Tables - Part 2'!$AX$5:$BA$5,0)))+(INDEX('Tables - Part 2'!$BB$17:$BE$24,MATCH(SCC_Polythionic_Acid!$V7,'Tables - Part 2'!$AV$6:$AV$13,0),MATCH(SCC_Polythionic_Acid!$S7,'Tables - Part 2'!$AX$5:$BA$5,0))+INDEX('Tables - Part 2'!$BF$17:$BI$24,MATCH(SCC_Polythionic_Acid!$V7,'Tables - Part 2'!$AV$6:$AV$13,0),MATCH(SCC_Polythionic_Acid!$S7,'Tables - Part 2'!$AX$5:$BA$5,0)))/2)/2))/2,0)</f>
        <v>0</v>
      </c>
      <c r="BJ7" s="248">
        <f>IF($R7=$BJ$3,((INDEX('Tables - Part 2'!$BB$17:$BE$24,MATCH(SCC_Polythionic_Acid!$V7,'Tables - Part 2'!$AV$6:$AV$13,0),MATCH(SCC_Polythionic_Acid!$S7,'Tables - Part 2'!$AX$5:$BA$5,0)))+(INDEX('Tables - Part 2'!$BB$17:$BE$24,MATCH(SCC_Polythionic_Acid!$V7,'Tables - Part 2'!$AV$6:$AV$13,0),MATCH(SCC_Polythionic_Acid!$S7,'Tables - Part 2'!$AX$5:$BA$5,0))+INDEX('Tables - Part 2'!$BF$17:$BI$24,MATCH(SCC_Polythionic_Acid!$V7,'Tables - Part 2'!$AV$6:$AV$13,0),MATCH(SCC_Polythionic_Acid!$S7,'Tables - Part 2'!$AX$5:$BA$5,0)))/2)/2,0)</f>
        <v>0</v>
      </c>
      <c r="BK7" s="248">
        <f>IF($R7=$BK$3,((((INDEX('Tables - Part 2'!$BB$17:$BE$24,MATCH(SCC_Polythionic_Acid!$V7,'Tables - Part 2'!$AV$6:$AV$13,0),MATCH(SCC_Polythionic_Acid!$S7,'Tables - Part 2'!$AX$5:$BA$5,0)))+(INDEX('Tables - Part 2'!$BB$17:$BE$24,MATCH(SCC_Polythionic_Acid!$V7,'Tables - Part 2'!$AV$6:$AV$13,0),MATCH(SCC_Polythionic_Acid!$S7,'Tables - Part 2'!$AX$5:$BA$5,0))+INDEX('Tables - Part 2'!$BF$17:$BI$24,MATCH(SCC_Polythionic_Acid!$V7,'Tables - Part 2'!$AV$6:$AV$13,0),MATCH(SCC_Polythionic_Acid!$S7,'Tables - Part 2'!$AX$5:$BA$5,0)))/2)/2)+((INDEX('Tables - Part 2'!$BB$17:$BE$24,MATCH(SCC_Polythionic_Acid!$V7,'Tables - Part 2'!$AV$6:$AV$13,0),MATCH(SCC_Polythionic_Acid!$S7,'Tables - Part 2'!$AX$5:$BA$5,0))+INDEX('Tables - Part 2'!$BF$17:$BI$24,MATCH(SCC_Polythionic_Acid!$V7,'Tables - Part 2'!$AV$6:$AV$13,0),MATCH(SCC_Polythionic_Acid!$S7,'Tables - Part 2'!$AX$5:$BA$5,0)))/2))/2,0)</f>
        <v>0</v>
      </c>
      <c r="BL7" s="248">
        <f>IF($R7=$BL$3,(INDEX('Tables - Part 2'!$BB$17:$BE$24,MATCH(SCC_Polythionic_Acid!$V7,'Tables - Part 2'!$AV$6:$AV$13,0),MATCH(SCC_Polythionic_Acid!$S7,'Tables - Part 2'!$AX$5:$BA$5,0))+INDEX('Tables - Part 2'!$BF$17:$BI$24,MATCH(SCC_Polythionic_Acid!$V7,'Tables - Part 2'!$AV$6:$AV$13,0),MATCH(SCC_Polythionic_Acid!$S7,'Tables - Part 2'!$AX$5:$BA$5,0)))/2,0)</f>
        <v>0</v>
      </c>
      <c r="BM7" s="248">
        <f>IF($R7=$BM$3,(((INDEX('Tables - Part 2'!$BB$17:$BE$24,MATCH(SCC_Polythionic_Acid!$V7,'Tables - Part 2'!$AV$6:$AV$13,0),MATCH(SCC_Polythionic_Acid!$S7,'Tables - Part 2'!$AX$5:$BA$5,0))+INDEX('Tables - Part 2'!$BF$17:$BI$24,MATCH(SCC_Polythionic_Acid!$V7,'Tables - Part 2'!$AV$6:$AV$13,0),MATCH(SCC_Polythionic_Acid!$S7,'Tables - Part 2'!$AX$5:$BA$5,0)))/2)+((((INDEX('Tables - Part 2'!$BB$17:$BE$24,MATCH(SCC_Polythionic_Acid!$V7,'Tables - Part 2'!$AV$6:$AV$13,0),MATCH(SCC_Polythionic_Acid!$S7,'Tables - Part 2'!$AX$5:$BA$5,0))+INDEX('Tables - Part 2'!$BF$17:$BI$24,MATCH(SCC_Polythionic_Acid!$V7,'Tables - Part 2'!$AV$6:$AV$13,0),MATCH(SCC_Polythionic_Acid!$S7,'Tables - Part 2'!$AX$5:$BA$5,0)))/2)+INDEX('Tables - Part 2'!$BF$17:$BI$24,MATCH(SCC_Polythionic_Acid!$V7,'Tables - Part 2'!$AV$6:$AV$13,0),MATCH(SCC_Polythionic_Acid!$S7,'Tables - Part 2'!$AX$5:$BA$5,0)))/2))/2,0)</f>
        <v>0</v>
      </c>
      <c r="BN7" s="248">
        <f>IF($R7=$BN$3,(((INDEX('Tables - Part 2'!$BB$17:$BE$24,MATCH(SCC_Polythionic_Acid!$V7,'Tables - Part 2'!$AV$6:$AV$13,0),MATCH(SCC_Polythionic_Acid!$S7,'Tables - Part 2'!$AX$5:$BA$5,0))+INDEX('Tables - Part 2'!$BF$17:$BI$24,MATCH(SCC_Polythionic_Acid!$V7,'Tables - Part 2'!$AV$6:$AV$13,0),MATCH(SCC_Polythionic_Acid!$S7,'Tables - Part 2'!$AX$5:$BA$5,0)))/2)+INDEX('Tables - Part 2'!$BF$17:$BI$24,MATCH(SCC_Polythionic_Acid!$V7,'Tables - Part 2'!$AV$6:$AV$13,0),MATCH(SCC_Polythionic_Acid!$S7,'Tables - Part 2'!$AX$5:$BA$5,0)))/2,0)</f>
        <v>0</v>
      </c>
      <c r="BO7" s="248">
        <f>IF($R7=$BO$3,(((((INDEX('Tables - Part 2'!$BB$17:$BE$24,MATCH(SCC_Polythionic_Acid!$V7,'Tables - Part 2'!$AV$6:$AV$13,0),MATCH(SCC_Polythionic_Acid!$S7,'Tables - Part 2'!$AX$5:$BA$5,0))+INDEX('Tables - Part 2'!$BF$17:$BI$24,MATCH(SCC_Polythionic_Acid!$V7,'Tables - Part 2'!$AV$6:$AV$13,0),MATCH(SCC_Polythionic_Acid!$S7,'Tables - Part 2'!$AX$5:$BA$5,0)))/2)+INDEX('Tables - Part 2'!$BF$17:$BI$24,MATCH(SCC_Polythionic_Acid!$V7,'Tables - Part 2'!$AV$6:$AV$13,0),MATCH(SCC_Polythionic_Acid!$S7,'Tables - Part 2'!$AX$5:$BA$5,0)))/2)+(INDEX('Tables - Part 2'!$BF$17:$BI$24,MATCH(SCC_Polythionic_Acid!$V7,'Tables - Part 2'!$AV$6:$AV$13,0),MATCH(SCC_Polythionic_Acid!$S7,'Tables - Part 2'!$AX$5:$BA$5,0))))/2,0)</f>
        <v>0</v>
      </c>
      <c r="BP7" s="248">
        <f>IF($R7=$BP$3,INDEX('Tables - Part 2'!$BF$17:$BI$24,MATCH(SCC_Polythionic_Acid!$V7,'Tables - Part 2'!$AV$6:$AV$13,0),MATCH(SCC_Polythionic_Acid!$S7,'Tables - Part 2'!$AX$5:$BA$5,0)),0)</f>
        <v>0</v>
      </c>
      <c r="BQ7" s="248">
        <f t="shared" si="5"/>
        <v>0</v>
      </c>
      <c r="BR7" s="238">
        <f t="shared" si="8"/>
        <v>165</v>
      </c>
      <c r="BS7" s="238">
        <f t="shared" si="9"/>
        <v>2767.5256072873844</v>
      </c>
    </row>
    <row r="8" spans="2:84" x14ac:dyDescent="0.35">
      <c r="B8" s="161" t="str">
        <f>'Tratamento de Dados'!B16</f>
        <v>V-13</v>
      </c>
      <c r="C8" s="161" t="str">
        <f>'Tratamento de Dados'!D16</f>
        <v>Casco</v>
      </c>
      <c r="D8" s="209" t="s">
        <v>244</v>
      </c>
      <c r="E8" s="209" t="s">
        <v>244</v>
      </c>
      <c r="F8" s="209" t="s">
        <v>244</v>
      </c>
      <c r="G8" s="209" t="s">
        <v>244</v>
      </c>
      <c r="H8" s="209" t="s">
        <v>1145</v>
      </c>
      <c r="I8" s="247">
        <f>'Tratamento de Dados'!S16</f>
        <v>2</v>
      </c>
      <c r="J8" s="209" t="s">
        <v>1146</v>
      </c>
      <c r="K8" s="210">
        <v>39092</v>
      </c>
      <c r="L8" s="209">
        <v>0</v>
      </c>
      <c r="M8" s="209">
        <v>1</v>
      </c>
      <c r="N8" s="209">
        <v>1</v>
      </c>
      <c r="O8" s="209">
        <v>4</v>
      </c>
      <c r="P8" s="253">
        <f>'Tratamento de Dados'!DA16</f>
        <v>0</v>
      </c>
      <c r="Q8" s="253">
        <f>'Tratamento de Dados'!DB16</f>
        <v>0</v>
      </c>
      <c r="R8" s="256">
        <f t="shared" si="0"/>
        <v>2.5</v>
      </c>
      <c r="S8" s="246" t="str">
        <f t="shared" si="1"/>
        <v>B</v>
      </c>
      <c r="T8" s="238" t="str">
        <f>IF(D8=$BX$2,$BV$5,IF(F8=$BX$3,$BV$2,INDEX(IF(I8&lt;427,'Tables - Part 2'!$DH$6:$DJ$10,'Tables - Part 2'!$DH$14:$DJ$18),MATCH(SCC_Polythionic_Acid!H8,'Tables - Part 2'!$DG$6:$DG$10,0),MATCH(J8,'Tables - Part 2'!$DH$5:$DJ$5,0))))</f>
        <v>High</v>
      </c>
      <c r="U8" s="238" t="str">
        <f t="shared" si="6"/>
        <v>High</v>
      </c>
      <c r="V8" s="238">
        <f>IF(AND(D8=$BX$2,E8&lt;&gt;$BX$2),"Fitness-For-Service",INDEX('Tables - Part 2'!$DM$4:$DM$7,MATCH(SCC_Polythionic_Acid!U8,'Tables - Part 2'!$DL$4:$DL$7,0),))</f>
        <v>5000</v>
      </c>
      <c r="W8" s="238">
        <f>IF(K8=0,(Thinning!G9-Thinning!F9)/365.25,(Thinning!G9-K8)/365.25)</f>
        <v>12.980150581793293</v>
      </c>
      <c r="X8" s="248">
        <f t="shared" si="2"/>
        <v>0</v>
      </c>
      <c r="Y8" s="248">
        <f t="shared" si="3"/>
        <v>2.5</v>
      </c>
      <c r="Z8" s="247">
        <f t="shared" si="7"/>
        <v>3</v>
      </c>
      <c r="AA8" s="247">
        <f t="shared" si="4"/>
        <v>4</v>
      </c>
      <c r="AB8" s="248">
        <f>IF($R8=$AB$3,INDEX('Tables - Part 2'!$AX$6:$BA$13,MATCH(SCC_Polythionic_Acid!V8,'Tables - Part 2'!$AV$6:$AV$13,0),MATCH(SCC_Polythionic_Acid!S8,'Tables - Part 2'!$AX$5:$BA$5,0)),0)</f>
        <v>0</v>
      </c>
      <c r="AC8" s="248">
        <f>IF($R8=$AC$3,(INDEX('Tables - Part 2'!$AX$6:$BA$13,MATCH(SCC_Polythionic_Acid!V8,'Tables - Part 2'!$AV$6:$AV$13,0),MATCH(SCC_Polythionic_Acid!S8,'Tables - Part 2'!$AX$5:$BA$5,0))+(INDEX('Tables - Part 2'!$AX$6:$BA$13,MATCH(SCC_Polythionic_Acid!V8,'Tables - Part 2'!$AV$6:$AV$13,0),MATCH(SCC_Polythionic_Acid!S8,'Tables - Part 2'!$AX$5:$BA$5,0))+((INDEX('Tables - Part 2'!$AX$6:$BA$13,MATCH(SCC_Polythionic_Acid!V8,'Tables - Part 2'!$AV$6:$AV$13,0),MATCH(SCC_Polythionic_Acid!S8,'Tables - Part 2'!$AX$5:$BA$5,0))+INDEX('Tables - Part 2'!$BB$6:$BE$13,MATCH(SCC_Polythionic_Acid!$V8,'Tables - Part 2'!$AV$6:$AV$13,0),MATCH(SCC_Polythionic_Acid!$S8,'Tables - Part 2'!$AX$5:$BA$5,0)))/2))/2)/2,0)</f>
        <v>0</v>
      </c>
      <c r="AD8" s="248">
        <f>IF($R8=$AD$3,(INDEX('Tables - Part 2'!$AX$6:$BA$13,MATCH(SCC_Polythionic_Acid!V8,'Tables - Part 2'!$AV$6:$AV$13,0),MATCH(SCC_Polythionic_Acid!S8,'Tables - Part 2'!$AX$5:$BA$5,0))+((INDEX('Tables - Part 2'!$AX$6:$BA$13,MATCH(SCC_Polythionic_Acid!V8,'Tables - Part 2'!$AV$6:$AV$13,0),MATCH(SCC_Polythionic_Acid!S8,'Tables - Part 2'!$AX$5:$BA$5,0))+INDEX('Tables - Part 2'!$BB$6:$BE$13,MATCH(SCC_Polythionic_Acid!$V8,'Tables - Part 2'!$AV$6:$AV$13,0),MATCH(SCC_Polythionic_Acid!$S8,'Tables - Part 2'!$AX$5:$BA$5,0)))/2))/2,0)</f>
        <v>0</v>
      </c>
      <c r="AE8" s="248">
        <f>IF($R8=$AE$3,(((INDEX('Tables - Part 2'!$AX$6:$BA$13,MATCH(SCC_Polythionic_Acid!V8,'Tables - Part 2'!$AV$6:$AV$13,0),MATCH(SCC_Polythionic_Acid!S8,'Tables - Part 2'!$AX$5:$BA$5,0))+((INDEX('Tables - Part 2'!$AX$6:$BA$13,MATCH(SCC_Polythionic_Acid!V8,'Tables - Part 2'!$AV$6:$AV$13,0),MATCH(SCC_Polythionic_Acid!S8,'Tables - Part 2'!$AX$5:$BA$5,0))+INDEX('Tables - Part 2'!$BB$6:$BE$13,MATCH(SCC_Polythionic_Acid!$V8,'Tables - Part 2'!$AV$6:$AV$13,0),MATCH(SCC_Polythionic_Acid!$S8,'Tables - Part 2'!$AX$5:$BA$5,0)))/2))/2)+(INDEX('Tables - Part 2'!$AX$6:$BA$13,MATCH(SCC_Polythionic_Acid!V8,'Tables - Part 2'!$AV$6:$AV$13,0),MATCH(SCC_Polythionic_Acid!S8,'Tables - Part 2'!$AX$5:$BA$5,0))+INDEX('Tables - Part 2'!$BB$6:$BE$13,MATCH(SCC_Polythionic_Acid!$V8,'Tables - Part 2'!$AV$6:$AV$13,0),MATCH(SCC_Polythionic_Acid!$S8,'Tables - Part 2'!$AX$5:$BA$5,0)))/2)/2,0)</f>
        <v>0</v>
      </c>
      <c r="AF8" s="248">
        <f>IF($R8=$AF$3,(INDEX('Tables - Part 2'!$AX$6:$BA$13,MATCH(SCC_Polythionic_Acid!V8,'Tables - Part 2'!$AV$6:$AV$13,0),MATCH(SCC_Polythionic_Acid!S8,'Tables - Part 2'!$AX$5:$BA$5,0))+INDEX('Tables - Part 2'!$BB$6:$BE$13,MATCH(SCC_Polythionic_Acid!$V8,'Tables - Part 2'!$AV$6:$AV$13,0),MATCH(SCC_Polythionic_Acid!$S8,'Tables - Part 2'!$AX$5:$BA$5,0)))/2,0)</f>
        <v>0</v>
      </c>
      <c r="AG8" s="248">
        <f>IF($R8=$AG$3,(((INDEX('Tables - Part 2'!$AX$6:$BA$13,MATCH(SCC_Polythionic_Acid!V8,'Tables - Part 2'!$AV$6:$AV$13,0),MATCH(SCC_Polythionic_Acid!S8,'Tables - Part 2'!$AX$5:$BA$5,0))+INDEX('Tables - Part 2'!$BB$6:$BE$13,MATCH(SCC_Polythionic_Acid!$V8,'Tables - Part 2'!$AV$6:$AV$13,0),MATCH(SCC_Polythionic_Acid!$S8,'Tables - Part 2'!$AX$5:$BA$5,0)))/2)+(((INDEX('Tables - Part 2'!$AX$6:$BA$13,MATCH(SCC_Polythionic_Acid!V8,'Tables - Part 2'!$AV$6:$AV$13,0),MATCH(SCC_Polythionic_Acid!S8,'Tables - Part 2'!$AX$5:$BA$5,0))+INDEX('Tables - Part 2'!$BB$6:$BE$13,MATCH(SCC_Polythionic_Acid!$V8,'Tables - Part 2'!$AV$6:$AV$13,0),MATCH(SCC_Polythionic_Acid!$S8,'Tables - Part 2'!$AX$5:$BA$5,0)))/2)+INDEX('Tables - Part 2'!$BB$6:$BE$13,MATCH(SCC_Polythionic_Acid!$V8,'Tables - Part 2'!$AV$6:$AV$13,0),MATCH(SCC_Polythionic_Acid!$S8,'Tables - Part 2'!$AX$5:$BA$5,0)))/2)/2,0)</f>
        <v>0</v>
      </c>
      <c r="AH8" s="248">
        <f>IF($R8=$AH$3,(((INDEX('Tables - Part 2'!$AX$6:$BA$13,MATCH(SCC_Polythionic_Acid!V8,'Tables - Part 2'!$AV$6:$AV$13,0),MATCH(SCC_Polythionic_Acid!S8,'Tables - Part 2'!$AX$5:$BA$5,0))+INDEX('Tables - Part 2'!$BB$6:$BE$13,MATCH(SCC_Polythionic_Acid!$V8,'Tables - Part 2'!$AV$6:$AV$13,0),MATCH(SCC_Polythionic_Acid!$S8,'Tables - Part 2'!$AX$5:$BA$5,0)))/2)+INDEX('Tables - Part 2'!$BB$6:$BE$13,MATCH(SCC_Polythionic_Acid!$V8,'Tables - Part 2'!$AV$6:$AV$13,0),MATCH(SCC_Polythionic_Acid!$S8,'Tables - Part 2'!$AX$5:$BA$5,0)))/2,0)</f>
        <v>0</v>
      </c>
      <c r="AI8" s="248">
        <f>IF($R8=$AI$3,(((((INDEX('Tables - Part 2'!$AX$6:$BA$13,MATCH(SCC_Polythionic_Acid!V8,'Tables - Part 2'!$AV$6:$AV$13,0),MATCH(SCC_Polythionic_Acid!S8,'Tables - Part 2'!$AX$5:$BA$5,0))+INDEX('Tables - Part 2'!$BB$6:$BE$13,MATCH(SCC_Polythionic_Acid!$V8,'Tables - Part 2'!$AV$6:$AV$13,0),MATCH(SCC_Polythionic_Acid!$S8,'Tables - Part 2'!$AX$5:$BA$5,0)))/2)+INDEX('Tables - Part 2'!$BB$6:$BE$13,MATCH(SCC_Polythionic_Acid!$V8,'Tables - Part 2'!$AV$6:$AV$13,0),MATCH(SCC_Polythionic_Acid!$S8,'Tables - Part 2'!$AX$5:$BA$5,0)))/2)+INDEX('Tables - Part 2'!$BB$6:$BE$13,MATCH(SCC_Polythionic_Acid!$V8,'Tables - Part 2'!$AV$6:$AV$13,0),MATCH(SCC_Polythionic_Acid!$S8,'Tables - Part 2'!$AX$5:$BA$5,0)))/2,0)</f>
        <v>0</v>
      </c>
      <c r="AJ8" s="248">
        <f>IF($R8=$AJ$3,INDEX('Tables - Part 2'!$BB$6:$BE$13,MATCH(SCC_Polythionic_Acid!$V8,'Tables - Part 2'!$AV$6:$AV$13,0),MATCH(SCC_Polythionic_Acid!$S8,'Tables - Part 2'!$AX$5:$BA$5,0)),0)</f>
        <v>0</v>
      </c>
      <c r="AK8" s="248">
        <f>IF($R8=$AK$3,((INDEX('Tables - Part 2'!$BB$6:$BE$13,MATCH(SCC_Polythionic_Acid!$V8,'Tables - Part 2'!$AV$6:$AV$13,0),MATCH(SCC_Polythionic_Acid!$S8,'Tables - Part 2'!$AX$5:$BA$5,0)))+(INDEX('Tables - Part 2'!$BB$6:$BE$13,MATCH(SCC_Polythionic_Acid!$V8,'Tables - Part 2'!$AV$6:$AV$13,0),MATCH(SCC_Polythionic_Acid!$S8,'Tables - Part 2'!$AX$5:$BA$5,0))+(INDEX('Tables - Part 2'!$BB$6:$BE$13,MATCH(SCC_Polythionic_Acid!$V8,'Tables - Part 2'!$AV$6:$AV$13,0),MATCH(SCC_Polythionic_Acid!$S8,'Tables - Part 2'!$AX$5:$BA$5,0))+INDEX('Tables - Part 2'!$BF$6:$BI$13,MATCH(SCC_Polythionic_Acid!$V8,'Tables - Part 2'!$AV$6:$AV$13,0),MATCH(SCC_Polythionic_Acid!$S8,'Tables - Part 2'!$AX$5:$BA$5,0)))/2)/2)/2,0)</f>
        <v>0</v>
      </c>
      <c r="AL8" s="248">
        <f>IF($R8=$AL$3,(INDEX('Tables - Part 2'!$BB$6:$BE$13,MATCH(SCC_Polythionic_Acid!$V8,'Tables - Part 2'!$AV$6:$AV$13,0),MATCH(SCC_Polythionic_Acid!$S8,'Tables - Part 2'!$AX$5:$BA$5,0))+(INDEX('Tables - Part 2'!$BB$6:$BE$13,MATCH(SCC_Polythionic_Acid!$V8,'Tables - Part 2'!$AV$6:$AV$13,0),MATCH(SCC_Polythionic_Acid!$S8,'Tables - Part 2'!$AX$5:$BA$5,0))+INDEX('Tables - Part 2'!$BF$6:$BI$13,MATCH(SCC_Polythionic_Acid!$V8,'Tables - Part 2'!$AV$6:$AV$13,0),MATCH(SCC_Polythionic_Acid!$S8,'Tables - Part 2'!$AX$5:$BA$5,0)))/2)/2,0)</f>
        <v>0</v>
      </c>
      <c r="AM8" s="248">
        <f>IF($R8=$AM$3,(((INDEX('Tables - Part 2'!$BB$6:$BE$13,MATCH(SCC_Polythionic_Acid!$V8,'Tables - Part 2'!$AV$6:$AV$13,0),MATCH(SCC_Polythionic_Acid!$S8,'Tables - Part 2'!$AX$5:$BA$5,0))+(INDEX('Tables - Part 2'!$BB$6:$BE$13,MATCH(SCC_Polythionic_Acid!$V8,'Tables - Part 2'!$AV$6:$AV$13,0),MATCH(SCC_Polythionic_Acid!$S8,'Tables - Part 2'!$AX$5:$BA$5,0))+INDEX('Tables - Part 2'!$BF$6:$BI$13,MATCH(SCC_Polythionic_Acid!$V8,'Tables - Part 2'!$AV$6:$AV$13,0),MATCH(SCC_Polythionic_Acid!$S8,'Tables - Part 2'!$AX$5:$BA$5,0)))/2)/2)+((INDEX('Tables - Part 2'!$BB$6:$BE$13,MATCH(SCC_Polythionic_Acid!$V8,'Tables - Part 2'!$AV$6:$AV$13,0),MATCH(SCC_Polythionic_Acid!$S8,'Tables - Part 2'!$AX$5:$BA$5,0))+INDEX('Tables - Part 2'!$BF$6:$BI$13,MATCH(SCC_Polythionic_Acid!$V8,'Tables - Part 2'!$AV$6:$AV$13,0),MATCH(SCC_Polythionic_Acid!$S8,'Tables - Part 2'!$AX$5:$BA$5,0)))/2))/2,0)</f>
        <v>0</v>
      </c>
      <c r="AN8" s="248">
        <f>IF($R8=$AN$3,(INDEX('Tables - Part 2'!$BB$6:$BE$13,MATCH(SCC_Polythionic_Acid!$V8,'Tables - Part 2'!$AV$6:$AV$13,0),MATCH(SCC_Polythionic_Acid!$S8,'Tables - Part 2'!$AX$5:$BA$5,0))+INDEX('Tables - Part 2'!$BF$6:$BI$13,MATCH(SCC_Polythionic_Acid!$V8,'Tables - Part 2'!$AV$6:$AV$13,0),MATCH(SCC_Polythionic_Acid!$S8,'Tables - Part 2'!$AX$5:$BA$5,0)))/2,0)</f>
        <v>165</v>
      </c>
      <c r="AO8" s="248">
        <f>IF($R8=$AO$3,(((INDEX('Tables - Part 2'!$BB$6:$BE$13,MATCH(SCC_Polythionic_Acid!$V8,'Tables - Part 2'!$AV$6:$AV$13,0),MATCH(SCC_Polythionic_Acid!$S8,'Tables - Part 2'!$AX$5:$BA$5,0))+INDEX('Tables - Part 2'!$BF$6:$BI$13,MATCH(SCC_Polythionic_Acid!$V8,'Tables - Part 2'!$AV$6:$AV$13,0),MATCH(SCC_Polythionic_Acid!$S8,'Tables - Part 2'!$AX$5:$BA$5,0)))/2)+((((INDEX('Tables - Part 2'!$BB$6:$BE$13,MATCH(SCC_Polythionic_Acid!$V8,'Tables - Part 2'!$AV$6:$AV$13,0),MATCH(SCC_Polythionic_Acid!$S8,'Tables - Part 2'!$AX$5:$BA$5,0))+INDEX('Tables - Part 2'!$BF$6:$BI$13,MATCH(SCC_Polythionic_Acid!$V8,'Tables - Part 2'!$AV$6:$AV$13,0),MATCH(SCC_Polythionic_Acid!$S8,'Tables - Part 2'!$AX$5:$BA$5,0)))/2)+INDEX('Tables - Part 2'!$BF$6:$BI$13,MATCH(SCC_Polythionic_Acid!$V8,'Tables - Part 2'!$AV$6:$AV$13,0),MATCH(SCC_Polythionic_Acid!$S8,'Tables - Part 2'!$AX$5:$BA$5,0)))/2))/2,0)</f>
        <v>0</v>
      </c>
      <c r="AP8" s="248">
        <f>IF($R8=$AP$3,(((INDEX('Tables - Part 2'!$BB$6:$BE$13,MATCH(SCC_Polythionic_Acid!$V8,'Tables - Part 2'!$AV$6:$AV$13,0),MATCH(SCC_Polythionic_Acid!$S8,'Tables - Part 2'!$AX$5:$BA$5,0))+INDEX('Tables - Part 2'!$BF$6:$BI$13,MATCH(SCC_Polythionic_Acid!$V8,'Tables - Part 2'!$AV$6:$AV$13,0),MATCH(SCC_Polythionic_Acid!$S8,'Tables - Part 2'!$AX$5:$BA$5,0)))/2)+INDEX('Tables - Part 2'!$BF$6:$BI$13,MATCH(SCC_Polythionic_Acid!$V8,'Tables - Part 2'!$AV$6:$AV$13,0),MATCH(SCC_Polythionic_Acid!$S8,'Tables - Part 2'!$AX$5:$BA$5,0)))/2,0)</f>
        <v>0</v>
      </c>
      <c r="AQ8" s="248">
        <f>IF($R8=$AQ$3,(((((INDEX('Tables - Part 2'!$BB$6:$BE$13,MATCH(SCC_Polythionic_Acid!$V8,'Tables - Part 2'!$AV$6:$AV$13,0),MATCH(SCC_Polythionic_Acid!$S8,'Tables - Part 2'!$AX$5:$BA$5,0))+INDEX('Tables - Part 2'!$BF$6:$BI$13,MATCH(SCC_Polythionic_Acid!$V8,'Tables - Part 2'!$AV$6:$AV$13,0),MATCH(SCC_Polythionic_Acid!$S8,'Tables - Part 2'!$AX$5:$BA$5,0)))/2)+INDEX('Tables - Part 2'!$BF$6:$BI$13,MATCH(SCC_Polythionic_Acid!$V8,'Tables - Part 2'!$AV$6:$AV$13,0),MATCH(SCC_Polythionic_Acid!$S8,'Tables - Part 2'!$AX$5:$BA$5,0)))/2)+INDEX('Tables - Part 2'!$BF$6:$BI$13,MATCH(SCC_Polythionic_Acid!$V8,'Tables - Part 2'!$AV$6:$AV$13,0),MATCH(SCC_Polythionic_Acid!$S8,'Tables - Part 2'!$AX$5:$BA$5,0)))/2,0)</f>
        <v>0</v>
      </c>
      <c r="AR8" s="248">
        <f>IF($R8=$AR$3,INDEX('Tables - Part 2'!$BF$6:$BI$13,MATCH(SCC_Polythionic_Acid!$V8,'Tables - Part 2'!$AV$6:$AV$13,0),MATCH(SCC_Polythionic_Acid!$S8,'Tables - Part 2'!$AX$5:$BA$5,0)),0)</f>
        <v>0</v>
      </c>
      <c r="AS8" s="248">
        <f>IF($R8=$AS$3,(INDEX('Tables - Part 2'!$BF$6:$BI$13,MATCH(SCC_Polythionic_Acid!$V8,'Tables - Part 2'!$AV$6:$AV$13,0),MATCH(SCC_Polythionic_Acid!$S8,'Tables - Part 2'!$AX$5:$BA$5,0))+((INDEX('Tables - Part 2'!$BF$6:$BI$13,MATCH(SCC_Polythionic_Acid!$V8,'Tables - Part 2'!$AV$6:$AV$13,0),MATCH(SCC_Polythionic_Acid!$S8,'Tables - Part 2'!$AX$5:$BA$5,0))+(INDEX('Tables - Part 2'!$BF$6:$BI$13,MATCH(SCC_Polythionic_Acid!$V8,'Tables - Part 2'!$AV$6:$AV$13,0),MATCH(SCC_Polythionic_Acid!$S8,'Tables - Part 2'!$AX$5:$BA$5,0))+INDEX('Tables - Part 2'!$AX$17:$BA$24,MATCH(SCC_Polythionic_Acid!$V8,'Tables - Part 2'!$AV$6:$AV$13,0),MATCH(SCC_Polythionic_Acid!$S8,'Tables - Part 2'!$AX$5:$BA$5,0)))/2)/2))/2,0)</f>
        <v>0</v>
      </c>
      <c r="AT8" s="248">
        <f>IF($R8=$AT$3,(INDEX('Tables - Part 2'!$BF$6:$BI$13,MATCH(SCC_Polythionic_Acid!$V8,'Tables - Part 2'!$AV$6:$AV$13,0),MATCH(SCC_Polythionic_Acid!$S8,'Tables - Part 2'!$AX$5:$BA$5,0))+(INDEX('Tables - Part 2'!$BF$6:$BI$13,MATCH(SCC_Polythionic_Acid!$V8,'Tables - Part 2'!$AV$6:$AV$13,0),MATCH(SCC_Polythionic_Acid!$S8,'Tables - Part 2'!$AX$5:$BA$5,0))+INDEX('Tables - Part 2'!$AX$17:$BA$24,MATCH(SCC_Polythionic_Acid!$V8,'Tables - Part 2'!$AV$6:$AV$13,0),MATCH(SCC_Polythionic_Acid!$S8,'Tables - Part 2'!$AX$5:$BA$5,0)))/2)/2,0)</f>
        <v>0</v>
      </c>
      <c r="AU8" s="248">
        <f>IF($R8=$AU$3,(((INDEX('Tables - Part 2'!$BF$6:$BI$13,MATCH(SCC_Polythionic_Acid!$V8,'Tables - Part 2'!$AV$6:$AV$13,0),MATCH(SCC_Polythionic_Acid!$S8,'Tables - Part 2'!$AX$5:$BA$5,0))+(INDEX('Tables - Part 2'!$BF$6:$BI$13,MATCH(SCC_Polythionic_Acid!$V8,'Tables - Part 2'!$AV$6:$AV$13,0),MATCH(SCC_Polythionic_Acid!$S8,'Tables - Part 2'!$AX$5:$BA$5,0))+INDEX('Tables - Part 2'!$AX$17:$BA$24,MATCH(SCC_Polythionic_Acid!$V8,'Tables - Part 2'!$AV$6:$AV$13,0),MATCH(SCC_Polythionic_Acid!$S8,'Tables - Part 2'!$AX$5:$BA$5,0)))/2)/2)+((INDEX('Tables - Part 2'!$BF$6:$BI$13,MATCH(SCC_Polythionic_Acid!$V8,'Tables - Part 2'!$AV$6:$AV$13,0),MATCH(SCC_Polythionic_Acid!$S8,'Tables - Part 2'!$AX$5:$BA$5,0))+INDEX('Tables - Part 2'!$AX$17:$BA$24,MATCH(SCC_Polythionic_Acid!$V8,'Tables - Part 2'!$AV$6:$AV$13,0),MATCH(SCC_Polythionic_Acid!$S8,'Tables - Part 2'!$AX$5:$BA$5,0)))/2))/2,0)</f>
        <v>0</v>
      </c>
      <c r="AV8" s="248">
        <f>IF($R8=$AV$3,(INDEX('Tables - Part 2'!$BF$6:$BI$13,MATCH(SCC_Polythionic_Acid!$V8,'Tables - Part 2'!$AV$6:$AV$13,0),MATCH(SCC_Polythionic_Acid!$S8,'Tables - Part 2'!$AX$5:$BA$5,0))+INDEX('Tables - Part 2'!$AX$17:$BA$24,MATCH(SCC_Polythionic_Acid!$V8,'Tables - Part 2'!$AV$6:$AV$13,0),MATCH(SCC_Polythionic_Acid!$S8,'Tables - Part 2'!$AX$5:$BA$5,0)))/2,0)</f>
        <v>0</v>
      </c>
      <c r="AW8" s="248">
        <f>IF($R8=$AW$3,(((INDEX('Tables - Part 2'!$BF$6:$BI$13,MATCH(SCC_Polythionic_Acid!$V8,'Tables - Part 2'!$AV$6:$AV$13,0),MATCH(SCC_Polythionic_Acid!$S8,'Tables - Part 2'!$AX$5:$BA$5,0))+INDEX('Tables - Part 2'!$AX$17:$BA$24,MATCH(SCC_Polythionic_Acid!$V8,'Tables - Part 2'!$AV$6:$AV$13,0),MATCH(SCC_Polythionic_Acid!$S8,'Tables - Part 2'!$AX$5:$BA$5,0)))/2)+((((INDEX('Tables - Part 2'!$BF$6:$BI$13,MATCH(SCC_Polythionic_Acid!$V8,'Tables - Part 2'!$AV$6:$AV$13,0),MATCH(SCC_Polythionic_Acid!$S8,'Tables - Part 2'!$AX$5:$BA$5,0))+INDEX('Tables - Part 2'!$AX$17:$BA$24,MATCH(SCC_Polythionic_Acid!$V8,'Tables - Part 2'!$AV$6:$AV$13,0),MATCH(SCC_Polythionic_Acid!$S8,'Tables - Part 2'!$AX$5:$BA$5,0)))/2)+INDEX('Tables - Part 2'!$AX$17:$BA$24,MATCH(SCC_Polythionic_Acid!$V8,'Tables - Part 2'!$AV$6:$AV$13,0),MATCH(SCC_Polythionic_Acid!$S8,'Tables - Part 2'!$AX$5:$BA$5,0)))/2))/2,0)</f>
        <v>0</v>
      </c>
      <c r="AX8" s="248">
        <f>IF($R8=$AX$3,(((INDEX('Tables - Part 2'!$BF$6:$BI$13,MATCH(SCC_Polythionic_Acid!$V8,'Tables - Part 2'!$AV$6:$AV$13,0),MATCH(SCC_Polythionic_Acid!$S8,'Tables - Part 2'!$AX$5:$BA$5,0))+INDEX('Tables - Part 2'!$AX$17:$BA$24,MATCH(SCC_Polythionic_Acid!$V8,'Tables - Part 2'!$AV$6:$AV$13,0),MATCH(SCC_Polythionic_Acid!$S8,'Tables - Part 2'!$AX$5:$BA$5,0)))/2)+INDEX('Tables - Part 2'!$AX$17:$BA$24,MATCH(SCC_Polythionic_Acid!$V8,'Tables - Part 2'!$AV$6:$AV$13,0),MATCH(SCC_Polythionic_Acid!$S8,'Tables - Part 2'!$AX$5:$BA$5,0)))/2,0)</f>
        <v>0</v>
      </c>
      <c r="AY8" s="248">
        <f>IF($R8=$AY$3,(((((INDEX('Tables - Part 2'!$BF$6:$BI$13,MATCH(SCC_Polythionic_Acid!$V8,'Tables - Part 2'!$AV$6:$AV$13,0),MATCH(SCC_Polythionic_Acid!$S8,'Tables - Part 2'!$AX$5:$BA$5,0))+INDEX('Tables - Part 2'!$AX$17:$BA$24,MATCH(SCC_Polythionic_Acid!$V8,'Tables - Part 2'!$AV$6:$AV$13,0),MATCH(SCC_Polythionic_Acid!$S8,'Tables - Part 2'!$AX$5:$BA$5,0)))/2)+INDEX('Tables - Part 2'!$AX$17:$BA$24,MATCH(SCC_Polythionic_Acid!$V8,'Tables - Part 2'!$AV$6:$AV$13,0),MATCH(SCC_Polythionic_Acid!$S8,'Tables - Part 2'!$AX$5:$BA$5,0)))/2)+(INDEX('Tables - Part 2'!$AX$17:$BA$24,MATCH(SCC_Polythionic_Acid!$V8,'Tables - Part 2'!$AV$6:$AV$13,0),MATCH(SCC_Polythionic_Acid!$S8,'Tables - Part 2'!$AX$5:$BA$5,0))))/2,0)</f>
        <v>0</v>
      </c>
      <c r="AZ8" s="248">
        <f>IF($R8=$AZ$3,INDEX('Tables - Part 2'!$AX$17:$BA$24,MATCH(SCC_Polythionic_Acid!$V8,'Tables - Part 2'!$AV$6:$AV$13,0),MATCH(SCC_Polythionic_Acid!$S8,'Tables - Part 2'!$AX$5:$BA$5,0)),0)</f>
        <v>0</v>
      </c>
      <c r="BA8" s="248">
        <f>IF($R8=$BA$3,((INDEX('Tables - Part 2'!$AX$17:$BA$24,MATCH(SCC_Polythionic_Acid!$V8,'Tables - Part 2'!$AV$6:$AV$13,0),MATCH(SCC_Polythionic_Acid!$S8,'Tables - Part 2'!$AX$5:$BA$5,0)))+(((INDEX('Tables - Part 2'!$AX$17:$BA$24,MATCH(SCC_Polythionic_Acid!$V8,'Tables - Part 2'!$AV$6:$AV$13,0),MATCH(SCC_Polythionic_Acid!$S8,'Tables - Part 2'!$AX$5:$BA$5,0)))+(INDEX('Tables - Part 2'!$AX$17:$BA$24,MATCH(SCC_Polythionic_Acid!$V8,'Tables - Part 2'!$AV$6:$AV$13,0),MATCH(SCC_Polythionic_Acid!$S8,'Tables - Part 2'!$AX$5:$BA$5,0))+INDEX('Tables - Part 2'!$BB$17:$BE$24,MATCH(SCC_Polythionic_Acid!$V8,'Tables - Part 2'!$AV$6:$AV$13,0),MATCH(SCC_Polythionic_Acid!$S8,'Tables - Part 2'!$AX$5:$BA$5,0)))/2)/2))/2,0)</f>
        <v>0</v>
      </c>
      <c r="BB8" s="248">
        <f>IF($R8=$BB$3,((INDEX('Tables - Part 2'!$AX$17:$BA$24,MATCH(SCC_Polythionic_Acid!$V8,'Tables - Part 2'!$AV$6:$AV$13,0),MATCH(SCC_Polythionic_Acid!$S8,'Tables - Part 2'!$AX$5:$BA$5,0)))+(INDEX('Tables - Part 2'!$AX$17:$BA$24,MATCH(SCC_Polythionic_Acid!$V8,'Tables - Part 2'!$AV$6:$AV$13,0),MATCH(SCC_Polythionic_Acid!$S8,'Tables - Part 2'!$AX$5:$BA$5,0))+INDEX('Tables - Part 2'!$BB$17:$BE$24,MATCH(SCC_Polythionic_Acid!$V8,'Tables - Part 2'!$AV$6:$AV$13,0),MATCH(SCC_Polythionic_Acid!$S8,'Tables - Part 2'!$AX$5:$BA$5,0)))/2)/2,0)</f>
        <v>0</v>
      </c>
      <c r="BC8" s="248">
        <f>IF($R8=$BC$3,((((INDEX('Tables - Part 2'!$AX$17:$BA$24,MATCH(SCC_Polythionic_Acid!$V8,'Tables - Part 2'!$AV$6:$AV$13,0),MATCH(SCC_Polythionic_Acid!$S8,'Tables - Part 2'!$AX$5:$BA$5,0)))+(INDEX('Tables - Part 2'!$AX$17:$BA$24,MATCH(SCC_Polythionic_Acid!$V8,'Tables - Part 2'!$AV$6:$AV$13,0),MATCH(SCC_Polythionic_Acid!$S8,'Tables - Part 2'!$AX$5:$BA$5,0))+INDEX('Tables - Part 2'!$BB$17:$BE$24,MATCH(SCC_Polythionic_Acid!$V8,'Tables - Part 2'!$AV$6:$AV$13,0),MATCH(SCC_Polythionic_Acid!$S8,'Tables - Part 2'!$AX$5:$BA$5,0)))/2)/2)+((INDEX('Tables - Part 2'!$AX$17:$BA$24,MATCH(SCC_Polythionic_Acid!$V8,'Tables - Part 2'!$AV$6:$AV$13,0),MATCH(SCC_Polythionic_Acid!$S8,'Tables - Part 2'!$AX$5:$BA$5,0))+INDEX('Tables - Part 2'!$BB$17:$BE$24,MATCH(SCC_Polythionic_Acid!$V8,'Tables - Part 2'!$AV$6:$AV$13,0),MATCH(SCC_Polythionic_Acid!$S8,'Tables - Part 2'!$AX$5:$BA$5,0)))/2))/2,0)</f>
        <v>0</v>
      </c>
      <c r="BD8" s="248">
        <f>IF($R8=$BD$3,(INDEX('Tables - Part 2'!$AX$17:$BA$24,MATCH(SCC_Polythionic_Acid!$V8,'Tables - Part 2'!$AV$6:$AV$13,0),MATCH(SCC_Polythionic_Acid!$S8,'Tables - Part 2'!$AX$5:$BA$5,0))+INDEX('Tables - Part 2'!$BB$17:$BE$24,MATCH(SCC_Polythionic_Acid!$V8,'Tables - Part 2'!$AV$6:$AV$13,0),MATCH(SCC_Polythionic_Acid!$S8,'Tables - Part 2'!$AX$5:$BA$5,0)))/2,0)</f>
        <v>0</v>
      </c>
      <c r="BE8" s="248">
        <f>IF($R8=$BE$3,(((INDEX('Tables - Part 2'!$AX$17:$BA$24,MATCH(SCC_Polythionic_Acid!$V8,'Tables - Part 2'!$AV$6:$AV$13,0),MATCH(SCC_Polythionic_Acid!$S8,'Tables - Part 2'!$AX$5:$BA$5,0))+INDEX('Tables - Part 2'!$BB$17:$BE$24,MATCH(SCC_Polythionic_Acid!$V8,'Tables - Part 2'!$AV$6:$AV$13,0),MATCH(SCC_Polythionic_Acid!$S8,'Tables - Part 2'!$AX$5:$BA$5,0)))/2)+((((INDEX('Tables - Part 2'!$AX$17:$BA$24,MATCH(SCC_Polythionic_Acid!$V8,'Tables - Part 2'!$AV$6:$AV$13,0),MATCH(SCC_Polythionic_Acid!$S8,'Tables - Part 2'!$AX$5:$BA$5,0))+INDEX('Tables - Part 2'!$BB$17:$BE$24,MATCH(SCC_Polythionic_Acid!$V8,'Tables - Part 2'!$AV$6:$AV$13,0),MATCH(SCC_Polythionic_Acid!$S8,'Tables - Part 2'!$AX$5:$BA$5,0)))/2)+INDEX('Tables - Part 2'!$BB$17:$BE$24,MATCH(SCC_Polythionic_Acid!$V8,'Tables - Part 2'!$AV$6:$AV$13,0),MATCH(SCC_Polythionic_Acid!$S8,'Tables - Part 2'!$AX$5:$BA$5,0)))/2))/2,0)</f>
        <v>0</v>
      </c>
      <c r="BF8" s="248">
        <f>IF($R8=$BF$3,(((INDEX('Tables - Part 2'!$AX$17:$BA$24,MATCH(SCC_Polythionic_Acid!$V8,'Tables - Part 2'!$AV$6:$AV$13,0),MATCH(SCC_Polythionic_Acid!$S8,'Tables - Part 2'!$AX$5:$BA$5,0))+INDEX('Tables - Part 2'!$BB$17:$BE$24,MATCH(SCC_Polythionic_Acid!$V8,'Tables - Part 2'!$AV$6:$AV$13,0),MATCH(SCC_Polythionic_Acid!$S8,'Tables - Part 2'!$AX$5:$BA$5,0)))/2)+INDEX('Tables - Part 2'!$BB$17:$BE$24,MATCH(SCC_Polythionic_Acid!$V8,'Tables - Part 2'!$AV$6:$AV$13,0),MATCH(SCC_Polythionic_Acid!$S8,'Tables - Part 2'!$AX$5:$BA$5,0)))/2,0)</f>
        <v>0</v>
      </c>
      <c r="BG8" s="248">
        <f>IF($R8=$BG$3,(((((INDEX('Tables - Part 2'!$AX$17:$BA$24,MATCH(SCC_Polythionic_Acid!$V8,'Tables - Part 2'!$AV$6:$AV$13,0),MATCH(SCC_Polythionic_Acid!$S8,'Tables - Part 2'!$AX$5:$BA$5,0))+INDEX('Tables - Part 2'!$BB$17:$BE$24,MATCH(SCC_Polythionic_Acid!$V8,'Tables - Part 2'!$AV$6:$AV$13,0),MATCH(SCC_Polythionic_Acid!$S8,'Tables - Part 2'!$AX$5:$BA$5,0)))/2)+INDEX('Tables - Part 2'!$BB$17:$BE$24,MATCH(SCC_Polythionic_Acid!$V8,'Tables - Part 2'!$AV$6:$AV$13,0),MATCH(SCC_Polythionic_Acid!$S8,'Tables - Part 2'!$AX$5:$BA$5,0)))/2)+(INDEX('Tables - Part 2'!$BB$17:$BE$24,MATCH(SCC_Polythionic_Acid!$V8,'Tables - Part 2'!$AV$6:$AV$13,0),MATCH(SCC_Polythionic_Acid!$S8,'Tables - Part 2'!$AX$5:$BA$5,0))))/2,0)</f>
        <v>0</v>
      </c>
      <c r="BH8" s="248">
        <f>IF($R8=$BH$3,INDEX('Tables - Part 2'!$BB$17:$BE$24,MATCH(SCC_Polythionic_Acid!$V8,'Tables - Part 2'!$AV$6:$AV$13,0),MATCH(SCC_Polythionic_Acid!$S8,'Tables - Part 2'!$AX$5:$BA$5,0)),0)</f>
        <v>0</v>
      </c>
      <c r="BI8" s="248">
        <f>IF($R8=$BI$3,((INDEX('Tables - Part 2'!$BB$17:$BE$24,MATCH(SCC_Polythionic_Acid!$V8,'Tables - Part 2'!$AV$6:$AV$13,0),MATCH(SCC_Polythionic_Acid!$S8,'Tables - Part 2'!$AX$5:$BA$5,0)))+(((INDEX('Tables - Part 2'!$BB$17:$BE$24,MATCH(SCC_Polythionic_Acid!$V8,'Tables - Part 2'!$AV$6:$AV$13,0),MATCH(SCC_Polythionic_Acid!$S8,'Tables - Part 2'!$AX$5:$BA$5,0)))+(INDEX('Tables - Part 2'!$BB$17:$BE$24,MATCH(SCC_Polythionic_Acid!$V8,'Tables - Part 2'!$AV$6:$AV$13,0),MATCH(SCC_Polythionic_Acid!$S8,'Tables - Part 2'!$AX$5:$BA$5,0))+INDEX('Tables - Part 2'!$BF$17:$BI$24,MATCH(SCC_Polythionic_Acid!$V8,'Tables - Part 2'!$AV$6:$AV$13,0),MATCH(SCC_Polythionic_Acid!$S8,'Tables - Part 2'!$AX$5:$BA$5,0)))/2)/2))/2,0)</f>
        <v>0</v>
      </c>
      <c r="BJ8" s="248">
        <f>IF($R8=$BJ$3,((INDEX('Tables - Part 2'!$BB$17:$BE$24,MATCH(SCC_Polythionic_Acid!$V8,'Tables - Part 2'!$AV$6:$AV$13,0),MATCH(SCC_Polythionic_Acid!$S8,'Tables - Part 2'!$AX$5:$BA$5,0)))+(INDEX('Tables - Part 2'!$BB$17:$BE$24,MATCH(SCC_Polythionic_Acid!$V8,'Tables - Part 2'!$AV$6:$AV$13,0),MATCH(SCC_Polythionic_Acid!$S8,'Tables - Part 2'!$AX$5:$BA$5,0))+INDEX('Tables - Part 2'!$BF$17:$BI$24,MATCH(SCC_Polythionic_Acid!$V8,'Tables - Part 2'!$AV$6:$AV$13,0),MATCH(SCC_Polythionic_Acid!$S8,'Tables - Part 2'!$AX$5:$BA$5,0)))/2)/2,0)</f>
        <v>0</v>
      </c>
      <c r="BK8" s="248">
        <f>IF($R8=$BK$3,((((INDEX('Tables - Part 2'!$BB$17:$BE$24,MATCH(SCC_Polythionic_Acid!$V8,'Tables - Part 2'!$AV$6:$AV$13,0),MATCH(SCC_Polythionic_Acid!$S8,'Tables - Part 2'!$AX$5:$BA$5,0)))+(INDEX('Tables - Part 2'!$BB$17:$BE$24,MATCH(SCC_Polythionic_Acid!$V8,'Tables - Part 2'!$AV$6:$AV$13,0),MATCH(SCC_Polythionic_Acid!$S8,'Tables - Part 2'!$AX$5:$BA$5,0))+INDEX('Tables - Part 2'!$BF$17:$BI$24,MATCH(SCC_Polythionic_Acid!$V8,'Tables - Part 2'!$AV$6:$AV$13,0),MATCH(SCC_Polythionic_Acid!$S8,'Tables - Part 2'!$AX$5:$BA$5,0)))/2)/2)+((INDEX('Tables - Part 2'!$BB$17:$BE$24,MATCH(SCC_Polythionic_Acid!$V8,'Tables - Part 2'!$AV$6:$AV$13,0),MATCH(SCC_Polythionic_Acid!$S8,'Tables - Part 2'!$AX$5:$BA$5,0))+INDEX('Tables - Part 2'!$BF$17:$BI$24,MATCH(SCC_Polythionic_Acid!$V8,'Tables - Part 2'!$AV$6:$AV$13,0),MATCH(SCC_Polythionic_Acid!$S8,'Tables - Part 2'!$AX$5:$BA$5,0)))/2))/2,0)</f>
        <v>0</v>
      </c>
      <c r="BL8" s="248">
        <f>IF($R8=$BL$3,(INDEX('Tables - Part 2'!$BB$17:$BE$24,MATCH(SCC_Polythionic_Acid!$V8,'Tables - Part 2'!$AV$6:$AV$13,0),MATCH(SCC_Polythionic_Acid!$S8,'Tables - Part 2'!$AX$5:$BA$5,0))+INDEX('Tables - Part 2'!$BF$17:$BI$24,MATCH(SCC_Polythionic_Acid!$V8,'Tables - Part 2'!$AV$6:$AV$13,0),MATCH(SCC_Polythionic_Acid!$S8,'Tables - Part 2'!$AX$5:$BA$5,0)))/2,0)</f>
        <v>0</v>
      </c>
      <c r="BM8" s="248">
        <f>IF($R8=$BM$3,(((INDEX('Tables - Part 2'!$BB$17:$BE$24,MATCH(SCC_Polythionic_Acid!$V8,'Tables - Part 2'!$AV$6:$AV$13,0),MATCH(SCC_Polythionic_Acid!$S8,'Tables - Part 2'!$AX$5:$BA$5,0))+INDEX('Tables - Part 2'!$BF$17:$BI$24,MATCH(SCC_Polythionic_Acid!$V8,'Tables - Part 2'!$AV$6:$AV$13,0),MATCH(SCC_Polythionic_Acid!$S8,'Tables - Part 2'!$AX$5:$BA$5,0)))/2)+((((INDEX('Tables - Part 2'!$BB$17:$BE$24,MATCH(SCC_Polythionic_Acid!$V8,'Tables - Part 2'!$AV$6:$AV$13,0),MATCH(SCC_Polythionic_Acid!$S8,'Tables - Part 2'!$AX$5:$BA$5,0))+INDEX('Tables - Part 2'!$BF$17:$BI$24,MATCH(SCC_Polythionic_Acid!$V8,'Tables - Part 2'!$AV$6:$AV$13,0),MATCH(SCC_Polythionic_Acid!$S8,'Tables - Part 2'!$AX$5:$BA$5,0)))/2)+INDEX('Tables - Part 2'!$BF$17:$BI$24,MATCH(SCC_Polythionic_Acid!$V8,'Tables - Part 2'!$AV$6:$AV$13,0),MATCH(SCC_Polythionic_Acid!$S8,'Tables - Part 2'!$AX$5:$BA$5,0)))/2))/2,0)</f>
        <v>0</v>
      </c>
      <c r="BN8" s="248">
        <f>IF($R8=$BN$3,(((INDEX('Tables - Part 2'!$BB$17:$BE$24,MATCH(SCC_Polythionic_Acid!$V8,'Tables - Part 2'!$AV$6:$AV$13,0),MATCH(SCC_Polythionic_Acid!$S8,'Tables - Part 2'!$AX$5:$BA$5,0))+INDEX('Tables - Part 2'!$BF$17:$BI$24,MATCH(SCC_Polythionic_Acid!$V8,'Tables - Part 2'!$AV$6:$AV$13,0),MATCH(SCC_Polythionic_Acid!$S8,'Tables - Part 2'!$AX$5:$BA$5,0)))/2)+INDEX('Tables - Part 2'!$BF$17:$BI$24,MATCH(SCC_Polythionic_Acid!$V8,'Tables - Part 2'!$AV$6:$AV$13,0),MATCH(SCC_Polythionic_Acid!$S8,'Tables - Part 2'!$AX$5:$BA$5,0)))/2,0)</f>
        <v>0</v>
      </c>
      <c r="BO8" s="248">
        <f>IF($R8=$BO$3,(((((INDEX('Tables - Part 2'!$BB$17:$BE$24,MATCH(SCC_Polythionic_Acid!$V8,'Tables - Part 2'!$AV$6:$AV$13,0),MATCH(SCC_Polythionic_Acid!$S8,'Tables - Part 2'!$AX$5:$BA$5,0))+INDEX('Tables - Part 2'!$BF$17:$BI$24,MATCH(SCC_Polythionic_Acid!$V8,'Tables - Part 2'!$AV$6:$AV$13,0),MATCH(SCC_Polythionic_Acid!$S8,'Tables - Part 2'!$AX$5:$BA$5,0)))/2)+INDEX('Tables - Part 2'!$BF$17:$BI$24,MATCH(SCC_Polythionic_Acid!$V8,'Tables - Part 2'!$AV$6:$AV$13,0),MATCH(SCC_Polythionic_Acid!$S8,'Tables - Part 2'!$AX$5:$BA$5,0)))/2)+(INDEX('Tables - Part 2'!$BF$17:$BI$24,MATCH(SCC_Polythionic_Acid!$V8,'Tables - Part 2'!$AV$6:$AV$13,0),MATCH(SCC_Polythionic_Acid!$S8,'Tables - Part 2'!$AX$5:$BA$5,0))))/2,0)</f>
        <v>0</v>
      </c>
      <c r="BP8" s="248">
        <f>IF($R8=$BP$3,INDEX('Tables - Part 2'!$BF$17:$BI$24,MATCH(SCC_Polythionic_Acid!$V8,'Tables - Part 2'!$AV$6:$AV$13,0),MATCH(SCC_Polythionic_Acid!$S8,'Tables - Part 2'!$AX$5:$BA$5,0)),0)</f>
        <v>0</v>
      </c>
      <c r="BQ8" s="248">
        <f t="shared" si="5"/>
        <v>0</v>
      </c>
      <c r="BR8" s="238">
        <f t="shared" si="8"/>
        <v>165</v>
      </c>
      <c r="BS8" s="238">
        <f t="shared" si="9"/>
        <v>2767.5256072873844</v>
      </c>
    </row>
    <row r="9" spans="2:84" x14ac:dyDescent="0.35">
      <c r="B9" s="161" t="str">
        <f>'Tratamento de Dados'!B17</f>
        <v>V-14</v>
      </c>
      <c r="C9" s="161" t="str">
        <f>'Tratamento de Dados'!D17</f>
        <v>Casco</v>
      </c>
      <c r="D9" s="209" t="s">
        <v>244</v>
      </c>
      <c r="E9" s="209" t="s">
        <v>244</v>
      </c>
      <c r="F9" s="209" t="s">
        <v>244</v>
      </c>
      <c r="G9" s="209" t="s">
        <v>244</v>
      </c>
      <c r="H9" s="209" t="s">
        <v>1145</v>
      </c>
      <c r="I9" s="247">
        <f>'Tratamento de Dados'!S17</f>
        <v>2</v>
      </c>
      <c r="J9" s="209" t="s">
        <v>1146</v>
      </c>
      <c r="K9" s="210">
        <v>39092</v>
      </c>
      <c r="L9" s="209">
        <v>0</v>
      </c>
      <c r="M9" s="209">
        <v>1</v>
      </c>
      <c r="N9" s="209">
        <v>1</v>
      </c>
      <c r="O9" s="209">
        <v>4</v>
      </c>
      <c r="P9" s="253">
        <f>'Tratamento de Dados'!DA17</f>
        <v>0</v>
      </c>
      <c r="Q9" s="253">
        <f>'Tratamento de Dados'!DB17</f>
        <v>0</v>
      </c>
      <c r="R9" s="256">
        <f t="shared" si="0"/>
        <v>2.5</v>
      </c>
      <c r="S9" s="246" t="str">
        <f t="shared" si="1"/>
        <v>B</v>
      </c>
      <c r="T9" s="238" t="str">
        <f>IF(D9=$BX$2,$BV$5,IF(F9=$BX$3,$BV$2,INDEX(IF(I9&lt;427,'Tables - Part 2'!$DH$6:$DJ$10,'Tables - Part 2'!$DH$14:$DJ$18),MATCH(SCC_Polythionic_Acid!H9,'Tables - Part 2'!$DG$6:$DG$10,0),MATCH(J9,'Tables - Part 2'!$DH$5:$DJ$5,0))))</f>
        <v>High</v>
      </c>
      <c r="U9" s="238" t="str">
        <f t="shared" si="6"/>
        <v>High</v>
      </c>
      <c r="V9" s="238">
        <f>IF(AND(D9=$BX$2,E9&lt;&gt;$BX$2),"Fitness-For-Service",INDEX('Tables - Part 2'!$DM$4:$DM$7,MATCH(SCC_Polythionic_Acid!U9,'Tables - Part 2'!$DL$4:$DL$7,0),))</f>
        <v>5000</v>
      </c>
      <c r="W9" s="238">
        <f>IF(K9=0,(Thinning!G10-Thinning!F10)/365.25,(Thinning!G10-K9)/365.25)</f>
        <v>12.980150581793293</v>
      </c>
      <c r="X9" s="248">
        <f t="shared" si="2"/>
        <v>0</v>
      </c>
      <c r="Y9" s="248">
        <f t="shared" si="3"/>
        <v>2.5</v>
      </c>
      <c r="Z9" s="247">
        <f t="shared" si="7"/>
        <v>3</v>
      </c>
      <c r="AA9" s="247">
        <f t="shared" si="4"/>
        <v>4</v>
      </c>
      <c r="AB9" s="248">
        <f>IF($R9=$AB$3,INDEX('Tables - Part 2'!$AX$6:$BA$13,MATCH(SCC_Polythionic_Acid!V9,'Tables - Part 2'!$AV$6:$AV$13,0),MATCH(SCC_Polythionic_Acid!S9,'Tables - Part 2'!$AX$5:$BA$5,0)),0)</f>
        <v>0</v>
      </c>
      <c r="AC9" s="248">
        <f>IF($R9=$AC$3,(INDEX('Tables - Part 2'!$AX$6:$BA$13,MATCH(SCC_Polythionic_Acid!V9,'Tables - Part 2'!$AV$6:$AV$13,0),MATCH(SCC_Polythionic_Acid!S9,'Tables - Part 2'!$AX$5:$BA$5,0))+(INDEX('Tables - Part 2'!$AX$6:$BA$13,MATCH(SCC_Polythionic_Acid!V9,'Tables - Part 2'!$AV$6:$AV$13,0),MATCH(SCC_Polythionic_Acid!S9,'Tables - Part 2'!$AX$5:$BA$5,0))+((INDEX('Tables - Part 2'!$AX$6:$BA$13,MATCH(SCC_Polythionic_Acid!V9,'Tables - Part 2'!$AV$6:$AV$13,0),MATCH(SCC_Polythionic_Acid!S9,'Tables - Part 2'!$AX$5:$BA$5,0))+INDEX('Tables - Part 2'!$BB$6:$BE$13,MATCH(SCC_Polythionic_Acid!$V9,'Tables - Part 2'!$AV$6:$AV$13,0),MATCH(SCC_Polythionic_Acid!$S9,'Tables - Part 2'!$AX$5:$BA$5,0)))/2))/2)/2,0)</f>
        <v>0</v>
      </c>
      <c r="AD9" s="248">
        <f>IF($R9=$AD$3,(INDEX('Tables - Part 2'!$AX$6:$BA$13,MATCH(SCC_Polythionic_Acid!V9,'Tables - Part 2'!$AV$6:$AV$13,0),MATCH(SCC_Polythionic_Acid!S9,'Tables - Part 2'!$AX$5:$BA$5,0))+((INDEX('Tables - Part 2'!$AX$6:$BA$13,MATCH(SCC_Polythionic_Acid!V9,'Tables - Part 2'!$AV$6:$AV$13,0),MATCH(SCC_Polythionic_Acid!S9,'Tables - Part 2'!$AX$5:$BA$5,0))+INDEX('Tables - Part 2'!$BB$6:$BE$13,MATCH(SCC_Polythionic_Acid!$V9,'Tables - Part 2'!$AV$6:$AV$13,0),MATCH(SCC_Polythionic_Acid!$S9,'Tables - Part 2'!$AX$5:$BA$5,0)))/2))/2,0)</f>
        <v>0</v>
      </c>
      <c r="AE9" s="248">
        <f>IF($R9=$AE$3,(((INDEX('Tables - Part 2'!$AX$6:$BA$13,MATCH(SCC_Polythionic_Acid!V9,'Tables - Part 2'!$AV$6:$AV$13,0),MATCH(SCC_Polythionic_Acid!S9,'Tables - Part 2'!$AX$5:$BA$5,0))+((INDEX('Tables - Part 2'!$AX$6:$BA$13,MATCH(SCC_Polythionic_Acid!V9,'Tables - Part 2'!$AV$6:$AV$13,0),MATCH(SCC_Polythionic_Acid!S9,'Tables - Part 2'!$AX$5:$BA$5,0))+INDEX('Tables - Part 2'!$BB$6:$BE$13,MATCH(SCC_Polythionic_Acid!$V9,'Tables - Part 2'!$AV$6:$AV$13,0),MATCH(SCC_Polythionic_Acid!$S9,'Tables - Part 2'!$AX$5:$BA$5,0)))/2))/2)+(INDEX('Tables - Part 2'!$AX$6:$BA$13,MATCH(SCC_Polythionic_Acid!V9,'Tables - Part 2'!$AV$6:$AV$13,0),MATCH(SCC_Polythionic_Acid!S9,'Tables - Part 2'!$AX$5:$BA$5,0))+INDEX('Tables - Part 2'!$BB$6:$BE$13,MATCH(SCC_Polythionic_Acid!$V9,'Tables - Part 2'!$AV$6:$AV$13,0),MATCH(SCC_Polythionic_Acid!$S9,'Tables - Part 2'!$AX$5:$BA$5,0)))/2)/2,0)</f>
        <v>0</v>
      </c>
      <c r="AF9" s="248">
        <f>IF($R9=$AF$3,(INDEX('Tables - Part 2'!$AX$6:$BA$13,MATCH(SCC_Polythionic_Acid!V9,'Tables - Part 2'!$AV$6:$AV$13,0),MATCH(SCC_Polythionic_Acid!S9,'Tables - Part 2'!$AX$5:$BA$5,0))+INDEX('Tables - Part 2'!$BB$6:$BE$13,MATCH(SCC_Polythionic_Acid!$V9,'Tables - Part 2'!$AV$6:$AV$13,0),MATCH(SCC_Polythionic_Acid!$S9,'Tables - Part 2'!$AX$5:$BA$5,0)))/2,0)</f>
        <v>0</v>
      </c>
      <c r="AG9" s="248">
        <f>IF($R9=$AG$3,(((INDEX('Tables - Part 2'!$AX$6:$BA$13,MATCH(SCC_Polythionic_Acid!V9,'Tables - Part 2'!$AV$6:$AV$13,0),MATCH(SCC_Polythionic_Acid!S9,'Tables - Part 2'!$AX$5:$BA$5,0))+INDEX('Tables - Part 2'!$BB$6:$BE$13,MATCH(SCC_Polythionic_Acid!$V9,'Tables - Part 2'!$AV$6:$AV$13,0),MATCH(SCC_Polythionic_Acid!$S9,'Tables - Part 2'!$AX$5:$BA$5,0)))/2)+(((INDEX('Tables - Part 2'!$AX$6:$BA$13,MATCH(SCC_Polythionic_Acid!V9,'Tables - Part 2'!$AV$6:$AV$13,0),MATCH(SCC_Polythionic_Acid!S9,'Tables - Part 2'!$AX$5:$BA$5,0))+INDEX('Tables - Part 2'!$BB$6:$BE$13,MATCH(SCC_Polythionic_Acid!$V9,'Tables - Part 2'!$AV$6:$AV$13,0),MATCH(SCC_Polythionic_Acid!$S9,'Tables - Part 2'!$AX$5:$BA$5,0)))/2)+INDEX('Tables - Part 2'!$BB$6:$BE$13,MATCH(SCC_Polythionic_Acid!$V9,'Tables - Part 2'!$AV$6:$AV$13,0),MATCH(SCC_Polythionic_Acid!$S9,'Tables - Part 2'!$AX$5:$BA$5,0)))/2)/2,0)</f>
        <v>0</v>
      </c>
      <c r="AH9" s="248">
        <f>IF($R9=$AH$3,(((INDEX('Tables - Part 2'!$AX$6:$BA$13,MATCH(SCC_Polythionic_Acid!V9,'Tables - Part 2'!$AV$6:$AV$13,0),MATCH(SCC_Polythionic_Acid!S9,'Tables - Part 2'!$AX$5:$BA$5,0))+INDEX('Tables - Part 2'!$BB$6:$BE$13,MATCH(SCC_Polythionic_Acid!$V9,'Tables - Part 2'!$AV$6:$AV$13,0),MATCH(SCC_Polythionic_Acid!$S9,'Tables - Part 2'!$AX$5:$BA$5,0)))/2)+INDEX('Tables - Part 2'!$BB$6:$BE$13,MATCH(SCC_Polythionic_Acid!$V9,'Tables - Part 2'!$AV$6:$AV$13,0),MATCH(SCC_Polythionic_Acid!$S9,'Tables - Part 2'!$AX$5:$BA$5,0)))/2,0)</f>
        <v>0</v>
      </c>
      <c r="AI9" s="248">
        <f>IF($R9=$AI$3,(((((INDEX('Tables - Part 2'!$AX$6:$BA$13,MATCH(SCC_Polythionic_Acid!V9,'Tables - Part 2'!$AV$6:$AV$13,0),MATCH(SCC_Polythionic_Acid!S9,'Tables - Part 2'!$AX$5:$BA$5,0))+INDEX('Tables - Part 2'!$BB$6:$BE$13,MATCH(SCC_Polythionic_Acid!$V9,'Tables - Part 2'!$AV$6:$AV$13,0),MATCH(SCC_Polythionic_Acid!$S9,'Tables - Part 2'!$AX$5:$BA$5,0)))/2)+INDEX('Tables - Part 2'!$BB$6:$BE$13,MATCH(SCC_Polythionic_Acid!$V9,'Tables - Part 2'!$AV$6:$AV$13,0),MATCH(SCC_Polythionic_Acid!$S9,'Tables - Part 2'!$AX$5:$BA$5,0)))/2)+INDEX('Tables - Part 2'!$BB$6:$BE$13,MATCH(SCC_Polythionic_Acid!$V9,'Tables - Part 2'!$AV$6:$AV$13,0),MATCH(SCC_Polythionic_Acid!$S9,'Tables - Part 2'!$AX$5:$BA$5,0)))/2,0)</f>
        <v>0</v>
      </c>
      <c r="AJ9" s="248">
        <f>IF($R9=$AJ$3,INDEX('Tables - Part 2'!$BB$6:$BE$13,MATCH(SCC_Polythionic_Acid!$V9,'Tables - Part 2'!$AV$6:$AV$13,0),MATCH(SCC_Polythionic_Acid!$S9,'Tables - Part 2'!$AX$5:$BA$5,0)),0)</f>
        <v>0</v>
      </c>
      <c r="AK9" s="248">
        <f>IF($R9=$AK$3,((INDEX('Tables - Part 2'!$BB$6:$BE$13,MATCH(SCC_Polythionic_Acid!$V9,'Tables - Part 2'!$AV$6:$AV$13,0),MATCH(SCC_Polythionic_Acid!$S9,'Tables - Part 2'!$AX$5:$BA$5,0)))+(INDEX('Tables - Part 2'!$BB$6:$BE$13,MATCH(SCC_Polythionic_Acid!$V9,'Tables - Part 2'!$AV$6:$AV$13,0),MATCH(SCC_Polythionic_Acid!$S9,'Tables - Part 2'!$AX$5:$BA$5,0))+(INDEX('Tables - Part 2'!$BB$6:$BE$13,MATCH(SCC_Polythionic_Acid!$V9,'Tables - Part 2'!$AV$6:$AV$13,0),MATCH(SCC_Polythionic_Acid!$S9,'Tables - Part 2'!$AX$5:$BA$5,0))+INDEX('Tables - Part 2'!$BF$6:$BI$13,MATCH(SCC_Polythionic_Acid!$V9,'Tables - Part 2'!$AV$6:$AV$13,0),MATCH(SCC_Polythionic_Acid!$S9,'Tables - Part 2'!$AX$5:$BA$5,0)))/2)/2)/2,0)</f>
        <v>0</v>
      </c>
      <c r="AL9" s="248">
        <f>IF($R9=$AL$3,(INDEX('Tables - Part 2'!$BB$6:$BE$13,MATCH(SCC_Polythionic_Acid!$V9,'Tables - Part 2'!$AV$6:$AV$13,0),MATCH(SCC_Polythionic_Acid!$S9,'Tables - Part 2'!$AX$5:$BA$5,0))+(INDEX('Tables - Part 2'!$BB$6:$BE$13,MATCH(SCC_Polythionic_Acid!$V9,'Tables - Part 2'!$AV$6:$AV$13,0),MATCH(SCC_Polythionic_Acid!$S9,'Tables - Part 2'!$AX$5:$BA$5,0))+INDEX('Tables - Part 2'!$BF$6:$BI$13,MATCH(SCC_Polythionic_Acid!$V9,'Tables - Part 2'!$AV$6:$AV$13,0),MATCH(SCC_Polythionic_Acid!$S9,'Tables - Part 2'!$AX$5:$BA$5,0)))/2)/2,0)</f>
        <v>0</v>
      </c>
      <c r="AM9" s="248">
        <f>IF($R9=$AM$3,(((INDEX('Tables - Part 2'!$BB$6:$BE$13,MATCH(SCC_Polythionic_Acid!$V9,'Tables - Part 2'!$AV$6:$AV$13,0),MATCH(SCC_Polythionic_Acid!$S9,'Tables - Part 2'!$AX$5:$BA$5,0))+(INDEX('Tables - Part 2'!$BB$6:$BE$13,MATCH(SCC_Polythionic_Acid!$V9,'Tables - Part 2'!$AV$6:$AV$13,0),MATCH(SCC_Polythionic_Acid!$S9,'Tables - Part 2'!$AX$5:$BA$5,0))+INDEX('Tables - Part 2'!$BF$6:$BI$13,MATCH(SCC_Polythionic_Acid!$V9,'Tables - Part 2'!$AV$6:$AV$13,0),MATCH(SCC_Polythionic_Acid!$S9,'Tables - Part 2'!$AX$5:$BA$5,0)))/2)/2)+((INDEX('Tables - Part 2'!$BB$6:$BE$13,MATCH(SCC_Polythionic_Acid!$V9,'Tables - Part 2'!$AV$6:$AV$13,0),MATCH(SCC_Polythionic_Acid!$S9,'Tables - Part 2'!$AX$5:$BA$5,0))+INDEX('Tables - Part 2'!$BF$6:$BI$13,MATCH(SCC_Polythionic_Acid!$V9,'Tables - Part 2'!$AV$6:$AV$13,0),MATCH(SCC_Polythionic_Acid!$S9,'Tables - Part 2'!$AX$5:$BA$5,0)))/2))/2,0)</f>
        <v>0</v>
      </c>
      <c r="AN9" s="248">
        <f>IF($R9=$AN$3,(INDEX('Tables - Part 2'!$BB$6:$BE$13,MATCH(SCC_Polythionic_Acid!$V9,'Tables - Part 2'!$AV$6:$AV$13,0),MATCH(SCC_Polythionic_Acid!$S9,'Tables - Part 2'!$AX$5:$BA$5,0))+INDEX('Tables - Part 2'!$BF$6:$BI$13,MATCH(SCC_Polythionic_Acid!$V9,'Tables - Part 2'!$AV$6:$AV$13,0),MATCH(SCC_Polythionic_Acid!$S9,'Tables - Part 2'!$AX$5:$BA$5,0)))/2,0)</f>
        <v>165</v>
      </c>
      <c r="AO9" s="248">
        <f>IF($R9=$AO$3,(((INDEX('Tables - Part 2'!$BB$6:$BE$13,MATCH(SCC_Polythionic_Acid!$V9,'Tables - Part 2'!$AV$6:$AV$13,0),MATCH(SCC_Polythionic_Acid!$S9,'Tables - Part 2'!$AX$5:$BA$5,0))+INDEX('Tables - Part 2'!$BF$6:$BI$13,MATCH(SCC_Polythionic_Acid!$V9,'Tables - Part 2'!$AV$6:$AV$13,0),MATCH(SCC_Polythionic_Acid!$S9,'Tables - Part 2'!$AX$5:$BA$5,0)))/2)+((((INDEX('Tables - Part 2'!$BB$6:$BE$13,MATCH(SCC_Polythionic_Acid!$V9,'Tables - Part 2'!$AV$6:$AV$13,0),MATCH(SCC_Polythionic_Acid!$S9,'Tables - Part 2'!$AX$5:$BA$5,0))+INDEX('Tables - Part 2'!$BF$6:$BI$13,MATCH(SCC_Polythionic_Acid!$V9,'Tables - Part 2'!$AV$6:$AV$13,0),MATCH(SCC_Polythionic_Acid!$S9,'Tables - Part 2'!$AX$5:$BA$5,0)))/2)+INDEX('Tables - Part 2'!$BF$6:$BI$13,MATCH(SCC_Polythionic_Acid!$V9,'Tables - Part 2'!$AV$6:$AV$13,0),MATCH(SCC_Polythionic_Acid!$S9,'Tables - Part 2'!$AX$5:$BA$5,0)))/2))/2,0)</f>
        <v>0</v>
      </c>
      <c r="AP9" s="248">
        <f>IF($R9=$AP$3,(((INDEX('Tables - Part 2'!$BB$6:$BE$13,MATCH(SCC_Polythionic_Acid!$V9,'Tables - Part 2'!$AV$6:$AV$13,0),MATCH(SCC_Polythionic_Acid!$S9,'Tables - Part 2'!$AX$5:$BA$5,0))+INDEX('Tables - Part 2'!$BF$6:$BI$13,MATCH(SCC_Polythionic_Acid!$V9,'Tables - Part 2'!$AV$6:$AV$13,0),MATCH(SCC_Polythionic_Acid!$S9,'Tables - Part 2'!$AX$5:$BA$5,0)))/2)+INDEX('Tables - Part 2'!$BF$6:$BI$13,MATCH(SCC_Polythionic_Acid!$V9,'Tables - Part 2'!$AV$6:$AV$13,0),MATCH(SCC_Polythionic_Acid!$S9,'Tables - Part 2'!$AX$5:$BA$5,0)))/2,0)</f>
        <v>0</v>
      </c>
      <c r="AQ9" s="248">
        <f>IF($R9=$AQ$3,(((((INDEX('Tables - Part 2'!$BB$6:$BE$13,MATCH(SCC_Polythionic_Acid!$V9,'Tables - Part 2'!$AV$6:$AV$13,0),MATCH(SCC_Polythionic_Acid!$S9,'Tables - Part 2'!$AX$5:$BA$5,0))+INDEX('Tables - Part 2'!$BF$6:$BI$13,MATCH(SCC_Polythionic_Acid!$V9,'Tables - Part 2'!$AV$6:$AV$13,0),MATCH(SCC_Polythionic_Acid!$S9,'Tables - Part 2'!$AX$5:$BA$5,0)))/2)+INDEX('Tables - Part 2'!$BF$6:$BI$13,MATCH(SCC_Polythionic_Acid!$V9,'Tables - Part 2'!$AV$6:$AV$13,0),MATCH(SCC_Polythionic_Acid!$S9,'Tables - Part 2'!$AX$5:$BA$5,0)))/2)+INDEX('Tables - Part 2'!$BF$6:$BI$13,MATCH(SCC_Polythionic_Acid!$V9,'Tables - Part 2'!$AV$6:$AV$13,0),MATCH(SCC_Polythionic_Acid!$S9,'Tables - Part 2'!$AX$5:$BA$5,0)))/2,0)</f>
        <v>0</v>
      </c>
      <c r="AR9" s="248">
        <f>IF($R9=$AR$3,INDEX('Tables - Part 2'!$BF$6:$BI$13,MATCH(SCC_Polythionic_Acid!$V9,'Tables - Part 2'!$AV$6:$AV$13,0),MATCH(SCC_Polythionic_Acid!$S9,'Tables - Part 2'!$AX$5:$BA$5,0)),0)</f>
        <v>0</v>
      </c>
      <c r="AS9" s="248">
        <f>IF($R9=$AS$3,(INDEX('Tables - Part 2'!$BF$6:$BI$13,MATCH(SCC_Polythionic_Acid!$V9,'Tables - Part 2'!$AV$6:$AV$13,0),MATCH(SCC_Polythionic_Acid!$S9,'Tables - Part 2'!$AX$5:$BA$5,0))+((INDEX('Tables - Part 2'!$BF$6:$BI$13,MATCH(SCC_Polythionic_Acid!$V9,'Tables - Part 2'!$AV$6:$AV$13,0),MATCH(SCC_Polythionic_Acid!$S9,'Tables - Part 2'!$AX$5:$BA$5,0))+(INDEX('Tables - Part 2'!$BF$6:$BI$13,MATCH(SCC_Polythionic_Acid!$V9,'Tables - Part 2'!$AV$6:$AV$13,0),MATCH(SCC_Polythionic_Acid!$S9,'Tables - Part 2'!$AX$5:$BA$5,0))+INDEX('Tables - Part 2'!$AX$17:$BA$24,MATCH(SCC_Polythionic_Acid!$V9,'Tables - Part 2'!$AV$6:$AV$13,0),MATCH(SCC_Polythionic_Acid!$S9,'Tables - Part 2'!$AX$5:$BA$5,0)))/2)/2))/2,0)</f>
        <v>0</v>
      </c>
      <c r="AT9" s="248">
        <f>IF($R9=$AT$3,(INDEX('Tables - Part 2'!$BF$6:$BI$13,MATCH(SCC_Polythionic_Acid!$V9,'Tables - Part 2'!$AV$6:$AV$13,0),MATCH(SCC_Polythionic_Acid!$S9,'Tables - Part 2'!$AX$5:$BA$5,0))+(INDEX('Tables - Part 2'!$BF$6:$BI$13,MATCH(SCC_Polythionic_Acid!$V9,'Tables - Part 2'!$AV$6:$AV$13,0),MATCH(SCC_Polythionic_Acid!$S9,'Tables - Part 2'!$AX$5:$BA$5,0))+INDEX('Tables - Part 2'!$AX$17:$BA$24,MATCH(SCC_Polythionic_Acid!$V9,'Tables - Part 2'!$AV$6:$AV$13,0),MATCH(SCC_Polythionic_Acid!$S9,'Tables - Part 2'!$AX$5:$BA$5,0)))/2)/2,0)</f>
        <v>0</v>
      </c>
      <c r="AU9" s="248">
        <f>IF($R9=$AU$3,(((INDEX('Tables - Part 2'!$BF$6:$BI$13,MATCH(SCC_Polythionic_Acid!$V9,'Tables - Part 2'!$AV$6:$AV$13,0),MATCH(SCC_Polythionic_Acid!$S9,'Tables - Part 2'!$AX$5:$BA$5,0))+(INDEX('Tables - Part 2'!$BF$6:$BI$13,MATCH(SCC_Polythionic_Acid!$V9,'Tables - Part 2'!$AV$6:$AV$13,0),MATCH(SCC_Polythionic_Acid!$S9,'Tables - Part 2'!$AX$5:$BA$5,0))+INDEX('Tables - Part 2'!$AX$17:$BA$24,MATCH(SCC_Polythionic_Acid!$V9,'Tables - Part 2'!$AV$6:$AV$13,0),MATCH(SCC_Polythionic_Acid!$S9,'Tables - Part 2'!$AX$5:$BA$5,0)))/2)/2)+((INDEX('Tables - Part 2'!$BF$6:$BI$13,MATCH(SCC_Polythionic_Acid!$V9,'Tables - Part 2'!$AV$6:$AV$13,0),MATCH(SCC_Polythionic_Acid!$S9,'Tables - Part 2'!$AX$5:$BA$5,0))+INDEX('Tables - Part 2'!$AX$17:$BA$24,MATCH(SCC_Polythionic_Acid!$V9,'Tables - Part 2'!$AV$6:$AV$13,0),MATCH(SCC_Polythionic_Acid!$S9,'Tables - Part 2'!$AX$5:$BA$5,0)))/2))/2,0)</f>
        <v>0</v>
      </c>
      <c r="AV9" s="248">
        <f>IF($R9=$AV$3,(INDEX('Tables - Part 2'!$BF$6:$BI$13,MATCH(SCC_Polythionic_Acid!$V9,'Tables - Part 2'!$AV$6:$AV$13,0),MATCH(SCC_Polythionic_Acid!$S9,'Tables - Part 2'!$AX$5:$BA$5,0))+INDEX('Tables - Part 2'!$AX$17:$BA$24,MATCH(SCC_Polythionic_Acid!$V9,'Tables - Part 2'!$AV$6:$AV$13,0),MATCH(SCC_Polythionic_Acid!$S9,'Tables - Part 2'!$AX$5:$BA$5,0)))/2,0)</f>
        <v>0</v>
      </c>
      <c r="AW9" s="248">
        <f>IF($R9=$AW$3,(((INDEX('Tables - Part 2'!$BF$6:$BI$13,MATCH(SCC_Polythionic_Acid!$V9,'Tables - Part 2'!$AV$6:$AV$13,0),MATCH(SCC_Polythionic_Acid!$S9,'Tables - Part 2'!$AX$5:$BA$5,0))+INDEX('Tables - Part 2'!$AX$17:$BA$24,MATCH(SCC_Polythionic_Acid!$V9,'Tables - Part 2'!$AV$6:$AV$13,0),MATCH(SCC_Polythionic_Acid!$S9,'Tables - Part 2'!$AX$5:$BA$5,0)))/2)+((((INDEX('Tables - Part 2'!$BF$6:$BI$13,MATCH(SCC_Polythionic_Acid!$V9,'Tables - Part 2'!$AV$6:$AV$13,0),MATCH(SCC_Polythionic_Acid!$S9,'Tables - Part 2'!$AX$5:$BA$5,0))+INDEX('Tables - Part 2'!$AX$17:$BA$24,MATCH(SCC_Polythionic_Acid!$V9,'Tables - Part 2'!$AV$6:$AV$13,0),MATCH(SCC_Polythionic_Acid!$S9,'Tables - Part 2'!$AX$5:$BA$5,0)))/2)+INDEX('Tables - Part 2'!$AX$17:$BA$24,MATCH(SCC_Polythionic_Acid!$V9,'Tables - Part 2'!$AV$6:$AV$13,0),MATCH(SCC_Polythionic_Acid!$S9,'Tables - Part 2'!$AX$5:$BA$5,0)))/2))/2,0)</f>
        <v>0</v>
      </c>
      <c r="AX9" s="248">
        <f>IF($R9=$AX$3,(((INDEX('Tables - Part 2'!$BF$6:$BI$13,MATCH(SCC_Polythionic_Acid!$V9,'Tables - Part 2'!$AV$6:$AV$13,0),MATCH(SCC_Polythionic_Acid!$S9,'Tables - Part 2'!$AX$5:$BA$5,0))+INDEX('Tables - Part 2'!$AX$17:$BA$24,MATCH(SCC_Polythionic_Acid!$V9,'Tables - Part 2'!$AV$6:$AV$13,0),MATCH(SCC_Polythionic_Acid!$S9,'Tables - Part 2'!$AX$5:$BA$5,0)))/2)+INDEX('Tables - Part 2'!$AX$17:$BA$24,MATCH(SCC_Polythionic_Acid!$V9,'Tables - Part 2'!$AV$6:$AV$13,0),MATCH(SCC_Polythionic_Acid!$S9,'Tables - Part 2'!$AX$5:$BA$5,0)))/2,0)</f>
        <v>0</v>
      </c>
      <c r="AY9" s="248">
        <f>IF($R9=$AY$3,(((((INDEX('Tables - Part 2'!$BF$6:$BI$13,MATCH(SCC_Polythionic_Acid!$V9,'Tables - Part 2'!$AV$6:$AV$13,0),MATCH(SCC_Polythionic_Acid!$S9,'Tables - Part 2'!$AX$5:$BA$5,0))+INDEX('Tables - Part 2'!$AX$17:$BA$24,MATCH(SCC_Polythionic_Acid!$V9,'Tables - Part 2'!$AV$6:$AV$13,0),MATCH(SCC_Polythionic_Acid!$S9,'Tables - Part 2'!$AX$5:$BA$5,0)))/2)+INDEX('Tables - Part 2'!$AX$17:$BA$24,MATCH(SCC_Polythionic_Acid!$V9,'Tables - Part 2'!$AV$6:$AV$13,0),MATCH(SCC_Polythionic_Acid!$S9,'Tables - Part 2'!$AX$5:$BA$5,0)))/2)+(INDEX('Tables - Part 2'!$AX$17:$BA$24,MATCH(SCC_Polythionic_Acid!$V9,'Tables - Part 2'!$AV$6:$AV$13,0),MATCH(SCC_Polythionic_Acid!$S9,'Tables - Part 2'!$AX$5:$BA$5,0))))/2,0)</f>
        <v>0</v>
      </c>
      <c r="AZ9" s="248">
        <f>IF($R9=$AZ$3,INDEX('Tables - Part 2'!$AX$17:$BA$24,MATCH(SCC_Polythionic_Acid!$V9,'Tables - Part 2'!$AV$6:$AV$13,0),MATCH(SCC_Polythionic_Acid!$S9,'Tables - Part 2'!$AX$5:$BA$5,0)),0)</f>
        <v>0</v>
      </c>
      <c r="BA9" s="248">
        <f>IF($R9=$BA$3,((INDEX('Tables - Part 2'!$AX$17:$BA$24,MATCH(SCC_Polythionic_Acid!$V9,'Tables - Part 2'!$AV$6:$AV$13,0),MATCH(SCC_Polythionic_Acid!$S9,'Tables - Part 2'!$AX$5:$BA$5,0)))+(((INDEX('Tables - Part 2'!$AX$17:$BA$24,MATCH(SCC_Polythionic_Acid!$V9,'Tables - Part 2'!$AV$6:$AV$13,0),MATCH(SCC_Polythionic_Acid!$S9,'Tables - Part 2'!$AX$5:$BA$5,0)))+(INDEX('Tables - Part 2'!$AX$17:$BA$24,MATCH(SCC_Polythionic_Acid!$V9,'Tables - Part 2'!$AV$6:$AV$13,0),MATCH(SCC_Polythionic_Acid!$S9,'Tables - Part 2'!$AX$5:$BA$5,0))+INDEX('Tables - Part 2'!$BB$17:$BE$24,MATCH(SCC_Polythionic_Acid!$V9,'Tables - Part 2'!$AV$6:$AV$13,0),MATCH(SCC_Polythionic_Acid!$S9,'Tables - Part 2'!$AX$5:$BA$5,0)))/2)/2))/2,0)</f>
        <v>0</v>
      </c>
      <c r="BB9" s="248">
        <f>IF($R9=$BB$3,((INDEX('Tables - Part 2'!$AX$17:$BA$24,MATCH(SCC_Polythionic_Acid!$V9,'Tables - Part 2'!$AV$6:$AV$13,0),MATCH(SCC_Polythionic_Acid!$S9,'Tables - Part 2'!$AX$5:$BA$5,0)))+(INDEX('Tables - Part 2'!$AX$17:$BA$24,MATCH(SCC_Polythionic_Acid!$V9,'Tables - Part 2'!$AV$6:$AV$13,0),MATCH(SCC_Polythionic_Acid!$S9,'Tables - Part 2'!$AX$5:$BA$5,0))+INDEX('Tables - Part 2'!$BB$17:$BE$24,MATCH(SCC_Polythionic_Acid!$V9,'Tables - Part 2'!$AV$6:$AV$13,0),MATCH(SCC_Polythionic_Acid!$S9,'Tables - Part 2'!$AX$5:$BA$5,0)))/2)/2,0)</f>
        <v>0</v>
      </c>
      <c r="BC9" s="248">
        <f>IF($R9=$BC$3,((((INDEX('Tables - Part 2'!$AX$17:$BA$24,MATCH(SCC_Polythionic_Acid!$V9,'Tables - Part 2'!$AV$6:$AV$13,0),MATCH(SCC_Polythionic_Acid!$S9,'Tables - Part 2'!$AX$5:$BA$5,0)))+(INDEX('Tables - Part 2'!$AX$17:$BA$24,MATCH(SCC_Polythionic_Acid!$V9,'Tables - Part 2'!$AV$6:$AV$13,0),MATCH(SCC_Polythionic_Acid!$S9,'Tables - Part 2'!$AX$5:$BA$5,0))+INDEX('Tables - Part 2'!$BB$17:$BE$24,MATCH(SCC_Polythionic_Acid!$V9,'Tables - Part 2'!$AV$6:$AV$13,0),MATCH(SCC_Polythionic_Acid!$S9,'Tables - Part 2'!$AX$5:$BA$5,0)))/2)/2)+((INDEX('Tables - Part 2'!$AX$17:$BA$24,MATCH(SCC_Polythionic_Acid!$V9,'Tables - Part 2'!$AV$6:$AV$13,0),MATCH(SCC_Polythionic_Acid!$S9,'Tables - Part 2'!$AX$5:$BA$5,0))+INDEX('Tables - Part 2'!$BB$17:$BE$24,MATCH(SCC_Polythionic_Acid!$V9,'Tables - Part 2'!$AV$6:$AV$13,0),MATCH(SCC_Polythionic_Acid!$S9,'Tables - Part 2'!$AX$5:$BA$5,0)))/2))/2,0)</f>
        <v>0</v>
      </c>
      <c r="BD9" s="248">
        <f>IF($R9=$BD$3,(INDEX('Tables - Part 2'!$AX$17:$BA$24,MATCH(SCC_Polythionic_Acid!$V9,'Tables - Part 2'!$AV$6:$AV$13,0),MATCH(SCC_Polythionic_Acid!$S9,'Tables - Part 2'!$AX$5:$BA$5,0))+INDEX('Tables - Part 2'!$BB$17:$BE$24,MATCH(SCC_Polythionic_Acid!$V9,'Tables - Part 2'!$AV$6:$AV$13,0),MATCH(SCC_Polythionic_Acid!$S9,'Tables - Part 2'!$AX$5:$BA$5,0)))/2,0)</f>
        <v>0</v>
      </c>
      <c r="BE9" s="248">
        <f>IF($R9=$BE$3,(((INDEX('Tables - Part 2'!$AX$17:$BA$24,MATCH(SCC_Polythionic_Acid!$V9,'Tables - Part 2'!$AV$6:$AV$13,0),MATCH(SCC_Polythionic_Acid!$S9,'Tables - Part 2'!$AX$5:$BA$5,0))+INDEX('Tables - Part 2'!$BB$17:$BE$24,MATCH(SCC_Polythionic_Acid!$V9,'Tables - Part 2'!$AV$6:$AV$13,0),MATCH(SCC_Polythionic_Acid!$S9,'Tables - Part 2'!$AX$5:$BA$5,0)))/2)+((((INDEX('Tables - Part 2'!$AX$17:$BA$24,MATCH(SCC_Polythionic_Acid!$V9,'Tables - Part 2'!$AV$6:$AV$13,0),MATCH(SCC_Polythionic_Acid!$S9,'Tables - Part 2'!$AX$5:$BA$5,0))+INDEX('Tables - Part 2'!$BB$17:$BE$24,MATCH(SCC_Polythionic_Acid!$V9,'Tables - Part 2'!$AV$6:$AV$13,0),MATCH(SCC_Polythionic_Acid!$S9,'Tables - Part 2'!$AX$5:$BA$5,0)))/2)+INDEX('Tables - Part 2'!$BB$17:$BE$24,MATCH(SCC_Polythionic_Acid!$V9,'Tables - Part 2'!$AV$6:$AV$13,0),MATCH(SCC_Polythionic_Acid!$S9,'Tables - Part 2'!$AX$5:$BA$5,0)))/2))/2,0)</f>
        <v>0</v>
      </c>
      <c r="BF9" s="248">
        <f>IF($R9=$BF$3,(((INDEX('Tables - Part 2'!$AX$17:$BA$24,MATCH(SCC_Polythionic_Acid!$V9,'Tables - Part 2'!$AV$6:$AV$13,0),MATCH(SCC_Polythionic_Acid!$S9,'Tables - Part 2'!$AX$5:$BA$5,0))+INDEX('Tables - Part 2'!$BB$17:$BE$24,MATCH(SCC_Polythionic_Acid!$V9,'Tables - Part 2'!$AV$6:$AV$13,0),MATCH(SCC_Polythionic_Acid!$S9,'Tables - Part 2'!$AX$5:$BA$5,0)))/2)+INDEX('Tables - Part 2'!$BB$17:$BE$24,MATCH(SCC_Polythionic_Acid!$V9,'Tables - Part 2'!$AV$6:$AV$13,0),MATCH(SCC_Polythionic_Acid!$S9,'Tables - Part 2'!$AX$5:$BA$5,0)))/2,0)</f>
        <v>0</v>
      </c>
      <c r="BG9" s="248">
        <f>IF($R9=$BG$3,(((((INDEX('Tables - Part 2'!$AX$17:$BA$24,MATCH(SCC_Polythionic_Acid!$V9,'Tables - Part 2'!$AV$6:$AV$13,0),MATCH(SCC_Polythionic_Acid!$S9,'Tables - Part 2'!$AX$5:$BA$5,0))+INDEX('Tables - Part 2'!$BB$17:$BE$24,MATCH(SCC_Polythionic_Acid!$V9,'Tables - Part 2'!$AV$6:$AV$13,0),MATCH(SCC_Polythionic_Acid!$S9,'Tables - Part 2'!$AX$5:$BA$5,0)))/2)+INDEX('Tables - Part 2'!$BB$17:$BE$24,MATCH(SCC_Polythionic_Acid!$V9,'Tables - Part 2'!$AV$6:$AV$13,0),MATCH(SCC_Polythionic_Acid!$S9,'Tables - Part 2'!$AX$5:$BA$5,0)))/2)+(INDEX('Tables - Part 2'!$BB$17:$BE$24,MATCH(SCC_Polythionic_Acid!$V9,'Tables - Part 2'!$AV$6:$AV$13,0),MATCH(SCC_Polythionic_Acid!$S9,'Tables - Part 2'!$AX$5:$BA$5,0))))/2,0)</f>
        <v>0</v>
      </c>
      <c r="BH9" s="248">
        <f>IF($R9=$BH$3,INDEX('Tables - Part 2'!$BB$17:$BE$24,MATCH(SCC_Polythionic_Acid!$V9,'Tables - Part 2'!$AV$6:$AV$13,0),MATCH(SCC_Polythionic_Acid!$S9,'Tables - Part 2'!$AX$5:$BA$5,0)),0)</f>
        <v>0</v>
      </c>
      <c r="BI9" s="248">
        <f>IF($R9=$BI$3,((INDEX('Tables - Part 2'!$BB$17:$BE$24,MATCH(SCC_Polythionic_Acid!$V9,'Tables - Part 2'!$AV$6:$AV$13,0),MATCH(SCC_Polythionic_Acid!$S9,'Tables - Part 2'!$AX$5:$BA$5,0)))+(((INDEX('Tables - Part 2'!$BB$17:$BE$24,MATCH(SCC_Polythionic_Acid!$V9,'Tables - Part 2'!$AV$6:$AV$13,0),MATCH(SCC_Polythionic_Acid!$S9,'Tables - Part 2'!$AX$5:$BA$5,0)))+(INDEX('Tables - Part 2'!$BB$17:$BE$24,MATCH(SCC_Polythionic_Acid!$V9,'Tables - Part 2'!$AV$6:$AV$13,0),MATCH(SCC_Polythionic_Acid!$S9,'Tables - Part 2'!$AX$5:$BA$5,0))+INDEX('Tables - Part 2'!$BF$17:$BI$24,MATCH(SCC_Polythionic_Acid!$V9,'Tables - Part 2'!$AV$6:$AV$13,0),MATCH(SCC_Polythionic_Acid!$S9,'Tables - Part 2'!$AX$5:$BA$5,0)))/2)/2))/2,0)</f>
        <v>0</v>
      </c>
      <c r="BJ9" s="248">
        <f>IF($R9=$BJ$3,((INDEX('Tables - Part 2'!$BB$17:$BE$24,MATCH(SCC_Polythionic_Acid!$V9,'Tables - Part 2'!$AV$6:$AV$13,0),MATCH(SCC_Polythionic_Acid!$S9,'Tables - Part 2'!$AX$5:$BA$5,0)))+(INDEX('Tables - Part 2'!$BB$17:$BE$24,MATCH(SCC_Polythionic_Acid!$V9,'Tables - Part 2'!$AV$6:$AV$13,0),MATCH(SCC_Polythionic_Acid!$S9,'Tables - Part 2'!$AX$5:$BA$5,0))+INDEX('Tables - Part 2'!$BF$17:$BI$24,MATCH(SCC_Polythionic_Acid!$V9,'Tables - Part 2'!$AV$6:$AV$13,0),MATCH(SCC_Polythionic_Acid!$S9,'Tables - Part 2'!$AX$5:$BA$5,0)))/2)/2,0)</f>
        <v>0</v>
      </c>
      <c r="BK9" s="248">
        <f>IF($R9=$BK$3,((((INDEX('Tables - Part 2'!$BB$17:$BE$24,MATCH(SCC_Polythionic_Acid!$V9,'Tables - Part 2'!$AV$6:$AV$13,0),MATCH(SCC_Polythionic_Acid!$S9,'Tables - Part 2'!$AX$5:$BA$5,0)))+(INDEX('Tables - Part 2'!$BB$17:$BE$24,MATCH(SCC_Polythionic_Acid!$V9,'Tables - Part 2'!$AV$6:$AV$13,0),MATCH(SCC_Polythionic_Acid!$S9,'Tables - Part 2'!$AX$5:$BA$5,0))+INDEX('Tables - Part 2'!$BF$17:$BI$24,MATCH(SCC_Polythionic_Acid!$V9,'Tables - Part 2'!$AV$6:$AV$13,0),MATCH(SCC_Polythionic_Acid!$S9,'Tables - Part 2'!$AX$5:$BA$5,0)))/2)/2)+((INDEX('Tables - Part 2'!$BB$17:$BE$24,MATCH(SCC_Polythionic_Acid!$V9,'Tables - Part 2'!$AV$6:$AV$13,0),MATCH(SCC_Polythionic_Acid!$S9,'Tables - Part 2'!$AX$5:$BA$5,0))+INDEX('Tables - Part 2'!$BF$17:$BI$24,MATCH(SCC_Polythionic_Acid!$V9,'Tables - Part 2'!$AV$6:$AV$13,0),MATCH(SCC_Polythionic_Acid!$S9,'Tables - Part 2'!$AX$5:$BA$5,0)))/2))/2,0)</f>
        <v>0</v>
      </c>
      <c r="BL9" s="248">
        <f>IF($R9=$BL$3,(INDEX('Tables - Part 2'!$BB$17:$BE$24,MATCH(SCC_Polythionic_Acid!$V9,'Tables - Part 2'!$AV$6:$AV$13,0),MATCH(SCC_Polythionic_Acid!$S9,'Tables - Part 2'!$AX$5:$BA$5,0))+INDEX('Tables - Part 2'!$BF$17:$BI$24,MATCH(SCC_Polythionic_Acid!$V9,'Tables - Part 2'!$AV$6:$AV$13,0),MATCH(SCC_Polythionic_Acid!$S9,'Tables - Part 2'!$AX$5:$BA$5,0)))/2,0)</f>
        <v>0</v>
      </c>
      <c r="BM9" s="248">
        <f>IF($R9=$BM$3,(((INDEX('Tables - Part 2'!$BB$17:$BE$24,MATCH(SCC_Polythionic_Acid!$V9,'Tables - Part 2'!$AV$6:$AV$13,0),MATCH(SCC_Polythionic_Acid!$S9,'Tables - Part 2'!$AX$5:$BA$5,0))+INDEX('Tables - Part 2'!$BF$17:$BI$24,MATCH(SCC_Polythionic_Acid!$V9,'Tables - Part 2'!$AV$6:$AV$13,0),MATCH(SCC_Polythionic_Acid!$S9,'Tables - Part 2'!$AX$5:$BA$5,0)))/2)+((((INDEX('Tables - Part 2'!$BB$17:$BE$24,MATCH(SCC_Polythionic_Acid!$V9,'Tables - Part 2'!$AV$6:$AV$13,0),MATCH(SCC_Polythionic_Acid!$S9,'Tables - Part 2'!$AX$5:$BA$5,0))+INDEX('Tables - Part 2'!$BF$17:$BI$24,MATCH(SCC_Polythionic_Acid!$V9,'Tables - Part 2'!$AV$6:$AV$13,0),MATCH(SCC_Polythionic_Acid!$S9,'Tables - Part 2'!$AX$5:$BA$5,0)))/2)+INDEX('Tables - Part 2'!$BF$17:$BI$24,MATCH(SCC_Polythionic_Acid!$V9,'Tables - Part 2'!$AV$6:$AV$13,0),MATCH(SCC_Polythionic_Acid!$S9,'Tables - Part 2'!$AX$5:$BA$5,0)))/2))/2,0)</f>
        <v>0</v>
      </c>
      <c r="BN9" s="248">
        <f>IF($R9=$BN$3,(((INDEX('Tables - Part 2'!$BB$17:$BE$24,MATCH(SCC_Polythionic_Acid!$V9,'Tables - Part 2'!$AV$6:$AV$13,0),MATCH(SCC_Polythionic_Acid!$S9,'Tables - Part 2'!$AX$5:$BA$5,0))+INDEX('Tables - Part 2'!$BF$17:$BI$24,MATCH(SCC_Polythionic_Acid!$V9,'Tables - Part 2'!$AV$6:$AV$13,0),MATCH(SCC_Polythionic_Acid!$S9,'Tables - Part 2'!$AX$5:$BA$5,0)))/2)+INDEX('Tables - Part 2'!$BF$17:$BI$24,MATCH(SCC_Polythionic_Acid!$V9,'Tables - Part 2'!$AV$6:$AV$13,0),MATCH(SCC_Polythionic_Acid!$S9,'Tables - Part 2'!$AX$5:$BA$5,0)))/2,0)</f>
        <v>0</v>
      </c>
      <c r="BO9" s="248">
        <f>IF($R9=$BO$3,(((((INDEX('Tables - Part 2'!$BB$17:$BE$24,MATCH(SCC_Polythionic_Acid!$V9,'Tables - Part 2'!$AV$6:$AV$13,0),MATCH(SCC_Polythionic_Acid!$S9,'Tables - Part 2'!$AX$5:$BA$5,0))+INDEX('Tables - Part 2'!$BF$17:$BI$24,MATCH(SCC_Polythionic_Acid!$V9,'Tables - Part 2'!$AV$6:$AV$13,0),MATCH(SCC_Polythionic_Acid!$S9,'Tables - Part 2'!$AX$5:$BA$5,0)))/2)+INDEX('Tables - Part 2'!$BF$17:$BI$24,MATCH(SCC_Polythionic_Acid!$V9,'Tables - Part 2'!$AV$6:$AV$13,0),MATCH(SCC_Polythionic_Acid!$S9,'Tables - Part 2'!$AX$5:$BA$5,0)))/2)+(INDEX('Tables - Part 2'!$BF$17:$BI$24,MATCH(SCC_Polythionic_Acid!$V9,'Tables - Part 2'!$AV$6:$AV$13,0),MATCH(SCC_Polythionic_Acid!$S9,'Tables - Part 2'!$AX$5:$BA$5,0))))/2,0)</f>
        <v>0</v>
      </c>
      <c r="BP9" s="248">
        <f>IF($R9=$BP$3,INDEX('Tables - Part 2'!$BF$17:$BI$24,MATCH(SCC_Polythionic_Acid!$V9,'Tables - Part 2'!$AV$6:$AV$13,0),MATCH(SCC_Polythionic_Acid!$S9,'Tables - Part 2'!$AX$5:$BA$5,0)),0)</f>
        <v>0</v>
      </c>
      <c r="BQ9" s="248">
        <f t="shared" si="5"/>
        <v>0</v>
      </c>
      <c r="BR9" s="238">
        <f t="shared" si="8"/>
        <v>165</v>
      </c>
      <c r="BS9" s="238">
        <f t="shared" si="9"/>
        <v>2767.5256072873844</v>
      </c>
    </row>
    <row r="10" spans="2:84" x14ac:dyDescent="0.35">
      <c r="B10" s="161" t="str">
        <f>'Tratamento de Dados'!B18</f>
        <v>V-1</v>
      </c>
      <c r="C10" s="161" t="str">
        <f>'Tratamento de Dados'!D18</f>
        <v>Casco</v>
      </c>
      <c r="D10" s="209" t="s">
        <v>244</v>
      </c>
      <c r="E10" s="209" t="s">
        <v>244</v>
      </c>
      <c r="F10" s="209" t="s">
        <v>244</v>
      </c>
      <c r="G10" s="209" t="s">
        <v>244</v>
      </c>
      <c r="H10" s="209" t="s">
        <v>1145</v>
      </c>
      <c r="I10" s="247">
        <f>'Tratamento de Dados'!S18</f>
        <v>2</v>
      </c>
      <c r="J10" s="209" t="s">
        <v>1146</v>
      </c>
      <c r="K10" s="210">
        <v>39092</v>
      </c>
      <c r="L10" s="209">
        <v>0</v>
      </c>
      <c r="M10" s="209">
        <v>1</v>
      </c>
      <c r="N10" s="209">
        <v>1</v>
      </c>
      <c r="O10" s="209">
        <v>4</v>
      </c>
      <c r="P10" s="253">
        <f>'Tratamento de Dados'!DA18</f>
        <v>0</v>
      </c>
      <c r="Q10" s="253">
        <f>'Tratamento de Dados'!DB18</f>
        <v>0</v>
      </c>
      <c r="R10" s="256">
        <f t="shared" si="0"/>
        <v>2.5</v>
      </c>
      <c r="S10" s="246" t="str">
        <f t="shared" si="1"/>
        <v>B</v>
      </c>
      <c r="T10" s="238" t="str">
        <f>IF(D10=$BX$2,$BV$5,IF(F10=$BX$3,$BV$2,INDEX(IF(I10&lt;427,'Tables - Part 2'!$DH$6:$DJ$10,'Tables - Part 2'!$DH$14:$DJ$18),MATCH(SCC_Polythionic_Acid!H10,'Tables - Part 2'!$DG$6:$DG$10,0),MATCH(J10,'Tables - Part 2'!$DH$5:$DJ$5,0))))</f>
        <v>High</v>
      </c>
      <c r="U10" s="238" t="str">
        <f t="shared" si="6"/>
        <v>High</v>
      </c>
      <c r="V10" s="238">
        <f>IF(AND(D10=$BX$2,E10&lt;&gt;$BX$2),"Fitness-For-Service",INDEX('Tables - Part 2'!$DM$4:$DM$7,MATCH(SCC_Polythionic_Acid!U10,'Tables - Part 2'!$DL$4:$DL$7,0),))</f>
        <v>5000</v>
      </c>
      <c r="W10" s="238">
        <f>IF(K10=0,(Thinning!G11-Thinning!F11)/365.25,(Thinning!G11-K10)/365.25)</f>
        <v>12.980150581793293</v>
      </c>
      <c r="X10" s="248">
        <f t="shared" si="2"/>
        <v>0</v>
      </c>
      <c r="Y10" s="248">
        <f t="shared" si="3"/>
        <v>2.5</v>
      </c>
      <c r="Z10" s="247">
        <f t="shared" si="7"/>
        <v>3</v>
      </c>
      <c r="AA10" s="247">
        <f t="shared" si="4"/>
        <v>4</v>
      </c>
      <c r="AB10" s="248">
        <f>IF($R10=$AB$3,INDEX('Tables - Part 2'!$AX$6:$BA$13,MATCH(SCC_Polythionic_Acid!V10,'Tables - Part 2'!$AV$6:$AV$13,0),MATCH(SCC_Polythionic_Acid!S10,'Tables - Part 2'!$AX$5:$BA$5,0)),0)</f>
        <v>0</v>
      </c>
      <c r="AC10" s="248">
        <f>IF($R10=$AC$3,(INDEX('Tables - Part 2'!$AX$6:$BA$13,MATCH(SCC_Polythionic_Acid!V10,'Tables - Part 2'!$AV$6:$AV$13,0),MATCH(SCC_Polythionic_Acid!S10,'Tables - Part 2'!$AX$5:$BA$5,0))+(INDEX('Tables - Part 2'!$AX$6:$BA$13,MATCH(SCC_Polythionic_Acid!V10,'Tables - Part 2'!$AV$6:$AV$13,0),MATCH(SCC_Polythionic_Acid!S10,'Tables - Part 2'!$AX$5:$BA$5,0))+((INDEX('Tables - Part 2'!$AX$6:$BA$13,MATCH(SCC_Polythionic_Acid!V10,'Tables - Part 2'!$AV$6:$AV$13,0),MATCH(SCC_Polythionic_Acid!S10,'Tables - Part 2'!$AX$5:$BA$5,0))+INDEX('Tables - Part 2'!$BB$6:$BE$13,MATCH(SCC_Polythionic_Acid!$V10,'Tables - Part 2'!$AV$6:$AV$13,0),MATCH(SCC_Polythionic_Acid!$S10,'Tables - Part 2'!$AX$5:$BA$5,0)))/2))/2)/2,0)</f>
        <v>0</v>
      </c>
      <c r="AD10" s="248">
        <f>IF($R10=$AD$3,(INDEX('Tables - Part 2'!$AX$6:$BA$13,MATCH(SCC_Polythionic_Acid!V10,'Tables - Part 2'!$AV$6:$AV$13,0),MATCH(SCC_Polythionic_Acid!S10,'Tables - Part 2'!$AX$5:$BA$5,0))+((INDEX('Tables - Part 2'!$AX$6:$BA$13,MATCH(SCC_Polythionic_Acid!V10,'Tables - Part 2'!$AV$6:$AV$13,0),MATCH(SCC_Polythionic_Acid!S10,'Tables - Part 2'!$AX$5:$BA$5,0))+INDEX('Tables - Part 2'!$BB$6:$BE$13,MATCH(SCC_Polythionic_Acid!$V10,'Tables - Part 2'!$AV$6:$AV$13,0),MATCH(SCC_Polythionic_Acid!$S10,'Tables - Part 2'!$AX$5:$BA$5,0)))/2))/2,0)</f>
        <v>0</v>
      </c>
      <c r="AE10" s="248">
        <f>IF($R10=$AE$3,(((INDEX('Tables - Part 2'!$AX$6:$BA$13,MATCH(SCC_Polythionic_Acid!V10,'Tables - Part 2'!$AV$6:$AV$13,0),MATCH(SCC_Polythionic_Acid!S10,'Tables - Part 2'!$AX$5:$BA$5,0))+((INDEX('Tables - Part 2'!$AX$6:$BA$13,MATCH(SCC_Polythionic_Acid!V10,'Tables - Part 2'!$AV$6:$AV$13,0),MATCH(SCC_Polythionic_Acid!S10,'Tables - Part 2'!$AX$5:$BA$5,0))+INDEX('Tables - Part 2'!$BB$6:$BE$13,MATCH(SCC_Polythionic_Acid!$V10,'Tables - Part 2'!$AV$6:$AV$13,0),MATCH(SCC_Polythionic_Acid!$S10,'Tables - Part 2'!$AX$5:$BA$5,0)))/2))/2)+(INDEX('Tables - Part 2'!$AX$6:$BA$13,MATCH(SCC_Polythionic_Acid!V10,'Tables - Part 2'!$AV$6:$AV$13,0),MATCH(SCC_Polythionic_Acid!S10,'Tables - Part 2'!$AX$5:$BA$5,0))+INDEX('Tables - Part 2'!$BB$6:$BE$13,MATCH(SCC_Polythionic_Acid!$V10,'Tables - Part 2'!$AV$6:$AV$13,0),MATCH(SCC_Polythionic_Acid!$S10,'Tables - Part 2'!$AX$5:$BA$5,0)))/2)/2,0)</f>
        <v>0</v>
      </c>
      <c r="AF10" s="248">
        <f>IF($R10=$AF$3,(INDEX('Tables - Part 2'!$AX$6:$BA$13,MATCH(SCC_Polythionic_Acid!V10,'Tables - Part 2'!$AV$6:$AV$13,0),MATCH(SCC_Polythionic_Acid!S10,'Tables - Part 2'!$AX$5:$BA$5,0))+INDEX('Tables - Part 2'!$BB$6:$BE$13,MATCH(SCC_Polythionic_Acid!$V10,'Tables - Part 2'!$AV$6:$AV$13,0),MATCH(SCC_Polythionic_Acid!$S10,'Tables - Part 2'!$AX$5:$BA$5,0)))/2,0)</f>
        <v>0</v>
      </c>
      <c r="AG10" s="248">
        <f>IF($R10=$AG$3,(((INDEX('Tables - Part 2'!$AX$6:$BA$13,MATCH(SCC_Polythionic_Acid!V10,'Tables - Part 2'!$AV$6:$AV$13,0),MATCH(SCC_Polythionic_Acid!S10,'Tables - Part 2'!$AX$5:$BA$5,0))+INDEX('Tables - Part 2'!$BB$6:$BE$13,MATCH(SCC_Polythionic_Acid!$V10,'Tables - Part 2'!$AV$6:$AV$13,0),MATCH(SCC_Polythionic_Acid!$S10,'Tables - Part 2'!$AX$5:$BA$5,0)))/2)+(((INDEX('Tables - Part 2'!$AX$6:$BA$13,MATCH(SCC_Polythionic_Acid!V10,'Tables - Part 2'!$AV$6:$AV$13,0),MATCH(SCC_Polythionic_Acid!S10,'Tables - Part 2'!$AX$5:$BA$5,0))+INDEX('Tables - Part 2'!$BB$6:$BE$13,MATCH(SCC_Polythionic_Acid!$V10,'Tables - Part 2'!$AV$6:$AV$13,0),MATCH(SCC_Polythionic_Acid!$S10,'Tables - Part 2'!$AX$5:$BA$5,0)))/2)+INDEX('Tables - Part 2'!$BB$6:$BE$13,MATCH(SCC_Polythionic_Acid!$V10,'Tables - Part 2'!$AV$6:$AV$13,0),MATCH(SCC_Polythionic_Acid!$S10,'Tables - Part 2'!$AX$5:$BA$5,0)))/2)/2,0)</f>
        <v>0</v>
      </c>
      <c r="AH10" s="248">
        <f>IF($R10=$AH$3,(((INDEX('Tables - Part 2'!$AX$6:$BA$13,MATCH(SCC_Polythionic_Acid!V10,'Tables - Part 2'!$AV$6:$AV$13,0),MATCH(SCC_Polythionic_Acid!S10,'Tables - Part 2'!$AX$5:$BA$5,0))+INDEX('Tables - Part 2'!$BB$6:$BE$13,MATCH(SCC_Polythionic_Acid!$V10,'Tables - Part 2'!$AV$6:$AV$13,0),MATCH(SCC_Polythionic_Acid!$S10,'Tables - Part 2'!$AX$5:$BA$5,0)))/2)+INDEX('Tables - Part 2'!$BB$6:$BE$13,MATCH(SCC_Polythionic_Acid!$V10,'Tables - Part 2'!$AV$6:$AV$13,0),MATCH(SCC_Polythionic_Acid!$S10,'Tables - Part 2'!$AX$5:$BA$5,0)))/2,0)</f>
        <v>0</v>
      </c>
      <c r="AI10" s="248">
        <f>IF($R10=$AI$3,(((((INDEX('Tables - Part 2'!$AX$6:$BA$13,MATCH(SCC_Polythionic_Acid!V10,'Tables - Part 2'!$AV$6:$AV$13,0),MATCH(SCC_Polythionic_Acid!S10,'Tables - Part 2'!$AX$5:$BA$5,0))+INDEX('Tables - Part 2'!$BB$6:$BE$13,MATCH(SCC_Polythionic_Acid!$V10,'Tables - Part 2'!$AV$6:$AV$13,0),MATCH(SCC_Polythionic_Acid!$S10,'Tables - Part 2'!$AX$5:$BA$5,0)))/2)+INDEX('Tables - Part 2'!$BB$6:$BE$13,MATCH(SCC_Polythionic_Acid!$V10,'Tables - Part 2'!$AV$6:$AV$13,0),MATCH(SCC_Polythionic_Acid!$S10,'Tables - Part 2'!$AX$5:$BA$5,0)))/2)+INDEX('Tables - Part 2'!$BB$6:$BE$13,MATCH(SCC_Polythionic_Acid!$V10,'Tables - Part 2'!$AV$6:$AV$13,0),MATCH(SCC_Polythionic_Acid!$S10,'Tables - Part 2'!$AX$5:$BA$5,0)))/2,0)</f>
        <v>0</v>
      </c>
      <c r="AJ10" s="248">
        <f>IF($R10=$AJ$3,INDEX('Tables - Part 2'!$BB$6:$BE$13,MATCH(SCC_Polythionic_Acid!$V10,'Tables - Part 2'!$AV$6:$AV$13,0),MATCH(SCC_Polythionic_Acid!$S10,'Tables - Part 2'!$AX$5:$BA$5,0)),0)</f>
        <v>0</v>
      </c>
      <c r="AK10" s="248">
        <f>IF($R10=$AK$3,((INDEX('Tables - Part 2'!$BB$6:$BE$13,MATCH(SCC_Polythionic_Acid!$V10,'Tables - Part 2'!$AV$6:$AV$13,0),MATCH(SCC_Polythionic_Acid!$S10,'Tables - Part 2'!$AX$5:$BA$5,0)))+(INDEX('Tables - Part 2'!$BB$6:$BE$13,MATCH(SCC_Polythionic_Acid!$V10,'Tables - Part 2'!$AV$6:$AV$13,0),MATCH(SCC_Polythionic_Acid!$S10,'Tables - Part 2'!$AX$5:$BA$5,0))+(INDEX('Tables - Part 2'!$BB$6:$BE$13,MATCH(SCC_Polythionic_Acid!$V10,'Tables - Part 2'!$AV$6:$AV$13,0),MATCH(SCC_Polythionic_Acid!$S10,'Tables - Part 2'!$AX$5:$BA$5,0))+INDEX('Tables - Part 2'!$BF$6:$BI$13,MATCH(SCC_Polythionic_Acid!$V10,'Tables - Part 2'!$AV$6:$AV$13,0),MATCH(SCC_Polythionic_Acid!$S10,'Tables - Part 2'!$AX$5:$BA$5,0)))/2)/2)/2,0)</f>
        <v>0</v>
      </c>
      <c r="AL10" s="248">
        <f>IF($R10=$AL$3,(INDEX('Tables - Part 2'!$BB$6:$BE$13,MATCH(SCC_Polythionic_Acid!$V10,'Tables - Part 2'!$AV$6:$AV$13,0),MATCH(SCC_Polythionic_Acid!$S10,'Tables - Part 2'!$AX$5:$BA$5,0))+(INDEX('Tables - Part 2'!$BB$6:$BE$13,MATCH(SCC_Polythionic_Acid!$V10,'Tables - Part 2'!$AV$6:$AV$13,0),MATCH(SCC_Polythionic_Acid!$S10,'Tables - Part 2'!$AX$5:$BA$5,0))+INDEX('Tables - Part 2'!$BF$6:$BI$13,MATCH(SCC_Polythionic_Acid!$V10,'Tables - Part 2'!$AV$6:$AV$13,0),MATCH(SCC_Polythionic_Acid!$S10,'Tables - Part 2'!$AX$5:$BA$5,0)))/2)/2,0)</f>
        <v>0</v>
      </c>
      <c r="AM10" s="248">
        <f>IF($R10=$AM$3,(((INDEX('Tables - Part 2'!$BB$6:$BE$13,MATCH(SCC_Polythionic_Acid!$V10,'Tables - Part 2'!$AV$6:$AV$13,0),MATCH(SCC_Polythionic_Acid!$S10,'Tables - Part 2'!$AX$5:$BA$5,0))+(INDEX('Tables - Part 2'!$BB$6:$BE$13,MATCH(SCC_Polythionic_Acid!$V10,'Tables - Part 2'!$AV$6:$AV$13,0),MATCH(SCC_Polythionic_Acid!$S10,'Tables - Part 2'!$AX$5:$BA$5,0))+INDEX('Tables - Part 2'!$BF$6:$BI$13,MATCH(SCC_Polythionic_Acid!$V10,'Tables - Part 2'!$AV$6:$AV$13,0),MATCH(SCC_Polythionic_Acid!$S10,'Tables - Part 2'!$AX$5:$BA$5,0)))/2)/2)+((INDEX('Tables - Part 2'!$BB$6:$BE$13,MATCH(SCC_Polythionic_Acid!$V10,'Tables - Part 2'!$AV$6:$AV$13,0),MATCH(SCC_Polythionic_Acid!$S10,'Tables - Part 2'!$AX$5:$BA$5,0))+INDEX('Tables - Part 2'!$BF$6:$BI$13,MATCH(SCC_Polythionic_Acid!$V10,'Tables - Part 2'!$AV$6:$AV$13,0),MATCH(SCC_Polythionic_Acid!$S10,'Tables - Part 2'!$AX$5:$BA$5,0)))/2))/2,0)</f>
        <v>0</v>
      </c>
      <c r="AN10" s="248">
        <f>IF($R10=$AN$3,(INDEX('Tables - Part 2'!$BB$6:$BE$13,MATCH(SCC_Polythionic_Acid!$V10,'Tables - Part 2'!$AV$6:$AV$13,0),MATCH(SCC_Polythionic_Acid!$S10,'Tables - Part 2'!$AX$5:$BA$5,0))+INDEX('Tables - Part 2'!$BF$6:$BI$13,MATCH(SCC_Polythionic_Acid!$V10,'Tables - Part 2'!$AV$6:$AV$13,0),MATCH(SCC_Polythionic_Acid!$S10,'Tables - Part 2'!$AX$5:$BA$5,0)))/2,0)</f>
        <v>165</v>
      </c>
      <c r="AO10" s="248">
        <f>IF($R10=$AO$3,(((INDEX('Tables - Part 2'!$BB$6:$BE$13,MATCH(SCC_Polythionic_Acid!$V10,'Tables - Part 2'!$AV$6:$AV$13,0),MATCH(SCC_Polythionic_Acid!$S10,'Tables - Part 2'!$AX$5:$BA$5,0))+INDEX('Tables - Part 2'!$BF$6:$BI$13,MATCH(SCC_Polythionic_Acid!$V10,'Tables - Part 2'!$AV$6:$AV$13,0),MATCH(SCC_Polythionic_Acid!$S10,'Tables - Part 2'!$AX$5:$BA$5,0)))/2)+((((INDEX('Tables - Part 2'!$BB$6:$BE$13,MATCH(SCC_Polythionic_Acid!$V10,'Tables - Part 2'!$AV$6:$AV$13,0),MATCH(SCC_Polythionic_Acid!$S10,'Tables - Part 2'!$AX$5:$BA$5,0))+INDEX('Tables - Part 2'!$BF$6:$BI$13,MATCH(SCC_Polythionic_Acid!$V10,'Tables - Part 2'!$AV$6:$AV$13,0),MATCH(SCC_Polythionic_Acid!$S10,'Tables - Part 2'!$AX$5:$BA$5,0)))/2)+INDEX('Tables - Part 2'!$BF$6:$BI$13,MATCH(SCC_Polythionic_Acid!$V10,'Tables - Part 2'!$AV$6:$AV$13,0),MATCH(SCC_Polythionic_Acid!$S10,'Tables - Part 2'!$AX$5:$BA$5,0)))/2))/2,0)</f>
        <v>0</v>
      </c>
      <c r="AP10" s="248">
        <f>IF($R10=$AP$3,(((INDEX('Tables - Part 2'!$BB$6:$BE$13,MATCH(SCC_Polythionic_Acid!$V10,'Tables - Part 2'!$AV$6:$AV$13,0),MATCH(SCC_Polythionic_Acid!$S10,'Tables - Part 2'!$AX$5:$BA$5,0))+INDEX('Tables - Part 2'!$BF$6:$BI$13,MATCH(SCC_Polythionic_Acid!$V10,'Tables - Part 2'!$AV$6:$AV$13,0),MATCH(SCC_Polythionic_Acid!$S10,'Tables - Part 2'!$AX$5:$BA$5,0)))/2)+INDEX('Tables - Part 2'!$BF$6:$BI$13,MATCH(SCC_Polythionic_Acid!$V10,'Tables - Part 2'!$AV$6:$AV$13,0),MATCH(SCC_Polythionic_Acid!$S10,'Tables - Part 2'!$AX$5:$BA$5,0)))/2,0)</f>
        <v>0</v>
      </c>
      <c r="AQ10" s="248">
        <f>IF($R10=$AQ$3,(((((INDEX('Tables - Part 2'!$BB$6:$BE$13,MATCH(SCC_Polythionic_Acid!$V10,'Tables - Part 2'!$AV$6:$AV$13,0),MATCH(SCC_Polythionic_Acid!$S10,'Tables - Part 2'!$AX$5:$BA$5,0))+INDEX('Tables - Part 2'!$BF$6:$BI$13,MATCH(SCC_Polythionic_Acid!$V10,'Tables - Part 2'!$AV$6:$AV$13,0),MATCH(SCC_Polythionic_Acid!$S10,'Tables - Part 2'!$AX$5:$BA$5,0)))/2)+INDEX('Tables - Part 2'!$BF$6:$BI$13,MATCH(SCC_Polythionic_Acid!$V10,'Tables - Part 2'!$AV$6:$AV$13,0),MATCH(SCC_Polythionic_Acid!$S10,'Tables - Part 2'!$AX$5:$BA$5,0)))/2)+INDEX('Tables - Part 2'!$BF$6:$BI$13,MATCH(SCC_Polythionic_Acid!$V10,'Tables - Part 2'!$AV$6:$AV$13,0),MATCH(SCC_Polythionic_Acid!$S10,'Tables - Part 2'!$AX$5:$BA$5,0)))/2,0)</f>
        <v>0</v>
      </c>
      <c r="AR10" s="248">
        <f>IF($R10=$AR$3,INDEX('Tables - Part 2'!$BF$6:$BI$13,MATCH(SCC_Polythionic_Acid!$V10,'Tables - Part 2'!$AV$6:$AV$13,0),MATCH(SCC_Polythionic_Acid!$S10,'Tables - Part 2'!$AX$5:$BA$5,0)),0)</f>
        <v>0</v>
      </c>
      <c r="AS10" s="248">
        <f>IF($R10=$AS$3,(INDEX('Tables - Part 2'!$BF$6:$BI$13,MATCH(SCC_Polythionic_Acid!$V10,'Tables - Part 2'!$AV$6:$AV$13,0),MATCH(SCC_Polythionic_Acid!$S10,'Tables - Part 2'!$AX$5:$BA$5,0))+((INDEX('Tables - Part 2'!$BF$6:$BI$13,MATCH(SCC_Polythionic_Acid!$V10,'Tables - Part 2'!$AV$6:$AV$13,0),MATCH(SCC_Polythionic_Acid!$S10,'Tables - Part 2'!$AX$5:$BA$5,0))+(INDEX('Tables - Part 2'!$BF$6:$BI$13,MATCH(SCC_Polythionic_Acid!$V10,'Tables - Part 2'!$AV$6:$AV$13,0),MATCH(SCC_Polythionic_Acid!$S10,'Tables - Part 2'!$AX$5:$BA$5,0))+INDEX('Tables - Part 2'!$AX$17:$BA$24,MATCH(SCC_Polythionic_Acid!$V10,'Tables - Part 2'!$AV$6:$AV$13,0),MATCH(SCC_Polythionic_Acid!$S10,'Tables - Part 2'!$AX$5:$BA$5,0)))/2)/2))/2,0)</f>
        <v>0</v>
      </c>
      <c r="AT10" s="248">
        <f>IF($R10=$AT$3,(INDEX('Tables - Part 2'!$BF$6:$BI$13,MATCH(SCC_Polythionic_Acid!$V10,'Tables - Part 2'!$AV$6:$AV$13,0),MATCH(SCC_Polythionic_Acid!$S10,'Tables - Part 2'!$AX$5:$BA$5,0))+(INDEX('Tables - Part 2'!$BF$6:$BI$13,MATCH(SCC_Polythionic_Acid!$V10,'Tables - Part 2'!$AV$6:$AV$13,0),MATCH(SCC_Polythionic_Acid!$S10,'Tables - Part 2'!$AX$5:$BA$5,0))+INDEX('Tables - Part 2'!$AX$17:$BA$24,MATCH(SCC_Polythionic_Acid!$V10,'Tables - Part 2'!$AV$6:$AV$13,0),MATCH(SCC_Polythionic_Acid!$S10,'Tables - Part 2'!$AX$5:$BA$5,0)))/2)/2,0)</f>
        <v>0</v>
      </c>
      <c r="AU10" s="248">
        <f>IF($R10=$AU$3,(((INDEX('Tables - Part 2'!$BF$6:$BI$13,MATCH(SCC_Polythionic_Acid!$V10,'Tables - Part 2'!$AV$6:$AV$13,0),MATCH(SCC_Polythionic_Acid!$S10,'Tables - Part 2'!$AX$5:$BA$5,0))+(INDEX('Tables - Part 2'!$BF$6:$BI$13,MATCH(SCC_Polythionic_Acid!$V10,'Tables - Part 2'!$AV$6:$AV$13,0),MATCH(SCC_Polythionic_Acid!$S10,'Tables - Part 2'!$AX$5:$BA$5,0))+INDEX('Tables - Part 2'!$AX$17:$BA$24,MATCH(SCC_Polythionic_Acid!$V10,'Tables - Part 2'!$AV$6:$AV$13,0),MATCH(SCC_Polythionic_Acid!$S10,'Tables - Part 2'!$AX$5:$BA$5,0)))/2)/2)+((INDEX('Tables - Part 2'!$BF$6:$BI$13,MATCH(SCC_Polythionic_Acid!$V10,'Tables - Part 2'!$AV$6:$AV$13,0),MATCH(SCC_Polythionic_Acid!$S10,'Tables - Part 2'!$AX$5:$BA$5,0))+INDEX('Tables - Part 2'!$AX$17:$BA$24,MATCH(SCC_Polythionic_Acid!$V10,'Tables - Part 2'!$AV$6:$AV$13,0),MATCH(SCC_Polythionic_Acid!$S10,'Tables - Part 2'!$AX$5:$BA$5,0)))/2))/2,0)</f>
        <v>0</v>
      </c>
      <c r="AV10" s="248">
        <f>IF($R10=$AV$3,(INDEX('Tables - Part 2'!$BF$6:$BI$13,MATCH(SCC_Polythionic_Acid!$V10,'Tables - Part 2'!$AV$6:$AV$13,0),MATCH(SCC_Polythionic_Acid!$S10,'Tables - Part 2'!$AX$5:$BA$5,0))+INDEX('Tables - Part 2'!$AX$17:$BA$24,MATCH(SCC_Polythionic_Acid!$V10,'Tables - Part 2'!$AV$6:$AV$13,0),MATCH(SCC_Polythionic_Acid!$S10,'Tables - Part 2'!$AX$5:$BA$5,0)))/2,0)</f>
        <v>0</v>
      </c>
      <c r="AW10" s="248">
        <f>IF($R10=$AW$3,(((INDEX('Tables - Part 2'!$BF$6:$BI$13,MATCH(SCC_Polythionic_Acid!$V10,'Tables - Part 2'!$AV$6:$AV$13,0),MATCH(SCC_Polythionic_Acid!$S10,'Tables - Part 2'!$AX$5:$BA$5,0))+INDEX('Tables - Part 2'!$AX$17:$BA$24,MATCH(SCC_Polythionic_Acid!$V10,'Tables - Part 2'!$AV$6:$AV$13,0),MATCH(SCC_Polythionic_Acid!$S10,'Tables - Part 2'!$AX$5:$BA$5,0)))/2)+((((INDEX('Tables - Part 2'!$BF$6:$BI$13,MATCH(SCC_Polythionic_Acid!$V10,'Tables - Part 2'!$AV$6:$AV$13,0),MATCH(SCC_Polythionic_Acid!$S10,'Tables - Part 2'!$AX$5:$BA$5,0))+INDEX('Tables - Part 2'!$AX$17:$BA$24,MATCH(SCC_Polythionic_Acid!$V10,'Tables - Part 2'!$AV$6:$AV$13,0),MATCH(SCC_Polythionic_Acid!$S10,'Tables - Part 2'!$AX$5:$BA$5,0)))/2)+INDEX('Tables - Part 2'!$AX$17:$BA$24,MATCH(SCC_Polythionic_Acid!$V10,'Tables - Part 2'!$AV$6:$AV$13,0),MATCH(SCC_Polythionic_Acid!$S10,'Tables - Part 2'!$AX$5:$BA$5,0)))/2))/2,0)</f>
        <v>0</v>
      </c>
      <c r="AX10" s="248">
        <f>IF($R10=$AX$3,(((INDEX('Tables - Part 2'!$BF$6:$BI$13,MATCH(SCC_Polythionic_Acid!$V10,'Tables - Part 2'!$AV$6:$AV$13,0),MATCH(SCC_Polythionic_Acid!$S10,'Tables - Part 2'!$AX$5:$BA$5,0))+INDEX('Tables - Part 2'!$AX$17:$BA$24,MATCH(SCC_Polythionic_Acid!$V10,'Tables - Part 2'!$AV$6:$AV$13,0),MATCH(SCC_Polythionic_Acid!$S10,'Tables - Part 2'!$AX$5:$BA$5,0)))/2)+INDEX('Tables - Part 2'!$AX$17:$BA$24,MATCH(SCC_Polythionic_Acid!$V10,'Tables - Part 2'!$AV$6:$AV$13,0),MATCH(SCC_Polythionic_Acid!$S10,'Tables - Part 2'!$AX$5:$BA$5,0)))/2,0)</f>
        <v>0</v>
      </c>
      <c r="AY10" s="248">
        <f>IF($R10=$AY$3,(((((INDEX('Tables - Part 2'!$BF$6:$BI$13,MATCH(SCC_Polythionic_Acid!$V10,'Tables - Part 2'!$AV$6:$AV$13,0),MATCH(SCC_Polythionic_Acid!$S10,'Tables - Part 2'!$AX$5:$BA$5,0))+INDEX('Tables - Part 2'!$AX$17:$BA$24,MATCH(SCC_Polythionic_Acid!$V10,'Tables - Part 2'!$AV$6:$AV$13,0),MATCH(SCC_Polythionic_Acid!$S10,'Tables - Part 2'!$AX$5:$BA$5,0)))/2)+INDEX('Tables - Part 2'!$AX$17:$BA$24,MATCH(SCC_Polythionic_Acid!$V10,'Tables - Part 2'!$AV$6:$AV$13,0),MATCH(SCC_Polythionic_Acid!$S10,'Tables - Part 2'!$AX$5:$BA$5,0)))/2)+(INDEX('Tables - Part 2'!$AX$17:$BA$24,MATCH(SCC_Polythionic_Acid!$V10,'Tables - Part 2'!$AV$6:$AV$13,0),MATCH(SCC_Polythionic_Acid!$S10,'Tables - Part 2'!$AX$5:$BA$5,0))))/2,0)</f>
        <v>0</v>
      </c>
      <c r="AZ10" s="248">
        <f>IF($R10=$AZ$3,INDEX('Tables - Part 2'!$AX$17:$BA$24,MATCH(SCC_Polythionic_Acid!$V10,'Tables - Part 2'!$AV$6:$AV$13,0),MATCH(SCC_Polythionic_Acid!$S10,'Tables - Part 2'!$AX$5:$BA$5,0)),0)</f>
        <v>0</v>
      </c>
      <c r="BA10" s="248">
        <f>IF($R10=$BA$3,((INDEX('Tables - Part 2'!$AX$17:$BA$24,MATCH(SCC_Polythionic_Acid!$V10,'Tables - Part 2'!$AV$6:$AV$13,0),MATCH(SCC_Polythionic_Acid!$S10,'Tables - Part 2'!$AX$5:$BA$5,0)))+(((INDEX('Tables - Part 2'!$AX$17:$BA$24,MATCH(SCC_Polythionic_Acid!$V10,'Tables - Part 2'!$AV$6:$AV$13,0),MATCH(SCC_Polythionic_Acid!$S10,'Tables - Part 2'!$AX$5:$BA$5,0)))+(INDEX('Tables - Part 2'!$AX$17:$BA$24,MATCH(SCC_Polythionic_Acid!$V10,'Tables - Part 2'!$AV$6:$AV$13,0),MATCH(SCC_Polythionic_Acid!$S10,'Tables - Part 2'!$AX$5:$BA$5,0))+INDEX('Tables - Part 2'!$BB$17:$BE$24,MATCH(SCC_Polythionic_Acid!$V10,'Tables - Part 2'!$AV$6:$AV$13,0),MATCH(SCC_Polythionic_Acid!$S10,'Tables - Part 2'!$AX$5:$BA$5,0)))/2)/2))/2,0)</f>
        <v>0</v>
      </c>
      <c r="BB10" s="248">
        <f>IF($R10=$BB$3,((INDEX('Tables - Part 2'!$AX$17:$BA$24,MATCH(SCC_Polythionic_Acid!$V10,'Tables - Part 2'!$AV$6:$AV$13,0),MATCH(SCC_Polythionic_Acid!$S10,'Tables - Part 2'!$AX$5:$BA$5,0)))+(INDEX('Tables - Part 2'!$AX$17:$BA$24,MATCH(SCC_Polythionic_Acid!$V10,'Tables - Part 2'!$AV$6:$AV$13,0),MATCH(SCC_Polythionic_Acid!$S10,'Tables - Part 2'!$AX$5:$BA$5,0))+INDEX('Tables - Part 2'!$BB$17:$BE$24,MATCH(SCC_Polythionic_Acid!$V10,'Tables - Part 2'!$AV$6:$AV$13,0),MATCH(SCC_Polythionic_Acid!$S10,'Tables - Part 2'!$AX$5:$BA$5,0)))/2)/2,0)</f>
        <v>0</v>
      </c>
      <c r="BC10" s="248">
        <f>IF($R10=$BC$3,((((INDEX('Tables - Part 2'!$AX$17:$BA$24,MATCH(SCC_Polythionic_Acid!$V10,'Tables - Part 2'!$AV$6:$AV$13,0),MATCH(SCC_Polythionic_Acid!$S10,'Tables - Part 2'!$AX$5:$BA$5,0)))+(INDEX('Tables - Part 2'!$AX$17:$BA$24,MATCH(SCC_Polythionic_Acid!$V10,'Tables - Part 2'!$AV$6:$AV$13,0),MATCH(SCC_Polythionic_Acid!$S10,'Tables - Part 2'!$AX$5:$BA$5,0))+INDEX('Tables - Part 2'!$BB$17:$BE$24,MATCH(SCC_Polythionic_Acid!$V10,'Tables - Part 2'!$AV$6:$AV$13,0),MATCH(SCC_Polythionic_Acid!$S10,'Tables - Part 2'!$AX$5:$BA$5,0)))/2)/2)+((INDEX('Tables - Part 2'!$AX$17:$BA$24,MATCH(SCC_Polythionic_Acid!$V10,'Tables - Part 2'!$AV$6:$AV$13,0),MATCH(SCC_Polythionic_Acid!$S10,'Tables - Part 2'!$AX$5:$BA$5,0))+INDEX('Tables - Part 2'!$BB$17:$BE$24,MATCH(SCC_Polythionic_Acid!$V10,'Tables - Part 2'!$AV$6:$AV$13,0),MATCH(SCC_Polythionic_Acid!$S10,'Tables - Part 2'!$AX$5:$BA$5,0)))/2))/2,0)</f>
        <v>0</v>
      </c>
      <c r="BD10" s="248">
        <f>IF($R10=$BD$3,(INDEX('Tables - Part 2'!$AX$17:$BA$24,MATCH(SCC_Polythionic_Acid!$V10,'Tables - Part 2'!$AV$6:$AV$13,0),MATCH(SCC_Polythionic_Acid!$S10,'Tables - Part 2'!$AX$5:$BA$5,0))+INDEX('Tables - Part 2'!$BB$17:$BE$24,MATCH(SCC_Polythionic_Acid!$V10,'Tables - Part 2'!$AV$6:$AV$13,0),MATCH(SCC_Polythionic_Acid!$S10,'Tables - Part 2'!$AX$5:$BA$5,0)))/2,0)</f>
        <v>0</v>
      </c>
      <c r="BE10" s="248">
        <f>IF($R10=$BE$3,(((INDEX('Tables - Part 2'!$AX$17:$BA$24,MATCH(SCC_Polythionic_Acid!$V10,'Tables - Part 2'!$AV$6:$AV$13,0),MATCH(SCC_Polythionic_Acid!$S10,'Tables - Part 2'!$AX$5:$BA$5,0))+INDEX('Tables - Part 2'!$BB$17:$BE$24,MATCH(SCC_Polythionic_Acid!$V10,'Tables - Part 2'!$AV$6:$AV$13,0),MATCH(SCC_Polythionic_Acid!$S10,'Tables - Part 2'!$AX$5:$BA$5,0)))/2)+((((INDEX('Tables - Part 2'!$AX$17:$BA$24,MATCH(SCC_Polythionic_Acid!$V10,'Tables - Part 2'!$AV$6:$AV$13,0),MATCH(SCC_Polythionic_Acid!$S10,'Tables - Part 2'!$AX$5:$BA$5,0))+INDEX('Tables - Part 2'!$BB$17:$BE$24,MATCH(SCC_Polythionic_Acid!$V10,'Tables - Part 2'!$AV$6:$AV$13,0),MATCH(SCC_Polythionic_Acid!$S10,'Tables - Part 2'!$AX$5:$BA$5,0)))/2)+INDEX('Tables - Part 2'!$BB$17:$BE$24,MATCH(SCC_Polythionic_Acid!$V10,'Tables - Part 2'!$AV$6:$AV$13,0),MATCH(SCC_Polythionic_Acid!$S10,'Tables - Part 2'!$AX$5:$BA$5,0)))/2))/2,0)</f>
        <v>0</v>
      </c>
      <c r="BF10" s="248">
        <f>IF($R10=$BF$3,(((INDEX('Tables - Part 2'!$AX$17:$BA$24,MATCH(SCC_Polythionic_Acid!$V10,'Tables - Part 2'!$AV$6:$AV$13,0),MATCH(SCC_Polythionic_Acid!$S10,'Tables - Part 2'!$AX$5:$BA$5,0))+INDEX('Tables - Part 2'!$BB$17:$BE$24,MATCH(SCC_Polythionic_Acid!$V10,'Tables - Part 2'!$AV$6:$AV$13,0),MATCH(SCC_Polythionic_Acid!$S10,'Tables - Part 2'!$AX$5:$BA$5,0)))/2)+INDEX('Tables - Part 2'!$BB$17:$BE$24,MATCH(SCC_Polythionic_Acid!$V10,'Tables - Part 2'!$AV$6:$AV$13,0),MATCH(SCC_Polythionic_Acid!$S10,'Tables - Part 2'!$AX$5:$BA$5,0)))/2,0)</f>
        <v>0</v>
      </c>
      <c r="BG10" s="248">
        <f>IF($R10=$BG$3,(((((INDEX('Tables - Part 2'!$AX$17:$BA$24,MATCH(SCC_Polythionic_Acid!$V10,'Tables - Part 2'!$AV$6:$AV$13,0),MATCH(SCC_Polythionic_Acid!$S10,'Tables - Part 2'!$AX$5:$BA$5,0))+INDEX('Tables - Part 2'!$BB$17:$BE$24,MATCH(SCC_Polythionic_Acid!$V10,'Tables - Part 2'!$AV$6:$AV$13,0),MATCH(SCC_Polythionic_Acid!$S10,'Tables - Part 2'!$AX$5:$BA$5,0)))/2)+INDEX('Tables - Part 2'!$BB$17:$BE$24,MATCH(SCC_Polythionic_Acid!$V10,'Tables - Part 2'!$AV$6:$AV$13,0),MATCH(SCC_Polythionic_Acid!$S10,'Tables - Part 2'!$AX$5:$BA$5,0)))/2)+(INDEX('Tables - Part 2'!$BB$17:$BE$24,MATCH(SCC_Polythionic_Acid!$V10,'Tables - Part 2'!$AV$6:$AV$13,0),MATCH(SCC_Polythionic_Acid!$S10,'Tables - Part 2'!$AX$5:$BA$5,0))))/2,0)</f>
        <v>0</v>
      </c>
      <c r="BH10" s="248">
        <f>IF($R10=$BH$3,INDEX('Tables - Part 2'!$BB$17:$BE$24,MATCH(SCC_Polythionic_Acid!$V10,'Tables - Part 2'!$AV$6:$AV$13,0),MATCH(SCC_Polythionic_Acid!$S10,'Tables - Part 2'!$AX$5:$BA$5,0)),0)</f>
        <v>0</v>
      </c>
      <c r="BI10" s="248">
        <f>IF($R10=$BI$3,((INDEX('Tables - Part 2'!$BB$17:$BE$24,MATCH(SCC_Polythionic_Acid!$V10,'Tables - Part 2'!$AV$6:$AV$13,0),MATCH(SCC_Polythionic_Acid!$S10,'Tables - Part 2'!$AX$5:$BA$5,0)))+(((INDEX('Tables - Part 2'!$BB$17:$BE$24,MATCH(SCC_Polythionic_Acid!$V10,'Tables - Part 2'!$AV$6:$AV$13,0),MATCH(SCC_Polythionic_Acid!$S10,'Tables - Part 2'!$AX$5:$BA$5,0)))+(INDEX('Tables - Part 2'!$BB$17:$BE$24,MATCH(SCC_Polythionic_Acid!$V10,'Tables - Part 2'!$AV$6:$AV$13,0),MATCH(SCC_Polythionic_Acid!$S10,'Tables - Part 2'!$AX$5:$BA$5,0))+INDEX('Tables - Part 2'!$BF$17:$BI$24,MATCH(SCC_Polythionic_Acid!$V10,'Tables - Part 2'!$AV$6:$AV$13,0),MATCH(SCC_Polythionic_Acid!$S10,'Tables - Part 2'!$AX$5:$BA$5,0)))/2)/2))/2,0)</f>
        <v>0</v>
      </c>
      <c r="BJ10" s="248">
        <f>IF($R10=$BJ$3,((INDEX('Tables - Part 2'!$BB$17:$BE$24,MATCH(SCC_Polythionic_Acid!$V10,'Tables - Part 2'!$AV$6:$AV$13,0),MATCH(SCC_Polythionic_Acid!$S10,'Tables - Part 2'!$AX$5:$BA$5,0)))+(INDEX('Tables - Part 2'!$BB$17:$BE$24,MATCH(SCC_Polythionic_Acid!$V10,'Tables - Part 2'!$AV$6:$AV$13,0),MATCH(SCC_Polythionic_Acid!$S10,'Tables - Part 2'!$AX$5:$BA$5,0))+INDEX('Tables - Part 2'!$BF$17:$BI$24,MATCH(SCC_Polythionic_Acid!$V10,'Tables - Part 2'!$AV$6:$AV$13,0),MATCH(SCC_Polythionic_Acid!$S10,'Tables - Part 2'!$AX$5:$BA$5,0)))/2)/2,0)</f>
        <v>0</v>
      </c>
      <c r="BK10" s="248">
        <f>IF($R10=$BK$3,((((INDEX('Tables - Part 2'!$BB$17:$BE$24,MATCH(SCC_Polythionic_Acid!$V10,'Tables - Part 2'!$AV$6:$AV$13,0),MATCH(SCC_Polythionic_Acid!$S10,'Tables - Part 2'!$AX$5:$BA$5,0)))+(INDEX('Tables - Part 2'!$BB$17:$BE$24,MATCH(SCC_Polythionic_Acid!$V10,'Tables - Part 2'!$AV$6:$AV$13,0),MATCH(SCC_Polythionic_Acid!$S10,'Tables - Part 2'!$AX$5:$BA$5,0))+INDEX('Tables - Part 2'!$BF$17:$BI$24,MATCH(SCC_Polythionic_Acid!$V10,'Tables - Part 2'!$AV$6:$AV$13,0),MATCH(SCC_Polythionic_Acid!$S10,'Tables - Part 2'!$AX$5:$BA$5,0)))/2)/2)+((INDEX('Tables - Part 2'!$BB$17:$BE$24,MATCH(SCC_Polythionic_Acid!$V10,'Tables - Part 2'!$AV$6:$AV$13,0),MATCH(SCC_Polythionic_Acid!$S10,'Tables - Part 2'!$AX$5:$BA$5,0))+INDEX('Tables - Part 2'!$BF$17:$BI$24,MATCH(SCC_Polythionic_Acid!$V10,'Tables - Part 2'!$AV$6:$AV$13,0),MATCH(SCC_Polythionic_Acid!$S10,'Tables - Part 2'!$AX$5:$BA$5,0)))/2))/2,0)</f>
        <v>0</v>
      </c>
      <c r="BL10" s="248">
        <f>IF($R10=$BL$3,(INDEX('Tables - Part 2'!$BB$17:$BE$24,MATCH(SCC_Polythionic_Acid!$V10,'Tables - Part 2'!$AV$6:$AV$13,0),MATCH(SCC_Polythionic_Acid!$S10,'Tables - Part 2'!$AX$5:$BA$5,0))+INDEX('Tables - Part 2'!$BF$17:$BI$24,MATCH(SCC_Polythionic_Acid!$V10,'Tables - Part 2'!$AV$6:$AV$13,0),MATCH(SCC_Polythionic_Acid!$S10,'Tables - Part 2'!$AX$5:$BA$5,0)))/2,0)</f>
        <v>0</v>
      </c>
      <c r="BM10" s="248">
        <f>IF($R10=$BM$3,(((INDEX('Tables - Part 2'!$BB$17:$BE$24,MATCH(SCC_Polythionic_Acid!$V10,'Tables - Part 2'!$AV$6:$AV$13,0),MATCH(SCC_Polythionic_Acid!$S10,'Tables - Part 2'!$AX$5:$BA$5,0))+INDEX('Tables - Part 2'!$BF$17:$BI$24,MATCH(SCC_Polythionic_Acid!$V10,'Tables - Part 2'!$AV$6:$AV$13,0),MATCH(SCC_Polythionic_Acid!$S10,'Tables - Part 2'!$AX$5:$BA$5,0)))/2)+((((INDEX('Tables - Part 2'!$BB$17:$BE$24,MATCH(SCC_Polythionic_Acid!$V10,'Tables - Part 2'!$AV$6:$AV$13,0),MATCH(SCC_Polythionic_Acid!$S10,'Tables - Part 2'!$AX$5:$BA$5,0))+INDEX('Tables - Part 2'!$BF$17:$BI$24,MATCH(SCC_Polythionic_Acid!$V10,'Tables - Part 2'!$AV$6:$AV$13,0),MATCH(SCC_Polythionic_Acid!$S10,'Tables - Part 2'!$AX$5:$BA$5,0)))/2)+INDEX('Tables - Part 2'!$BF$17:$BI$24,MATCH(SCC_Polythionic_Acid!$V10,'Tables - Part 2'!$AV$6:$AV$13,0),MATCH(SCC_Polythionic_Acid!$S10,'Tables - Part 2'!$AX$5:$BA$5,0)))/2))/2,0)</f>
        <v>0</v>
      </c>
      <c r="BN10" s="248">
        <f>IF($R10=$BN$3,(((INDEX('Tables - Part 2'!$BB$17:$BE$24,MATCH(SCC_Polythionic_Acid!$V10,'Tables - Part 2'!$AV$6:$AV$13,0),MATCH(SCC_Polythionic_Acid!$S10,'Tables - Part 2'!$AX$5:$BA$5,0))+INDEX('Tables - Part 2'!$BF$17:$BI$24,MATCH(SCC_Polythionic_Acid!$V10,'Tables - Part 2'!$AV$6:$AV$13,0),MATCH(SCC_Polythionic_Acid!$S10,'Tables - Part 2'!$AX$5:$BA$5,0)))/2)+INDEX('Tables - Part 2'!$BF$17:$BI$24,MATCH(SCC_Polythionic_Acid!$V10,'Tables - Part 2'!$AV$6:$AV$13,0),MATCH(SCC_Polythionic_Acid!$S10,'Tables - Part 2'!$AX$5:$BA$5,0)))/2,0)</f>
        <v>0</v>
      </c>
      <c r="BO10" s="248">
        <f>IF($R10=$BO$3,(((((INDEX('Tables - Part 2'!$BB$17:$BE$24,MATCH(SCC_Polythionic_Acid!$V10,'Tables - Part 2'!$AV$6:$AV$13,0),MATCH(SCC_Polythionic_Acid!$S10,'Tables - Part 2'!$AX$5:$BA$5,0))+INDEX('Tables - Part 2'!$BF$17:$BI$24,MATCH(SCC_Polythionic_Acid!$V10,'Tables - Part 2'!$AV$6:$AV$13,0),MATCH(SCC_Polythionic_Acid!$S10,'Tables - Part 2'!$AX$5:$BA$5,0)))/2)+INDEX('Tables - Part 2'!$BF$17:$BI$24,MATCH(SCC_Polythionic_Acid!$V10,'Tables - Part 2'!$AV$6:$AV$13,0),MATCH(SCC_Polythionic_Acid!$S10,'Tables - Part 2'!$AX$5:$BA$5,0)))/2)+(INDEX('Tables - Part 2'!$BF$17:$BI$24,MATCH(SCC_Polythionic_Acid!$V10,'Tables - Part 2'!$AV$6:$AV$13,0),MATCH(SCC_Polythionic_Acid!$S10,'Tables - Part 2'!$AX$5:$BA$5,0))))/2,0)</f>
        <v>0</v>
      </c>
      <c r="BP10" s="248">
        <f>IF($R10=$BP$3,INDEX('Tables - Part 2'!$BF$17:$BI$24,MATCH(SCC_Polythionic_Acid!$V10,'Tables - Part 2'!$AV$6:$AV$13,0),MATCH(SCC_Polythionic_Acid!$S10,'Tables - Part 2'!$AX$5:$BA$5,0)),0)</f>
        <v>0</v>
      </c>
      <c r="BQ10" s="248">
        <f t="shared" si="5"/>
        <v>0</v>
      </c>
      <c r="BR10" s="238">
        <f t="shared" si="8"/>
        <v>165</v>
      </c>
      <c r="BS10" s="238">
        <f t="shared" si="9"/>
        <v>2767.5256072873844</v>
      </c>
    </row>
    <row r="11" spans="2:84" x14ac:dyDescent="0.35">
      <c r="B11" s="161" t="str">
        <f>'Tratamento de Dados'!B19</f>
        <v>V-2</v>
      </c>
      <c r="C11" s="161" t="str">
        <f>'Tratamento de Dados'!D19</f>
        <v>Casco</v>
      </c>
      <c r="D11" s="209" t="s">
        <v>244</v>
      </c>
      <c r="E11" s="209" t="s">
        <v>244</v>
      </c>
      <c r="F11" s="209" t="s">
        <v>244</v>
      </c>
      <c r="G11" s="209" t="s">
        <v>244</v>
      </c>
      <c r="H11" s="209" t="s">
        <v>1145</v>
      </c>
      <c r="I11" s="247">
        <f>'Tratamento de Dados'!S19</f>
        <v>2</v>
      </c>
      <c r="J11" s="209" t="s">
        <v>1146</v>
      </c>
      <c r="K11" s="210">
        <v>39092</v>
      </c>
      <c r="L11" s="209">
        <v>0</v>
      </c>
      <c r="M11" s="209">
        <v>1</v>
      </c>
      <c r="N11" s="209">
        <v>1</v>
      </c>
      <c r="O11" s="209">
        <v>4</v>
      </c>
      <c r="P11" s="253">
        <f>'Tratamento de Dados'!DA19</f>
        <v>0</v>
      </c>
      <c r="Q11" s="253">
        <f>'Tratamento de Dados'!DB19</f>
        <v>0</v>
      </c>
      <c r="R11" s="256">
        <f t="shared" si="0"/>
        <v>2.5</v>
      </c>
      <c r="S11" s="246" t="str">
        <f t="shared" si="1"/>
        <v>B</v>
      </c>
      <c r="T11" s="238" t="str">
        <f>IF(D11=$BX$2,$BV$5,IF(F11=$BX$3,$BV$2,INDEX(IF(I11&lt;427,'Tables - Part 2'!$DH$6:$DJ$10,'Tables - Part 2'!$DH$14:$DJ$18),MATCH(SCC_Polythionic_Acid!H11,'Tables - Part 2'!$DG$6:$DG$10,0),MATCH(J11,'Tables - Part 2'!$DH$5:$DJ$5,0))))</f>
        <v>High</v>
      </c>
      <c r="U11" s="238" t="str">
        <f t="shared" si="6"/>
        <v>High</v>
      </c>
      <c r="V11" s="238">
        <f>IF(AND(D11=$BX$2,E11&lt;&gt;$BX$2),"Fitness-For-Service",INDEX('Tables - Part 2'!$DM$4:$DM$7,MATCH(SCC_Polythionic_Acid!U11,'Tables - Part 2'!$DL$4:$DL$7,0),))</f>
        <v>5000</v>
      </c>
      <c r="W11" s="238">
        <f>IF(K11=0,(Thinning!G12-Thinning!F12)/365.25,(Thinning!G12-K11)/365.25)</f>
        <v>12.980150581793293</v>
      </c>
      <c r="X11" s="248">
        <f t="shared" si="2"/>
        <v>0</v>
      </c>
      <c r="Y11" s="248">
        <f t="shared" si="3"/>
        <v>2.5</v>
      </c>
      <c r="Z11" s="247">
        <f t="shared" si="7"/>
        <v>3</v>
      </c>
      <c r="AA11" s="247">
        <f t="shared" si="4"/>
        <v>4</v>
      </c>
      <c r="AB11" s="248">
        <f>IF($R11=$AB$3,INDEX('Tables - Part 2'!$AX$6:$BA$13,MATCH(SCC_Polythionic_Acid!V11,'Tables - Part 2'!$AV$6:$AV$13,0),MATCH(SCC_Polythionic_Acid!S11,'Tables - Part 2'!$AX$5:$BA$5,0)),0)</f>
        <v>0</v>
      </c>
      <c r="AC11" s="248">
        <f>IF($R11=$AC$3,(INDEX('Tables - Part 2'!$AX$6:$BA$13,MATCH(SCC_Polythionic_Acid!V11,'Tables - Part 2'!$AV$6:$AV$13,0),MATCH(SCC_Polythionic_Acid!S11,'Tables - Part 2'!$AX$5:$BA$5,0))+(INDEX('Tables - Part 2'!$AX$6:$BA$13,MATCH(SCC_Polythionic_Acid!V11,'Tables - Part 2'!$AV$6:$AV$13,0),MATCH(SCC_Polythionic_Acid!S11,'Tables - Part 2'!$AX$5:$BA$5,0))+((INDEX('Tables - Part 2'!$AX$6:$BA$13,MATCH(SCC_Polythionic_Acid!V11,'Tables - Part 2'!$AV$6:$AV$13,0),MATCH(SCC_Polythionic_Acid!S11,'Tables - Part 2'!$AX$5:$BA$5,0))+INDEX('Tables - Part 2'!$BB$6:$BE$13,MATCH(SCC_Polythionic_Acid!$V11,'Tables - Part 2'!$AV$6:$AV$13,0),MATCH(SCC_Polythionic_Acid!$S11,'Tables - Part 2'!$AX$5:$BA$5,0)))/2))/2)/2,0)</f>
        <v>0</v>
      </c>
      <c r="AD11" s="248">
        <f>IF($R11=$AD$3,(INDEX('Tables - Part 2'!$AX$6:$BA$13,MATCH(SCC_Polythionic_Acid!V11,'Tables - Part 2'!$AV$6:$AV$13,0),MATCH(SCC_Polythionic_Acid!S11,'Tables - Part 2'!$AX$5:$BA$5,0))+((INDEX('Tables - Part 2'!$AX$6:$BA$13,MATCH(SCC_Polythionic_Acid!V11,'Tables - Part 2'!$AV$6:$AV$13,0),MATCH(SCC_Polythionic_Acid!S11,'Tables - Part 2'!$AX$5:$BA$5,0))+INDEX('Tables - Part 2'!$BB$6:$BE$13,MATCH(SCC_Polythionic_Acid!$V11,'Tables - Part 2'!$AV$6:$AV$13,0),MATCH(SCC_Polythionic_Acid!$S11,'Tables - Part 2'!$AX$5:$BA$5,0)))/2))/2,0)</f>
        <v>0</v>
      </c>
      <c r="AE11" s="248">
        <f>IF($R11=$AE$3,(((INDEX('Tables - Part 2'!$AX$6:$BA$13,MATCH(SCC_Polythionic_Acid!V11,'Tables - Part 2'!$AV$6:$AV$13,0),MATCH(SCC_Polythionic_Acid!S11,'Tables - Part 2'!$AX$5:$BA$5,0))+((INDEX('Tables - Part 2'!$AX$6:$BA$13,MATCH(SCC_Polythionic_Acid!V11,'Tables - Part 2'!$AV$6:$AV$13,0),MATCH(SCC_Polythionic_Acid!S11,'Tables - Part 2'!$AX$5:$BA$5,0))+INDEX('Tables - Part 2'!$BB$6:$BE$13,MATCH(SCC_Polythionic_Acid!$V11,'Tables - Part 2'!$AV$6:$AV$13,0),MATCH(SCC_Polythionic_Acid!$S11,'Tables - Part 2'!$AX$5:$BA$5,0)))/2))/2)+(INDEX('Tables - Part 2'!$AX$6:$BA$13,MATCH(SCC_Polythionic_Acid!V11,'Tables - Part 2'!$AV$6:$AV$13,0),MATCH(SCC_Polythionic_Acid!S11,'Tables - Part 2'!$AX$5:$BA$5,0))+INDEX('Tables - Part 2'!$BB$6:$BE$13,MATCH(SCC_Polythionic_Acid!$V11,'Tables - Part 2'!$AV$6:$AV$13,0),MATCH(SCC_Polythionic_Acid!$S11,'Tables - Part 2'!$AX$5:$BA$5,0)))/2)/2,0)</f>
        <v>0</v>
      </c>
      <c r="AF11" s="248">
        <f>IF($R11=$AF$3,(INDEX('Tables - Part 2'!$AX$6:$BA$13,MATCH(SCC_Polythionic_Acid!V11,'Tables - Part 2'!$AV$6:$AV$13,0),MATCH(SCC_Polythionic_Acid!S11,'Tables - Part 2'!$AX$5:$BA$5,0))+INDEX('Tables - Part 2'!$BB$6:$BE$13,MATCH(SCC_Polythionic_Acid!$V11,'Tables - Part 2'!$AV$6:$AV$13,0),MATCH(SCC_Polythionic_Acid!$S11,'Tables - Part 2'!$AX$5:$BA$5,0)))/2,0)</f>
        <v>0</v>
      </c>
      <c r="AG11" s="248">
        <f>IF($R11=$AG$3,(((INDEX('Tables - Part 2'!$AX$6:$BA$13,MATCH(SCC_Polythionic_Acid!V11,'Tables - Part 2'!$AV$6:$AV$13,0),MATCH(SCC_Polythionic_Acid!S11,'Tables - Part 2'!$AX$5:$BA$5,0))+INDEX('Tables - Part 2'!$BB$6:$BE$13,MATCH(SCC_Polythionic_Acid!$V11,'Tables - Part 2'!$AV$6:$AV$13,0),MATCH(SCC_Polythionic_Acid!$S11,'Tables - Part 2'!$AX$5:$BA$5,0)))/2)+(((INDEX('Tables - Part 2'!$AX$6:$BA$13,MATCH(SCC_Polythionic_Acid!V11,'Tables - Part 2'!$AV$6:$AV$13,0),MATCH(SCC_Polythionic_Acid!S11,'Tables - Part 2'!$AX$5:$BA$5,0))+INDEX('Tables - Part 2'!$BB$6:$BE$13,MATCH(SCC_Polythionic_Acid!$V11,'Tables - Part 2'!$AV$6:$AV$13,0),MATCH(SCC_Polythionic_Acid!$S11,'Tables - Part 2'!$AX$5:$BA$5,0)))/2)+INDEX('Tables - Part 2'!$BB$6:$BE$13,MATCH(SCC_Polythionic_Acid!$V11,'Tables - Part 2'!$AV$6:$AV$13,0),MATCH(SCC_Polythionic_Acid!$S11,'Tables - Part 2'!$AX$5:$BA$5,0)))/2)/2,0)</f>
        <v>0</v>
      </c>
      <c r="AH11" s="248">
        <f>IF($R11=$AH$3,(((INDEX('Tables - Part 2'!$AX$6:$BA$13,MATCH(SCC_Polythionic_Acid!V11,'Tables - Part 2'!$AV$6:$AV$13,0),MATCH(SCC_Polythionic_Acid!S11,'Tables - Part 2'!$AX$5:$BA$5,0))+INDEX('Tables - Part 2'!$BB$6:$BE$13,MATCH(SCC_Polythionic_Acid!$V11,'Tables - Part 2'!$AV$6:$AV$13,0),MATCH(SCC_Polythionic_Acid!$S11,'Tables - Part 2'!$AX$5:$BA$5,0)))/2)+INDEX('Tables - Part 2'!$BB$6:$BE$13,MATCH(SCC_Polythionic_Acid!$V11,'Tables - Part 2'!$AV$6:$AV$13,0),MATCH(SCC_Polythionic_Acid!$S11,'Tables - Part 2'!$AX$5:$BA$5,0)))/2,0)</f>
        <v>0</v>
      </c>
      <c r="AI11" s="248">
        <f>IF($R11=$AI$3,(((((INDEX('Tables - Part 2'!$AX$6:$BA$13,MATCH(SCC_Polythionic_Acid!V11,'Tables - Part 2'!$AV$6:$AV$13,0),MATCH(SCC_Polythionic_Acid!S11,'Tables - Part 2'!$AX$5:$BA$5,0))+INDEX('Tables - Part 2'!$BB$6:$BE$13,MATCH(SCC_Polythionic_Acid!$V11,'Tables - Part 2'!$AV$6:$AV$13,0),MATCH(SCC_Polythionic_Acid!$S11,'Tables - Part 2'!$AX$5:$BA$5,0)))/2)+INDEX('Tables - Part 2'!$BB$6:$BE$13,MATCH(SCC_Polythionic_Acid!$V11,'Tables - Part 2'!$AV$6:$AV$13,0),MATCH(SCC_Polythionic_Acid!$S11,'Tables - Part 2'!$AX$5:$BA$5,0)))/2)+INDEX('Tables - Part 2'!$BB$6:$BE$13,MATCH(SCC_Polythionic_Acid!$V11,'Tables - Part 2'!$AV$6:$AV$13,0),MATCH(SCC_Polythionic_Acid!$S11,'Tables - Part 2'!$AX$5:$BA$5,0)))/2,0)</f>
        <v>0</v>
      </c>
      <c r="AJ11" s="248">
        <f>IF($R11=$AJ$3,INDEX('Tables - Part 2'!$BB$6:$BE$13,MATCH(SCC_Polythionic_Acid!$V11,'Tables - Part 2'!$AV$6:$AV$13,0),MATCH(SCC_Polythionic_Acid!$S11,'Tables - Part 2'!$AX$5:$BA$5,0)),0)</f>
        <v>0</v>
      </c>
      <c r="AK11" s="248">
        <f>IF($R11=$AK$3,((INDEX('Tables - Part 2'!$BB$6:$BE$13,MATCH(SCC_Polythionic_Acid!$V11,'Tables - Part 2'!$AV$6:$AV$13,0),MATCH(SCC_Polythionic_Acid!$S11,'Tables - Part 2'!$AX$5:$BA$5,0)))+(INDEX('Tables - Part 2'!$BB$6:$BE$13,MATCH(SCC_Polythionic_Acid!$V11,'Tables - Part 2'!$AV$6:$AV$13,0),MATCH(SCC_Polythionic_Acid!$S11,'Tables - Part 2'!$AX$5:$BA$5,0))+(INDEX('Tables - Part 2'!$BB$6:$BE$13,MATCH(SCC_Polythionic_Acid!$V11,'Tables - Part 2'!$AV$6:$AV$13,0),MATCH(SCC_Polythionic_Acid!$S11,'Tables - Part 2'!$AX$5:$BA$5,0))+INDEX('Tables - Part 2'!$BF$6:$BI$13,MATCH(SCC_Polythionic_Acid!$V11,'Tables - Part 2'!$AV$6:$AV$13,0),MATCH(SCC_Polythionic_Acid!$S11,'Tables - Part 2'!$AX$5:$BA$5,0)))/2)/2)/2,0)</f>
        <v>0</v>
      </c>
      <c r="AL11" s="248">
        <f>IF($R11=$AL$3,(INDEX('Tables - Part 2'!$BB$6:$BE$13,MATCH(SCC_Polythionic_Acid!$V11,'Tables - Part 2'!$AV$6:$AV$13,0),MATCH(SCC_Polythionic_Acid!$S11,'Tables - Part 2'!$AX$5:$BA$5,0))+(INDEX('Tables - Part 2'!$BB$6:$BE$13,MATCH(SCC_Polythionic_Acid!$V11,'Tables - Part 2'!$AV$6:$AV$13,0),MATCH(SCC_Polythionic_Acid!$S11,'Tables - Part 2'!$AX$5:$BA$5,0))+INDEX('Tables - Part 2'!$BF$6:$BI$13,MATCH(SCC_Polythionic_Acid!$V11,'Tables - Part 2'!$AV$6:$AV$13,0),MATCH(SCC_Polythionic_Acid!$S11,'Tables - Part 2'!$AX$5:$BA$5,0)))/2)/2,0)</f>
        <v>0</v>
      </c>
      <c r="AM11" s="248">
        <f>IF($R11=$AM$3,(((INDEX('Tables - Part 2'!$BB$6:$BE$13,MATCH(SCC_Polythionic_Acid!$V11,'Tables - Part 2'!$AV$6:$AV$13,0),MATCH(SCC_Polythionic_Acid!$S11,'Tables - Part 2'!$AX$5:$BA$5,0))+(INDEX('Tables - Part 2'!$BB$6:$BE$13,MATCH(SCC_Polythionic_Acid!$V11,'Tables - Part 2'!$AV$6:$AV$13,0),MATCH(SCC_Polythionic_Acid!$S11,'Tables - Part 2'!$AX$5:$BA$5,0))+INDEX('Tables - Part 2'!$BF$6:$BI$13,MATCH(SCC_Polythionic_Acid!$V11,'Tables - Part 2'!$AV$6:$AV$13,0),MATCH(SCC_Polythionic_Acid!$S11,'Tables - Part 2'!$AX$5:$BA$5,0)))/2)/2)+((INDEX('Tables - Part 2'!$BB$6:$BE$13,MATCH(SCC_Polythionic_Acid!$V11,'Tables - Part 2'!$AV$6:$AV$13,0),MATCH(SCC_Polythionic_Acid!$S11,'Tables - Part 2'!$AX$5:$BA$5,0))+INDEX('Tables - Part 2'!$BF$6:$BI$13,MATCH(SCC_Polythionic_Acid!$V11,'Tables - Part 2'!$AV$6:$AV$13,0),MATCH(SCC_Polythionic_Acid!$S11,'Tables - Part 2'!$AX$5:$BA$5,0)))/2))/2,0)</f>
        <v>0</v>
      </c>
      <c r="AN11" s="248">
        <f>IF($R11=$AN$3,(INDEX('Tables - Part 2'!$BB$6:$BE$13,MATCH(SCC_Polythionic_Acid!$V11,'Tables - Part 2'!$AV$6:$AV$13,0),MATCH(SCC_Polythionic_Acid!$S11,'Tables - Part 2'!$AX$5:$BA$5,0))+INDEX('Tables - Part 2'!$BF$6:$BI$13,MATCH(SCC_Polythionic_Acid!$V11,'Tables - Part 2'!$AV$6:$AV$13,0),MATCH(SCC_Polythionic_Acid!$S11,'Tables - Part 2'!$AX$5:$BA$5,0)))/2,0)</f>
        <v>165</v>
      </c>
      <c r="AO11" s="248">
        <f>IF($R11=$AO$3,(((INDEX('Tables - Part 2'!$BB$6:$BE$13,MATCH(SCC_Polythionic_Acid!$V11,'Tables - Part 2'!$AV$6:$AV$13,0),MATCH(SCC_Polythionic_Acid!$S11,'Tables - Part 2'!$AX$5:$BA$5,0))+INDEX('Tables - Part 2'!$BF$6:$BI$13,MATCH(SCC_Polythionic_Acid!$V11,'Tables - Part 2'!$AV$6:$AV$13,0),MATCH(SCC_Polythionic_Acid!$S11,'Tables - Part 2'!$AX$5:$BA$5,0)))/2)+((((INDEX('Tables - Part 2'!$BB$6:$BE$13,MATCH(SCC_Polythionic_Acid!$V11,'Tables - Part 2'!$AV$6:$AV$13,0),MATCH(SCC_Polythionic_Acid!$S11,'Tables - Part 2'!$AX$5:$BA$5,0))+INDEX('Tables - Part 2'!$BF$6:$BI$13,MATCH(SCC_Polythionic_Acid!$V11,'Tables - Part 2'!$AV$6:$AV$13,0),MATCH(SCC_Polythionic_Acid!$S11,'Tables - Part 2'!$AX$5:$BA$5,0)))/2)+INDEX('Tables - Part 2'!$BF$6:$BI$13,MATCH(SCC_Polythionic_Acid!$V11,'Tables - Part 2'!$AV$6:$AV$13,0),MATCH(SCC_Polythionic_Acid!$S11,'Tables - Part 2'!$AX$5:$BA$5,0)))/2))/2,0)</f>
        <v>0</v>
      </c>
      <c r="AP11" s="248">
        <f>IF($R11=$AP$3,(((INDEX('Tables - Part 2'!$BB$6:$BE$13,MATCH(SCC_Polythionic_Acid!$V11,'Tables - Part 2'!$AV$6:$AV$13,0),MATCH(SCC_Polythionic_Acid!$S11,'Tables - Part 2'!$AX$5:$BA$5,0))+INDEX('Tables - Part 2'!$BF$6:$BI$13,MATCH(SCC_Polythionic_Acid!$V11,'Tables - Part 2'!$AV$6:$AV$13,0),MATCH(SCC_Polythionic_Acid!$S11,'Tables - Part 2'!$AX$5:$BA$5,0)))/2)+INDEX('Tables - Part 2'!$BF$6:$BI$13,MATCH(SCC_Polythionic_Acid!$V11,'Tables - Part 2'!$AV$6:$AV$13,0),MATCH(SCC_Polythionic_Acid!$S11,'Tables - Part 2'!$AX$5:$BA$5,0)))/2,0)</f>
        <v>0</v>
      </c>
      <c r="AQ11" s="248">
        <f>IF($R11=$AQ$3,(((((INDEX('Tables - Part 2'!$BB$6:$BE$13,MATCH(SCC_Polythionic_Acid!$V11,'Tables - Part 2'!$AV$6:$AV$13,0),MATCH(SCC_Polythionic_Acid!$S11,'Tables - Part 2'!$AX$5:$BA$5,0))+INDEX('Tables - Part 2'!$BF$6:$BI$13,MATCH(SCC_Polythionic_Acid!$V11,'Tables - Part 2'!$AV$6:$AV$13,0),MATCH(SCC_Polythionic_Acid!$S11,'Tables - Part 2'!$AX$5:$BA$5,0)))/2)+INDEX('Tables - Part 2'!$BF$6:$BI$13,MATCH(SCC_Polythionic_Acid!$V11,'Tables - Part 2'!$AV$6:$AV$13,0),MATCH(SCC_Polythionic_Acid!$S11,'Tables - Part 2'!$AX$5:$BA$5,0)))/2)+INDEX('Tables - Part 2'!$BF$6:$BI$13,MATCH(SCC_Polythionic_Acid!$V11,'Tables - Part 2'!$AV$6:$AV$13,0),MATCH(SCC_Polythionic_Acid!$S11,'Tables - Part 2'!$AX$5:$BA$5,0)))/2,0)</f>
        <v>0</v>
      </c>
      <c r="AR11" s="248">
        <f>IF($R11=$AR$3,INDEX('Tables - Part 2'!$BF$6:$BI$13,MATCH(SCC_Polythionic_Acid!$V11,'Tables - Part 2'!$AV$6:$AV$13,0),MATCH(SCC_Polythionic_Acid!$S11,'Tables - Part 2'!$AX$5:$BA$5,0)),0)</f>
        <v>0</v>
      </c>
      <c r="AS11" s="248">
        <f>IF($R11=$AS$3,(INDEX('Tables - Part 2'!$BF$6:$BI$13,MATCH(SCC_Polythionic_Acid!$V11,'Tables - Part 2'!$AV$6:$AV$13,0),MATCH(SCC_Polythionic_Acid!$S11,'Tables - Part 2'!$AX$5:$BA$5,0))+((INDEX('Tables - Part 2'!$BF$6:$BI$13,MATCH(SCC_Polythionic_Acid!$V11,'Tables - Part 2'!$AV$6:$AV$13,0),MATCH(SCC_Polythionic_Acid!$S11,'Tables - Part 2'!$AX$5:$BA$5,0))+(INDEX('Tables - Part 2'!$BF$6:$BI$13,MATCH(SCC_Polythionic_Acid!$V11,'Tables - Part 2'!$AV$6:$AV$13,0),MATCH(SCC_Polythionic_Acid!$S11,'Tables - Part 2'!$AX$5:$BA$5,0))+INDEX('Tables - Part 2'!$AX$17:$BA$24,MATCH(SCC_Polythionic_Acid!$V11,'Tables - Part 2'!$AV$6:$AV$13,0),MATCH(SCC_Polythionic_Acid!$S11,'Tables - Part 2'!$AX$5:$BA$5,0)))/2)/2))/2,0)</f>
        <v>0</v>
      </c>
      <c r="AT11" s="248">
        <f>IF($R11=$AT$3,(INDEX('Tables - Part 2'!$BF$6:$BI$13,MATCH(SCC_Polythionic_Acid!$V11,'Tables - Part 2'!$AV$6:$AV$13,0),MATCH(SCC_Polythionic_Acid!$S11,'Tables - Part 2'!$AX$5:$BA$5,0))+(INDEX('Tables - Part 2'!$BF$6:$BI$13,MATCH(SCC_Polythionic_Acid!$V11,'Tables - Part 2'!$AV$6:$AV$13,0),MATCH(SCC_Polythionic_Acid!$S11,'Tables - Part 2'!$AX$5:$BA$5,0))+INDEX('Tables - Part 2'!$AX$17:$BA$24,MATCH(SCC_Polythionic_Acid!$V11,'Tables - Part 2'!$AV$6:$AV$13,0),MATCH(SCC_Polythionic_Acid!$S11,'Tables - Part 2'!$AX$5:$BA$5,0)))/2)/2,0)</f>
        <v>0</v>
      </c>
      <c r="AU11" s="248">
        <f>IF($R11=$AU$3,(((INDEX('Tables - Part 2'!$BF$6:$BI$13,MATCH(SCC_Polythionic_Acid!$V11,'Tables - Part 2'!$AV$6:$AV$13,0),MATCH(SCC_Polythionic_Acid!$S11,'Tables - Part 2'!$AX$5:$BA$5,0))+(INDEX('Tables - Part 2'!$BF$6:$BI$13,MATCH(SCC_Polythionic_Acid!$V11,'Tables - Part 2'!$AV$6:$AV$13,0),MATCH(SCC_Polythionic_Acid!$S11,'Tables - Part 2'!$AX$5:$BA$5,0))+INDEX('Tables - Part 2'!$AX$17:$BA$24,MATCH(SCC_Polythionic_Acid!$V11,'Tables - Part 2'!$AV$6:$AV$13,0),MATCH(SCC_Polythionic_Acid!$S11,'Tables - Part 2'!$AX$5:$BA$5,0)))/2)/2)+((INDEX('Tables - Part 2'!$BF$6:$BI$13,MATCH(SCC_Polythionic_Acid!$V11,'Tables - Part 2'!$AV$6:$AV$13,0),MATCH(SCC_Polythionic_Acid!$S11,'Tables - Part 2'!$AX$5:$BA$5,0))+INDEX('Tables - Part 2'!$AX$17:$BA$24,MATCH(SCC_Polythionic_Acid!$V11,'Tables - Part 2'!$AV$6:$AV$13,0),MATCH(SCC_Polythionic_Acid!$S11,'Tables - Part 2'!$AX$5:$BA$5,0)))/2))/2,0)</f>
        <v>0</v>
      </c>
      <c r="AV11" s="248">
        <f>IF($R11=$AV$3,(INDEX('Tables - Part 2'!$BF$6:$BI$13,MATCH(SCC_Polythionic_Acid!$V11,'Tables - Part 2'!$AV$6:$AV$13,0),MATCH(SCC_Polythionic_Acid!$S11,'Tables - Part 2'!$AX$5:$BA$5,0))+INDEX('Tables - Part 2'!$AX$17:$BA$24,MATCH(SCC_Polythionic_Acid!$V11,'Tables - Part 2'!$AV$6:$AV$13,0),MATCH(SCC_Polythionic_Acid!$S11,'Tables - Part 2'!$AX$5:$BA$5,0)))/2,0)</f>
        <v>0</v>
      </c>
      <c r="AW11" s="248">
        <f>IF($R11=$AW$3,(((INDEX('Tables - Part 2'!$BF$6:$BI$13,MATCH(SCC_Polythionic_Acid!$V11,'Tables - Part 2'!$AV$6:$AV$13,0),MATCH(SCC_Polythionic_Acid!$S11,'Tables - Part 2'!$AX$5:$BA$5,0))+INDEX('Tables - Part 2'!$AX$17:$BA$24,MATCH(SCC_Polythionic_Acid!$V11,'Tables - Part 2'!$AV$6:$AV$13,0),MATCH(SCC_Polythionic_Acid!$S11,'Tables - Part 2'!$AX$5:$BA$5,0)))/2)+((((INDEX('Tables - Part 2'!$BF$6:$BI$13,MATCH(SCC_Polythionic_Acid!$V11,'Tables - Part 2'!$AV$6:$AV$13,0),MATCH(SCC_Polythionic_Acid!$S11,'Tables - Part 2'!$AX$5:$BA$5,0))+INDEX('Tables - Part 2'!$AX$17:$BA$24,MATCH(SCC_Polythionic_Acid!$V11,'Tables - Part 2'!$AV$6:$AV$13,0),MATCH(SCC_Polythionic_Acid!$S11,'Tables - Part 2'!$AX$5:$BA$5,0)))/2)+INDEX('Tables - Part 2'!$AX$17:$BA$24,MATCH(SCC_Polythionic_Acid!$V11,'Tables - Part 2'!$AV$6:$AV$13,0),MATCH(SCC_Polythionic_Acid!$S11,'Tables - Part 2'!$AX$5:$BA$5,0)))/2))/2,0)</f>
        <v>0</v>
      </c>
      <c r="AX11" s="248">
        <f>IF($R11=$AX$3,(((INDEX('Tables - Part 2'!$BF$6:$BI$13,MATCH(SCC_Polythionic_Acid!$V11,'Tables - Part 2'!$AV$6:$AV$13,0),MATCH(SCC_Polythionic_Acid!$S11,'Tables - Part 2'!$AX$5:$BA$5,0))+INDEX('Tables - Part 2'!$AX$17:$BA$24,MATCH(SCC_Polythionic_Acid!$V11,'Tables - Part 2'!$AV$6:$AV$13,0),MATCH(SCC_Polythionic_Acid!$S11,'Tables - Part 2'!$AX$5:$BA$5,0)))/2)+INDEX('Tables - Part 2'!$AX$17:$BA$24,MATCH(SCC_Polythionic_Acid!$V11,'Tables - Part 2'!$AV$6:$AV$13,0),MATCH(SCC_Polythionic_Acid!$S11,'Tables - Part 2'!$AX$5:$BA$5,0)))/2,0)</f>
        <v>0</v>
      </c>
      <c r="AY11" s="248">
        <f>IF($R11=$AY$3,(((((INDEX('Tables - Part 2'!$BF$6:$BI$13,MATCH(SCC_Polythionic_Acid!$V11,'Tables - Part 2'!$AV$6:$AV$13,0),MATCH(SCC_Polythionic_Acid!$S11,'Tables - Part 2'!$AX$5:$BA$5,0))+INDEX('Tables - Part 2'!$AX$17:$BA$24,MATCH(SCC_Polythionic_Acid!$V11,'Tables - Part 2'!$AV$6:$AV$13,0),MATCH(SCC_Polythionic_Acid!$S11,'Tables - Part 2'!$AX$5:$BA$5,0)))/2)+INDEX('Tables - Part 2'!$AX$17:$BA$24,MATCH(SCC_Polythionic_Acid!$V11,'Tables - Part 2'!$AV$6:$AV$13,0),MATCH(SCC_Polythionic_Acid!$S11,'Tables - Part 2'!$AX$5:$BA$5,0)))/2)+(INDEX('Tables - Part 2'!$AX$17:$BA$24,MATCH(SCC_Polythionic_Acid!$V11,'Tables - Part 2'!$AV$6:$AV$13,0),MATCH(SCC_Polythionic_Acid!$S11,'Tables - Part 2'!$AX$5:$BA$5,0))))/2,0)</f>
        <v>0</v>
      </c>
      <c r="AZ11" s="248">
        <f>IF($R11=$AZ$3,INDEX('Tables - Part 2'!$AX$17:$BA$24,MATCH(SCC_Polythionic_Acid!$V11,'Tables - Part 2'!$AV$6:$AV$13,0),MATCH(SCC_Polythionic_Acid!$S11,'Tables - Part 2'!$AX$5:$BA$5,0)),0)</f>
        <v>0</v>
      </c>
      <c r="BA11" s="248">
        <f>IF($R11=$BA$3,((INDEX('Tables - Part 2'!$AX$17:$BA$24,MATCH(SCC_Polythionic_Acid!$V11,'Tables - Part 2'!$AV$6:$AV$13,0),MATCH(SCC_Polythionic_Acid!$S11,'Tables - Part 2'!$AX$5:$BA$5,0)))+(((INDEX('Tables - Part 2'!$AX$17:$BA$24,MATCH(SCC_Polythionic_Acid!$V11,'Tables - Part 2'!$AV$6:$AV$13,0),MATCH(SCC_Polythionic_Acid!$S11,'Tables - Part 2'!$AX$5:$BA$5,0)))+(INDEX('Tables - Part 2'!$AX$17:$BA$24,MATCH(SCC_Polythionic_Acid!$V11,'Tables - Part 2'!$AV$6:$AV$13,0),MATCH(SCC_Polythionic_Acid!$S11,'Tables - Part 2'!$AX$5:$BA$5,0))+INDEX('Tables - Part 2'!$BB$17:$BE$24,MATCH(SCC_Polythionic_Acid!$V11,'Tables - Part 2'!$AV$6:$AV$13,0),MATCH(SCC_Polythionic_Acid!$S11,'Tables - Part 2'!$AX$5:$BA$5,0)))/2)/2))/2,0)</f>
        <v>0</v>
      </c>
      <c r="BB11" s="248">
        <f>IF($R11=$BB$3,((INDEX('Tables - Part 2'!$AX$17:$BA$24,MATCH(SCC_Polythionic_Acid!$V11,'Tables - Part 2'!$AV$6:$AV$13,0),MATCH(SCC_Polythionic_Acid!$S11,'Tables - Part 2'!$AX$5:$BA$5,0)))+(INDEX('Tables - Part 2'!$AX$17:$BA$24,MATCH(SCC_Polythionic_Acid!$V11,'Tables - Part 2'!$AV$6:$AV$13,0),MATCH(SCC_Polythionic_Acid!$S11,'Tables - Part 2'!$AX$5:$BA$5,0))+INDEX('Tables - Part 2'!$BB$17:$BE$24,MATCH(SCC_Polythionic_Acid!$V11,'Tables - Part 2'!$AV$6:$AV$13,0),MATCH(SCC_Polythionic_Acid!$S11,'Tables - Part 2'!$AX$5:$BA$5,0)))/2)/2,0)</f>
        <v>0</v>
      </c>
      <c r="BC11" s="248">
        <f>IF($R11=$BC$3,((((INDEX('Tables - Part 2'!$AX$17:$BA$24,MATCH(SCC_Polythionic_Acid!$V11,'Tables - Part 2'!$AV$6:$AV$13,0),MATCH(SCC_Polythionic_Acid!$S11,'Tables - Part 2'!$AX$5:$BA$5,0)))+(INDEX('Tables - Part 2'!$AX$17:$BA$24,MATCH(SCC_Polythionic_Acid!$V11,'Tables - Part 2'!$AV$6:$AV$13,0),MATCH(SCC_Polythionic_Acid!$S11,'Tables - Part 2'!$AX$5:$BA$5,0))+INDEX('Tables - Part 2'!$BB$17:$BE$24,MATCH(SCC_Polythionic_Acid!$V11,'Tables - Part 2'!$AV$6:$AV$13,0),MATCH(SCC_Polythionic_Acid!$S11,'Tables - Part 2'!$AX$5:$BA$5,0)))/2)/2)+((INDEX('Tables - Part 2'!$AX$17:$BA$24,MATCH(SCC_Polythionic_Acid!$V11,'Tables - Part 2'!$AV$6:$AV$13,0),MATCH(SCC_Polythionic_Acid!$S11,'Tables - Part 2'!$AX$5:$BA$5,0))+INDEX('Tables - Part 2'!$BB$17:$BE$24,MATCH(SCC_Polythionic_Acid!$V11,'Tables - Part 2'!$AV$6:$AV$13,0),MATCH(SCC_Polythionic_Acid!$S11,'Tables - Part 2'!$AX$5:$BA$5,0)))/2))/2,0)</f>
        <v>0</v>
      </c>
      <c r="BD11" s="248">
        <f>IF($R11=$BD$3,(INDEX('Tables - Part 2'!$AX$17:$BA$24,MATCH(SCC_Polythionic_Acid!$V11,'Tables - Part 2'!$AV$6:$AV$13,0),MATCH(SCC_Polythionic_Acid!$S11,'Tables - Part 2'!$AX$5:$BA$5,0))+INDEX('Tables - Part 2'!$BB$17:$BE$24,MATCH(SCC_Polythionic_Acid!$V11,'Tables - Part 2'!$AV$6:$AV$13,0),MATCH(SCC_Polythionic_Acid!$S11,'Tables - Part 2'!$AX$5:$BA$5,0)))/2,0)</f>
        <v>0</v>
      </c>
      <c r="BE11" s="248">
        <f>IF($R11=$BE$3,(((INDEX('Tables - Part 2'!$AX$17:$BA$24,MATCH(SCC_Polythionic_Acid!$V11,'Tables - Part 2'!$AV$6:$AV$13,0),MATCH(SCC_Polythionic_Acid!$S11,'Tables - Part 2'!$AX$5:$BA$5,0))+INDEX('Tables - Part 2'!$BB$17:$BE$24,MATCH(SCC_Polythionic_Acid!$V11,'Tables - Part 2'!$AV$6:$AV$13,0),MATCH(SCC_Polythionic_Acid!$S11,'Tables - Part 2'!$AX$5:$BA$5,0)))/2)+((((INDEX('Tables - Part 2'!$AX$17:$BA$24,MATCH(SCC_Polythionic_Acid!$V11,'Tables - Part 2'!$AV$6:$AV$13,0),MATCH(SCC_Polythionic_Acid!$S11,'Tables - Part 2'!$AX$5:$BA$5,0))+INDEX('Tables - Part 2'!$BB$17:$BE$24,MATCH(SCC_Polythionic_Acid!$V11,'Tables - Part 2'!$AV$6:$AV$13,0),MATCH(SCC_Polythionic_Acid!$S11,'Tables - Part 2'!$AX$5:$BA$5,0)))/2)+INDEX('Tables - Part 2'!$BB$17:$BE$24,MATCH(SCC_Polythionic_Acid!$V11,'Tables - Part 2'!$AV$6:$AV$13,0),MATCH(SCC_Polythionic_Acid!$S11,'Tables - Part 2'!$AX$5:$BA$5,0)))/2))/2,0)</f>
        <v>0</v>
      </c>
      <c r="BF11" s="248">
        <f>IF($R11=$BF$3,(((INDEX('Tables - Part 2'!$AX$17:$BA$24,MATCH(SCC_Polythionic_Acid!$V11,'Tables - Part 2'!$AV$6:$AV$13,0),MATCH(SCC_Polythionic_Acid!$S11,'Tables - Part 2'!$AX$5:$BA$5,0))+INDEX('Tables - Part 2'!$BB$17:$BE$24,MATCH(SCC_Polythionic_Acid!$V11,'Tables - Part 2'!$AV$6:$AV$13,0),MATCH(SCC_Polythionic_Acid!$S11,'Tables - Part 2'!$AX$5:$BA$5,0)))/2)+INDEX('Tables - Part 2'!$BB$17:$BE$24,MATCH(SCC_Polythionic_Acid!$V11,'Tables - Part 2'!$AV$6:$AV$13,0),MATCH(SCC_Polythionic_Acid!$S11,'Tables - Part 2'!$AX$5:$BA$5,0)))/2,0)</f>
        <v>0</v>
      </c>
      <c r="BG11" s="248">
        <f>IF($R11=$BG$3,(((((INDEX('Tables - Part 2'!$AX$17:$BA$24,MATCH(SCC_Polythionic_Acid!$V11,'Tables - Part 2'!$AV$6:$AV$13,0),MATCH(SCC_Polythionic_Acid!$S11,'Tables - Part 2'!$AX$5:$BA$5,0))+INDEX('Tables - Part 2'!$BB$17:$BE$24,MATCH(SCC_Polythionic_Acid!$V11,'Tables - Part 2'!$AV$6:$AV$13,0),MATCH(SCC_Polythionic_Acid!$S11,'Tables - Part 2'!$AX$5:$BA$5,0)))/2)+INDEX('Tables - Part 2'!$BB$17:$BE$24,MATCH(SCC_Polythionic_Acid!$V11,'Tables - Part 2'!$AV$6:$AV$13,0),MATCH(SCC_Polythionic_Acid!$S11,'Tables - Part 2'!$AX$5:$BA$5,0)))/2)+(INDEX('Tables - Part 2'!$BB$17:$BE$24,MATCH(SCC_Polythionic_Acid!$V11,'Tables - Part 2'!$AV$6:$AV$13,0),MATCH(SCC_Polythionic_Acid!$S11,'Tables - Part 2'!$AX$5:$BA$5,0))))/2,0)</f>
        <v>0</v>
      </c>
      <c r="BH11" s="248">
        <f>IF($R11=$BH$3,INDEX('Tables - Part 2'!$BB$17:$BE$24,MATCH(SCC_Polythionic_Acid!$V11,'Tables - Part 2'!$AV$6:$AV$13,0),MATCH(SCC_Polythionic_Acid!$S11,'Tables - Part 2'!$AX$5:$BA$5,0)),0)</f>
        <v>0</v>
      </c>
      <c r="BI11" s="248">
        <f>IF($R11=$BI$3,((INDEX('Tables - Part 2'!$BB$17:$BE$24,MATCH(SCC_Polythionic_Acid!$V11,'Tables - Part 2'!$AV$6:$AV$13,0),MATCH(SCC_Polythionic_Acid!$S11,'Tables - Part 2'!$AX$5:$BA$5,0)))+(((INDEX('Tables - Part 2'!$BB$17:$BE$24,MATCH(SCC_Polythionic_Acid!$V11,'Tables - Part 2'!$AV$6:$AV$13,0),MATCH(SCC_Polythionic_Acid!$S11,'Tables - Part 2'!$AX$5:$BA$5,0)))+(INDEX('Tables - Part 2'!$BB$17:$BE$24,MATCH(SCC_Polythionic_Acid!$V11,'Tables - Part 2'!$AV$6:$AV$13,0),MATCH(SCC_Polythionic_Acid!$S11,'Tables - Part 2'!$AX$5:$BA$5,0))+INDEX('Tables - Part 2'!$BF$17:$BI$24,MATCH(SCC_Polythionic_Acid!$V11,'Tables - Part 2'!$AV$6:$AV$13,0),MATCH(SCC_Polythionic_Acid!$S11,'Tables - Part 2'!$AX$5:$BA$5,0)))/2)/2))/2,0)</f>
        <v>0</v>
      </c>
      <c r="BJ11" s="248">
        <f>IF($R11=$BJ$3,((INDEX('Tables - Part 2'!$BB$17:$BE$24,MATCH(SCC_Polythionic_Acid!$V11,'Tables - Part 2'!$AV$6:$AV$13,0),MATCH(SCC_Polythionic_Acid!$S11,'Tables - Part 2'!$AX$5:$BA$5,0)))+(INDEX('Tables - Part 2'!$BB$17:$BE$24,MATCH(SCC_Polythionic_Acid!$V11,'Tables - Part 2'!$AV$6:$AV$13,0),MATCH(SCC_Polythionic_Acid!$S11,'Tables - Part 2'!$AX$5:$BA$5,0))+INDEX('Tables - Part 2'!$BF$17:$BI$24,MATCH(SCC_Polythionic_Acid!$V11,'Tables - Part 2'!$AV$6:$AV$13,0),MATCH(SCC_Polythionic_Acid!$S11,'Tables - Part 2'!$AX$5:$BA$5,0)))/2)/2,0)</f>
        <v>0</v>
      </c>
      <c r="BK11" s="248">
        <f>IF($R11=$BK$3,((((INDEX('Tables - Part 2'!$BB$17:$BE$24,MATCH(SCC_Polythionic_Acid!$V11,'Tables - Part 2'!$AV$6:$AV$13,0),MATCH(SCC_Polythionic_Acid!$S11,'Tables - Part 2'!$AX$5:$BA$5,0)))+(INDEX('Tables - Part 2'!$BB$17:$BE$24,MATCH(SCC_Polythionic_Acid!$V11,'Tables - Part 2'!$AV$6:$AV$13,0),MATCH(SCC_Polythionic_Acid!$S11,'Tables - Part 2'!$AX$5:$BA$5,0))+INDEX('Tables - Part 2'!$BF$17:$BI$24,MATCH(SCC_Polythionic_Acid!$V11,'Tables - Part 2'!$AV$6:$AV$13,0),MATCH(SCC_Polythionic_Acid!$S11,'Tables - Part 2'!$AX$5:$BA$5,0)))/2)/2)+((INDEX('Tables - Part 2'!$BB$17:$BE$24,MATCH(SCC_Polythionic_Acid!$V11,'Tables - Part 2'!$AV$6:$AV$13,0),MATCH(SCC_Polythionic_Acid!$S11,'Tables - Part 2'!$AX$5:$BA$5,0))+INDEX('Tables - Part 2'!$BF$17:$BI$24,MATCH(SCC_Polythionic_Acid!$V11,'Tables - Part 2'!$AV$6:$AV$13,0),MATCH(SCC_Polythionic_Acid!$S11,'Tables - Part 2'!$AX$5:$BA$5,0)))/2))/2,0)</f>
        <v>0</v>
      </c>
      <c r="BL11" s="248">
        <f>IF($R11=$BL$3,(INDEX('Tables - Part 2'!$BB$17:$BE$24,MATCH(SCC_Polythionic_Acid!$V11,'Tables - Part 2'!$AV$6:$AV$13,0),MATCH(SCC_Polythionic_Acid!$S11,'Tables - Part 2'!$AX$5:$BA$5,0))+INDEX('Tables - Part 2'!$BF$17:$BI$24,MATCH(SCC_Polythionic_Acid!$V11,'Tables - Part 2'!$AV$6:$AV$13,0),MATCH(SCC_Polythionic_Acid!$S11,'Tables - Part 2'!$AX$5:$BA$5,0)))/2,0)</f>
        <v>0</v>
      </c>
      <c r="BM11" s="248">
        <f>IF($R11=$BM$3,(((INDEX('Tables - Part 2'!$BB$17:$BE$24,MATCH(SCC_Polythionic_Acid!$V11,'Tables - Part 2'!$AV$6:$AV$13,0),MATCH(SCC_Polythionic_Acid!$S11,'Tables - Part 2'!$AX$5:$BA$5,0))+INDEX('Tables - Part 2'!$BF$17:$BI$24,MATCH(SCC_Polythionic_Acid!$V11,'Tables - Part 2'!$AV$6:$AV$13,0),MATCH(SCC_Polythionic_Acid!$S11,'Tables - Part 2'!$AX$5:$BA$5,0)))/2)+((((INDEX('Tables - Part 2'!$BB$17:$BE$24,MATCH(SCC_Polythionic_Acid!$V11,'Tables - Part 2'!$AV$6:$AV$13,0),MATCH(SCC_Polythionic_Acid!$S11,'Tables - Part 2'!$AX$5:$BA$5,0))+INDEX('Tables - Part 2'!$BF$17:$BI$24,MATCH(SCC_Polythionic_Acid!$V11,'Tables - Part 2'!$AV$6:$AV$13,0),MATCH(SCC_Polythionic_Acid!$S11,'Tables - Part 2'!$AX$5:$BA$5,0)))/2)+INDEX('Tables - Part 2'!$BF$17:$BI$24,MATCH(SCC_Polythionic_Acid!$V11,'Tables - Part 2'!$AV$6:$AV$13,0),MATCH(SCC_Polythionic_Acid!$S11,'Tables - Part 2'!$AX$5:$BA$5,0)))/2))/2,0)</f>
        <v>0</v>
      </c>
      <c r="BN11" s="248">
        <f>IF($R11=$BN$3,(((INDEX('Tables - Part 2'!$BB$17:$BE$24,MATCH(SCC_Polythionic_Acid!$V11,'Tables - Part 2'!$AV$6:$AV$13,0),MATCH(SCC_Polythionic_Acid!$S11,'Tables - Part 2'!$AX$5:$BA$5,0))+INDEX('Tables - Part 2'!$BF$17:$BI$24,MATCH(SCC_Polythionic_Acid!$V11,'Tables - Part 2'!$AV$6:$AV$13,0),MATCH(SCC_Polythionic_Acid!$S11,'Tables - Part 2'!$AX$5:$BA$5,0)))/2)+INDEX('Tables - Part 2'!$BF$17:$BI$24,MATCH(SCC_Polythionic_Acid!$V11,'Tables - Part 2'!$AV$6:$AV$13,0),MATCH(SCC_Polythionic_Acid!$S11,'Tables - Part 2'!$AX$5:$BA$5,0)))/2,0)</f>
        <v>0</v>
      </c>
      <c r="BO11" s="248">
        <f>IF($R11=$BO$3,(((((INDEX('Tables - Part 2'!$BB$17:$BE$24,MATCH(SCC_Polythionic_Acid!$V11,'Tables - Part 2'!$AV$6:$AV$13,0),MATCH(SCC_Polythionic_Acid!$S11,'Tables - Part 2'!$AX$5:$BA$5,0))+INDEX('Tables - Part 2'!$BF$17:$BI$24,MATCH(SCC_Polythionic_Acid!$V11,'Tables - Part 2'!$AV$6:$AV$13,0),MATCH(SCC_Polythionic_Acid!$S11,'Tables - Part 2'!$AX$5:$BA$5,0)))/2)+INDEX('Tables - Part 2'!$BF$17:$BI$24,MATCH(SCC_Polythionic_Acid!$V11,'Tables - Part 2'!$AV$6:$AV$13,0),MATCH(SCC_Polythionic_Acid!$S11,'Tables - Part 2'!$AX$5:$BA$5,0)))/2)+(INDEX('Tables - Part 2'!$BF$17:$BI$24,MATCH(SCC_Polythionic_Acid!$V11,'Tables - Part 2'!$AV$6:$AV$13,0),MATCH(SCC_Polythionic_Acid!$S11,'Tables - Part 2'!$AX$5:$BA$5,0))))/2,0)</f>
        <v>0</v>
      </c>
      <c r="BP11" s="248">
        <f>IF($R11=$BP$3,INDEX('Tables - Part 2'!$BF$17:$BI$24,MATCH(SCC_Polythionic_Acid!$V11,'Tables - Part 2'!$AV$6:$AV$13,0),MATCH(SCC_Polythionic_Acid!$S11,'Tables - Part 2'!$AX$5:$BA$5,0)),0)</f>
        <v>0</v>
      </c>
      <c r="BQ11" s="248">
        <f t="shared" si="5"/>
        <v>0</v>
      </c>
      <c r="BR11" s="238">
        <f t="shared" si="8"/>
        <v>165</v>
      </c>
      <c r="BS11" s="238">
        <f t="shared" si="9"/>
        <v>2767.5256072873844</v>
      </c>
    </row>
    <row r="12" spans="2:84" x14ac:dyDescent="0.35">
      <c r="B12" s="161" t="str">
        <f>'Tratamento de Dados'!B20</f>
        <v>V-3</v>
      </c>
      <c r="C12" s="161" t="str">
        <f>'Tratamento de Dados'!D20</f>
        <v>Casco</v>
      </c>
      <c r="D12" s="209" t="s">
        <v>244</v>
      </c>
      <c r="E12" s="209" t="s">
        <v>244</v>
      </c>
      <c r="F12" s="209" t="s">
        <v>244</v>
      </c>
      <c r="G12" s="209" t="s">
        <v>244</v>
      </c>
      <c r="H12" s="209" t="s">
        <v>1145</v>
      </c>
      <c r="I12" s="247">
        <f>'Tratamento de Dados'!S20</f>
        <v>2</v>
      </c>
      <c r="J12" s="209" t="s">
        <v>1146</v>
      </c>
      <c r="K12" s="210">
        <v>39092</v>
      </c>
      <c r="L12" s="209">
        <v>0</v>
      </c>
      <c r="M12" s="209">
        <v>1</v>
      </c>
      <c r="N12" s="209">
        <v>1</v>
      </c>
      <c r="O12" s="209">
        <v>4</v>
      </c>
      <c r="P12" s="253">
        <f>'Tratamento de Dados'!DA20</f>
        <v>0</v>
      </c>
      <c r="Q12" s="253">
        <f>'Tratamento de Dados'!DB20</f>
        <v>0</v>
      </c>
      <c r="R12" s="256">
        <f t="shared" si="0"/>
        <v>2.5</v>
      </c>
      <c r="S12" s="246" t="str">
        <f t="shared" si="1"/>
        <v>B</v>
      </c>
      <c r="T12" s="238" t="str">
        <f>IF(D12=$BX$2,$BV$5,IF(F12=$BX$3,$BV$2,INDEX(IF(I12&lt;427,'Tables - Part 2'!$DH$6:$DJ$10,'Tables - Part 2'!$DH$14:$DJ$18),MATCH(SCC_Polythionic_Acid!H12,'Tables - Part 2'!$DG$6:$DG$10,0),MATCH(J12,'Tables - Part 2'!$DH$5:$DJ$5,0))))</f>
        <v>High</v>
      </c>
      <c r="U12" s="238" t="str">
        <f t="shared" si="6"/>
        <v>High</v>
      </c>
      <c r="V12" s="238">
        <f>IF(AND(D12=$BX$2,E12&lt;&gt;$BX$2),"Fitness-For-Service",INDEX('Tables - Part 2'!$DM$4:$DM$7,MATCH(SCC_Polythionic_Acid!U12,'Tables - Part 2'!$DL$4:$DL$7,0),))</f>
        <v>5000</v>
      </c>
      <c r="W12" s="238">
        <f>IF(K12=0,(Thinning!G13-Thinning!F13)/365.25,(Thinning!G13-K12)/365.25)</f>
        <v>12.980150581793293</v>
      </c>
      <c r="X12" s="248">
        <f t="shared" si="2"/>
        <v>0</v>
      </c>
      <c r="Y12" s="248">
        <f t="shared" si="3"/>
        <v>2.5</v>
      </c>
      <c r="Z12" s="247">
        <f t="shared" si="7"/>
        <v>3</v>
      </c>
      <c r="AA12" s="247">
        <f t="shared" si="4"/>
        <v>4</v>
      </c>
      <c r="AB12" s="248">
        <f>IF($R12=$AB$3,INDEX('Tables - Part 2'!$AX$6:$BA$13,MATCH(SCC_Polythionic_Acid!V12,'Tables - Part 2'!$AV$6:$AV$13,0),MATCH(SCC_Polythionic_Acid!S12,'Tables - Part 2'!$AX$5:$BA$5,0)),0)</f>
        <v>0</v>
      </c>
      <c r="AC12" s="248">
        <f>IF($R12=$AC$3,(INDEX('Tables - Part 2'!$AX$6:$BA$13,MATCH(SCC_Polythionic_Acid!V12,'Tables - Part 2'!$AV$6:$AV$13,0),MATCH(SCC_Polythionic_Acid!S12,'Tables - Part 2'!$AX$5:$BA$5,0))+(INDEX('Tables - Part 2'!$AX$6:$BA$13,MATCH(SCC_Polythionic_Acid!V12,'Tables - Part 2'!$AV$6:$AV$13,0),MATCH(SCC_Polythionic_Acid!S12,'Tables - Part 2'!$AX$5:$BA$5,0))+((INDEX('Tables - Part 2'!$AX$6:$BA$13,MATCH(SCC_Polythionic_Acid!V12,'Tables - Part 2'!$AV$6:$AV$13,0),MATCH(SCC_Polythionic_Acid!S12,'Tables - Part 2'!$AX$5:$BA$5,0))+INDEX('Tables - Part 2'!$BB$6:$BE$13,MATCH(SCC_Polythionic_Acid!$V12,'Tables - Part 2'!$AV$6:$AV$13,0),MATCH(SCC_Polythionic_Acid!$S12,'Tables - Part 2'!$AX$5:$BA$5,0)))/2))/2)/2,0)</f>
        <v>0</v>
      </c>
      <c r="AD12" s="248">
        <f>IF($R12=$AD$3,(INDEX('Tables - Part 2'!$AX$6:$BA$13,MATCH(SCC_Polythionic_Acid!V12,'Tables - Part 2'!$AV$6:$AV$13,0),MATCH(SCC_Polythionic_Acid!S12,'Tables - Part 2'!$AX$5:$BA$5,0))+((INDEX('Tables - Part 2'!$AX$6:$BA$13,MATCH(SCC_Polythionic_Acid!V12,'Tables - Part 2'!$AV$6:$AV$13,0),MATCH(SCC_Polythionic_Acid!S12,'Tables - Part 2'!$AX$5:$BA$5,0))+INDEX('Tables - Part 2'!$BB$6:$BE$13,MATCH(SCC_Polythionic_Acid!$V12,'Tables - Part 2'!$AV$6:$AV$13,0),MATCH(SCC_Polythionic_Acid!$S12,'Tables - Part 2'!$AX$5:$BA$5,0)))/2))/2,0)</f>
        <v>0</v>
      </c>
      <c r="AE12" s="248">
        <f>IF($R12=$AE$3,(((INDEX('Tables - Part 2'!$AX$6:$BA$13,MATCH(SCC_Polythionic_Acid!V12,'Tables - Part 2'!$AV$6:$AV$13,0),MATCH(SCC_Polythionic_Acid!S12,'Tables - Part 2'!$AX$5:$BA$5,0))+((INDEX('Tables - Part 2'!$AX$6:$BA$13,MATCH(SCC_Polythionic_Acid!V12,'Tables - Part 2'!$AV$6:$AV$13,0),MATCH(SCC_Polythionic_Acid!S12,'Tables - Part 2'!$AX$5:$BA$5,0))+INDEX('Tables - Part 2'!$BB$6:$BE$13,MATCH(SCC_Polythionic_Acid!$V12,'Tables - Part 2'!$AV$6:$AV$13,0),MATCH(SCC_Polythionic_Acid!$S12,'Tables - Part 2'!$AX$5:$BA$5,0)))/2))/2)+(INDEX('Tables - Part 2'!$AX$6:$BA$13,MATCH(SCC_Polythionic_Acid!V12,'Tables - Part 2'!$AV$6:$AV$13,0),MATCH(SCC_Polythionic_Acid!S12,'Tables - Part 2'!$AX$5:$BA$5,0))+INDEX('Tables - Part 2'!$BB$6:$BE$13,MATCH(SCC_Polythionic_Acid!$V12,'Tables - Part 2'!$AV$6:$AV$13,0),MATCH(SCC_Polythionic_Acid!$S12,'Tables - Part 2'!$AX$5:$BA$5,0)))/2)/2,0)</f>
        <v>0</v>
      </c>
      <c r="AF12" s="248">
        <f>IF($R12=$AF$3,(INDEX('Tables - Part 2'!$AX$6:$BA$13,MATCH(SCC_Polythionic_Acid!V12,'Tables - Part 2'!$AV$6:$AV$13,0),MATCH(SCC_Polythionic_Acid!S12,'Tables - Part 2'!$AX$5:$BA$5,0))+INDEX('Tables - Part 2'!$BB$6:$BE$13,MATCH(SCC_Polythionic_Acid!$V12,'Tables - Part 2'!$AV$6:$AV$13,0),MATCH(SCC_Polythionic_Acid!$S12,'Tables - Part 2'!$AX$5:$BA$5,0)))/2,0)</f>
        <v>0</v>
      </c>
      <c r="AG12" s="248">
        <f>IF($R12=$AG$3,(((INDEX('Tables - Part 2'!$AX$6:$BA$13,MATCH(SCC_Polythionic_Acid!V12,'Tables - Part 2'!$AV$6:$AV$13,0),MATCH(SCC_Polythionic_Acid!S12,'Tables - Part 2'!$AX$5:$BA$5,0))+INDEX('Tables - Part 2'!$BB$6:$BE$13,MATCH(SCC_Polythionic_Acid!$V12,'Tables - Part 2'!$AV$6:$AV$13,0),MATCH(SCC_Polythionic_Acid!$S12,'Tables - Part 2'!$AX$5:$BA$5,0)))/2)+(((INDEX('Tables - Part 2'!$AX$6:$BA$13,MATCH(SCC_Polythionic_Acid!V12,'Tables - Part 2'!$AV$6:$AV$13,0),MATCH(SCC_Polythionic_Acid!S12,'Tables - Part 2'!$AX$5:$BA$5,0))+INDEX('Tables - Part 2'!$BB$6:$BE$13,MATCH(SCC_Polythionic_Acid!$V12,'Tables - Part 2'!$AV$6:$AV$13,0),MATCH(SCC_Polythionic_Acid!$S12,'Tables - Part 2'!$AX$5:$BA$5,0)))/2)+INDEX('Tables - Part 2'!$BB$6:$BE$13,MATCH(SCC_Polythionic_Acid!$V12,'Tables - Part 2'!$AV$6:$AV$13,0),MATCH(SCC_Polythionic_Acid!$S12,'Tables - Part 2'!$AX$5:$BA$5,0)))/2)/2,0)</f>
        <v>0</v>
      </c>
      <c r="AH12" s="248">
        <f>IF($R12=$AH$3,(((INDEX('Tables - Part 2'!$AX$6:$BA$13,MATCH(SCC_Polythionic_Acid!V12,'Tables - Part 2'!$AV$6:$AV$13,0),MATCH(SCC_Polythionic_Acid!S12,'Tables - Part 2'!$AX$5:$BA$5,0))+INDEX('Tables - Part 2'!$BB$6:$BE$13,MATCH(SCC_Polythionic_Acid!$V12,'Tables - Part 2'!$AV$6:$AV$13,0),MATCH(SCC_Polythionic_Acid!$S12,'Tables - Part 2'!$AX$5:$BA$5,0)))/2)+INDEX('Tables - Part 2'!$BB$6:$BE$13,MATCH(SCC_Polythionic_Acid!$V12,'Tables - Part 2'!$AV$6:$AV$13,0),MATCH(SCC_Polythionic_Acid!$S12,'Tables - Part 2'!$AX$5:$BA$5,0)))/2,0)</f>
        <v>0</v>
      </c>
      <c r="AI12" s="248">
        <f>IF($R12=$AI$3,(((((INDEX('Tables - Part 2'!$AX$6:$BA$13,MATCH(SCC_Polythionic_Acid!V12,'Tables - Part 2'!$AV$6:$AV$13,0),MATCH(SCC_Polythionic_Acid!S12,'Tables - Part 2'!$AX$5:$BA$5,0))+INDEX('Tables - Part 2'!$BB$6:$BE$13,MATCH(SCC_Polythionic_Acid!$V12,'Tables - Part 2'!$AV$6:$AV$13,0),MATCH(SCC_Polythionic_Acid!$S12,'Tables - Part 2'!$AX$5:$BA$5,0)))/2)+INDEX('Tables - Part 2'!$BB$6:$BE$13,MATCH(SCC_Polythionic_Acid!$V12,'Tables - Part 2'!$AV$6:$AV$13,0),MATCH(SCC_Polythionic_Acid!$S12,'Tables - Part 2'!$AX$5:$BA$5,0)))/2)+INDEX('Tables - Part 2'!$BB$6:$BE$13,MATCH(SCC_Polythionic_Acid!$V12,'Tables - Part 2'!$AV$6:$AV$13,0),MATCH(SCC_Polythionic_Acid!$S12,'Tables - Part 2'!$AX$5:$BA$5,0)))/2,0)</f>
        <v>0</v>
      </c>
      <c r="AJ12" s="248">
        <f>IF($R12=$AJ$3,INDEX('Tables - Part 2'!$BB$6:$BE$13,MATCH(SCC_Polythionic_Acid!$V12,'Tables - Part 2'!$AV$6:$AV$13,0),MATCH(SCC_Polythionic_Acid!$S12,'Tables - Part 2'!$AX$5:$BA$5,0)),0)</f>
        <v>0</v>
      </c>
      <c r="AK12" s="248">
        <f>IF($R12=$AK$3,((INDEX('Tables - Part 2'!$BB$6:$BE$13,MATCH(SCC_Polythionic_Acid!$V12,'Tables - Part 2'!$AV$6:$AV$13,0),MATCH(SCC_Polythionic_Acid!$S12,'Tables - Part 2'!$AX$5:$BA$5,0)))+(INDEX('Tables - Part 2'!$BB$6:$BE$13,MATCH(SCC_Polythionic_Acid!$V12,'Tables - Part 2'!$AV$6:$AV$13,0),MATCH(SCC_Polythionic_Acid!$S12,'Tables - Part 2'!$AX$5:$BA$5,0))+(INDEX('Tables - Part 2'!$BB$6:$BE$13,MATCH(SCC_Polythionic_Acid!$V12,'Tables - Part 2'!$AV$6:$AV$13,0),MATCH(SCC_Polythionic_Acid!$S12,'Tables - Part 2'!$AX$5:$BA$5,0))+INDEX('Tables - Part 2'!$BF$6:$BI$13,MATCH(SCC_Polythionic_Acid!$V12,'Tables - Part 2'!$AV$6:$AV$13,0),MATCH(SCC_Polythionic_Acid!$S12,'Tables - Part 2'!$AX$5:$BA$5,0)))/2)/2)/2,0)</f>
        <v>0</v>
      </c>
      <c r="AL12" s="248">
        <f>IF($R12=$AL$3,(INDEX('Tables - Part 2'!$BB$6:$BE$13,MATCH(SCC_Polythionic_Acid!$V12,'Tables - Part 2'!$AV$6:$AV$13,0),MATCH(SCC_Polythionic_Acid!$S12,'Tables - Part 2'!$AX$5:$BA$5,0))+(INDEX('Tables - Part 2'!$BB$6:$BE$13,MATCH(SCC_Polythionic_Acid!$V12,'Tables - Part 2'!$AV$6:$AV$13,0),MATCH(SCC_Polythionic_Acid!$S12,'Tables - Part 2'!$AX$5:$BA$5,0))+INDEX('Tables - Part 2'!$BF$6:$BI$13,MATCH(SCC_Polythionic_Acid!$V12,'Tables - Part 2'!$AV$6:$AV$13,0),MATCH(SCC_Polythionic_Acid!$S12,'Tables - Part 2'!$AX$5:$BA$5,0)))/2)/2,0)</f>
        <v>0</v>
      </c>
      <c r="AM12" s="248">
        <f>IF($R12=$AM$3,(((INDEX('Tables - Part 2'!$BB$6:$BE$13,MATCH(SCC_Polythionic_Acid!$V12,'Tables - Part 2'!$AV$6:$AV$13,0),MATCH(SCC_Polythionic_Acid!$S12,'Tables - Part 2'!$AX$5:$BA$5,0))+(INDEX('Tables - Part 2'!$BB$6:$BE$13,MATCH(SCC_Polythionic_Acid!$V12,'Tables - Part 2'!$AV$6:$AV$13,0),MATCH(SCC_Polythionic_Acid!$S12,'Tables - Part 2'!$AX$5:$BA$5,0))+INDEX('Tables - Part 2'!$BF$6:$BI$13,MATCH(SCC_Polythionic_Acid!$V12,'Tables - Part 2'!$AV$6:$AV$13,0),MATCH(SCC_Polythionic_Acid!$S12,'Tables - Part 2'!$AX$5:$BA$5,0)))/2)/2)+((INDEX('Tables - Part 2'!$BB$6:$BE$13,MATCH(SCC_Polythionic_Acid!$V12,'Tables - Part 2'!$AV$6:$AV$13,0),MATCH(SCC_Polythionic_Acid!$S12,'Tables - Part 2'!$AX$5:$BA$5,0))+INDEX('Tables - Part 2'!$BF$6:$BI$13,MATCH(SCC_Polythionic_Acid!$V12,'Tables - Part 2'!$AV$6:$AV$13,0),MATCH(SCC_Polythionic_Acid!$S12,'Tables - Part 2'!$AX$5:$BA$5,0)))/2))/2,0)</f>
        <v>0</v>
      </c>
      <c r="AN12" s="248">
        <f>IF($R12=$AN$3,(INDEX('Tables - Part 2'!$BB$6:$BE$13,MATCH(SCC_Polythionic_Acid!$V12,'Tables - Part 2'!$AV$6:$AV$13,0),MATCH(SCC_Polythionic_Acid!$S12,'Tables - Part 2'!$AX$5:$BA$5,0))+INDEX('Tables - Part 2'!$BF$6:$BI$13,MATCH(SCC_Polythionic_Acid!$V12,'Tables - Part 2'!$AV$6:$AV$13,0),MATCH(SCC_Polythionic_Acid!$S12,'Tables - Part 2'!$AX$5:$BA$5,0)))/2,0)</f>
        <v>165</v>
      </c>
      <c r="AO12" s="248">
        <f>IF($R12=$AO$3,(((INDEX('Tables - Part 2'!$BB$6:$BE$13,MATCH(SCC_Polythionic_Acid!$V12,'Tables - Part 2'!$AV$6:$AV$13,0),MATCH(SCC_Polythionic_Acid!$S12,'Tables - Part 2'!$AX$5:$BA$5,0))+INDEX('Tables - Part 2'!$BF$6:$BI$13,MATCH(SCC_Polythionic_Acid!$V12,'Tables - Part 2'!$AV$6:$AV$13,0),MATCH(SCC_Polythionic_Acid!$S12,'Tables - Part 2'!$AX$5:$BA$5,0)))/2)+((((INDEX('Tables - Part 2'!$BB$6:$BE$13,MATCH(SCC_Polythionic_Acid!$V12,'Tables - Part 2'!$AV$6:$AV$13,0),MATCH(SCC_Polythionic_Acid!$S12,'Tables - Part 2'!$AX$5:$BA$5,0))+INDEX('Tables - Part 2'!$BF$6:$BI$13,MATCH(SCC_Polythionic_Acid!$V12,'Tables - Part 2'!$AV$6:$AV$13,0),MATCH(SCC_Polythionic_Acid!$S12,'Tables - Part 2'!$AX$5:$BA$5,0)))/2)+INDEX('Tables - Part 2'!$BF$6:$BI$13,MATCH(SCC_Polythionic_Acid!$V12,'Tables - Part 2'!$AV$6:$AV$13,0),MATCH(SCC_Polythionic_Acid!$S12,'Tables - Part 2'!$AX$5:$BA$5,0)))/2))/2,0)</f>
        <v>0</v>
      </c>
      <c r="AP12" s="248">
        <f>IF($R12=$AP$3,(((INDEX('Tables - Part 2'!$BB$6:$BE$13,MATCH(SCC_Polythionic_Acid!$V12,'Tables - Part 2'!$AV$6:$AV$13,0),MATCH(SCC_Polythionic_Acid!$S12,'Tables - Part 2'!$AX$5:$BA$5,0))+INDEX('Tables - Part 2'!$BF$6:$BI$13,MATCH(SCC_Polythionic_Acid!$V12,'Tables - Part 2'!$AV$6:$AV$13,0),MATCH(SCC_Polythionic_Acid!$S12,'Tables - Part 2'!$AX$5:$BA$5,0)))/2)+INDEX('Tables - Part 2'!$BF$6:$BI$13,MATCH(SCC_Polythionic_Acid!$V12,'Tables - Part 2'!$AV$6:$AV$13,0),MATCH(SCC_Polythionic_Acid!$S12,'Tables - Part 2'!$AX$5:$BA$5,0)))/2,0)</f>
        <v>0</v>
      </c>
      <c r="AQ12" s="248">
        <f>IF($R12=$AQ$3,(((((INDEX('Tables - Part 2'!$BB$6:$BE$13,MATCH(SCC_Polythionic_Acid!$V12,'Tables - Part 2'!$AV$6:$AV$13,0),MATCH(SCC_Polythionic_Acid!$S12,'Tables - Part 2'!$AX$5:$BA$5,0))+INDEX('Tables - Part 2'!$BF$6:$BI$13,MATCH(SCC_Polythionic_Acid!$V12,'Tables - Part 2'!$AV$6:$AV$13,0),MATCH(SCC_Polythionic_Acid!$S12,'Tables - Part 2'!$AX$5:$BA$5,0)))/2)+INDEX('Tables - Part 2'!$BF$6:$BI$13,MATCH(SCC_Polythionic_Acid!$V12,'Tables - Part 2'!$AV$6:$AV$13,0),MATCH(SCC_Polythionic_Acid!$S12,'Tables - Part 2'!$AX$5:$BA$5,0)))/2)+INDEX('Tables - Part 2'!$BF$6:$BI$13,MATCH(SCC_Polythionic_Acid!$V12,'Tables - Part 2'!$AV$6:$AV$13,0),MATCH(SCC_Polythionic_Acid!$S12,'Tables - Part 2'!$AX$5:$BA$5,0)))/2,0)</f>
        <v>0</v>
      </c>
      <c r="AR12" s="248">
        <f>IF($R12=$AR$3,INDEX('Tables - Part 2'!$BF$6:$BI$13,MATCH(SCC_Polythionic_Acid!$V12,'Tables - Part 2'!$AV$6:$AV$13,0),MATCH(SCC_Polythionic_Acid!$S12,'Tables - Part 2'!$AX$5:$BA$5,0)),0)</f>
        <v>0</v>
      </c>
      <c r="AS12" s="248">
        <f>IF($R12=$AS$3,(INDEX('Tables - Part 2'!$BF$6:$BI$13,MATCH(SCC_Polythionic_Acid!$V12,'Tables - Part 2'!$AV$6:$AV$13,0),MATCH(SCC_Polythionic_Acid!$S12,'Tables - Part 2'!$AX$5:$BA$5,0))+((INDEX('Tables - Part 2'!$BF$6:$BI$13,MATCH(SCC_Polythionic_Acid!$V12,'Tables - Part 2'!$AV$6:$AV$13,0),MATCH(SCC_Polythionic_Acid!$S12,'Tables - Part 2'!$AX$5:$BA$5,0))+(INDEX('Tables - Part 2'!$BF$6:$BI$13,MATCH(SCC_Polythionic_Acid!$V12,'Tables - Part 2'!$AV$6:$AV$13,0),MATCH(SCC_Polythionic_Acid!$S12,'Tables - Part 2'!$AX$5:$BA$5,0))+INDEX('Tables - Part 2'!$AX$17:$BA$24,MATCH(SCC_Polythionic_Acid!$V12,'Tables - Part 2'!$AV$6:$AV$13,0),MATCH(SCC_Polythionic_Acid!$S12,'Tables - Part 2'!$AX$5:$BA$5,0)))/2)/2))/2,0)</f>
        <v>0</v>
      </c>
      <c r="AT12" s="248">
        <f>IF($R12=$AT$3,(INDEX('Tables - Part 2'!$BF$6:$BI$13,MATCH(SCC_Polythionic_Acid!$V12,'Tables - Part 2'!$AV$6:$AV$13,0),MATCH(SCC_Polythionic_Acid!$S12,'Tables - Part 2'!$AX$5:$BA$5,0))+(INDEX('Tables - Part 2'!$BF$6:$BI$13,MATCH(SCC_Polythionic_Acid!$V12,'Tables - Part 2'!$AV$6:$AV$13,0),MATCH(SCC_Polythionic_Acid!$S12,'Tables - Part 2'!$AX$5:$BA$5,0))+INDEX('Tables - Part 2'!$AX$17:$BA$24,MATCH(SCC_Polythionic_Acid!$V12,'Tables - Part 2'!$AV$6:$AV$13,0),MATCH(SCC_Polythionic_Acid!$S12,'Tables - Part 2'!$AX$5:$BA$5,0)))/2)/2,0)</f>
        <v>0</v>
      </c>
      <c r="AU12" s="248">
        <f>IF($R12=$AU$3,(((INDEX('Tables - Part 2'!$BF$6:$BI$13,MATCH(SCC_Polythionic_Acid!$V12,'Tables - Part 2'!$AV$6:$AV$13,0),MATCH(SCC_Polythionic_Acid!$S12,'Tables - Part 2'!$AX$5:$BA$5,0))+(INDEX('Tables - Part 2'!$BF$6:$BI$13,MATCH(SCC_Polythionic_Acid!$V12,'Tables - Part 2'!$AV$6:$AV$13,0),MATCH(SCC_Polythionic_Acid!$S12,'Tables - Part 2'!$AX$5:$BA$5,0))+INDEX('Tables - Part 2'!$AX$17:$BA$24,MATCH(SCC_Polythionic_Acid!$V12,'Tables - Part 2'!$AV$6:$AV$13,0),MATCH(SCC_Polythionic_Acid!$S12,'Tables - Part 2'!$AX$5:$BA$5,0)))/2)/2)+((INDEX('Tables - Part 2'!$BF$6:$BI$13,MATCH(SCC_Polythionic_Acid!$V12,'Tables - Part 2'!$AV$6:$AV$13,0),MATCH(SCC_Polythionic_Acid!$S12,'Tables - Part 2'!$AX$5:$BA$5,0))+INDEX('Tables - Part 2'!$AX$17:$BA$24,MATCH(SCC_Polythionic_Acid!$V12,'Tables - Part 2'!$AV$6:$AV$13,0),MATCH(SCC_Polythionic_Acid!$S12,'Tables - Part 2'!$AX$5:$BA$5,0)))/2))/2,0)</f>
        <v>0</v>
      </c>
      <c r="AV12" s="248">
        <f>IF($R12=$AV$3,(INDEX('Tables - Part 2'!$BF$6:$BI$13,MATCH(SCC_Polythionic_Acid!$V12,'Tables - Part 2'!$AV$6:$AV$13,0),MATCH(SCC_Polythionic_Acid!$S12,'Tables - Part 2'!$AX$5:$BA$5,0))+INDEX('Tables - Part 2'!$AX$17:$BA$24,MATCH(SCC_Polythionic_Acid!$V12,'Tables - Part 2'!$AV$6:$AV$13,0),MATCH(SCC_Polythionic_Acid!$S12,'Tables - Part 2'!$AX$5:$BA$5,0)))/2,0)</f>
        <v>0</v>
      </c>
      <c r="AW12" s="248">
        <f>IF($R12=$AW$3,(((INDEX('Tables - Part 2'!$BF$6:$BI$13,MATCH(SCC_Polythionic_Acid!$V12,'Tables - Part 2'!$AV$6:$AV$13,0),MATCH(SCC_Polythionic_Acid!$S12,'Tables - Part 2'!$AX$5:$BA$5,0))+INDEX('Tables - Part 2'!$AX$17:$BA$24,MATCH(SCC_Polythionic_Acid!$V12,'Tables - Part 2'!$AV$6:$AV$13,0),MATCH(SCC_Polythionic_Acid!$S12,'Tables - Part 2'!$AX$5:$BA$5,0)))/2)+((((INDEX('Tables - Part 2'!$BF$6:$BI$13,MATCH(SCC_Polythionic_Acid!$V12,'Tables - Part 2'!$AV$6:$AV$13,0),MATCH(SCC_Polythionic_Acid!$S12,'Tables - Part 2'!$AX$5:$BA$5,0))+INDEX('Tables - Part 2'!$AX$17:$BA$24,MATCH(SCC_Polythionic_Acid!$V12,'Tables - Part 2'!$AV$6:$AV$13,0),MATCH(SCC_Polythionic_Acid!$S12,'Tables - Part 2'!$AX$5:$BA$5,0)))/2)+INDEX('Tables - Part 2'!$AX$17:$BA$24,MATCH(SCC_Polythionic_Acid!$V12,'Tables - Part 2'!$AV$6:$AV$13,0),MATCH(SCC_Polythionic_Acid!$S12,'Tables - Part 2'!$AX$5:$BA$5,0)))/2))/2,0)</f>
        <v>0</v>
      </c>
      <c r="AX12" s="248">
        <f>IF($R12=$AX$3,(((INDEX('Tables - Part 2'!$BF$6:$BI$13,MATCH(SCC_Polythionic_Acid!$V12,'Tables - Part 2'!$AV$6:$AV$13,0),MATCH(SCC_Polythionic_Acid!$S12,'Tables - Part 2'!$AX$5:$BA$5,0))+INDEX('Tables - Part 2'!$AX$17:$BA$24,MATCH(SCC_Polythionic_Acid!$V12,'Tables - Part 2'!$AV$6:$AV$13,0),MATCH(SCC_Polythionic_Acid!$S12,'Tables - Part 2'!$AX$5:$BA$5,0)))/2)+INDEX('Tables - Part 2'!$AX$17:$BA$24,MATCH(SCC_Polythionic_Acid!$V12,'Tables - Part 2'!$AV$6:$AV$13,0),MATCH(SCC_Polythionic_Acid!$S12,'Tables - Part 2'!$AX$5:$BA$5,0)))/2,0)</f>
        <v>0</v>
      </c>
      <c r="AY12" s="248">
        <f>IF($R12=$AY$3,(((((INDEX('Tables - Part 2'!$BF$6:$BI$13,MATCH(SCC_Polythionic_Acid!$V12,'Tables - Part 2'!$AV$6:$AV$13,0),MATCH(SCC_Polythionic_Acid!$S12,'Tables - Part 2'!$AX$5:$BA$5,0))+INDEX('Tables - Part 2'!$AX$17:$BA$24,MATCH(SCC_Polythionic_Acid!$V12,'Tables - Part 2'!$AV$6:$AV$13,0),MATCH(SCC_Polythionic_Acid!$S12,'Tables - Part 2'!$AX$5:$BA$5,0)))/2)+INDEX('Tables - Part 2'!$AX$17:$BA$24,MATCH(SCC_Polythionic_Acid!$V12,'Tables - Part 2'!$AV$6:$AV$13,0),MATCH(SCC_Polythionic_Acid!$S12,'Tables - Part 2'!$AX$5:$BA$5,0)))/2)+(INDEX('Tables - Part 2'!$AX$17:$BA$24,MATCH(SCC_Polythionic_Acid!$V12,'Tables - Part 2'!$AV$6:$AV$13,0),MATCH(SCC_Polythionic_Acid!$S12,'Tables - Part 2'!$AX$5:$BA$5,0))))/2,0)</f>
        <v>0</v>
      </c>
      <c r="AZ12" s="248">
        <f>IF($R12=$AZ$3,INDEX('Tables - Part 2'!$AX$17:$BA$24,MATCH(SCC_Polythionic_Acid!$V12,'Tables - Part 2'!$AV$6:$AV$13,0),MATCH(SCC_Polythionic_Acid!$S12,'Tables - Part 2'!$AX$5:$BA$5,0)),0)</f>
        <v>0</v>
      </c>
      <c r="BA12" s="248">
        <f>IF($R12=$BA$3,((INDEX('Tables - Part 2'!$AX$17:$BA$24,MATCH(SCC_Polythionic_Acid!$V12,'Tables - Part 2'!$AV$6:$AV$13,0),MATCH(SCC_Polythionic_Acid!$S12,'Tables - Part 2'!$AX$5:$BA$5,0)))+(((INDEX('Tables - Part 2'!$AX$17:$BA$24,MATCH(SCC_Polythionic_Acid!$V12,'Tables - Part 2'!$AV$6:$AV$13,0),MATCH(SCC_Polythionic_Acid!$S12,'Tables - Part 2'!$AX$5:$BA$5,0)))+(INDEX('Tables - Part 2'!$AX$17:$BA$24,MATCH(SCC_Polythionic_Acid!$V12,'Tables - Part 2'!$AV$6:$AV$13,0),MATCH(SCC_Polythionic_Acid!$S12,'Tables - Part 2'!$AX$5:$BA$5,0))+INDEX('Tables - Part 2'!$BB$17:$BE$24,MATCH(SCC_Polythionic_Acid!$V12,'Tables - Part 2'!$AV$6:$AV$13,0),MATCH(SCC_Polythionic_Acid!$S12,'Tables - Part 2'!$AX$5:$BA$5,0)))/2)/2))/2,0)</f>
        <v>0</v>
      </c>
      <c r="BB12" s="248">
        <f>IF($R12=$BB$3,((INDEX('Tables - Part 2'!$AX$17:$BA$24,MATCH(SCC_Polythionic_Acid!$V12,'Tables - Part 2'!$AV$6:$AV$13,0),MATCH(SCC_Polythionic_Acid!$S12,'Tables - Part 2'!$AX$5:$BA$5,0)))+(INDEX('Tables - Part 2'!$AX$17:$BA$24,MATCH(SCC_Polythionic_Acid!$V12,'Tables - Part 2'!$AV$6:$AV$13,0),MATCH(SCC_Polythionic_Acid!$S12,'Tables - Part 2'!$AX$5:$BA$5,0))+INDEX('Tables - Part 2'!$BB$17:$BE$24,MATCH(SCC_Polythionic_Acid!$V12,'Tables - Part 2'!$AV$6:$AV$13,0),MATCH(SCC_Polythionic_Acid!$S12,'Tables - Part 2'!$AX$5:$BA$5,0)))/2)/2,0)</f>
        <v>0</v>
      </c>
      <c r="BC12" s="248">
        <f>IF($R12=$BC$3,((((INDEX('Tables - Part 2'!$AX$17:$BA$24,MATCH(SCC_Polythionic_Acid!$V12,'Tables - Part 2'!$AV$6:$AV$13,0),MATCH(SCC_Polythionic_Acid!$S12,'Tables - Part 2'!$AX$5:$BA$5,0)))+(INDEX('Tables - Part 2'!$AX$17:$BA$24,MATCH(SCC_Polythionic_Acid!$V12,'Tables - Part 2'!$AV$6:$AV$13,0),MATCH(SCC_Polythionic_Acid!$S12,'Tables - Part 2'!$AX$5:$BA$5,0))+INDEX('Tables - Part 2'!$BB$17:$BE$24,MATCH(SCC_Polythionic_Acid!$V12,'Tables - Part 2'!$AV$6:$AV$13,0),MATCH(SCC_Polythionic_Acid!$S12,'Tables - Part 2'!$AX$5:$BA$5,0)))/2)/2)+((INDEX('Tables - Part 2'!$AX$17:$BA$24,MATCH(SCC_Polythionic_Acid!$V12,'Tables - Part 2'!$AV$6:$AV$13,0),MATCH(SCC_Polythionic_Acid!$S12,'Tables - Part 2'!$AX$5:$BA$5,0))+INDEX('Tables - Part 2'!$BB$17:$BE$24,MATCH(SCC_Polythionic_Acid!$V12,'Tables - Part 2'!$AV$6:$AV$13,0),MATCH(SCC_Polythionic_Acid!$S12,'Tables - Part 2'!$AX$5:$BA$5,0)))/2))/2,0)</f>
        <v>0</v>
      </c>
      <c r="BD12" s="248">
        <f>IF($R12=$BD$3,(INDEX('Tables - Part 2'!$AX$17:$BA$24,MATCH(SCC_Polythionic_Acid!$V12,'Tables - Part 2'!$AV$6:$AV$13,0),MATCH(SCC_Polythionic_Acid!$S12,'Tables - Part 2'!$AX$5:$BA$5,0))+INDEX('Tables - Part 2'!$BB$17:$BE$24,MATCH(SCC_Polythionic_Acid!$V12,'Tables - Part 2'!$AV$6:$AV$13,0),MATCH(SCC_Polythionic_Acid!$S12,'Tables - Part 2'!$AX$5:$BA$5,0)))/2,0)</f>
        <v>0</v>
      </c>
      <c r="BE12" s="248">
        <f>IF($R12=$BE$3,(((INDEX('Tables - Part 2'!$AX$17:$BA$24,MATCH(SCC_Polythionic_Acid!$V12,'Tables - Part 2'!$AV$6:$AV$13,0),MATCH(SCC_Polythionic_Acid!$S12,'Tables - Part 2'!$AX$5:$BA$5,0))+INDEX('Tables - Part 2'!$BB$17:$BE$24,MATCH(SCC_Polythionic_Acid!$V12,'Tables - Part 2'!$AV$6:$AV$13,0),MATCH(SCC_Polythionic_Acid!$S12,'Tables - Part 2'!$AX$5:$BA$5,0)))/2)+((((INDEX('Tables - Part 2'!$AX$17:$BA$24,MATCH(SCC_Polythionic_Acid!$V12,'Tables - Part 2'!$AV$6:$AV$13,0),MATCH(SCC_Polythionic_Acid!$S12,'Tables - Part 2'!$AX$5:$BA$5,0))+INDEX('Tables - Part 2'!$BB$17:$BE$24,MATCH(SCC_Polythionic_Acid!$V12,'Tables - Part 2'!$AV$6:$AV$13,0),MATCH(SCC_Polythionic_Acid!$S12,'Tables - Part 2'!$AX$5:$BA$5,0)))/2)+INDEX('Tables - Part 2'!$BB$17:$BE$24,MATCH(SCC_Polythionic_Acid!$V12,'Tables - Part 2'!$AV$6:$AV$13,0),MATCH(SCC_Polythionic_Acid!$S12,'Tables - Part 2'!$AX$5:$BA$5,0)))/2))/2,0)</f>
        <v>0</v>
      </c>
      <c r="BF12" s="248">
        <f>IF($R12=$BF$3,(((INDEX('Tables - Part 2'!$AX$17:$BA$24,MATCH(SCC_Polythionic_Acid!$V12,'Tables - Part 2'!$AV$6:$AV$13,0),MATCH(SCC_Polythionic_Acid!$S12,'Tables - Part 2'!$AX$5:$BA$5,0))+INDEX('Tables - Part 2'!$BB$17:$BE$24,MATCH(SCC_Polythionic_Acid!$V12,'Tables - Part 2'!$AV$6:$AV$13,0),MATCH(SCC_Polythionic_Acid!$S12,'Tables - Part 2'!$AX$5:$BA$5,0)))/2)+INDEX('Tables - Part 2'!$BB$17:$BE$24,MATCH(SCC_Polythionic_Acid!$V12,'Tables - Part 2'!$AV$6:$AV$13,0),MATCH(SCC_Polythionic_Acid!$S12,'Tables - Part 2'!$AX$5:$BA$5,0)))/2,0)</f>
        <v>0</v>
      </c>
      <c r="BG12" s="248">
        <f>IF($R12=$BG$3,(((((INDEX('Tables - Part 2'!$AX$17:$BA$24,MATCH(SCC_Polythionic_Acid!$V12,'Tables - Part 2'!$AV$6:$AV$13,0),MATCH(SCC_Polythionic_Acid!$S12,'Tables - Part 2'!$AX$5:$BA$5,0))+INDEX('Tables - Part 2'!$BB$17:$BE$24,MATCH(SCC_Polythionic_Acid!$V12,'Tables - Part 2'!$AV$6:$AV$13,0),MATCH(SCC_Polythionic_Acid!$S12,'Tables - Part 2'!$AX$5:$BA$5,0)))/2)+INDEX('Tables - Part 2'!$BB$17:$BE$24,MATCH(SCC_Polythionic_Acid!$V12,'Tables - Part 2'!$AV$6:$AV$13,0),MATCH(SCC_Polythionic_Acid!$S12,'Tables - Part 2'!$AX$5:$BA$5,0)))/2)+(INDEX('Tables - Part 2'!$BB$17:$BE$24,MATCH(SCC_Polythionic_Acid!$V12,'Tables - Part 2'!$AV$6:$AV$13,0),MATCH(SCC_Polythionic_Acid!$S12,'Tables - Part 2'!$AX$5:$BA$5,0))))/2,0)</f>
        <v>0</v>
      </c>
      <c r="BH12" s="248">
        <f>IF($R12=$BH$3,INDEX('Tables - Part 2'!$BB$17:$BE$24,MATCH(SCC_Polythionic_Acid!$V12,'Tables - Part 2'!$AV$6:$AV$13,0),MATCH(SCC_Polythionic_Acid!$S12,'Tables - Part 2'!$AX$5:$BA$5,0)),0)</f>
        <v>0</v>
      </c>
      <c r="BI12" s="248">
        <f>IF($R12=$BI$3,((INDEX('Tables - Part 2'!$BB$17:$BE$24,MATCH(SCC_Polythionic_Acid!$V12,'Tables - Part 2'!$AV$6:$AV$13,0),MATCH(SCC_Polythionic_Acid!$S12,'Tables - Part 2'!$AX$5:$BA$5,0)))+(((INDEX('Tables - Part 2'!$BB$17:$BE$24,MATCH(SCC_Polythionic_Acid!$V12,'Tables - Part 2'!$AV$6:$AV$13,0),MATCH(SCC_Polythionic_Acid!$S12,'Tables - Part 2'!$AX$5:$BA$5,0)))+(INDEX('Tables - Part 2'!$BB$17:$BE$24,MATCH(SCC_Polythionic_Acid!$V12,'Tables - Part 2'!$AV$6:$AV$13,0),MATCH(SCC_Polythionic_Acid!$S12,'Tables - Part 2'!$AX$5:$BA$5,0))+INDEX('Tables - Part 2'!$BF$17:$BI$24,MATCH(SCC_Polythionic_Acid!$V12,'Tables - Part 2'!$AV$6:$AV$13,0),MATCH(SCC_Polythionic_Acid!$S12,'Tables - Part 2'!$AX$5:$BA$5,0)))/2)/2))/2,0)</f>
        <v>0</v>
      </c>
      <c r="BJ12" s="248">
        <f>IF($R12=$BJ$3,((INDEX('Tables - Part 2'!$BB$17:$BE$24,MATCH(SCC_Polythionic_Acid!$V12,'Tables - Part 2'!$AV$6:$AV$13,0),MATCH(SCC_Polythionic_Acid!$S12,'Tables - Part 2'!$AX$5:$BA$5,0)))+(INDEX('Tables - Part 2'!$BB$17:$BE$24,MATCH(SCC_Polythionic_Acid!$V12,'Tables - Part 2'!$AV$6:$AV$13,0),MATCH(SCC_Polythionic_Acid!$S12,'Tables - Part 2'!$AX$5:$BA$5,0))+INDEX('Tables - Part 2'!$BF$17:$BI$24,MATCH(SCC_Polythionic_Acid!$V12,'Tables - Part 2'!$AV$6:$AV$13,0),MATCH(SCC_Polythionic_Acid!$S12,'Tables - Part 2'!$AX$5:$BA$5,0)))/2)/2,0)</f>
        <v>0</v>
      </c>
      <c r="BK12" s="248">
        <f>IF($R12=$BK$3,((((INDEX('Tables - Part 2'!$BB$17:$BE$24,MATCH(SCC_Polythionic_Acid!$V12,'Tables - Part 2'!$AV$6:$AV$13,0),MATCH(SCC_Polythionic_Acid!$S12,'Tables - Part 2'!$AX$5:$BA$5,0)))+(INDEX('Tables - Part 2'!$BB$17:$BE$24,MATCH(SCC_Polythionic_Acid!$V12,'Tables - Part 2'!$AV$6:$AV$13,0),MATCH(SCC_Polythionic_Acid!$S12,'Tables - Part 2'!$AX$5:$BA$5,0))+INDEX('Tables - Part 2'!$BF$17:$BI$24,MATCH(SCC_Polythionic_Acid!$V12,'Tables - Part 2'!$AV$6:$AV$13,0),MATCH(SCC_Polythionic_Acid!$S12,'Tables - Part 2'!$AX$5:$BA$5,0)))/2)/2)+((INDEX('Tables - Part 2'!$BB$17:$BE$24,MATCH(SCC_Polythionic_Acid!$V12,'Tables - Part 2'!$AV$6:$AV$13,0),MATCH(SCC_Polythionic_Acid!$S12,'Tables - Part 2'!$AX$5:$BA$5,0))+INDEX('Tables - Part 2'!$BF$17:$BI$24,MATCH(SCC_Polythionic_Acid!$V12,'Tables - Part 2'!$AV$6:$AV$13,0),MATCH(SCC_Polythionic_Acid!$S12,'Tables - Part 2'!$AX$5:$BA$5,0)))/2))/2,0)</f>
        <v>0</v>
      </c>
      <c r="BL12" s="248">
        <f>IF($R12=$BL$3,(INDEX('Tables - Part 2'!$BB$17:$BE$24,MATCH(SCC_Polythionic_Acid!$V12,'Tables - Part 2'!$AV$6:$AV$13,0),MATCH(SCC_Polythionic_Acid!$S12,'Tables - Part 2'!$AX$5:$BA$5,0))+INDEX('Tables - Part 2'!$BF$17:$BI$24,MATCH(SCC_Polythionic_Acid!$V12,'Tables - Part 2'!$AV$6:$AV$13,0),MATCH(SCC_Polythionic_Acid!$S12,'Tables - Part 2'!$AX$5:$BA$5,0)))/2,0)</f>
        <v>0</v>
      </c>
      <c r="BM12" s="248">
        <f>IF($R12=$BM$3,(((INDEX('Tables - Part 2'!$BB$17:$BE$24,MATCH(SCC_Polythionic_Acid!$V12,'Tables - Part 2'!$AV$6:$AV$13,0),MATCH(SCC_Polythionic_Acid!$S12,'Tables - Part 2'!$AX$5:$BA$5,0))+INDEX('Tables - Part 2'!$BF$17:$BI$24,MATCH(SCC_Polythionic_Acid!$V12,'Tables - Part 2'!$AV$6:$AV$13,0),MATCH(SCC_Polythionic_Acid!$S12,'Tables - Part 2'!$AX$5:$BA$5,0)))/2)+((((INDEX('Tables - Part 2'!$BB$17:$BE$24,MATCH(SCC_Polythionic_Acid!$V12,'Tables - Part 2'!$AV$6:$AV$13,0),MATCH(SCC_Polythionic_Acid!$S12,'Tables - Part 2'!$AX$5:$BA$5,0))+INDEX('Tables - Part 2'!$BF$17:$BI$24,MATCH(SCC_Polythionic_Acid!$V12,'Tables - Part 2'!$AV$6:$AV$13,0),MATCH(SCC_Polythionic_Acid!$S12,'Tables - Part 2'!$AX$5:$BA$5,0)))/2)+INDEX('Tables - Part 2'!$BF$17:$BI$24,MATCH(SCC_Polythionic_Acid!$V12,'Tables - Part 2'!$AV$6:$AV$13,0),MATCH(SCC_Polythionic_Acid!$S12,'Tables - Part 2'!$AX$5:$BA$5,0)))/2))/2,0)</f>
        <v>0</v>
      </c>
      <c r="BN12" s="248">
        <f>IF($R12=$BN$3,(((INDEX('Tables - Part 2'!$BB$17:$BE$24,MATCH(SCC_Polythionic_Acid!$V12,'Tables - Part 2'!$AV$6:$AV$13,0),MATCH(SCC_Polythionic_Acid!$S12,'Tables - Part 2'!$AX$5:$BA$5,0))+INDEX('Tables - Part 2'!$BF$17:$BI$24,MATCH(SCC_Polythionic_Acid!$V12,'Tables - Part 2'!$AV$6:$AV$13,0),MATCH(SCC_Polythionic_Acid!$S12,'Tables - Part 2'!$AX$5:$BA$5,0)))/2)+INDEX('Tables - Part 2'!$BF$17:$BI$24,MATCH(SCC_Polythionic_Acid!$V12,'Tables - Part 2'!$AV$6:$AV$13,0),MATCH(SCC_Polythionic_Acid!$S12,'Tables - Part 2'!$AX$5:$BA$5,0)))/2,0)</f>
        <v>0</v>
      </c>
      <c r="BO12" s="248">
        <f>IF($R12=$BO$3,(((((INDEX('Tables - Part 2'!$BB$17:$BE$24,MATCH(SCC_Polythionic_Acid!$V12,'Tables - Part 2'!$AV$6:$AV$13,0),MATCH(SCC_Polythionic_Acid!$S12,'Tables - Part 2'!$AX$5:$BA$5,0))+INDEX('Tables - Part 2'!$BF$17:$BI$24,MATCH(SCC_Polythionic_Acid!$V12,'Tables - Part 2'!$AV$6:$AV$13,0),MATCH(SCC_Polythionic_Acid!$S12,'Tables - Part 2'!$AX$5:$BA$5,0)))/2)+INDEX('Tables - Part 2'!$BF$17:$BI$24,MATCH(SCC_Polythionic_Acid!$V12,'Tables - Part 2'!$AV$6:$AV$13,0),MATCH(SCC_Polythionic_Acid!$S12,'Tables - Part 2'!$AX$5:$BA$5,0)))/2)+(INDEX('Tables - Part 2'!$BF$17:$BI$24,MATCH(SCC_Polythionic_Acid!$V12,'Tables - Part 2'!$AV$6:$AV$13,0),MATCH(SCC_Polythionic_Acid!$S12,'Tables - Part 2'!$AX$5:$BA$5,0))))/2,0)</f>
        <v>0</v>
      </c>
      <c r="BP12" s="248">
        <f>IF($R12=$BP$3,INDEX('Tables - Part 2'!$BF$17:$BI$24,MATCH(SCC_Polythionic_Acid!$V12,'Tables - Part 2'!$AV$6:$AV$13,0),MATCH(SCC_Polythionic_Acid!$S12,'Tables - Part 2'!$AX$5:$BA$5,0)),0)</f>
        <v>0</v>
      </c>
      <c r="BQ12" s="248">
        <f t="shared" si="5"/>
        <v>0</v>
      </c>
      <c r="BR12" s="238">
        <f t="shared" si="8"/>
        <v>165</v>
      </c>
      <c r="BS12" s="238">
        <f t="shared" si="9"/>
        <v>2767.5256072873844</v>
      </c>
    </row>
    <row r="13" spans="2:84" x14ac:dyDescent="0.35">
      <c r="B13" s="161" t="str">
        <f>'Tratamento de Dados'!B21</f>
        <v>V-4</v>
      </c>
      <c r="C13" s="161" t="str">
        <f>'Tratamento de Dados'!D21</f>
        <v>Casco</v>
      </c>
      <c r="D13" s="209" t="s">
        <v>244</v>
      </c>
      <c r="E13" s="209" t="s">
        <v>244</v>
      </c>
      <c r="F13" s="209" t="s">
        <v>244</v>
      </c>
      <c r="G13" s="209" t="s">
        <v>244</v>
      </c>
      <c r="H13" s="209" t="s">
        <v>1145</v>
      </c>
      <c r="I13" s="247">
        <f>'Tratamento de Dados'!S21</f>
        <v>2</v>
      </c>
      <c r="J13" s="209" t="s">
        <v>1146</v>
      </c>
      <c r="K13" s="210">
        <v>39092</v>
      </c>
      <c r="L13" s="209">
        <v>0</v>
      </c>
      <c r="M13" s="209">
        <v>1</v>
      </c>
      <c r="N13" s="209">
        <v>1</v>
      </c>
      <c r="O13" s="209">
        <v>4</v>
      </c>
      <c r="P13" s="253">
        <f>'Tratamento de Dados'!DA21</f>
        <v>0</v>
      </c>
      <c r="Q13" s="253">
        <f>'Tratamento de Dados'!DB21</f>
        <v>0</v>
      </c>
      <c r="R13" s="256">
        <f t="shared" si="0"/>
        <v>2.5</v>
      </c>
      <c r="S13" s="246" t="str">
        <f t="shared" si="1"/>
        <v>B</v>
      </c>
      <c r="T13" s="238" t="str">
        <f>IF(D13=$BX$2,$BV$5,IF(F13=$BX$3,$BV$2,INDEX(IF(I13&lt;427,'Tables - Part 2'!$DH$6:$DJ$10,'Tables - Part 2'!$DH$14:$DJ$18),MATCH(SCC_Polythionic_Acid!H13,'Tables - Part 2'!$DG$6:$DG$10,0),MATCH(J13,'Tables - Part 2'!$DH$5:$DJ$5,0))))</f>
        <v>High</v>
      </c>
      <c r="U13" s="238" t="str">
        <f t="shared" si="6"/>
        <v>High</v>
      </c>
      <c r="V13" s="238">
        <f>IF(AND(D13=$BX$2,E13&lt;&gt;$BX$2),"Fitness-For-Service",INDEX('Tables - Part 2'!$DM$4:$DM$7,MATCH(SCC_Polythionic_Acid!U13,'Tables - Part 2'!$DL$4:$DL$7,0),))</f>
        <v>5000</v>
      </c>
      <c r="W13" s="238">
        <f>IF(K13=0,(Thinning!G14-Thinning!F14)/365.25,(Thinning!G14-K13)/365.25)</f>
        <v>12.980150581793293</v>
      </c>
      <c r="X13" s="248">
        <f t="shared" si="2"/>
        <v>0</v>
      </c>
      <c r="Y13" s="248">
        <f t="shared" si="3"/>
        <v>2.5</v>
      </c>
      <c r="Z13" s="247">
        <f t="shared" si="7"/>
        <v>3</v>
      </c>
      <c r="AA13" s="247">
        <f t="shared" si="4"/>
        <v>4</v>
      </c>
      <c r="AB13" s="248">
        <f>IF($R13=$AB$3,INDEX('Tables - Part 2'!$AX$6:$BA$13,MATCH(SCC_Polythionic_Acid!V13,'Tables - Part 2'!$AV$6:$AV$13,0),MATCH(SCC_Polythionic_Acid!S13,'Tables - Part 2'!$AX$5:$BA$5,0)),0)</f>
        <v>0</v>
      </c>
      <c r="AC13" s="248">
        <f>IF($R13=$AC$3,(INDEX('Tables - Part 2'!$AX$6:$BA$13,MATCH(SCC_Polythionic_Acid!V13,'Tables - Part 2'!$AV$6:$AV$13,0),MATCH(SCC_Polythionic_Acid!S13,'Tables - Part 2'!$AX$5:$BA$5,0))+(INDEX('Tables - Part 2'!$AX$6:$BA$13,MATCH(SCC_Polythionic_Acid!V13,'Tables - Part 2'!$AV$6:$AV$13,0),MATCH(SCC_Polythionic_Acid!S13,'Tables - Part 2'!$AX$5:$BA$5,0))+((INDEX('Tables - Part 2'!$AX$6:$BA$13,MATCH(SCC_Polythionic_Acid!V13,'Tables - Part 2'!$AV$6:$AV$13,0),MATCH(SCC_Polythionic_Acid!S13,'Tables - Part 2'!$AX$5:$BA$5,0))+INDEX('Tables - Part 2'!$BB$6:$BE$13,MATCH(SCC_Polythionic_Acid!$V13,'Tables - Part 2'!$AV$6:$AV$13,0),MATCH(SCC_Polythionic_Acid!$S13,'Tables - Part 2'!$AX$5:$BA$5,0)))/2))/2)/2,0)</f>
        <v>0</v>
      </c>
      <c r="AD13" s="248">
        <f>IF($R13=$AD$3,(INDEX('Tables - Part 2'!$AX$6:$BA$13,MATCH(SCC_Polythionic_Acid!V13,'Tables - Part 2'!$AV$6:$AV$13,0),MATCH(SCC_Polythionic_Acid!S13,'Tables - Part 2'!$AX$5:$BA$5,0))+((INDEX('Tables - Part 2'!$AX$6:$BA$13,MATCH(SCC_Polythionic_Acid!V13,'Tables - Part 2'!$AV$6:$AV$13,0),MATCH(SCC_Polythionic_Acid!S13,'Tables - Part 2'!$AX$5:$BA$5,0))+INDEX('Tables - Part 2'!$BB$6:$BE$13,MATCH(SCC_Polythionic_Acid!$V13,'Tables - Part 2'!$AV$6:$AV$13,0),MATCH(SCC_Polythionic_Acid!$S13,'Tables - Part 2'!$AX$5:$BA$5,0)))/2))/2,0)</f>
        <v>0</v>
      </c>
      <c r="AE13" s="248">
        <f>IF($R13=$AE$3,(((INDEX('Tables - Part 2'!$AX$6:$BA$13,MATCH(SCC_Polythionic_Acid!V13,'Tables - Part 2'!$AV$6:$AV$13,0),MATCH(SCC_Polythionic_Acid!S13,'Tables - Part 2'!$AX$5:$BA$5,0))+((INDEX('Tables - Part 2'!$AX$6:$BA$13,MATCH(SCC_Polythionic_Acid!V13,'Tables - Part 2'!$AV$6:$AV$13,0),MATCH(SCC_Polythionic_Acid!S13,'Tables - Part 2'!$AX$5:$BA$5,0))+INDEX('Tables - Part 2'!$BB$6:$BE$13,MATCH(SCC_Polythionic_Acid!$V13,'Tables - Part 2'!$AV$6:$AV$13,0),MATCH(SCC_Polythionic_Acid!$S13,'Tables - Part 2'!$AX$5:$BA$5,0)))/2))/2)+(INDEX('Tables - Part 2'!$AX$6:$BA$13,MATCH(SCC_Polythionic_Acid!V13,'Tables - Part 2'!$AV$6:$AV$13,0),MATCH(SCC_Polythionic_Acid!S13,'Tables - Part 2'!$AX$5:$BA$5,0))+INDEX('Tables - Part 2'!$BB$6:$BE$13,MATCH(SCC_Polythionic_Acid!$V13,'Tables - Part 2'!$AV$6:$AV$13,0),MATCH(SCC_Polythionic_Acid!$S13,'Tables - Part 2'!$AX$5:$BA$5,0)))/2)/2,0)</f>
        <v>0</v>
      </c>
      <c r="AF13" s="248">
        <f>IF($R13=$AF$3,(INDEX('Tables - Part 2'!$AX$6:$BA$13,MATCH(SCC_Polythionic_Acid!V13,'Tables - Part 2'!$AV$6:$AV$13,0),MATCH(SCC_Polythionic_Acid!S13,'Tables - Part 2'!$AX$5:$BA$5,0))+INDEX('Tables - Part 2'!$BB$6:$BE$13,MATCH(SCC_Polythionic_Acid!$V13,'Tables - Part 2'!$AV$6:$AV$13,0),MATCH(SCC_Polythionic_Acid!$S13,'Tables - Part 2'!$AX$5:$BA$5,0)))/2,0)</f>
        <v>0</v>
      </c>
      <c r="AG13" s="248">
        <f>IF($R13=$AG$3,(((INDEX('Tables - Part 2'!$AX$6:$BA$13,MATCH(SCC_Polythionic_Acid!V13,'Tables - Part 2'!$AV$6:$AV$13,0),MATCH(SCC_Polythionic_Acid!S13,'Tables - Part 2'!$AX$5:$BA$5,0))+INDEX('Tables - Part 2'!$BB$6:$BE$13,MATCH(SCC_Polythionic_Acid!$V13,'Tables - Part 2'!$AV$6:$AV$13,0),MATCH(SCC_Polythionic_Acid!$S13,'Tables - Part 2'!$AX$5:$BA$5,0)))/2)+(((INDEX('Tables - Part 2'!$AX$6:$BA$13,MATCH(SCC_Polythionic_Acid!V13,'Tables - Part 2'!$AV$6:$AV$13,0),MATCH(SCC_Polythionic_Acid!S13,'Tables - Part 2'!$AX$5:$BA$5,0))+INDEX('Tables - Part 2'!$BB$6:$BE$13,MATCH(SCC_Polythionic_Acid!$V13,'Tables - Part 2'!$AV$6:$AV$13,0),MATCH(SCC_Polythionic_Acid!$S13,'Tables - Part 2'!$AX$5:$BA$5,0)))/2)+INDEX('Tables - Part 2'!$BB$6:$BE$13,MATCH(SCC_Polythionic_Acid!$V13,'Tables - Part 2'!$AV$6:$AV$13,0),MATCH(SCC_Polythionic_Acid!$S13,'Tables - Part 2'!$AX$5:$BA$5,0)))/2)/2,0)</f>
        <v>0</v>
      </c>
      <c r="AH13" s="248">
        <f>IF($R13=$AH$3,(((INDEX('Tables - Part 2'!$AX$6:$BA$13,MATCH(SCC_Polythionic_Acid!V13,'Tables - Part 2'!$AV$6:$AV$13,0),MATCH(SCC_Polythionic_Acid!S13,'Tables - Part 2'!$AX$5:$BA$5,0))+INDEX('Tables - Part 2'!$BB$6:$BE$13,MATCH(SCC_Polythionic_Acid!$V13,'Tables - Part 2'!$AV$6:$AV$13,0),MATCH(SCC_Polythionic_Acid!$S13,'Tables - Part 2'!$AX$5:$BA$5,0)))/2)+INDEX('Tables - Part 2'!$BB$6:$BE$13,MATCH(SCC_Polythionic_Acid!$V13,'Tables - Part 2'!$AV$6:$AV$13,0),MATCH(SCC_Polythionic_Acid!$S13,'Tables - Part 2'!$AX$5:$BA$5,0)))/2,0)</f>
        <v>0</v>
      </c>
      <c r="AI13" s="248">
        <f>IF($R13=$AI$3,(((((INDEX('Tables - Part 2'!$AX$6:$BA$13,MATCH(SCC_Polythionic_Acid!V13,'Tables - Part 2'!$AV$6:$AV$13,0),MATCH(SCC_Polythionic_Acid!S13,'Tables - Part 2'!$AX$5:$BA$5,0))+INDEX('Tables - Part 2'!$BB$6:$BE$13,MATCH(SCC_Polythionic_Acid!$V13,'Tables - Part 2'!$AV$6:$AV$13,0),MATCH(SCC_Polythionic_Acid!$S13,'Tables - Part 2'!$AX$5:$BA$5,0)))/2)+INDEX('Tables - Part 2'!$BB$6:$BE$13,MATCH(SCC_Polythionic_Acid!$V13,'Tables - Part 2'!$AV$6:$AV$13,0),MATCH(SCC_Polythionic_Acid!$S13,'Tables - Part 2'!$AX$5:$BA$5,0)))/2)+INDEX('Tables - Part 2'!$BB$6:$BE$13,MATCH(SCC_Polythionic_Acid!$V13,'Tables - Part 2'!$AV$6:$AV$13,0),MATCH(SCC_Polythionic_Acid!$S13,'Tables - Part 2'!$AX$5:$BA$5,0)))/2,0)</f>
        <v>0</v>
      </c>
      <c r="AJ13" s="248">
        <f>IF($R13=$AJ$3,INDEX('Tables - Part 2'!$BB$6:$BE$13,MATCH(SCC_Polythionic_Acid!$V13,'Tables - Part 2'!$AV$6:$AV$13,0),MATCH(SCC_Polythionic_Acid!$S13,'Tables - Part 2'!$AX$5:$BA$5,0)),0)</f>
        <v>0</v>
      </c>
      <c r="AK13" s="248">
        <f>IF($R13=$AK$3,((INDEX('Tables - Part 2'!$BB$6:$BE$13,MATCH(SCC_Polythionic_Acid!$V13,'Tables - Part 2'!$AV$6:$AV$13,0),MATCH(SCC_Polythionic_Acid!$S13,'Tables - Part 2'!$AX$5:$BA$5,0)))+(INDEX('Tables - Part 2'!$BB$6:$BE$13,MATCH(SCC_Polythionic_Acid!$V13,'Tables - Part 2'!$AV$6:$AV$13,0),MATCH(SCC_Polythionic_Acid!$S13,'Tables - Part 2'!$AX$5:$BA$5,0))+(INDEX('Tables - Part 2'!$BB$6:$BE$13,MATCH(SCC_Polythionic_Acid!$V13,'Tables - Part 2'!$AV$6:$AV$13,0),MATCH(SCC_Polythionic_Acid!$S13,'Tables - Part 2'!$AX$5:$BA$5,0))+INDEX('Tables - Part 2'!$BF$6:$BI$13,MATCH(SCC_Polythionic_Acid!$V13,'Tables - Part 2'!$AV$6:$AV$13,0),MATCH(SCC_Polythionic_Acid!$S13,'Tables - Part 2'!$AX$5:$BA$5,0)))/2)/2)/2,0)</f>
        <v>0</v>
      </c>
      <c r="AL13" s="248">
        <f>IF($R13=$AL$3,(INDEX('Tables - Part 2'!$BB$6:$BE$13,MATCH(SCC_Polythionic_Acid!$V13,'Tables - Part 2'!$AV$6:$AV$13,0),MATCH(SCC_Polythionic_Acid!$S13,'Tables - Part 2'!$AX$5:$BA$5,0))+(INDEX('Tables - Part 2'!$BB$6:$BE$13,MATCH(SCC_Polythionic_Acid!$V13,'Tables - Part 2'!$AV$6:$AV$13,0),MATCH(SCC_Polythionic_Acid!$S13,'Tables - Part 2'!$AX$5:$BA$5,0))+INDEX('Tables - Part 2'!$BF$6:$BI$13,MATCH(SCC_Polythionic_Acid!$V13,'Tables - Part 2'!$AV$6:$AV$13,0),MATCH(SCC_Polythionic_Acid!$S13,'Tables - Part 2'!$AX$5:$BA$5,0)))/2)/2,0)</f>
        <v>0</v>
      </c>
      <c r="AM13" s="248">
        <f>IF($R13=$AM$3,(((INDEX('Tables - Part 2'!$BB$6:$BE$13,MATCH(SCC_Polythionic_Acid!$V13,'Tables - Part 2'!$AV$6:$AV$13,0),MATCH(SCC_Polythionic_Acid!$S13,'Tables - Part 2'!$AX$5:$BA$5,0))+(INDEX('Tables - Part 2'!$BB$6:$BE$13,MATCH(SCC_Polythionic_Acid!$V13,'Tables - Part 2'!$AV$6:$AV$13,0),MATCH(SCC_Polythionic_Acid!$S13,'Tables - Part 2'!$AX$5:$BA$5,0))+INDEX('Tables - Part 2'!$BF$6:$BI$13,MATCH(SCC_Polythionic_Acid!$V13,'Tables - Part 2'!$AV$6:$AV$13,0),MATCH(SCC_Polythionic_Acid!$S13,'Tables - Part 2'!$AX$5:$BA$5,0)))/2)/2)+((INDEX('Tables - Part 2'!$BB$6:$BE$13,MATCH(SCC_Polythionic_Acid!$V13,'Tables - Part 2'!$AV$6:$AV$13,0),MATCH(SCC_Polythionic_Acid!$S13,'Tables - Part 2'!$AX$5:$BA$5,0))+INDEX('Tables - Part 2'!$BF$6:$BI$13,MATCH(SCC_Polythionic_Acid!$V13,'Tables - Part 2'!$AV$6:$AV$13,0),MATCH(SCC_Polythionic_Acid!$S13,'Tables - Part 2'!$AX$5:$BA$5,0)))/2))/2,0)</f>
        <v>0</v>
      </c>
      <c r="AN13" s="248">
        <f>IF($R13=$AN$3,(INDEX('Tables - Part 2'!$BB$6:$BE$13,MATCH(SCC_Polythionic_Acid!$V13,'Tables - Part 2'!$AV$6:$AV$13,0),MATCH(SCC_Polythionic_Acid!$S13,'Tables - Part 2'!$AX$5:$BA$5,0))+INDEX('Tables - Part 2'!$BF$6:$BI$13,MATCH(SCC_Polythionic_Acid!$V13,'Tables - Part 2'!$AV$6:$AV$13,0),MATCH(SCC_Polythionic_Acid!$S13,'Tables - Part 2'!$AX$5:$BA$5,0)))/2,0)</f>
        <v>165</v>
      </c>
      <c r="AO13" s="248">
        <f>IF($R13=$AO$3,(((INDEX('Tables - Part 2'!$BB$6:$BE$13,MATCH(SCC_Polythionic_Acid!$V13,'Tables - Part 2'!$AV$6:$AV$13,0),MATCH(SCC_Polythionic_Acid!$S13,'Tables - Part 2'!$AX$5:$BA$5,0))+INDEX('Tables - Part 2'!$BF$6:$BI$13,MATCH(SCC_Polythionic_Acid!$V13,'Tables - Part 2'!$AV$6:$AV$13,0),MATCH(SCC_Polythionic_Acid!$S13,'Tables - Part 2'!$AX$5:$BA$5,0)))/2)+((((INDEX('Tables - Part 2'!$BB$6:$BE$13,MATCH(SCC_Polythionic_Acid!$V13,'Tables - Part 2'!$AV$6:$AV$13,0),MATCH(SCC_Polythionic_Acid!$S13,'Tables - Part 2'!$AX$5:$BA$5,0))+INDEX('Tables - Part 2'!$BF$6:$BI$13,MATCH(SCC_Polythionic_Acid!$V13,'Tables - Part 2'!$AV$6:$AV$13,0),MATCH(SCC_Polythionic_Acid!$S13,'Tables - Part 2'!$AX$5:$BA$5,0)))/2)+INDEX('Tables - Part 2'!$BF$6:$BI$13,MATCH(SCC_Polythionic_Acid!$V13,'Tables - Part 2'!$AV$6:$AV$13,0),MATCH(SCC_Polythionic_Acid!$S13,'Tables - Part 2'!$AX$5:$BA$5,0)))/2))/2,0)</f>
        <v>0</v>
      </c>
      <c r="AP13" s="248">
        <f>IF($R13=$AP$3,(((INDEX('Tables - Part 2'!$BB$6:$BE$13,MATCH(SCC_Polythionic_Acid!$V13,'Tables - Part 2'!$AV$6:$AV$13,0),MATCH(SCC_Polythionic_Acid!$S13,'Tables - Part 2'!$AX$5:$BA$5,0))+INDEX('Tables - Part 2'!$BF$6:$BI$13,MATCH(SCC_Polythionic_Acid!$V13,'Tables - Part 2'!$AV$6:$AV$13,0),MATCH(SCC_Polythionic_Acid!$S13,'Tables - Part 2'!$AX$5:$BA$5,0)))/2)+INDEX('Tables - Part 2'!$BF$6:$BI$13,MATCH(SCC_Polythionic_Acid!$V13,'Tables - Part 2'!$AV$6:$AV$13,0),MATCH(SCC_Polythionic_Acid!$S13,'Tables - Part 2'!$AX$5:$BA$5,0)))/2,0)</f>
        <v>0</v>
      </c>
      <c r="AQ13" s="248">
        <f>IF($R13=$AQ$3,(((((INDEX('Tables - Part 2'!$BB$6:$BE$13,MATCH(SCC_Polythionic_Acid!$V13,'Tables - Part 2'!$AV$6:$AV$13,0),MATCH(SCC_Polythionic_Acid!$S13,'Tables - Part 2'!$AX$5:$BA$5,0))+INDEX('Tables - Part 2'!$BF$6:$BI$13,MATCH(SCC_Polythionic_Acid!$V13,'Tables - Part 2'!$AV$6:$AV$13,0),MATCH(SCC_Polythionic_Acid!$S13,'Tables - Part 2'!$AX$5:$BA$5,0)))/2)+INDEX('Tables - Part 2'!$BF$6:$BI$13,MATCH(SCC_Polythionic_Acid!$V13,'Tables - Part 2'!$AV$6:$AV$13,0),MATCH(SCC_Polythionic_Acid!$S13,'Tables - Part 2'!$AX$5:$BA$5,0)))/2)+INDEX('Tables - Part 2'!$BF$6:$BI$13,MATCH(SCC_Polythionic_Acid!$V13,'Tables - Part 2'!$AV$6:$AV$13,0),MATCH(SCC_Polythionic_Acid!$S13,'Tables - Part 2'!$AX$5:$BA$5,0)))/2,0)</f>
        <v>0</v>
      </c>
      <c r="AR13" s="248">
        <f>IF($R13=$AR$3,INDEX('Tables - Part 2'!$BF$6:$BI$13,MATCH(SCC_Polythionic_Acid!$V13,'Tables - Part 2'!$AV$6:$AV$13,0),MATCH(SCC_Polythionic_Acid!$S13,'Tables - Part 2'!$AX$5:$BA$5,0)),0)</f>
        <v>0</v>
      </c>
      <c r="AS13" s="248">
        <f>IF($R13=$AS$3,(INDEX('Tables - Part 2'!$BF$6:$BI$13,MATCH(SCC_Polythionic_Acid!$V13,'Tables - Part 2'!$AV$6:$AV$13,0),MATCH(SCC_Polythionic_Acid!$S13,'Tables - Part 2'!$AX$5:$BA$5,0))+((INDEX('Tables - Part 2'!$BF$6:$BI$13,MATCH(SCC_Polythionic_Acid!$V13,'Tables - Part 2'!$AV$6:$AV$13,0),MATCH(SCC_Polythionic_Acid!$S13,'Tables - Part 2'!$AX$5:$BA$5,0))+(INDEX('Tables - Part 2'!$BF$6:$BI$13,MATCH(SCC_Polythionic_Acid!$V13,'Tables - Part 2'!$AV$6:$AV$13,0),MATCH(SCC_Polythionic_Acid!$S13,'Tables - Part 2'!$AX$5:$BA$5,0))+INDEX('Tables - Part 2'!$AX$17:$BA$24,MATCH(SCC_Polythionic_Acid!$V13,'Tables - Part 2'!$AV$6:$AV$13,0),MATCH(SCC_Polythionic_Acid!$S13,'Tables - Part 2'!$AX$5:$BA$5,0)))/2)/2))/2,0)</f>
        <v>0</v>
      </c>
      <c r="AT13" s="248">
        <f>IF($R13=$AT$3,(INDEX('Tables - Part 2'!$BF$6:$BI$13,MATCH(SCC_Polythionic_Acid!$V13,'Tables - Part 2'!$AV$6:$AV$13,0),MATCH(SCC_Polythionic_Acid!$S13,'Tables - Part 2'!$AX$5:$BA$5,0))+(INDEX('Tables - Part 2'!$BF$6:$BI$13,MATCH(SCC_Polythionic_Acid!$V13,'Tables - Part 2'!$AV$6:$AV$13,0),MATCH(SCC_Polythionic_Acid!$S13,'Tables - Part 2'!$AX$5:$BA$5,0))+INDEX('Tables - Part 2'!$AX$17:$BA$24,MATCH(SCC_Polythionic_Acid!$V13,'Tables - Part 2'!$AV$6:$AV$13,0),MATCH(SCC_Polythionic_Acid!$S13,'Tables - Part 2'!$AX$5:$BA$5,0)))/2)/2,0)</f>
        <v>0</v>
      </c>
      <c r="AU13" s="248">
        <f>IF($R13=$AU$3,(((INDEX('Tables - Part 2'!$BF$6:$BI$13,MATCH(SCC_Polythionic_Acid!$V13,'Tables - Part 2'!$AV$6:$AV$13,0),MATCH(SCC_Polythionic_Acid!$S13,'Tables - Part 2'!$AX$5:$BA$5,0))+(INDEX('Tables - Part 2'!$BF$6:$BI$13,MATCH(SCC_Polythionic_Acid!$V13,'Tables - Part 2'!$AV$6:$AV$13,0),MATCH(SCC_Polythionic_Acid!$S13,'Tables - Part 2'!$AX$5:$BA$5,0))+INDEX('Tables - Part 2'!$AX$17:$BA$24,MATCH(SCC_Polythionic_Acid!$V13,'Tables - Part 2'!$AV$6:$AV$13,0),MATCH(SCC_Polythionic_Acid!$S13,'Tables - Part 2'!$AX$5:$BA$5,0)))/2)/2)+((INDEX('Tables - Part 2'!$BF$6:$BI$13,MATCH(SCC_Polythionic_Acid!$V13,'Tables - Part 2'!$AV$6:$AV$13,0),MATCH(SCC_Polythionic_Acid!$S13,'Tables - Part 2'!$AX$5:$BA$5,0))+INDEX('Tables - Part 2'!$AX$17:$BA$24,MATCH(SCC_Polythionic_Acid!$V13,'Tables - Part 2'!$AV$6:$AV$13,0),MATCH(SCC_Polythionic_Acid!$S13,'Tables - Part 2'!$AX$5:$BA$5,0)))/2))/2,0)</f>
        <v>0</v>
      </c>
      <c r="AV13" s="248">
        <f>IF($R13=$AV$3,(INDEX('Tables - Part 2'!$BF$6:$BI$13,MATCH(SCC_Polythionic_Acid!$V13,'Tables - Part 2'!$AV$6:$AV$13,0),MATCH(SCC_Polythionic_Acid!$S13,'Tables - Part 2'!$AX$5:$BA$5,0))+INDEX('Tables - Part 2'!$AX$17:$BA$24,MATCH(SCC_Polythionic_Acid!$V13,'Tables - Part 2'!$AV$6:$AV$13,0),MATCH(SCC_Polythionic_Acid!$S13,'Tables - Part 2'!$AX$5:$BA$5,0)))/2,0)</f>
        <v>0</v>
      </c>
      <c r="AW13" s="248">
        <f>IF($R13=$AW$3,(((INDEX('Tables - Part 2'!$BF$6:$BI$13,MATCH(SCC_Polythionic_Acid!$V13,'Tables - Part 2'!$AV$6:$AV$13,0),MATCH(SCC_Polythionic_Acid!$S13,'Tables - Part 2'!$AX$5:$BA$5,0))+INDEX('Tables - Part 2'!$AX$17:$BA$24,MATCH(SCC_Polythionic_Acid!$V13,'Tables - Part 2'!$AV$6:$AV$13,0),MATCH(SCC_Polythionic_Acid!$S13,'Tables - Part 2'!$AX$5:$BA$5,0)))/2)+((((INDEX('Tables - Part 2'!$BF$6:$BI$13,MATCH(SCC_Polythionic_Acid!$V13,'Tables - Part 2'!$AV$6:$AV$13,0),MATCH(SCC_Polythionic_Acid!$S13,'Tables - Part 2'!$AX$5:$BA$5,0))+INDEX('Tables - Part 2'!$AX$17:$BA$24,MATCH(SCC_Polythionic_Acid!$V13,'Tables - Part 2'!$AV$6:$AV$13,0),MATCH(SCC_Polythionic_Acid!$S13,'Tables - Part 2'!$AX$5:$BA$5,0)))/2)+INDEX('Tables - Part 2'!$AX$17:$BA$24,MATCH(SCC_Polythionic_Acid!$V13,'Tables - Part 2'!$AV$6:$AV$13,0),MATCH(SCC_Polythionic_Acid!$S13,'Tables - Part 2'!$AX$5:$BA$5,0)))/2))/2,0)</f>
        <v>0</v>
      </c>
      <c r="AX13" s="248">
        <f>IF($R13=$AX$3,(((INDEX('Tables - Part 2'!$BF$6:$BI$13,MATCH(SCC_Polythionic_Acid!$V13,'Tables - Part 2'!$AV$6:$AV$13,0),MATCH(SCC_Polythionic_Acid!$S13,'Tables - Part 2'!$AX$5:$BA$5,0))+INDEX('Tables - Part 2'!$AX$17:$BA$24,MATCH(SCC_Polythionic_Acid!$V13,'Tables - Part 2'!$AV$6:$AV$13,0),MATCH(SCC_Polythionic_Acid!$S13,'Tables - Part 2'!$AX$5:$BA$5,0)))/2)+INDEX('Tables - Part 2'!$AX$17:$BA$24,MATCH(SCC_Polythionic_Acid!$V13,'Tables - Part 2'!$AV$6:$AV$13,0),MATCH(SCC_Polythionic_Acid!$S13,'Tables - Part 2'!$AX$5:$BA$5,0)))/2,0)</f>
        <v>0</v>
      </c>
      <c r="AY13" s="248">
        <f>IF($R13=$AY$3,(((((INDEX('Tables - Part 2'!$BF$6:$BI$13,MATCH(SCC_Polythionic_Acid!$V13,'Tables - Part 2'!$AV$6:$AV$13,0),MATCH(SCC_Polythionic_Acid!$S13,'Tables - Part 2'!$AX$5:$BA$5,0))+INDEX('Tables - Part 2'!$AX$17:$BA$24,MATCH(SCC_Polythionic_Acid!$V13,'Tables - Part 2'!$AV$6:$AV$13,0),MATCH(SCC_Polythionic_Acid!$S13,'Tables - Part 2'!$AX$5:$BA$5,0)))/2)+INDEX('Tables - Part 2'!$AX$17:$BA$24,MATCH(SCC_Polythionic_Acid!$V13,'Tables - Part 2'!$AV$6:$AV$13,0),MATCH(SCC_Polythionic_Acid!$S13,'Tables - Part 2'!$AX$5:$BA$5,0)))/2)+(INDEX('Tables - Part 2'!$AX$17:$BA$24,MATCH(SCC_Polythionic_Acid!$V13,'Tables - Part 2'!$AV$6:$AV$13,0),MATCH(SCC_Polythionic_Acid!$S13,'Tables - Part 2'!$AX$5:$BA$5,0))))/2,0)</f>
        <v>0</v>
      </c>
      <c r="AZ13" s="248">
        <f>IF($R13=$AZ$3,INDEX('Tables - Part 2'!$AX$17:$BA$24,MATCH(SCC_Polythionic_Acid!$V13,'Tables - Part 2'!$AV$6:$AV$13,0),MATCH(SCC_Polythionic_Acid!$S13,'Tables - Part 2'!$AX$5:$BA$5,0)),0)</f>
        <v>0</v>
      </c>
      <c r="BA13" s="248">
        <f>IF($R13=$BA$3,((INDEX('Tables - Part 2'!$AX$17:$BA$24,MATCH(SCC_Polythionic_Acid!$V13,'Tables - Part 2'!$AV$6:$AV$13,0),MATCH(SCC_Polythionic_Acid!$S13,'Tables - Part 2'!$AX$5:$BA$5,0)))+(((INDEX('Tables - Part 2'!$AX$17:$BA$24,MATCH(SCC_Polythionic_Acid!$V13,'Tables - Part 2'!$AV$6:$AV$13,0),MATCH(SCC_Polythionic_Acid!$S13,'Tables - Part 2'!$AX$5:$BA$5,0)))+(INDEX('Tables - Part 2'!$AX$17:$BA$24,MATCH(SCC_Polythionic_Acid!$V13,'Tables - Part 2'!$AV$6:$AV$13,0),MATCH(SCC_Polythionic_Acid!$S13,'Tables - Part 2'!$AX$5:$BA$5,0))+INDEX('Tables - Part 2'!$BB$17:$BE$24,MATCH(SCC_Polythionic_Acid!$V13,'Tables - Part 2'!$AV$6:$AV$13,0),MATCH(SCC_Polythionic_Acid!$S13,'Tables - Part 2'!$AX$5:$BA$5,0)))/2)/2))/2,0)</f>
        <v>0</v>
      </c>
      <c r="BB13" s="248">
        <f>IF($R13=$BB$3,((INDEX('Tables - Part 2'!$AX$17:$BA$24,MATCH(SCC_Polythionic_Acid!$V13,'Tables - Part 2'!$AV$6:$AV$13,0),MATCH(SCC_Polythionic_Acid!$S13,'Tables - Part 2'!$AX$5:$BA$5,0)))+(INDEX('Tables - Part 2'!$AX$17:$BA$24,MATCH(SCC_Polythionic_Acid!$V13,'Tables - Part 2'!$AV$6:$AV$13,0),MATCH(SCC_Polythionic_Acid!$S13,'Tables - Part 2'!$AX$5:$BA$5,0))+INDEX('Tables - Part 2'!$BB$17:$BE$24,MATCH(SCC_Polythionic_Acid!$V13,'Tables - Part 2'!$AV$6:$AV$13,0),MATCH(SCC_Polythionic_Acid!$S13,'Tables - Part 2'!$AX$5:$BA$5,0)))/2)/2,0)</f>
        <v>0</v>
      </c>
      <c r="BC13" s="248">
        <f>IF($R13=$BC$3,((((INDEX('Tables - Part 2'!$AX$17:$BA$24,MATCH(SCC_Polythionic_Acid!$V13,'Tables - Part 2'!$AV$6:$AV$13,0),MATCH(SCC_Polythionic_Acid!$S13,'Tables - Part 2'!$AX$5:$BA$5,0)))+(INDEX('Tables - Part 2'!$AX$17:$BA$24,MATCH(SCC_Polythionic_Acid!$V13,'Tables - Part 2'!$AV$6:$AV$13,0),MATCH(SCC_Polythionic_Acid!$S13,'Tables - Part 2'!$AX$5:$BA$5,0))+INDEX('Tables - Part 2'!$BB$17:$BE$24,MATCH(SCC_Polythionic_Acid!$V13,'Tables - Part 2'!$AV$6:$AV$13,0),MATCH(SCC_Polythionic_Acid!$S13,'Tables - Part 2'!$AX$5:$BA$5,0)))/2)/2)+((INDEX('Tables - Part 2'!$AX$17:$BA$24,MATCH(SCC_Polythionic_Acid!$V13,'Tables - Part 2'!$AV$6:$AV$13,0),MATCH(SCC_Polythionic_Acid!$S13,'Tables - Part 2'!$AX$5:$BA$5,0))+INDEX('Tables - Part 2'!$BB$17:$BE$24,MATCH(SCC_Polythionic_Acid!$V13,'Tables - Part 2'!$AV$6:$AV$13,0),MATCH(SCC_Polythionic_Acid!$S13,'Tables - Part 2'!$AX$5:$BA$5,0)))/2))/2,0)</f>
        <v>0</v>
      </c>
      <c r="BD13" s="248">
        <f>IF($R13=$BD$3,(INDEX('Tables - Part 2'!$AX$17:$BA$24,MATCH(SCC_Polythionic_Acid!$V13,'Tables - Part 2'!$AV$6:$AV$13,0),MATCH(SCC_Polythionic_Acid!$S13,'Tables - Part 2'!$AX$5:$BA$5,0))+INDEX('Tables - Part 2'!$BB$17:$BE$24,MATCH(SCC_Polythionic_Acid!$V13,'Tables - Part 2'!$AV$6:$AV$13,0),MATCH(SCC_Polythionic_Acid!$S13,'Tables - Part 2'!$AX$5:$BA$5,0)))/2,0)</f>
        <v>0</v>
      </c>
      <c r="BE13" s="248">
        <f>IF($R13=$BE$3,(((INDEX('Tables - Part 2'!$AX$17:$BA$24,MATCH(SCC_Polythionic_Acid!$V13,'Tables - Part 2'!$AV$6:$AV$13,0),MATCH(SCC_Polythionic_Acid!$S13,'Tables - Part 2'!$AX$5:$BA$5,0))+INDEX('Tables - Part 2'!$BB$17:$BE$24,MATCH(SCC_Polythionic_Acid!$V13,'Tables - Part 2'!$AV$6:$AV$13,0),MATCH(SCC_Polythionic_Acid!$S13,'Tables - Part 2'!$AX$5:$BA$5,0)))/2)+((((INDEX('Tables - Part 2'!$AX$17:$BA$24,MATCH(SCC_Polythionic_Acid!$V13,'Tables - Part 2'!$AV$6:$AV$13,0),MATCH(SCC_Polythionic_Acid!$S13,'Tables - Part 2'!$AX$5:$BA$5,0))+INDEX('Tables - Part 2'!$BB$17:$BE$24,MATCH(SCC_Polythionic_Acid!$V13,'Tables - Part 2'!$AV$6:$AV$13,0),MATCH(SCC_Polythionic_Acid!$S13,'Tables - Part 2'!$AX$5:$BA$5,0)))/2)+INDEX('Tables - Part 2'!$BB$17:$BE$24,MATCH(SCC_Polythionic_Acid!$V13,'Tables - Part 2'!$AV$6:$AV$13,0),MATCH(SCC_Polythionic_Acid!$S13,'Tables - Part 2'!$AX$5:$BA$5,0)))/2))/2,0)</f>
        <v>0</v>
      </c>
      <c r="BF13" s="248">
        <f>IF($R13=$BF$3,(((INDEX('Tables - Part 2'!$AX$17:$BA$24,MATCH(SCC_Polythionic_Acid!$V13,'Tables - Part 2'!$AV$6:$AV$13,0),MATCH(SCC_Polythionic_Acid!$S13,'Tables - Part 2'!$AX$5:$BA$5,0))+INDEX('Tables - Part 2'!$BB$17:$BE$24,MATCH(SCC_Polythionic_Acid!$V13,'Tables - Part 2'!$AV$6:$AV$13,0),MATCH(SCC_Polythionic_Acid!$S13,'Tables - Part 2'!$AX$5:$BA$5,0)))/2)+INDEX('Tables - Part 2'!$BB$17:$BE$24,MATCH(SCC_Polythionic_Acid!$V13,'Tables - Part 2'!$AV$6:$AV$13,0),MATCH(SCC_Polythionic_Acid!$S13,'Tables - Part 2'!$AX$5:$BA$5,0)))/2,0)</f>
        <v>0</v>
      </c>
      <c r="BG13" s="248">
        <f>IF($R13=$BG$3,(((((INDEX('Tables - Part 2'!$AX$17:$BA$24,MATCH(SCC_Polythionic_Acid!$V13,'Tables - Part 2'!$AV$6:$AV$13,0),MATCH(SCC_Polythionic_Acid!$S13,'Tables - Part 2'!$AX$5:$BA$5,0))+INDEX('Tables - Part 2'!$BB$17:$BE$24,MATCH(SCC_Polythionic_Acid!$V13,'Tables - Part 2'!$AV$6:$AV$13,0),MATCH(SCC_Polythionic_Acid!$S13,'Tables - Part 2'!$AX$5:$BA$5,0)))/2)+INDEX('Tables - Part 2'!$BB$17:$BE$24,MATCH(SCC_Polythionic_Acid!$V13,'Tables - Part 2'!$AV$6:$AV$13,0),MATCH(SCC_Polythionic_Acid!$S13,'Tables - Part 2'!$AX$5:$BA$5,0)))/2)+(INDEX('Tables - Part 2'!$BB$17:$BE$24,MATCH(SCC_Polythionic_Acid!$V13,'Tables - Part 2'!$AV$6:$AV$13,0),MATCH(SCC_Polythionic_Acid!$S13,'Tables - Part 2'!$AX$5:$BA$5,0))))/2,0)</f>
        <v>0</v>
      </c>
      <c r="BH13" s="248">
        <f>IF($R13=$BH$3,INDEX('Tables - Part 2'!$BB$17:$BE$24,MATCH(SCC_Polythionic_Acid!$V13,'Tables - Part 2'!$AV$6:$AV$13,0),MATCH(SCC_Polythionic_Acid!$S13,'Tables - Part 2'!$AX$5:$BA$5,0)),0)</f>
        <v>0</v>
      </c>
      <c r="BI13" s="248">
        <f>IF($R13=$BI$3,((INDEX('Tables - Part 2'!$BB$17:$BE$24,MATCH(SCC_Polythionic_Acid!$V13,'Tables - Part 2'!$AV$6:$AV$13,0),MATCH(SCC_Polythionic_Acid!$S13,'Tables - Part 2'!$AX$5:$BA$5,0)))+(((INDEX('Tables - Part 2'!$BB$17:$BE$24,MATCH(SCC_Polythionic_Acid!$V13,'Tables - Part 2'!$AV$6:$AV$13,0),MATCH(SCC_Polythionic_Acid!$S13,'Tables - Part 2'!$AX$5:$BA$5,0)))+(INDEX('Tables - Part 2'!$BB$17:$BE$24,MATCH(SCC_Polythionic_Acid!$V13,'Tables - Part 2'!$AV$6:$AV$13,0),MATCH(SCC_Polythionic_Acid!$S13,'Tables - Part 2'!$AX$5:$BA$5,0))+INDEX('Tables - Part 2'!$BF$17:$BI$24,MATCH(SCC_Polythionic_Acid!$V13,'Tables - Part 2'!$AV$6:$AV$13,0),MATCH(SCC_Polythionic_Acid!$S13,'Tables - Part 2'!$AX$5:$BA$5,0)))/2)/2))/2,0)</f>
        <v>0</v>
      </c>
      <c r="BJ13" s="248">
        <f>IF($R13=$BJ$3,((INDEX('Tables - Part 2'!$BB$17:$BE$24,MATCH(SCC_Polythionic_Acid!$V13,'Tables - Part 2'!$AV$6:$AV$13,0),MATCH(SCC_Polythionic_Acid!$S13,'Tables - Part 2'!$AX$5:$BA$5,0)))+(INDEX('Tables - Part 2'!$BB$17:$BE$24,MATCH(SCC_Polythionic_Acid!$V13,'Tables - Part 2'!$AV$6:$AV$13,0),MATCH(SCC_Polythionic_Acid!$S13,'Tables - Part 2'!$AX$5:$BA$5,0))+INDEX('Tables - Part 2'!$BF$17:$BI$24,MATCH(SCC_Polythionic_Acid!$V13,'Tables - Part 2'!$AV$6:$AV$13,0),MATCH(SCC_Polythionic_Acid!$S13,'Tables - Part 2'!$AX$5:$BA$5,0)))/2)/2,0)</f>
        <v>0</v>
      </c>
      <c r="BK13" s="248">
        <f>IF($R13=$BK$3,((((INDEX('Tables - Part 2'!$BB$17:$BE$24,MATCH(SCC_Polythionic_Acid!$V13,'Tables - Part 2'!$AV$6:$AV$13,0),MATCH(SCC_Polythionic_Acid!$S13,'Tables - Part 2'!$AX$5:$BA$5,0)))+(INDEX('Tables - Part 2'!$BB$17:$BE$24,MATCH(SCC_Polythionic_Acid!$V13,'Tables - Part 2'!$AV$6:$AV$13,0),MATCH(SCC_Polythionic_Acid!$S13,'Tables - Part 2'!$AX$5:$BA$5,0))+INDEX('Tables - Part 2'!$BF$17:$BI$24,MATCH(SCC_Polythionic_Acid!$V13,'Tables - Part 2'!$AV$6:$AV$13,0),MATCH(SCC_Polythionic_Acid!$S13,'Tables - Part 2'!$AX$5:$BA$5,0)))/2)/2)+((INDEX('Tables - Part 2'!$BB$17:$BE$24,MATCH(SCC_Polythionic_Acid!$V13,'Tables - Part 2'!$AV$6:$AV$13,0),MATCH(SCC_Polythionic_Acid!$S13,'Tables - Part 2'!$AX$5:$BA$5,0))+INDEX('Tables - Part 2'!$BF$17:$BI$24,MATCH(SCC_Polythionic_Acid!$V13,'Tables - Part 2'!$AV$6:$AV$13,0),MATCH(SCC_Polythionic_Acid!$S13,'Tables - Part 2'!$AX$5:$BA$5,0)))/2))/2,0)</f>
        <v>0</v>
      </c>
      <c r="BL13" s="248">
        <f>IF($R13=$BL$3,(INDEX('Tables - Part 2'!$BB$17:$BE$24,MATCH(SCC_Polythionic_Acid!$V13,'Tables - Part 2'!$AV$6:$AV$13,0),MATCH(SCC_Polythionic_Acid!$S13,'Tables - Part 2'!$AX$5:$BA$5,0))+INDEX('Tables - Part 2'!$BF$17:$BI$24,MATCH(SCC_Polythionic_Acid!$V13,'Tables - Part 2'!$AV$6:$AV$13,0),MATCH(SCC_Polythionic_Acid!$S13,'Tables - Part 2'!$AX$5:$BA$5,0)))/2,0)</f>
        <v>0</v>
      </c>
      <c r="BM13" s="248">
        <f>IF($R13=$BM$3,(((INDEX('Tables - Part 2'!$BB$17:$BE$24,MATCH(SCC_Polythionic_Acid!$V13,'Tables - Part 2'!$AV$6:$AV$13,0),MATCH(SCC_Polythionic_Acid!$S13,'Tables - Part 2'!$AX$5:$BA$5,0))+INDEX('Tables - Part 2'!$BF$17:$BI$24,MATCH(SCC_Polythionic_Acid!$V13,'Tables - Part 2'!$AV$6:$AV$13,0),MATCH(SCC_Polythionic_Acid!$S13,'Tables - Part 2'!$AX$5:$BA$5,0)))/2)+((((INDEX('Tables - Part 2'!$BB$17:$BE$24,MATCH(SCC_Polythionic_Acid!$V13,'Tables - Part 2'!$AV$6:$AV$13,0),MATCH(SCC_Polythionic_Acid!$S13,'Tables - Part 2'!$AX$5:$BA$5,0))+INDEX('Tables - Part 2'!$BF$17:$BI$24,MATCH(SCC_Polythionic_Acid!$V13,'Tables - Part 2'!$AV$6:$AV$13,0),MATCH(SCC_Polythionic_Acid!$S13,'Tables - Part 2'!$AX$5:$BA$5,0)))/2)+INDEX('Tables - Part 2'!$BF$17:$BI$24,MATCH(SCC_Polythionic_Acid!$V13,'Tables - Part 2'!$AV$6:$AV$13,0),MATCH(SCC_Polythionic_Acid!$S13,'Tables - Part 2'!$AX$5:$BA$5,0)))/2))/2,0)</f>
        <v>0</v>
      </c>
      <c r="BN13" s="248">
        <f>IF($R13=$BN$3,(((INDEX('Tables - Part 2'!$BB$17:$BE$24,MATCH(SCC_Polythionic_Acid!$V13,'Tables - Part 2'!$AV$6:$AV$13,0),MATCH(SCC_Polythionic_Acid!$S13,'Tables - Part 2'!$AX$5:$BA$5,0))+INDEX('Tables - Part 2'!$BF$17:$BI$24,MATCH(SCC_Polythionic_Acid!$V13,'Tables - Part 2'!$AV$6:$AV$13,0),MATCH(SCC_Polythionic_Acid!$S13,'Tables - Part 2'!$AX$5:$BA$5,0)))/2)+INDEX('Tables - Part 2'!$BF$17:$BI$24,MATCH(SCC_Polythionic_Acid!$V13,'Tables - Part 2'!$AV$6:$AV$13,0),MATCH(SCC_Polythionic_Acid!$S13,'Tables - Part 2'!$AX$5:$BA$5,0)))/2,0)</f>
        <v>0</v>
      </c>
      <c r="BO13" s="248">
        <f>IF($R13=$BO$3,(((((INDEX('Tables - Part 2'!$BB$17:$BE$24,MATCH(SCC_Polythionic_Acid!$V13,'Tables - Part 2'!$AV$6:$AV$13,0),MATCH(SCC_Polythionic_Acid!$S13,'Tables - Part 2'!$AX$5:$BA$5,0))+INDEX('Tables - Part 2'!$BF$17:$BI$24,MATCH(SCC_Polythionic_Acid!$V13,'Tables - Part 2'!$AV$6:$AV$13,0),MATCH(SCC_Polythionic_Acid!$S13,'Tables - Part 2'!$AX$5:$BA$5,0)))/2)+INDEX('Tables - Part 2'!$BF$17:$BI$24,MATCH(SCC_Polythionic_Acid!$V13,'Tables - Part 2'!$AV$6:$AV$13,0),MATCH(SCC_Polythionic_Acid!$S13,'Tables - Part 2'!$AX$5:$BA$5,0)))/2)+(INDEX('Tables - Part 2'!$BF$17:$BI$24,MATCH(SCC_Polythionic_Acid!$V13,'Tables - Part 2'!$AV$6:$AV$13,0),MATCH(SCC_Polythionic_Acid!$S13,'Tables - Part 2'!$AX$5:$BA$5,0))))/2,0)</f>
        <v>0</v>
      </c>
      <c r="BP13" s="248">
        <f>IF($R13=$BP$3,INDEX('Tables - Part 2'!$BF$17:$BI$24,MATCH(SCC_Polythionic_Acid!$V13,'Tables - Part 2'!$AV$6:$AV$13,0),MATCH(SCC_Polythionic_Acid!$S13,'Tables - Part 2'!$AX$5:$BA$5,0)),0)</f>
        <v>0</v>
      </c>
      <c r="BQ13" s="248">
        <f t="shared" si="5"/>
        <v>0</v>
      </c>
      <c r="BR13" s="238">
        <f t="shared" si="8"/>
        <v>165</v>
      </c>
      <c r="BS13" s="238">
        <f t="shared" si="9"/>
        <v>2767.5256072873844</v>
      </c>
    </row>
    <row r="14" spans="2:84" x14ac:dyDescent="0.35">
      <c r="B14" s="161" t="str">
        <f>'Tratamento de Dados'!B22</f>
        <v>V-50</v>
      </c>
      <c r="C14" s="161" t="str">
        <f>'Tratamento de Dados'!D22</f>
        <v>Casco</v>
      </c>
      <c r="D14" s="209" t="s">
        <v>244</v>
      </c>
      <c r="E14" s="209" t="s">
        <v>244</v>
      </c>
      <c r="F14" s="209" t="s">
        <v>244</v>
      </c>
      <c r="G14" s="209" t="s">
        <v>244</v>
      </c>
      <c r="H14" s="209" t="s">
        <v>1145</v>
      </c>
      <c r="I14" s="247">
        <f>'Tratamento de Dados'!S22</f>
        <v>2</v>
      </c>
      <c r="J14" s="209" t="s">
        <v>1146</v>
      </c>
      <c r="K14" s="210">
        <v>39092</v>
      </c>
      <c r="L14" s="209">
        <v>0</v>
      </c>
      <c r="M14" s="209">
        <v>1</v>
      </c>
      <c r="N14" s="209">
        <v>1</v>
      </c>
      <c r="O14" s="209">
        <v>4</v>
      </c>
      <c r="P14" s="253">
        <f>'Tratamento de Dados'!DA22</f>
        <v>0</v>
      </c>
      <c r="Q14" s="253">
        <f>'Tratamento de Dados'!DB22</f>
        <v>0</v>
      </c>
      <c r="R14" s="256">
        <f t="shared" si="0"/>
        <v>2.5</v>
      </c>
      <c r="S14" s="246" t="str">
        <f t="shared" si="1"/>
        <v>B</v>
      </c>
      <c r="T14" s="238" t="str">
        <f>IF(D14=$BX$2,$BV$5,IF(F14=$BX$3,$BV$2,INDEX(IF(I14&lt;427,'Tables - Part 2'!$DH$6:$DJ$10,'Tables - Part 2'!$DH$14:$DJ$18),MATCH(SCC_Polythionic_Acid!H14,'Tables - Part 2'!$DG$6:$DG$10,0),MATCH(J14,'Tables - Part 2'!$DH$5:$DJ$5,0))))</f>
        <v>High</v>
      </c>
      <c r="U14" s="238" t="str">
        <f t="shared" si="6"/>
        <v>High</v>
      </c>
      <c r="V14" s="238">
        <f>IF(AND(D14=$BX$2,E14&lt;&gt;$BX$2),"Fitness-For-Service",INDEX('Tables - Part 2'!$DM$4:$DM$7,MATCH(SCC_Polythionic_Acid!U14,'Tables - Part 2'!$DL$4:$DL$7,0),))</f>
        <v>5000</v>
      </c>
      <c r="W14" s="238">
        <f>IF(K14=0,(Thinning!G15-Thinning!F15)/365.25,(Thinning!G15-K14)/365.25)</f>
        <v>12.980150581793293</v>
      </c>
      <c r="X14" s="248">
        <f t="shared" si="2"/>
        <v>0</v>
      </c>
      <c r="Y14" s="248">
        <f t="shared" si="3"/>
        <v>2.5</v>
      </c>
      <c r="Z14" s="247">
        <f t="shared" si="7"/>
        <v>3</v>
      </c>
      <c r="AA14" s="247">
        <f t="shared" si="4"/>
        <v>4</v>
      </c>
      <c r="AB14" s="248">
        <f>IF($R14=$AB$3,INDEX('Tables - Part 2'!$AX$6:$BA$13,MATCH(SCC_Polythionic_Acid!V14,'Tables - Part 2'!$AV$6:$AV$13,0),MATCH(SCC_Polythionic_Acid!S14,'Tables - Part 2'!$AX$5:$BA$5,0)),0)</f>
        <v>0</v>
      </c>
      <c r="AC14" s="248">
        <f>IF($R14=$AC$3,(INDEX('Tables - Part 2'!$AX$6:$BA$13,MATCH(SCC_Polythionic_Acid!V14,'Tables - Part 2'!$AV$6:$AV$13,0),MATCH(SCC_Polythionic_Acid!S14,'Tables - Part 2'!$AX$5:$BA$5,0))+(INDEX('Tables - Part 2'!$AX$6:$BA$13,MATCH(SCC_Polythionic_Acid!V14,'Tables - Part 2'!$AV$6:$AV$13,0),MATCH(SCC_Polythionic_Acid!S14,'Tables - Part 2'!$AX$5:$BA$5,0))+((INDEX('Tables - Part 2'!$AX$6:$BA$13,MATCH(SCC_Polythionic_Acid!V14,'Tables - Part 2'!$AV$6:$AV$13,0),MATCH(SCC_Polythionic_Acid!S14,'Tables - Part 2'!$AX$5:$BA$5,0))+INDEX('Tables - Part 2'!$BB$6:$BE$13,MATCH(SCC_Polythionic_Acid!$V14,'Tables - Part 2'!$AV$6:$AV$13,0),MATCH(SCC_Polythionic_Acid!$S14,'Tables - Part 2'!$AX$5:$BA$5,0)))/2))/2)/2,0)</f>
        <v>0</v>
      </c>
      <c r="AD14" s="248">
        <f>IF($R14=$AD$3,(INDEX('Tables - Part 2'!$AX$6:$BA$13,MATCH(SCC_Polythionic_Acid!V14,'Tables - Part 2'!$AV$6:$AV$13,0),MATCH(SCC_Polythionic_Acid!S14,'Tables - Part 2'!$AX$5:$BA$5,0))+((INDEX('Tables - Part 2'!$AX$6:$BA$13,MATCH(SCC_Polythionic_Acid!V14,'Tables - Part 2'!$AV$6:$AV$13,0),MATCH(SCC_Polythionic_Acid!S14,'Tables - Part 2'!$AX$5:$BA$5,0))+INDEX('Tables - Part 2'!$BB$6:$BE$13,MATCH(SCC_Polythionic_Acid!$V14,'Tables - Part 2'!$AV$6:$AV$13,0),MATCH(SCC_Polythionic_Acid!$S14,'Tables - Part 2'!$AX$5:$BA$5,0)))/2))/2,0)</f>
        <v>0</v>
      </c>
      <c r="AE14" s="248">
        <f>IF($R14=$AE$3,(((INDEX('Tables - Part 2'!$AX$6:$BA$13,MATCH(SCC_Polythionic_Acid!V14,'Tables - Part 2'!$AV$6:$AV$13,0),MATCH(SCC_Polythionic_Acid!S14,'Tables - Part 2'!$AX$5:$BA$5,0))+((INDEX('Tables - Part 2'!$AX$6:$BA$13,MATCH(SCC_Polythionic_Acid!V14,'Tables - Part 2'!$AV$6:$AV$13,0),MATCH(SCC_Polythionic_Acid!S14,'Tables - Part 2'!$AX$5:$BA$5,0))+INDEX('Tables - Part 2'!$BB$6:$BE$13,MATCH(SCC_Polythionic_Acid!$V14,'Tables - Part 2'!$AV$6:$AV$13,0),MATCH(SCC_Polythionic_Acid!$S14,'Tables - Part 2'!$AX$5:$BA$5,0)))/2))/2)+(INDEX('Tables - Part 2'!$AX$6:$BA$13,MATCH(SCC_Polythionic_Acid!V14,'Tables - Part 2'!$AV$6:$AV$13,0),MATCH(SCC_Polythionic_Acid!S14,'Tables - Part 2'!$AX$5:$BA$5,0))+INDEX('Tables - Part 2'!$BB$6:$BE$13,MATCH(SCC_Polythionic_Acid!$V14,'Tables - Part 2'!$AV$6:$AV$13,0),MATCH(SCC_Polythionic_Acid!$S14,'Tables - Part 2'!$AX$5:$BA$5,0)))/2)/2,0)</f>
        <v>0</v>
      </c>
      <c r="AF14" s="248">
        <f>IF($R14=$AF$3,(INDEX('Tables - Part 2'!$AX$6:$BA$13,MATCH(SCC_Polythionic_Acid!V14,'Tables - Part 2'!$AV$6:$AV$13,0),MATCH(SCC_Polythionic_Acid!S14,'Tables - Part 2'!$AX$5:$BA$5,0))+INDEX('Tables - Part 2'!$BB$6:$BE$13,MATCH(SCC_Polythionic_Acid!$V14,'Tables - Part 2'!$AV$6:$AV$13,0),MATCH(SCC_Polythionic_Acid!$S14,'Tables - Part 2'!$AX$5:$BA$5,0)))/2,0)</f>
        <v>0</v>
      </c>
      <c r="AG14" s="248">
        <f>IF($R14=$AG$3,(((INDEX('Tables - Part 2'!$AX$6:$BA$13,MATCH(SCC_Polythionic_Acid!V14,'Tables - Part 2'!$AV$6:$AV$13,0),MATCH(SCC_Polythionic_Acid!S14,'Tables - Part 2'!$AX$5:$BA$5,0))+INDEX('Tables - Part 2'!$BB$6:$BE$13,MATCH(SCC_Polythionic_Acid!$V14,'Tables - Part 2'!$AV$6:$AV$13,0),MATCH(SCC_Polythionic_Acid!$S14,'Tables - Part 2'!$AX$5:$BA$5,0)))/2)+(((INDEX('Tables - Part 2'!$AX$6:$BA$13,MATCH(SCC_Polythionic_Acid!V14,'Tables - Part 2'!$AV$6:$AV$13,0),MATCH(SCC_Polythionic_Acid!S14,'Tables - Part 2'!$AX$5:$BA$5,0))+INDEX('Tables - Part 2'!$BB$6:$BE$13,MATCH(SCC_Polythionic_Acid!$V14,'Tables - Part 2'!$AV$6:$AV$13,0),MATCH(SCC_Polythionic_Acid!$S14,'Tables - Part 2'!$AX$5:$BA$5,0)))/2)+INDEX('Tables - Part 2'!$BB$6:$BE$13,MATCH(SCC_Polythionic_Acid!$V14,'Tables - Part 2'!$AV$6:$AV$13,0),MATCH(SCC_Polythionic_Acid!$S14,'Tables - Part 2'!$AX$5:$BA$5,0)))/2)/2,0)</f>
        <v>0</v>
      </c>
      <c r="AH14" s="248">
        <f>IF($R14=$AH$3,(((INDEX('Tables - Part 2'!$AX$6:$BA$13,MATCH(SCC_Polythionic_Acid!V14,'Tables - Part 2'!$AV$6:$AV$13,0),MATCH(SCC_Polythionic_Acid!S14,'Tables - Part 2'!$AX$5:$BA$5,0))+INDEX('Tables - Part 2'!$BB$6:$BE$13,MATCH(SCC_Polythionic_Acid!$V14,'Tables - Part 2'!$AV$6:$AV$13,0),MATCH(SCC_Polythionic_Acid!$S14,'Tables - Part 2'!$AX$5:$BA$5,0)))/2)+INDEX('Tables - Part 2'!$BB$6:$BE$13,MATCH(SCC_Polythionic_Acid!$V14,'Tables - Part 2'!$AV$6:$AV$13,0),MATCH(SCC_Polythionic_Acid!$S14,'Tables - Part 2'!$AX$5:$BA$5,0)))/2,0)</f>
        <v>0</v>
      </c>
      <c r="AI14" s="248">
        <f>IF($R14=$AI$3,(((((INDEX('Tables - Part 2'!$AX$6:$BA$13,MATCH(SCC_Polythionic_Acid!V14,'Tables - Part 2'!$AV$6:$AV$13,0),MATCH(SCC_Polythionic_Acid!S14,'Tables - Part 2'!$AX$5:$BA$5,0))+INDEX('Tables - Part 2'!$BB$6:$BE$13,MATCH(SCC_Polythionic_Acid!$V14,'Tables - Part 2'!$AV$6:$AV$13,0),MATCH(SCC_Polythionic_Acid!$S14,'Tables - Part 2'!$AX$5:$BA$5,0)))/2)+INDEX('Tables - Part 2'!$BB$6:$BE$13,MATCH(SCC_Polythionic_Acid!$V14,'Tables - Part 2'!$AV$6:$AV$13,0),MATCH(SCC_Polythionic_Acid!$S14,'Tables - Part 2'!$AX$5:$BA$5,0)))/2)+INDEX('Tables - Part 2'!$BB$6:$BE$13,MATCH(SCC_Polythionic_Acid!$V14,'Tables - Part 2'!$AV$6:$AV$13,0),MATCH(SCC_Polythionic_Acid!$S14,'Tables - Part 2'!$AX$5:$BA$5,0)))/2,0)</f>
        <v>0</v>
      </c>
      <c r="AJ14" s="248">
        <f>IF($R14=$AJ$3,INDEX('Tables - Part 2'!$BB$6:$BE$13,MATCH(SCC_Polythionic_Acid!$V14,'Tables - Part 2'!$AV$6:$AV$13,0),MATCH(SCC_Polythionic_Acid!$S14,'Tables - Part 2'!$AX$5:$BA$5,0)),0)</f>
        <v>0</v>
      </c>
      <c r="AK14" s="248">
        <f>IF($R14=$AK$3,((INDEX('Tables - Part 2'!$BB$6:$BE$13,MATCH(SCC_Polythionic_Acid!$V14,'Tables - Part 2'!$AV$6:$AV$13,0),MATCH(SCC_Polythionic_Acid!$S14,'Tables - Part 2'!$AX$5:$BA$5,0)))+(INDEX('Tables - Part 2'!$BB$6:$BE$13,MATCH(SCC_Polythionic_Acid!$V14,'Tables - Part 2'!$AV$6:$AV$13,0),MATCH(SCC_Polythionic_Acid!$S14,'Tables - Part 2'!$AX$5:$BA$5,0))+(INDEX('Tables - Part 2'!$BB$6:$BE$13,MATCH(SCC_Polythionic_Acid!$V14,'Tables - Part 2'!$AV$6:$AV$13,0),MATCH(SCC_Polythionic_Acid!$S14,'Tables - Part 2'!$AX$5:$BA$5,0))+INDEX('Tables - Part 2'!$BF$6:$BI$13,MATCH(SCC_Polythionic_Acid!$V14,'Tables - Part 2'!$AV$6:$AV$13,0),MATCH(SCC_Polythionic_Acid!$S14,'Tables - Part 2'!$AX$5:$BA$5,0)))/2)/2)/2,0)</f>
        <v>0</v>
      </c>
      <c r="AL14" s="248">
        <f>IF($R14=$AL$3,(INDEX('Tables - Part 2'!$BB$6:$BE$13,MATCH(SCC_Polythionic_Acid!$V14,'Tables - Part 2'!$AV$6:$AV$13,0),MATCH(SCC_Polythionic_Acid!$S14,'Tables - Part 2'!$AX$5:$BA$5,0))+(INDEX('Tables - Part 2'!$BB$6:$BE$13,MATCH(SCC_Polythionic_Acid!$V14,'Tables - Part 2'!$AV$6:$AV$13,0),MATCH(SCC_Polythionic_Acid!$S14,'Tables - Part 2'!$AX$5:$BA$5,0))+INDEX('Tables - Part 2'!$BF$6:$BI$13,MATCH(SCC_Polythionic_Acid!$V14,'Tables - Part 2'!$AV$6:$AV$13,0),MATCH(SCC_Polythionic_Acid!$S14,'Tables - Part 2'!$AX$5:$BA$5,0)))/2)/2,0)</f>
        <v>0</v>
      </c>
      <c r="AM14" s="248">
        <f>IF($R14=$AM$3,(((INDEX('Tables - Part 2'!$BB$6:$BE$13,MATCH(SCC_Polythionic_Acid!$V14,'Tables - Part 2'!$AV$6:$AV$13,0),MATCH(SCC_Polythionic_Acid!$S14,'Tables - Part 2'!$AX$5:$BA$5,0))+(INDEX('Tables - Part 2'!$BB$6:$BE$13,MATCH(SCC_Polythionic_Acid!$V14,'Tables - Part 2'!$AV$6:$AV$13,0),MATCH(SCC_Polythionic_Acid!$S14,'Tables - Part 2'!$AX$5:$BA$5,0))+INDEX('Tables - Part 2'!$BF$6:$BI$13,MATCH(SCC_Polythionic_Acid!$V14,'Tables - Part 2'!$AV$6:$AV$13,0),MATCH(SCC_Polythionic_Acid!$S14,'Tables - Part 2'!$AX$5:$BA$5,0)))/2)/2)+((INDEX('Tables - Part 2'!$BB$6:$BE$13,MATCH(SCC_Polythionic_Acid!$V14,'Tables - Part 2'!$AV$6:$AV$13,0),MATCH(SCC_Polythionic_Acid!$S14,'Tables - Part 2'!$AX$5:$BA$5,0))+INDEX('Tables - Part 2'!$BF$6:$BI$13,MATCH(SCC_Polythionic_Acid!$V14,'Tables - Part 2'!$AV$6:$AV$13,0),MATCH(SCC_Polythionic_Acid!$S14,'Tables - Part 2'!$AX$5:$BA$5,0)))/2))/2,0)</f>
        <v>0</v>
      </c>
      <c r="AN14" s="248">
        <f>IF($R14=$AN$3,(INDEX('Tables - Part 2'!$BB$6:$BE$13,MATCH(SCC_Polythionic_Acid!$V14,'Tables - Part 2'!$AV$6:$AV$13,0),MATCH(SCC_Polythionic_Acid!$S14,'Tables - Part 2'!$AX$5:$BA$5,0))+INDEX('Tables - Part 2'!$BF$6:$BI$13,MATCH(SCC_Polythionic_Acid!$V14,'Tables - Part 2'!$AV$6:$AV$13,0),MATCH(SCC_Polythionic_Acid!$S14,'Tables - Part 2'!$AX$5:$BA$5,0)))/2,0)</f>
        <v>165</v>
      </c>
      <c r="AO14" s="248">
        <f>IF($R14=$AO$3,(((INDEX('Tables - Part 2'!$BB$6:$BE$13,MATCH(SCC_Polythionic_Acid!$V14,'Tables - Part 2'!$AV$6:$AV$13,0),MATCH(SCC_Polythionic_Acid!$S14,'Tables - Part 2'!$AX$5:$BA$5,0))+INDEX('Tables - Part 2'!$BF$6:$BI$13,MATCH(SCC_Polythionic_Acid!$V14,'Tables - Part 2'!$AV$6:$AV$13,0),MATCH(SCC_Polythionic_Acid!$S14,'Tables - Part 2'!$AX$5:$BA$5,0)))/2)+((((INDEX('Tables - Part 2'!$BB$6:$BE$13,MATCH(SCC_Polythionic_Acid!$V14,'Tables - Part 2'!$AV$6:$AV$13,0),MATCH(SCC_Polythionic_Acid!$S14,'Tables - Part 2'!$AX$5:$BA$5,0))+INDEX('Tables - Part 2'!$BF$6:$BI$13,MATCH(SCC_Polythionic_Acid!$V14,'Tables - Part 2'!$AV$6:$AV$13,0),MATCH(SCC_Polythionic_Acid!$S14,'Tables - Part 2'!$AX$5:$BA$5,0)))/2)+INDEX('Tables - Part 2'!$BF$6:$BI$13,MATCH(SCC_Polythionic_Acid!$V14,'Tables - Part 2'!$AV$6:$AV$13,0),MATCH(SCC_Polythionic_Acid!$S14,'Tables - Part 2'!$AX$5:$BA$5,0)))/2))/2,0)</f>
        <v>0</v>
      </c>
      <c r="AP14" s="248">
        <f>IF($R14=$AP$3,(((INDEX('Tables - Part 2'!$BB$6:$BE$13,MATCH(SCC_Polythionic_Acid!$V14,'Tables - Part 2'!$AV$6:$AV$13,0),MATCH(SCC_Polythionic_Acid!$S14,'Tables - Part 2'!$AX$5:$BA$5,0))+INDEX('Tables - Part 2'!$BF$6:$BI$13,MATCH(SCC_Polythionic_Acid!$V14,'Tables - Part 2'!$AV$6:$AV$13,0),MATCH(SCC_Polythionic_Acid!$S14,'Tables - Part 2'!$AX$5:$BA$5,0)))/2)+INDEX('Tables - Part 2'!$BF$6:$BI$13,MATCH(SCC_Polythionic_Acid!$V14,'Tables - Part 2'!$AV$6:$AV$13,0),MATCH(SCC_Polythionic_Acid!$S14,'Tables - Part 2'!$AX$5:$BA$5,0)))/2,0)</f>
        <v>0</v>
      </c>
      <c r="AQ14" s="248">
        <f>IF($R14=$AQ$3,(((((INDEX('Tables - Part 2'!$BB$6:$BE$13,MATCH(SCC_Polythionic_Acid!$V14,'Tables - Part 2'!$AV$6:$AV$13,0),MATCH(SCC_Polythionic_Acid!$S14,'Tables - Part 2'!$AX$5:$BA$5,0))+INDEX('Tables - Part 2'!$BF$6:$BI$13,MATCH(SCC_Polythionic_Acid!$V14,'Tables - Part 2'!$AV$6:$AV$13,0),MATCH(SCC_Polythionic_Acid!$S14,'Tables - Part 2'!$AX$5:$BA$5,0)))/2)+INDEX('Tables - Part 2'!$BF$6:$BI$13,MATCH(SCC_Polythionic_Acid!$V14,'Tables - Part 2'!$AV$6:$AV$13,0),MATCH(SCC_Polythionic_Acid!$S14,'Tables - Part 2'!$AX$5:$BA$5,0)))/2)+INDEX('Tables - Part 2'!$BF$6:$BI$13,MATCH(SCC_Polythionic_Acid!$V14,'Tables - Part 2'!$AV$6:$AV$13,0),MATCH(SCC_Polythionic_Acid!$S14,'Tables - Part 2'!$AX$5:$BA$5,0)))/2,0)</f>
        <v>0</v>
      </c>
      <c r="AR14" s="248">
        <f>IF($R14=$AR$3,INDEX('Tables - Part 2'!$BF$6:$BI$13,MATCH(SCC_Polythionic_Acid!$V14,'Tables - Part 2'!$AV$6:$AV$13,0),MATCH(SCC_Polythionic_Acid!$S14,'Tables - Part 2'!$AX$5:$BA$5,0)),0)</f>
        <v>0</v>
      </c>
      <c r="AS14" s="248">
        <f>IF($R14=$AS$3,(INDEX('Tables - Part 2'!$BF$6:$BI$13,MATCH(SCC_Polythionic_Acid!$V14,'Tables - Part 2'!$AV$6:$AV$13,0),MATCH(SCC_Polythionic_Acid!$S14,'Tables - Part 2'!$AX$5:$BA$5,0))+((INDEX('Tables - Part 2'!$BF$6:$BI$13,MATCH(SCC_Polythionic_Acid!$V14,'Tables - Part 2'!$AV$6:$AV$13,0),MATCH(SCC_Polythionic_Acid!$S14,'Tables - Part 2'!$AX$5:$BA$5,0))+(INDEX('Tables - Part 2'!$BF$6:$BI$13,MATCH(SCC_Polythionic_Acid!$V14,'Tables - Part 2'!$AV$6:$AV$13,0),MATCH(SCC_Polythionic_Acid!$S14,'Tables - Part 2'!$AX$5:$BA$5,0))+INDEX('Tables - Part 2'!$AX$17:$BA$24,MATCH(SCC_Polythionic_Acid!$V14,'Tables - Part 2'!$AV$6:$AV$13,0),MATCH(SCC_Polythionic_Acid!$S14,'Tables - Part 2'!$AX$5:$BA$5,0)))/2)/2))/2,0)</f>
        <v>0</v>
      </c>
      <c r="AT14" s="248">
        <f>IF($R14=$AT$3,(INDEX('Tables - Part 2'!$BF$6:$BI$13,MATCH(SCC_Polythionic_Acid!$V14,'Tables - Part 2'!$AV$6:$AV$13,0),MATCH(SCC_Polythionic_Acid!$S14,'Tables - Part 2'!$AX$5:$BA$5,0))+(INDEX('Tables - Part 2'!$BF$6:$BI$13,MATCH(SCC_Polythionic_Acid!$V14,'Tables - Part 2'!$AV$6:$AV$13,0),MATCH(SCC_Polythionic_Acid!$S14,'Tables - Part 2'!$AX$5:$BA$5,0))+INDEX('Tables - Part 2'!$AX$17:$BA$24,MATCH(SCC_Polythionic_Acid!$V14,'Tables - Part 2'!$AV$6:$AV$13,0),MATCH(SCC_Polythionic_Acid!$S14,'Tables - Part 2'!$AX$5:$BA$5,0)))/2)/2,0)</f>
        <v>0</v>
      </c>
      <c r="AU14" s="248">
        <f>IF($R14=$AU$3,(((INDEX('Tables - Part 2'!$BF$6:$BI$13,MATCH(SCC_Polythionic_Acid!$V14,'Tables - Part 2'!$AV$6:$AV$13,0),MATCH(SCC_Polythionic_Acid!$S14,'Tables - Part 2'!$AX$5:$BA$5,0))+(INDEX('Tables - Part 2'!$BF$6:$BI$13,MATCH(SCC_Polythionic_Acid!$V14,'Tables - Part 2'!$AV$6:$AV$13,0),MATCH(SCC_Polythionic_Acid!$S14,'Tables - Part 2'!$AX$5:$BA$5,0))+INDEX('Tables - Part 2'!$AX$17:$BA$24,MATCH(SCC_Polythionic_Acid!$V14,'Tables - Part 2'!$AV$6:$AV$13,0),MATCH(SCC_Polythionic_Acid!$S14,'Tables - Part 2'!$AX$5:$BA$5,0)))/2)/2)+((INDEX('Tables - Part 2'!$BF$6:$BI$13,MATCH(SCC_Polythionic_Acid!$V14,'Tables - Part 2'!$AV$6:$AV$13,0),MATCH(SCC_Polythionic_Acid!$S14,'Tables - Part 2'!$AX$5:$BA$5,0))+INDEX('Tables - Part 2'!$AX$17:$BA$24,MATCH(SCC_Polythionic_Acid!$V14,'Tables - Part 2'!$AV$6:$AV$13,0),MATCH(SCC_Polythionic_Acid!$S14,'Tables - Part 2'!$AX$5:$BA$5,0)))/2))/2,0)</f>
        <v>0</v>
      </c>
      <c r="AV14" s="248">
        <f>IF($R14=$AV$3,(INDEX('Tables - Part 2'!$BF$6:$BI$13,MATCH(SCC_Polythionic_Acid!$V14,'Tables - Part 2'!$AV$6:$AV$13,0),MATCH(SCC_Polythionic_Acid!$S14,'Tables - Part 2'!$AX$5:$BA$5,0))+INDEX('Tables - Part 2'!$AX$17:$BA$24,MATCH(SCC_Polythionic_Acid!$V14,'Tables - Part 2'!$AV$6:$AV$13,0),MATCH(SCC_Polythionic_Acid!$S14,'Tables - Part 2'!$AX$5:$BA$5,0)))/2,0)</f>
        <v>0</v>
      </c>
      <c r="AW14" s="248">
        <f>IF($R14=$AW$3,(((INDEX('Tables - Part 2'!$BF$6:$BI$13,MATCH(SCC_Polythionic_Acid!$V14,'Tables - Part 2'!$AV$6:$AV$13,0),MATCH(SCC_Polythionic_Acid!$S14,'Tables - Part 2'!$AX$5:$BA$5,0))+INDEX('Tables - Part 2'!$AX$17:$BA$24,MATCH(SCC_Polythionic_Acid!$V14,'Tables - Part 2'!$AV$6:$AV$13,0),MATCH(SCC_Polythionic_Acid!$S14,'Tables - Part 2'!$AX$5:$BA$5,0)))/2)+((((INDEX('Tables - Part 2'!$BF$6:$BI$13,MATCH(SCC_Polythionic_Acid!$V14,'Tables - Part 2'!$AV$6:$AV$13,0),MATCH(SCC_Polythionic_Acid!$S14,'Tables - Part 2'!$AX$5:$BA$5,0))+INDEX('Tables - Part 2'!$AX$17:$BA$24,MATCH(SCC_Polythionic_Acid!$V14,'Tables - Part 2'!$AV$6:$AV$13,0),MATCH(SCC_Polythionic_Acid!$S14,'Tables - Part 2'!$AX$5:$BA$5,0)))/2)+INDEX('Tables - Part 2'!$AX$17:$BA$24,MATCH(SCC_Polythionic_Acid!$V14,'Tables - Part 2'!$AV$6:$AV$13,0),MATCH(SCC_Polythionic_Acid!$S14,'Tables - Part 2'!$AX$5:$BA$5,0)))/2))/2,0)</f>
        <v>0</v>
      </c>
      <c r="AX14" s="248">
        <f>IF($R14=$AX$3,(((INDEX('Tables - Part 2'!$BF$6:$BI$13,MATCH(SCC_Polythionic_Acid!$V14,'Tables - Part 2'!$AV$6:$AV$13,0),MATCH(SCC_Polythionic_Acid!$S14,'Tables - Part 2'!$AX$5:$BA$5,0))+INDEX('Tables - Part 2'!$AX$17:$BA$24,MATCH(SCC_Polythionic_Acid!$V14,'Tables - Part 2'!$AV$6:$AV$13,0),MATCH(SCC_Polythionic_Acid!$S14,'Tables - Part 2'!$AX$5:$BA$5,0)))/2)+INDEX('Tables - Part 2'!$AX$17:$BA$24,MATCH(SCC_Polythionic_Acid!$V14,'Tables - Part 2'!$AV$6:$AV$13,0),MATCH(SCC_Polythionic_Acid!$S14,'Tables - Part 2'!$AX$5:$BA$5,0)))/2,0)</f>
        <v>0</v>
      </c>
      <c r="AY14" s="248">
        <f>IF($R14=$AY$3,(((((INDEX('Tables - Part 2'!$BF$6:$BI$13,MATCH(SCC_Polythionic_Acid!$V14,'Tables - Part 2'!$AV$6:$AV$13,0),MATCH(SCC_Polythionic_Acid!$S14,'Tables - Part 2'!$AX$5:$BA$5,0))+INDEX('Tables - Part 2'!$AX$17:$BA$24,MATCH(SCC_Polythionic_Acid!$V14,'Tables - Part 2'!$AV$6:$AV$13,0),MATCH(SCC_Polythionic_Acid!$S14,'Tables - Part 2'!$AX$5:$BA$5,0)))/2)+INDEX('Tables - Part 2'!$AX$17:$BA$24,MATCH(SCC_Polythionic_Acid!$V14,'Tables - Part 2'!$AV$6:$AV$13,0),MATCH(SCC_Polythionic_Acid!$S14,'Tables - Part 2'!$AX$5:$BA$5,0)))/2)+(INDEX('Tables - Part 2'!$AX$17:$BA$24,MATCH(SCC_Polythionic_Acid!$V14,'Tables - Part 2'!$AV$6:$AV$13,0),MATCH(SCC_Polythionic_Acid!$S14,'Tables - Part 2'!$AX$5:$BA$5,0))))/2,0)</f>
        <v>0</v>
      </c>
      <c r="AZ14" s="248">
        <f>IF($R14=$AZ$3,INDEX('Tables - Part 2'!$AX$17:$BA$24,MATCH(SCC_Polythionic_Acid!$V14,'Tables - Part 2'!$AV$6:$AV$13,0),MATCH(SCC_Polythionic_Acid!$S14,'Tables - Part 2'!$AX$5:$BA$5,0)),0)</f>
        <v>0</v>
      </c>
      <c r="BA14" s="248">
        <f>IF($R14=$BA$3,((INDEX('Tables - Part 2'!$AX$17:$BA$24,MATCH(SCC_Polythionic_Acid!$V14,'Tables - Part 2'!$AV$6:$AV$13,0),MATCH(SCC_Polythionic_Acid!$S14,'Tables - Part 2'!$AX$5:$BA$5,0)))+(((INDEX('Tables - Part 2'!$AX$17:$BA$24,MATCH(SCC_Polythionic_Acid!$V14,'Tables - Part 2'!$AV$6:$AV$13,0),MATCH(SCC_Polythionic_Acid!$S14,'Tables - Part 2'!$AX$5:$BA$5,0)))+(INDEX('Tables - Part 2'!$AX$17:$BA$24,MATCH(SCC_Polythionic_Acid!$V14,'Tables - Part 2'!$AV$6:$AV$13,0),MATCH(SCC_Polythionic_Acid!$S14,'Tables - Part 2'!$AX$5:$BA$5,0))+INDEX('Tables - Part 2'!$BB$17:$BE$24,MATCH(SCC_Polythionic_Acid!$V14,'Tables - Part 2'!$AV$6:$AV$13,0),MATCH(SCC_Polythionic_Acid!$S14,'Tables - Part 2'!$AX$5:$BA$5,0)))/2)/2))/2,0)</f>
        <v>0</v>
      </c>
      <c r="BB14" s="248">
        <f>IF($R14=$BB$3,((INDEX('Tables - Part 2'!$AX$17:$BA$24,MATCH(SCC_Polythionic_Acid!$V14,'Tables - Part 2'!$AV$6:$AV$13,0),MATCH(SCC_Polythionic_Acid!$S14,'Tables - Part 2'!$AX$5:$BA$5,0)))+(INDEX('Tables - Part 2'!$AX$17:$BA$24,MATCH(SCC_Polythionic_Acid!$V14,'Tables - Part 2'!$AV$6:$AV$13,0),MATCH(SCC_Polythionic_Acid!$S14,'Tables - Part 2'!$AX$5:$BA$5,0))+INDEX('Tables - Part 2'!$BB$17:$BE$24,MATCH(SCC_Polythionic_Acid!$V14,'Tables - Part 2'!$AV$6:$AV$13,0),MATCH(SCC_Polythionic_Acid!$S14,'Tables - Part 2'!$AX$5:$BA$5,0)))/2)/2,0)</f>
        <v>0</v>
      </c>
      <c r="BC14" s="248">
        <f>IF($R14=$BC$3,((((INDEX('Tables - Part 2'!$AX$17:$BA$24,MATCH(SCC_Polythionic_Acid!$V14,'Tables - Part 2'!$AV$6:$AV$13,0),MATCH(SCC_Polythionic_Acid!$S14,'Tables - Part 2'!$AX$5:$BA$5,0)))+(INDEX('Tables - Part 2'!$AX$17:$BA$24,MATCH(SCC_Polythionic_Acid!$V14,'Tables - Part 2'!$AV$6:$AV$13,0),MATCH(SCC_Polythionic_Acid!$S14,'Tables - Part 2'!$AX$5:$BA$5,0))+INDEX('Tables - Part 2'!$BB$17:$BE$24,MATCH(SCC_Polythionic_Acid!$V14,'Tables - Part 2'!$AV$6:$AV$13,0),MATCH(SCC_Polythionic_Acid!$S14,'Tables - Part 2'!$AX$5:$BA$5,0)))/2)/2)+((INDEX('Tables - Part 2'!$AX$17:$BA$24,MATCH(SCC_Polythionic_Acid!$V14,'Tables - Part 2'!$AV$6:$AV$13,0),MATCH(SCC_Polythionic_Acid!$S14,'Tables - Part 2'!$AX$5:$BA$5,0))+INDEX('Tables - Part 2'!$BB$17:$BE$24,MATCH(SCC_Polythionic_Acid!$V14,'Tables - Part 2'!$AV$6:$AV$13,0),MATCH(SCC_Polythionic_Acid!$S14,'Tables - Part 2'!$AX$5:$BA$5,0)))/2))/2,0)</f>
        <v>0</v>
      </c>
      <c r="BD14" s="248">
        <f>IF($R14=$BD$3,(INDEX('Tables - Part 2'!$AX$17:$BA$24,MATCH(SCC_Polythionic_Acid!$V14,'Tables - Part 2'!$AV$6:$AV$13,0),MATCH(SCC_Polythionic_Acid!$S14,'Tables - Part 2'!$AX$5:$BA$5,0))+INDEX('Tables - Part 2'!$BB$17:$BE$24,MATCH(SCC_Polythionic_Acid!$V14,'Tables - Part 2'!$AV$6:$AV$13,0),MATCH(SCC_Polythionic_Acid!$S14,'Tables - Part 2'!$AX$5:$BA$5,0)))/2,0)</f>
        <v>0</v>
      </c>
      <c r="BE14" s="248">
        <f>IF($R14=$BE$3,(((INDEX('Tables - Part 2'!$AX$17:$BA$24,MATCH(SCC_Polythionic_Acid!$V14,'Tables - Part 2'!$AV$6:$AV$13,0),MATCH(SCC_Polythionic_Acid!$S14,'Tables - Part 2'!$AX$5:$BA$5,0))+INDEX('Tables - Part 2'!$BB$17:$BE$24,MATCH(SCC_Polythionic_Acid!$V14,'Tables - Part 2'!$AV$6:$AV$13,0),MATCH(SCC_Polythionic_Acid!$S14,'Tables - Part 2'!$AX$5:$BA$5,0)))/2)+((((INDEX('Tables - Part 2'!$AX$17:$BA$24,MATCH(SCC_Polythionic_Acid!$V14,'Tables - Part 2'!$AV$6:$AV$13,0),MATCH(SCC_Polythionic_Acid!$S14,'Tables - Part 2'!$AX$5:$BA$5,0))+INDEX('Tables - Part 2'!$BB$17:$BE$24,MATCH(SCC_Polythionic_Acid!$V14,'Tables - Part 2'!$AV$6:$AV$13,0),MATCH(SCC_Polythionic_Acid!$S14,'Tables - Part 2'!$AX$5:$BA$5,0)))/2)+INDEX('Tables - Part 2'!$BB$17:$BE$24,MATCH(SCC_Polythionic_Acid!$V14,'Tables - Part 2'!$AV$6:$AV$13,0),MATCH(SCC_Polythionic_Acid!$S14,'Tables - Part 2'!$AX$5:$BA$5,0)))/2))/2,0)</f>
        <v>0</v>
      </c>
      <c r="BF14" s="248">
        <f>IF($R14=$BF$3,(((INDEX('Tables - Part 2'!$AX$17:$BA$24,MATCH(SCC_Polythionic_Acid!$V14,'Tables - Part 2'!$AV$6:$AV$13,0),MATCH(SCC_Polythionic_Acid!$S14,'Tables - Part 2'!$AX$5:$BA$5,0))+INDEX('Tables - Part 2'!$BB$17:$BE$24,MATCH(SCC_Polythionic_Acid!$V14,'Tables - Part 2'!$AV$6:$AV$13,0),MATCH(SCC_Polythionic_Acid!$S14,'Tables - Part 2'!$AX$5:$BA$5,0)))/2)+INDEX('Tables - Part 2'!$BB$17:$BE$24,MATCH(SCC_Polythionic_Acid!$V14,'Tables - Part 2'!$AV$6:$AV$13,0),MATCH(SCC_Polythionic_Acid!$S14,'Tables - Part 2'!$AX$5:$BA$5,0)))/2,0)</f>
        <v>0</v>
      </c>
      <c r="BG14" s="248">
        <f>IF($R14=$BG$3,(((((INDEX('Tables - Part 2'!$AX$17:$BA$24,MATCH(SCC_Polythionic_Acid!$V14,'Tables - Part 2'!$AV$6:$AV$13,0),MATCH(SCC_Polythionic_Acid!$S14,'Tables - Part 2'!$AX$5:$BA$5,0))+INDEX('Tables - Part 2'!$BB$17:$BE$24,MATCH(SCC_Polythionic_Acid!$V14,'Tables - Part 2'!$AV$6:$AV$13,0),MATCH(SCC_Polythionic_Acid!$S14,'Tables - Part 2'!$AX$5:$BA$5,0)))/2)+INDEX('Tables - Part 2'!$BB$17:$BE$24,MATCH(SCC_Polythionic_Acid!$V14,'Tables - Part 2'!$AV$6:$AV$13,0),MATCH(SCC_Polythionic_Acid!$S14,'Tables - Part 2'!$AX$5:$BA$5,0)))/2)+(INDEX('Tables - Part 2'!$BB$17:$BE$24,MATCH(SCC_Polythionic_Acid!$V14,'Tables - Part 2'!$AV$6:$AV$13,0),MATCH(SCC_Polythionic_Acid!$S14,'Tables - Part 2'!$AX$5:$BA$5,0))))/2,0)</f>
        <v>0</v>
      </c>
      <c r="BH14" s="248">
        <f>IF($R14=$BH$3,INDEX('Tables - Part 2'!$BB$17:$BE$24,MATCH(SCC_Polythionic_Acid!$V14,'Tables - Part 2'!$AV$6:$AV$13,0),MATCH(SCC_Polythionic_Acid!$S14,'Tables - Part 2'!$AX$5:$BA$5,0)),0)</f>
        <v>0</v>
      </c>
      <c r="BI14" s="248">
        <f>IF($R14=$BI$3,((INDEX('Tables - Part 2'!$BB$17:$BE$24,MATCH(SCC_Polythionic_Acid!$V14,'Tables - Part 2'!$AV$6:$AV$13,0),MATCH(SCC_Polythionic_Acid!$S14,'Tables - Part 2'!$AX$5:$BA$5,0)))+(((INDEX('Tables - Part 2'!$BB$17:$BE$24,MATCH(SCC_Polythionic_Acid!$V14,'Tables - Part 2'!$AV$6:$AV$13,0),MATCH(SCC_Polythionic_Acid!$S14,'Tables - Part 2'!$AX$5:$BA$5,0)))+(INDEX('Tables - Part 2'!$BB$17:$BE$24,MATCH(SCC_Polythionic_Acid!$V14,'Tables - Part 2'!$AV$6:$AV$13,0),MATCH(SCC_Polythionic_Acid!$S14,'Tables - Part 2'!$AX$5:$BA$5,0))+INDEX('Tables - Part 2'!$BF$17:$BI$24,MATCH(SCC_Polythionic_Acid!$V14,'Tables - Part 2'!$AV$6:$AV$13,0),MATCH(SCC_Polythionic_Acid!$S14,'Tables - Part 2'!$AX$5:$BA$5,0)))/2)/2))/2,0)</f>
        <v>0</v>
      </c>
      <c r="BJ14" s="248">
        <f>IF($R14=$BJ$3,((INDEX('Tables - Part 2'!$BB$17:$BE$24,MATCH(SCC_Polythionic_Acid!$V14,'Tables - Part 2'!$AV$6:$AV$13,0),MATCH(SCC_Polythionic_Acid!$S14,'Tables - Part 2'!$AX$5:$BA$5,0)))+(INDEX('Tables - Part 2'!$BB$17:$BE$24,MATCH(SCC_Polythionic_Acid!$V14,'Tables - Part 2'!$AV$6:$AV$13,0),MATCH(SCC_Polythionic_Acid!$S14,'Tables - Part 2'!$AX$5:$BA$5,0))+INDEX('Tables - Part 2'!$BF$17:$BI$24,MATCH(SCC_Polythionic_Acid!$V14,'Tables - Part 2'!$AV$6:$AV$13,0),MATCH(SCC_Polythionic_Acid!$S14,'Tables - Part 2'!$AX$5:$BA$5,0)))/2)/2,0)</f>
        <v>0</v>
      </c>
      <c r="BK14" s="248">
        <f>IF($R14=$BK$3,((((INDEX('Tables - Part 2'!$BB$17:$BE$24,MATCH(SCC_Polythionic_Acid!$V14,'Tables - Part 2'!$AV$6:$AV$13,0),MATCH(SCC_Polythionic_Acid!$S14,'Tables - Part 2'!$AX$5:$BA$5,0)))+(INDEX('Tables - Part 2'!$BB$17:$BE$24,MATCH(SCC_Polythionic_Acid!$V14,'Tables - Part 2'!$AV$6:$AV$13,0),MATCH(SCC_Polythionic_Acid!$S14,'Tables - Part 2'!$AX$5:$BA$5,0))+INDEX('Tables - Part 2'!$BF$17:$BI$24,MATCH(SCC_Polythionic_Acid!$V14,'Tables - Part 2'!$AV$6:$AV$13,0),MATCH(SCC_Polythionic_Acid!$S14,'Tables - Part 2'!$AX$5:$BA$5,0)))/2)/2)+((INDEX('Tables - Part 2'!$BB$17:$BE$24,MATCH(SCC_Polythionic_Acid!$V14,'Tables - Part 2'!$AV$6:$AV$13,0),MATCH(SCC_Polythionic_Acid!$S14,'Tables - Part 2'!$AX$5:$BA$5,0))+INDEX('Tables - Part 2'!$BF$17:$BI$24,MATCH(SCC_Polythionic_Acid!$V14,'Tables - Part 2'!$AV$6:$AV$13,0),MATCH(SCC_Polythionic_Acid!$S14,'Tables - Part 2'!$AX$5:$BA$5,0)))/2))/2,0)</f>
        <v>0</v>
      </c>
      <c r="BL14" s="248">
        <f>IF($R14=$BL$3,(INDEX('Tables - Part 2'!$BB$17:$BE$24,MATCH(SCC_Polythionic_Acid!$V14,'Tables - Part 2'!$AV$6:$AV$13,0),MATCH(SCC_Polythionic_Acid!$S14,'Tables - Part 2'!$AX$5:$BA$5,0))+INDEX('Tables - Part 2'!$BF$17:$BI$24,MATCH(SCC_Polythionic_Acid!$V14,'Tables - Part 2'!$AV$6:$AV$13,0),MATCH(SCC_Polythionic_Acid!$S14,'Tables - Part 2'!$AX$5:$BA$5,0)))/2,0)</f>
        <v>0</v>
      </c>
      <c r="BM14" s="248">
        <f>IF($R14=$BM$3,(((INDEX('Tables - Part 2'!$BB$17:$BE$24,MATCH(SCC_Polythionic_Acid!$V14,'Tables - Part 2'!$AV$6:$AV$13,0),MATCH(SCC_Polythionic_Acid!$S14,'Tables - Part 2'!$AX$5:$BA$5,0))+INDEX('Tables - Part 2'!$BF$17:$BI$24,MATCH(SCC_Polythionic_Acid!$V14,'Tables - Part 2'!$AV$6:$AV$13,0),MATCH(SCC_Polythionic_Acid!$S14,'Tables - Part 2'!$AX$5:$BA$5,0)))/2)+((((INDEX('Tables - Part 2'!$BB$17:$BE$24,MATCH(SCC_Polythionic_Acid!$V14,'Tables - Part 2'!$AV$6:$AV$13,0),MATCH(SCC_Polythionic_Acid!$S14,'Tables - Part 2'!$AX$5:$BA$5,0))+INDEX('Tables - Part 2'!$BF$17:$BI$24,MATCH(SCC_Polythionic_Acid!$V14,'Tables - Part 2'!$AV$6:$AV$13,0),MATCH(SCC_Polythionic_Acid!$S14,'Tables - Part 2'!$AX$5:$BA$5,0)))/2)+INDEX('Tables - Part 2'!$BF$17:$BI$24,MATCH(SCC_Polythionic_Acid!$V14,'Tables - Part 2'!$AV$6:$AV$13,0),MATCH(SCC_Polythionic_Acid!$S14,'Tables - Part 2'!$AX$5:$BA$5,0)))/2))/2,0)</f>
        <v>0</v>
      </c>
      <c r="BN14" s="248">
        <f>IF($R14=$BN$3,(((INDEX('Tables - Part 2'!$BB$17:$BE$24,MATCH(SCC_Polythionic_Acid!$V14,'Tables - Part 2'!$AV$6:$AV$13,0),MATCH(SCC_Polythionic_Acid!$S14,'Tables - Part 2'!$AX$5:$BA$5,0))+INDEX('Tables - Part 2'!$BF$17:$BI$24,MATCH(SCC_Polythionic_Acid!$V14,'Tables - Part 2'!$AV$6:$AV$13,0),MATCH(SCC_Polythionic_Acid!$S14,'Tables - Part 2'!$AX$5:$BA$5,0)))/2)+INDEX('Tables - Part 2'!$BF$17:$BI$24,MATCH(SCC_Polythionic_Acid!$V14,'Tables - Part 2'!$AV$6:$AV$13,0),MATCH(SCC_Polythionic_Acid!$S14,'Tables - Part 2'!$AX$5:$BA$5,0)))/2,0)</f>
        <v>0</v>
      </c>
      <c r="BO14" s="248">
        <f>IF($R14=$BO$3,(((((INDEX('Tables - Part 2'!$BB$17:$BE$24,MATCH(SCC_Polythionic_Acid!$V14,'Tables - Part 2'!$AV$6:$AV$13,0),MATCH(SCC_Polythionic_Acid!$S14,'Tables - Part 2'!$AX$5:$BA$5,0))+INDEX('Tables - Part 2'!$BF$17:$BI$24,MATCH(SCC_Polythionic_Acid!$V14,'Tables - Part 2'!$AV$6:$AV$13,0),MATCH(SCC_Polythionic_Acid!$S14,'Tables - Part 2'!$AX$5:$BA$5,0)))/2)+INDEX('Tables - Part 2'!$BF$17:$BI$24,MATCH(SCC_Polythionic_Acid!$V14,'Tables - Part 2'!$AV$6:$AV$13,0),MATCH(SCC_Polythionic_Acid!$S14,'Tables - Part 2'!$AX$5:$BA$5,0)))/2)+(INDEX('Tables - Part 2'!$BF$17:$BI$24,MATCH(SCC_Polythionic_Acid!$V14,'Tables - Part 2'!$AV$6:$AV$13,0),MATCH(SCC_Polythionic_Acid!$S14,'Tables - Part 2'!$AX$5:$BA$5,0))))/2,0)</f>
        <v>0</v>
      </c>
      <c r="BP14" s="248">
        <f>IF($R14=$BP$3,INDEX('Tables - Part 2'!$BF$17:$BI$24,MATCH(SCC_Polythionic_Acid!$V14,'Tables - Part 2'!$AV$6:$AV$13,0),MATCH(SCC_Polythionic_Acid!$S14,'Tables - Part 2'!$AX$5:$BA$5,0)),0)</f>
        <v>0</v>
      </c>
      <c r="BQ14" s="248">
        <f t="shared" si="5"/>
        <v>0</v>
      </c>
      <c r="BR14" s="238">
        <f t="shared" si="8"/>
        <v>165</v>
      </c>
      <c r="BS14" s="238">
        <f t="shared" si="9"/>
        <v>2767.5256072873844</v>
      </c>
    </row>
    <row r="15" spans="2:84" x14ac:dyDescent="0.35">
      <c r="B15" s="161" t="str">
        <f>'Tratamento de Dados'!B23</f>
        <v>V-5</v>
      </c>
      <c r="C15" s="161" t="str">
        <f>'Tratamento de Dados'!D23</f>
        <v>Casco</v>
      </c>
      <c r="D15" s="209" t="s">
        <v>244</v>
      </c>
      <c r="E15" s="209" t="s">
        <v>244</v>
      </c>
      <c r="F15" s="209" t="s">
        <v>244</v>
      </c>
      <c r="G15" s="209" t="s">
        <v>244</v>
      </c>
      <c r="H15" s="209" t="s">
        <v>1145</v>
      </c>
      <c r="I15" s="247">
        <f>'Tratamento de Dados'!S23</f>
        <v>2</v>
      </c>
      <c r="J15" s="209" t="s">
        <v>1146</v>
      </c>
      <c r="K15" s="210">
        <v>39092</v>
      </c>
      <c r="L15" s="209">
        <v>0</v>
      </c>
      <c r="M15" s="209">
        <v>1</v>
      </c>
      <c r="N15" s="209">
        <v>1</v>
      </c>
      <c r="O15" s="209">
        <v>4</v>
      </c>
      <c r="P15" s="253">
        <f>'Tratamento de Dados'!DA23</f>
        <v>0</v>
      </c>
      <c r="Q15" s="253">
        <f>'Tratamento de Dados'!DB23</f>
        <v>0</v>
      </c>
      <c r="R15" s="256">
        <f t="shared" si="0"/>
        <v>2.5</v>
      </c>
      <c r="S15" s="246" t="str">
        <f t="shared" si="1"/>
        <v>B</v>
      </c>
      <c r="T15" s="238" t="str">
        <f>IF(D15=$BX$2,$BV$5,IF(F15=$BX$3,$BV$2,INDEX(IF(I15&lt;427,'Tables - Part 2'!$DH$6:$DJ$10,'Tables - Part 2'!$DH$14:$DJ$18),MATCH(SCC_Polythionic_Acid!H15,'Tables - Part 2'!$DG$6:$DG$10,0),MATCH(J15,'Tables - Part 2'!$DH$5:$DJ$5,0))))</f>
        <v>High</v>
      </c>
      <c r="U15" s="238" t="str">
        <f t="shared" si="6"/>
        <v>High</v>
      </c>
      <c r="V15" s="238">
        <f>IF(AND(D15=$BX$2,E15&lt;&gt;$BX$2),"Fitness-For-Service",INDEX('Tables - Part 2'!$DM$4:$DM$7,MATCH(SCC_Polythionic_Acid!U15,'Tables - Part 2'!$DL$4:$DL$7,0),))</f>
        <v>5000</v>
      </c>
      <c r="W15" s="238">
        <f>IF(K15=0,(Thinning!G16-Thinning!F16)/365.25,(Thinning!G16-K15)/365.25)</f>
        <v>12.980150581793293</v>
      </c>
      <c r="X15" s="248">
        <f t="shared" si="2"/>
        <v>0</v>
      </c>
      <c r="Y15" s="248">
        <f t="shared" si="3"/>
        <v>2.5</v>
      </c>
      <c r="Z15" s="247">
        <f t="shared" si="7"/>
        <v>3</v>
      </c>
      <c r="AA15" s="247">
        <f t="shared" si="4"/>
        <v>4</v>
      </c>
      <c r="AB15" s="248">
        <f>IF($R15=$AB$3,INDEX('Tables - Part 2'!$AX$6:$BA$13,MATCH(SCC_Polythionic_Acid!V15,'Tables - Part 2'!$AV$6:$AV$13,0),MATCH(SCC_Polythionic_Acid!S15,'Tables - Part 2'!$AX$5:$BA$5,0)),0)</f>
        <v>0</v>
      </c>
      <c r="AC15" s="248">
        <f>IF($R15=$AC$3,(INDEX('Tables - Part 2'!$AX$6:$BA$13,MATCH(SCC_Polythionic_Acid!V15,'Tables - Part 2'!$AV$6:$AV$13,0),MATCH(SCC_Polythionic_Acid!S15,'Tables - Part 2'!$AX$5:$BA$5,0))+(INDEX('Tables - Part 2'!$AX$6:$BA$13,MATCH(SCC_Polythionic_Acid!V15,'Tables - Part 2'!$AV$6:$AV$13,0),MATCH(SCC_Polythionic_Acid!S15,'Tables - Part 2'!$AX$5:$BA$5,0))+((INDEX('Tables - Part 2'!$AX$6:$BA$13,MATCH(SCC_Polythionic_Acid!V15,'Tables - Part 2'!$AV$6:$AV$13,0),MATCH(SCC_Polythionic_Acid!S15,'Tables - Part 2'!$AX$5:$BA$5,0))+INDEX('Tables - Part 2'!$BB$6:$BE$13,MATCH(SCC_Polythionic_Acid!$V15,'Tables - Part 2'!$AV$6:$AV$13,0),MATCH(SCC_Polythionic_Acid!$S15,'Tables - Part 2'!$AX$5:$BA$5,0)))/2))/2)/2,0)</f>
        <v>0</v>
      </c>
      <c r="AD15" s="248">
        <f>IF($R15=$AD$3,(INDEX('Tables - Part 2'!$AX$6:$BA$13,MATCH(SCC_Polythionic_Acid!V15,'Tables - Part 2'!$AV$6:$AV$13,0),MATCH(SCC_Polythionic_Acid!S15,'Tables - Part 2'!$AX$5:$BA$5,0))+((INDEX('Tables - Part 2'!$AX$6:$BA$13,MATCH(SCC_Polythionic_Acid!V15,'Tables - Part 2'!$AV$6:$AV$13,0),MATCH(SCC_Polythionic_Acid!S15,'Tables - Part 2'!$AX$5:$BA$5,0))+INDEX('Tables - Part 2'!$BB$6:$BE$13,MATCH(SCC_Polythionic_Acid!$V15,'Tables - Part 2'!$AV$6:$AV$13,0),MATCH(SCC_Polythionic_Acid!$S15,'Tables - Part 2'!$AX$5:$BA$5,0)))/2))/2,0)</f>
        <v>0</v>
      </c>
      <c r="AE15" s="248">
        <f>IF($R15=$AE$3,(((INDEX('Tables - Part 2'!$AX$6:$BA$13,MATCH(SCC_Polythionic_Acid!V15,'Tables - Part 2'!$AV$6:$AV$13,0),MATCH(SCC_Polythionic_Acid!S15,'Tables - Part 2'!$AX$5:$BA$5,0))+((INDEX('Tables - Part 2'!$AX$6:$BA$13,MATCH(SCC_Polythionic_Acid!V15,'Tables - Part 2'!$AV$6:$AV$13,0),MATCH(SCC_Polythionic_Acid!S15,'Tables - Part 2'!$AX$5:$BA$5,0))+INDEX('Tables - Part 2'!$BB$6:$BE$13,MATCH(SCC_Polythionic_Acid!$V15,'Tables - Part 2'!$AV$6:$AV$13,0),MATCH(SCC_Polythionic_Acid!$S15,'Tables - Part 2'!$AX$5:$BA$5,0)))/2))/2)+(INDEX('Tables - Part 2'!$AX$6:$BA$13,MATCH(SCC_Polythionic_Acid!V15,'Tables - Part 2'!$AV$6:$AV$13,0),MATCH(SCC_Polythionic_Acid!S15,'Tables - Part 2'!$AX$5:$BA$5,0))+INDEX('Tables - Part 2'!$BB$6:$BE$13,MATCH(SCC_Polythionic_Acid!$V15,'Tables - Part 2'!$AV$6:$AV$13,0),MATCH(SCC_Polythionic_Acid!$S15,'Tables - Part 2'!$AX$5:$BA$5,0)))/2)/2,0)</f>
        <v>0</v>
      </c>
      <c r="AF15" s="248">
        <f>IF($R15=$AF$3,(INDEX('Tables - Part 2'!$AX$6:$BA$13,MATCH(SCC_Polythionic_Acid!V15,'Tables - Part 2'!$AV$6:$AV$13,0),MATCH(SCC_Polythionic_Acid!S15,'Tables - Part 2'!$AX$5:$BA$5,0))+INDEX('Tables - Part 2'!$BB$6:$BE$13,MATCH(SCC_Polythionic_Acid!$V15,'Tables - Part 2'!$AV$6:$AV$13,0),MATCH(SCC_Polythionic_Acid!$S15,'Tables - Part 2'!$AX$5:$BA$5,0)))/2,0)</f>
        <v>0</v>
      </c>
      <c r="AG15" s="248">
        <f>IF($R15=$AG$3,(((INDEX('Tables - Part 2'!$AX$6:$BA$13,MATCH(SCC_Polythionic_Acid!V15,'Tables - Part 2'!$AV$6:$AV$13,0),MATCH(SCC_Polythionic_Acid!S15,'Tables - Part 2'!$AX$5:$BA$5,0))+INDEX('Tables - Part 2'!$BB$6:$BE$13,MATCH(SCC_Polythionic_Acid!$V15,'Tables - Part 2'!$AV$6:$AV$13,0),MATCH(SCC_Polythionic_Acid!$S15,'Tables - Part 2'!$AX$5:$BA$5,0)))/2)+(((INDEX('Tables - Part 2'!$AX$6:$BA$13,MATCH(SCC_Polythionic_Acid!V15,'Tables - Part 2'!$AV$6:$AV$13,0),MATCH(SCC_Polythionic_Acid!S15,'Tables - Part 2'!$AX$5:$BA$5,0))+INDEX('Tables - Part 2'!$BB$6:$BE$13,MATCH(SCC_Polythionic_Acid!$V15,'Tables - Part 2'!$AV$6:$AV$13,0),MATCH(SCC_Polythionic_Acid!$S15,'Tables - Part 2'!$AX$5:$BA$5,0)))/2)+INDEX('Tables - Part 2'!$BB$6:$BE$13,MATCH(SCC_Polythionic_Acid!$V15,'Tables - Part 2'!$AV$6:$AV$13,0),MATCH(SCC_Polythionic_Acid!$S15,'Tables - Part 2'!$AX$5:$BA$5,0)))/2)/2,0)</f>
        <v>0</v>
      </c>
      <c r="AH15" s="248">
        <f>IF($R15=$AH$3,(((INDEX('Tables - Part 2'!$AX$6:$BA$13,MATCH(SCC_Polythionic_Acid!V15,'Tables - Part 2'!$AV$6:$AV$13,0),MATCH(SCC_Polythionic_Acid!S15,'Tables - Part 2'!$AX$5:$BA$5,0))+INDEX('Tables - Part 2'!$BB$6:$BE$13,MATCH(SCC_Polythionic_Acid!$V15,'Tables - Part 2'!$AV$6:$AV$13,0),MATCH(SCC_Polythionic_Acid!$S15,'Tables - Part 2'!$AX$5:$BA$5,0)))/2)+INDEX('Tables - Part 2'!$BB$6:$BE$13,MATCH(SCC_Polythionic_Acid!$V15,'Tables - Part 2'!$AV$6:$AV$13,0),MATCH(SCC_Polythionic_Acid!$S15,'Tables - Part 2'!$AX$5:$BA$5,0)))/2,0)</f>
        <v>0</v>
      </c>
      <c r="AI15" s="248">
        <f>IF($R15=$AI$3,(((((INDEX('Tables - Part 2'!$AX$6:$BA$13,MATCH(SCC_Polythionic_Acid!V15,'Tables - Part 2'!$AV$6:$AV$13,0),MATCH(SCC_Polythionic_Acid!S15,'Tables - Part 2'!$AX$5:$BA$5,0))+INDEX('Tables - Part 2'!$BB$6:$BE$13,MATCH(SCC_Polythionic_Acid!$V15,'Tables - Part 2'!$AV$6:$AV$13,0),MATCH(SCC_Polythionic_Acid!$S15,'Tables - Part 2'!$AX$5:$BA$5,0)))/2)+INDEX('Tables - Part 2'!$BB$6:$BE$13,MATCH(SCC_Polythionic_Acid!$V15,'Tables - Part 2'!$AV$6:$AV$13,0),MATCH(SCC_Polythionic_Acid!$S15,'Tables - Part 2'!$AX$5:$BA$5,0)))/2)+INDEX('Tables - Part 2'!$BB$6:$BE$13,MATCH(SCC_Polythionic_Acid!$V15,'Tables - Part 2'!$AV$6:$AV$13,0),MATCH(SCC_Polythionic_Acid!$S15,'Tables - Part 2'!$AX$5:$BA$5,0)))/2,0)</f>
        <v>0</v>
      </c>
      <c r="AJ15" s="248">
        <f>IF($R15=$AJ$3,INDEX('Tables - Part 2'!$BB$6:$BE$13,MATCH(SCC_Polythionic_Acid!$V15,'Tables - Part 2'!$AV$6:$AV$13,0),MATCH(SCC_Polythionic_Acid!$S15,'Tables - Part 2'!$AX$5:$BA$5,0)),0)</f>
        <v>0</v>
      </c>
      <c r="AK15" s="248">
        <f>IF($R15=$AK$3,((INDEX('Tables - Part 2'!$BB$6:$BE$13,MATCH(SCC_Polythionic_Acid!$V15,'Tables - Part 2'!$AV$6:$AV$13,0),MATCH(SCC_Polythionic_Acid!$S15,'Tables - Part 2'!$AX$5:$BA$5,0)))+(INDEX('Tables - Part 2'!$BB$6:$BE$13,MATCH(SCC_Polythionic_Acid!$V15,'Tables - Part 2'!$AV$6:$AV$13,0),MATCH(SCC_Polythionic_Acid!$S15,'Tables - Part 2'!$AX$5:$BA$5,0))+(INDEX('Tables - Part 2'!$BB$6:$BE$13,MATCH(SCC_Polythionic_Acid!$V15,'Tables - Part 2'!$AV$6:$AV$13,0),MATCH(SCC_Polythionic_Acid!$S15,'Tables - Part 2'!$AX$5:$BA$5,0))+INDEX('Tables - Part 2'!$BF$6:$BI$13,MATCH(SCC_Polythionic_Acid!$V15,'Tables - Part 2'!$AV$6:$AV$13,0),MATCH(SCC_Polythionic_Acid!$S15,'Tables - Part 2'!$AX$5:$BA$5,0)))/2)/2)/2,0)</f>
        <v>0</v>
      </c>
      <c r="AL15" s="248">
        <f>IF($R15=$AL$3,(INDEX('Tables - Part 2'!$BB$6:$BE$13,MATCH(SCC_Polythionic_Acid!$V15,'Tables - Part 2'!$AV$6:$AV$13,0),MATCH(SCC_Polythionic_Acid!$S15,'Tables - Part 2'!$AX$5:$BA$5,0))+(INDEX('Tables - Part 2'!$BB$6:$BE$13,MATCH(SCC_Polythionic_Acid!$V15,'Tables - Part 2'!$AV$6:$AV$13,0),MATCH(SCC_Polythionic_Acid!$S15,'Tables - Part 2'!$AX$5:$BA$5,0))+INDEX('Tables - Part 2'!$BF$6:$BI$13,MATCH(SCC_Polythionic_Acid!$V15,'Tables - Part 2'!$AV$6:$AV$13,0),MATCH(SCC_Polythionic_Acid!$S15,'Tables - Part 2'!$AX$5:$BA$5,0)))/2)/2,0)</f>
        <v>0</v>
      </c>
      <c r="AM15" s="248">
        <f>IF($R15=$AM$3,(((INDEX('Tables - Part 2'!$BB$6:$BE$13,MATCH(SCC_Polythionic_Acid!$V15,'Tables - Part 2'!$AV$6:$AV$13,0),MATCH(SCC_Polythionic_Acid!$S15,'Tables - Part 2'!$AX$5:$BA$5,0))+(INDEX('Tables - Part 2'!$BB$6:$BE$13,MATCH(SCC_Polythionic_Acid!$V15,'Tables - Part 2'!$AV$6:$AV$13,0),MATCH(SCC_Polythionic_Acid!$S15,'Tables - Part 2'!$AX$5:$BA$5,0))+INDEX('Tables - Part 2'!$BF$6:$BI$13,MATCH(SCC_Polythionic_Acid!$V15,'Tables - Part 2'!$AV$6:$AV$13,0),MATCH(SCC_Polythionic_Acid!$S15,'Tables - Part 2'!$AX$5:$BA$5,0)))/2)/2)+((INDEX('Tables - Part 2'!$BB$6:$BE$13,MATCH(SCC_Polythionic_Acid!$V15,'Tables - Part 2'!$AV$6:$AV$13,0),MATCH(SCC_Polythionic_Acid!$S15,'Tables - Part 2'!$AX$5:$BA$5,0))+INDEX('Tables - Part 2'!$BF$6:$BI$13,MATCH(SCC_Polythionic_Acid!$V15,'Tables - Part 2'!$AV$6:$AV$13,0),MATCH(SCC_Polythionic_Acid!$S15,'Tables - Part 2'!$AX$5:$BA$5,0)))/2))/2,0)</f>
        <v>0</v>
      </c>
      <c r="AN15" s="248">
        <f>IF($R15=$AN$3,(INDEX('Tables - Part 2'!$BB$6:$BE$13,MATCH(SCC_Polythionic_Acid!$V15,'Tables - Part 2'!$AV$6:$AV$13,0),MATCH(SCC_Polythionic_Acid!$S15,'Tables - Part 2'!$AX$5:$BA$5,0))+INDEX('Tables - Part 2'!$BF$6:$BI$13,MATCH(SCC_Polythionic_Acid!$V15,'Tables - Part 2'!$AV$6:$AV$13,0),MATCH(SCC_Polythionic_Acid!$S15,'Tables - Part 2'!$AX$5:$BA$5,0)))/2,0)</f>
        <v>165</v>
      </c>
      <c r="AO15" s="248">
        <f>IF($R15=$AO$3,(((INDEX('Tables - Part 2'!$BB$6:$BE$13,MATCH(SCC_Polythionic_Acid!$V15,'Tables - Part 2'!$AV$6:$AV$13,0),MATCH(SCC_Polythionic_Acid!$S15,'Tables - Part 2'!$AX$5:$BA$5,0))+INDEX('Tables - Part 2'!$BF$6:$BI$13,MATCH(SCC_Polythionic_Acid!$V15,'Tables - Part 2'!$AV$6:$AV$13,0),MATCH(SCC_Polythionic_Acid!$S15,'Tables - Part 2'!$AX$5:$BA$5,0)))/2)+((((INDEX('Tables - Part 2'!$BB$6:$BE$13,MATCH(SCC_Polythionic_Acid!$V15,'Tables - Part 2'!$AV$6:$AV$13,0),MATCH(SCC_Polythionic_Acid!$S15,'Tables - Part 2'!$AX$5:$BA$5,0))+INDEX('Tables - Part 2'!$BF$6:$BI$13,MATCH(SCC_Polythionic_Acid!$V15,'Tables - Part 2'!$AV$6:$AV$13,0),MATCH(SCC_Polythionic_Acid!$S15,'Tables - Part 2'!$AX$5:$BA$5,0)))/2)+INDEX('Tables - Part 2'!$BF$6:$BI$13,MATCH(SCC_Polythionic_Acid!$V15,'Tables - Part 2'!$AV$6:$AV$13,0),MATCH(SCC_Polythionic_Acid!$S15,'Tables - Part 2'!$AX$5:$BA$5,0)))/2))/2,0)</f>
        <v>0</v>
      </c>
      <c r="AP15" s="248">
        <f>IF($R15=$AP$3,(((INDEX('Tables - Part 2'!$BB$6:$BE$13,MATCH(SCC_Polythionic_Acid!$V15,'Tables - Part 2'!$AV$6:$AV$13,0),MATCH(SCC_Polythionic_Acid!$S15,'Tables - Part 2'!$AX$5:$BA$5,0))+INDEX('Tables - Part 2'!$BF$6:$BI$13,MATCH(SCC_Polythionic_Acid!$V15,'Tables - Part 2'!$AV$6:$AV$13,0),MATCH(SCC_Polythionic_Acid!$S15,'Tables - Part 2'!$AX$5:$BA$5,0)))/2)+INDEX('Tables - Part 2'!$BF$6:$BI$13,MATCH(SCC_Polythionic_Acid!$V15,'Tables - Part 2'!$AV$6:$AV$13,0),MATCH(SCC_Polythionic_Acid!$S15,'Tables - Part 2'!$AX$5:$BA$5,0)))/2,0)</f>
        <v>0</v>
      </c>
      <c r="AQ15" s="248">
        <f>IF($R15=$AQ$3,(((((INDEX('Tables - Part 2'!$BB$6:$BE$13,MATCH(SCC_Polythionic_Acid!$V15,'Tables - Part 2'!$AV$6:$AV$13,0),MATCH(SCC_Polythionic_Acid!$S15,'Tables - Part 2'!$AX$5:$BA$5,0))+INDEX('Tables - Part 2'!$BF$6:$BI$13,MATCH(SCC_Polythionic_Acid!$V15,'Tables - Part 2'!$AV$6:$AV$13,0),MATCH(SCC_Polythionic_Acid!$S15,'Tables - Part 2'!$AX$5:$BA$5,0)))/2)+INDEX('Tables - Part 2'!$BF$6:$BI$13,MATCH(SCC_Polythionic_Acid!$V15,'Tables - Part 2'!$AV$6:$AV$13,0),MATCH(SCC_Polythionic_Acid!$S15,'Tables - Part 2'!$AX$5:$BA$5,0)))/2)+INDEX('Tables - Part 2'!$BF$6:$BI$13,MATCH(SCC_Polythionic_Acid!$V15,'Tables - Part 2'!$AV$6:$AV$13,0),MATCH(SCC_Polythionic_Acid!$S15,'Tables - Part 2'!$AX$5:$BA$5,0)))/2,0)</f>
        <v>0</v>
      </c>
      <c r="AR15" s="248">
        <f>IF($R15=$AR$3,INDEX('Tables - Part 2'!$BF$6:$BI$13,MATCH(SCC_Polythionic_Acid!$V15,'Tables - Part 2'!$AV$6:$AV$13,0),MATCH(SCC_Polythionic_Acid!$S15,'Tables - Part 2'!$AX$5:$BA$5,0)),0)</f>
        <v>0</v>
      </c>
      <c r="AS15" s="248">
        <f>IF($R15=$AS$3,(INDEX('Tables - Part 2'!$BF$6:$BI$13,MATCH(SCC_Polythionic_Acid!$V15,'Tables - Part 2'!$AV$6:$AV$13,0),MATCH(SCC_Polythionic_Acid!$S15,'Tables - Part 2'!$AX$5:$BA$5,0))+((INDEX('Tables - Part 2'!$BF$6:$BI$13,MATCH(SCC_Polythionic_Acid!$V15,'Tables - Part 2'!$AV$6:$AV$13,0),MATCH(SCC_Polythionic_Acid!$S15,'Tables - Part 2'!$AX$5:$BA$5,0))+(INDEX('Tables - Part 2'!$BF$6:$BI$13,MATCH(SCC_Polythionic_Acid!$V15,'Tables - Part 2'!$AV$6:$AV$13,0),MATCH(SCC_Polythionic_Acid!$S15,'Tables - Part 2'!$AX$5:$BA$5,0))+INDEX('Tables - Part 2'!$AX$17:$BA$24,MATCH(SCC_Polythionic_Acid!$V15,'Tables - Part 2'!$AV$6:$AV$13,0),MATCH(SCC_Polythionic_Acid!$S15,'Tables - Part 2'!$AX$5:$BA$5,0)))/2)/2))/2,0)</f>
        <v>0</v>
      </c>
      <c r="AT15" s="248">
        <f>IF($R15=$AT$3,(INDEX('Tables - Part 2'!$BF$6:$BI$13,MATCH(SCC_Polythionic_Acid!$V15,'Tables - Part 2'!$AV$6:$AV$13,0),MATCH(SCC_Polythionic_Acid!$S15,'Tables - Part 2'!$AX$5:$BA$5,0))+(INDEX('Tables - Part 2'!$BF$6:$BI$13,MATCH(SCC_Polythionic_Acid!$V15,'Tables - Part 2'!$AV$6:$AV$13,0),MATCH(SCC_Polythionic_Acid!$S15,'Tables - Part 2'!$AX$5:$BA$5,0))+INDEX('Tables - Part 2'!$AX$17:$BA$24,MATCH(SCC_Polythionic_Acid!$V15,'Tables - Part 2'!$AV$6:$AV$13,0),MATCH(SCC_Polythionic_Acid!$S15,'Tables - Part 2'!$AX$5:$BA$5,0)))/2)/2,0)</f>
        <v>0</v>
      </c>
      <c r="AU15" s="248">
        <f>IF($R15=$AU$3,(((INDEX('Tables - Part 2'!$BF$6:$BI$13,MATCH(SCC_Polythionic_Acid!$V15,'Tables - Part 2'!$AV$6:$AV$13,0),MATCH(SCC_Polythionic_Acid!$S15,'Tables - Part 2'!$AX$5:$BA$5,0))+(INDEX('Tables - Part 2'!$BF$6:$BI$13,MATCH(SCC_Polythionic_Acid!$V15,'Tables - Part 2'!$AV$6:$AV$13,0),MATCH(SCC_Polythionic_Acid!$S15,'Tables - Part 2'!$AX$5:$BA$5,0))+INDEX('Tables - Part 2'!$AX$17:$BA$24,MATCH(SCC_Polythionic_Acid!$V15,'Tables - Part 2'!$AV$6:$AV$13,0),MATCH(SCC_Polythionic_Acid!$S15,'Tables - Part 2'!$AX$5:$BA$5,0)))/2)/2)+((INDEX('Tables - Part 2'!$BF$6:$BI$13,MATCH(SCC_Polythionic_Acid!$V15,'Tables - Part 2'!$AV$6:$AV$13,0),MATCH(SCC_Polythionic_Acid!$S15,'Tables - Part 2'!$AX$5:$BA$5,0))+INDEX('Tables - Part 2'!$AX$17:$BA$24,MATCH(SCC_Polythionic_Acid!$V15,'Tables - Part 2'!$AV$6:$AV$13,0),MATCH(SCC_Polythionic_Acid!$S15,'Tables - Part 2'!$AX$5:$BA$5,0)))/2))/2,0)</f>
        <v>0</v>
      </c>
      <c r="AV15" s="248">
        <f>IF($R15=$AV$3,(INDEX('Tables - Part 2'!$BF$6:$BI$13,MATCH(SCC_Polythionic_Acid!$V15,'Tables - Part 2'!$AV$6:$AV$13,0),MATCH(SCC_Polythionic_Acid!$S15,'Tables - Part 2'!$AX$5:$BA$5,0))+INDEX('Tables - Part 2'!$AX$17:$BA$24,MATCH(SCC_Polythionic_Acid!$V15,'Tables - Part 2'!$AV$6:$AV$13,0),MATCH(SCC_Polythionic_Acid!$S15,'Tables - Part 2'!$AX$5:$BA$5,0)))/2,0)</f>
        <v>0</v>
      </c>
      <c r="AW15" s="248">
        <f>IF($R15=$AW$3,(((INDEX('Tables - Part 2'!$BF$6:$BI$13,MATCH(SCC_Polythionic_Acid!$V15,'Tables - Part 2'!$AV$6:$AV$13,0),MATCH(SCC_Polythionic_Acid!$S15,'Tables - Part 2'!$AX$5:$BA$5,0))+INDEX('Tables - Part 2'!$AX$17:$BA$24,MATCH(SCC_Polythionic_Acid!$V15,'Tables - Part 2'!$AV$6:$AV$13,0),MATCH(SCC_Polythionic_Acid!$S15,'Tables - Part 2'!$AX$5:$BA$5,0)))/2)+((((INDEX('Tables - Part 2'!$BF$6:$BI$13,MATCH(SCC_Polythionic_Acid!$V15,'Tables - Part 2'!$AV$6:$AV$13,0),MATCH(SCC_Polythionic_Acid!$S15,'Tables - Part 2'!$AX$5:$BA$5,0))+INDEX('Tables - Part 2'!$AX$17:$BA$24,MATCH(SCC_Polythionic_Acid!$V15,'Tables - Part 2'!$AV$6:$AV$13,0),MATCH(SCC_Polythionic_Acid!$S15,'Tables - Part 2'!$AX$5:$BA$5,0)))/2)+INDEX('Tables - Part 2'!$AX$17:$BA$24,MATCH(SCC_Polythionic_Acid!$V15,'Tables - Part 2'!$AV$6:$AV$13,0),MATCH(SCC_Polythionic_Acid!$S15,'Tables - Part 2'!$AX$5:$BA$5,0)))/2))/2,0)</f>
        <v>0</v>
      </c>
      <c r="AX15" s="248">
        <f>IF($R15=$AX$3,(((INDEX('Tables - Part 2'!$BF$6:$BI$13,MATCH(SCC_Polythionic_Acid!$V15,'Tables - Part 2'!$AV$6:$AV$13,0),MATCH(SCC_Polythionic_Acid!$S15,'Tables - Part 2'!$AX$5:$BA$5,0))+INDEX('Tables - Part 2'!$AX$17:$BA$24,MATCH(SCC_Polythionic_Acid!$V15,'Tables - Part 2'!$AV$6:$AV$13,0),MATCH(SCC_Polythionic_Acid!$S15,'Tables - Part 2'!$AX$5:$BA$5,0)))/2)+INDEX('Tables - Part 2'!$AX$17:$BA$24,MATCH(SCC_Polythionic_Acid!$V15,'Tables - Part 2'!$AV$6:$AV$13,0),MATCH(SCC_Polythionic_Acid!$S15,'Tables - Part 2'!$AX$5:$BA$5,0)))/2,0)</f>
        <v>0</v>
      </c>
      <c r="AY15" s="248">
        <f>IF($R15=$AY$3,(((((INDEX('Tables - Part 2'!$BF$6:$BI$13,MATCH(SCC_Polythionic_Acid!$V15,'Tables - Part 2'!$AV$6:$AV$13,0),MATCH(SCC_Polythionic_Acid!$S15,'Tables - Part 2'!$AX$5:$BA$5,0))+INDEX('Tables - Part 2'!$AX$17:$BA$24,MATCH(SCC_Polythionic_Acid!$V15,'Tables - Part 2'!$AV$6:$AV$13,0),MATCH(SCC_Polythionic_Acid!$S15,'Tables - Part 2'!$AX$5:$BA$5,0)))/2)+INDEX('Tables - Part 2'!$AX$17:$BA$24,MATCH(SCC_Polythionic_Acid!$V15,'Tables - Part 2'!$AV$6:$AV$13,0),MATCH(SCC_Polythionic_Acid!$S15,'Tables - Part 2'!$AX$5:$BA$5,0)))/2)+(INDEX('Tables - Part 2'!$AX$17:$BA$24,MATCH(SCC_Polythionic_Acid!$V15,'Tables - Part 2'!$AV$6:$AV$13,0),MATCH(SCC_Polythionic_Acid!$S15,'Tables - Part 2'!$AX$5:$BA$5,0))))/2,0)</f>
        <v>0</v>
      </c>
      <c r="AZ15" s="248">
        <f>IF($R15=$AZ$3,INDEX('Tables - Part 2'!$AX$17:$BA$24,MATCH(SCC_Polythionic_Acid!$V15,'Tables - Part 2'!$AV$6:$AV$13,0),MATCH(SCC_Polythionic_Acid!$S15,'Tables - Part 2'!$AX$5:$BA$5,0)),0)</f>
        <v>0</v>
      </c>
      <c r="BA15" s="248">
        <f>IF($R15=$BA$3,((INDEX('Tables - Part 2'!$AX$17:$BA$24,MATCH(SCC_Polythionic_Acid!$V15,'Tables - Part 2'!$AV$6:$AV$13,0),MATCH(SCC_Polythionic_Acid!$S15,'Tables - Part 2'!$AX$5:$BA$5,0)))+(((INDEX('Tables - Part 2'!$AX$17:$BA$24,MATCH(SCC_Polythionic_Acid!$V15,'Tables - Part 2'!$AV$6:$AV$13,0),MATCH(SCC_Polythionic_Acid!$S15,'Tables - Part 2'!$AX$5:$BA$5,0)))+(INDEX('Tables - Part 2'!$AX$17:$BA$24,MATCH(SCC_Polythionic_Acid!$V15,'Tables - Part 2'!$AV$6:$AV$13,0),MATCH(SCC_Polythionic_Acid!$S15,'Tables - Part 2'!$AX$5:$BA$5,0))+INDEX('Tables - Part 2'!$BB$17:$BE$24,MATCH(SCC_Polythionic_Acid!$V15,'Tables - Part 2'!$AV$6:$AV$13,0),MATCH(SCC_Polythionic_Acid!$S15,'Tables - Part 2'!$AX$5:$BA$5,0)))/2)/2))/2,0)</f>
        <v>0</v>
      </c>
      <c r="BB15" s="248">
        <f>IF($R15=$BB$3,((INDEX('Tables - Part 2'!$AX$17:$BA$24,MATCH(SCC_Polythionic_Acid!$V15,'Tables - Part 2'!$AV$6:$AV$13,0),MATCH(SCC_Polythionic_Acid!$S15,'Tables - Part 2'!$AX$5:$BA$5,0)))+(INDEX('Tables - Part 2'!$AX$17:$BA$24,MATCH(SCC_Polythionic_Acid!$V15,'Tables - Part 2'!$AV$6:$AV$13,0),MATCH(SCC_Polythionic_Acid!$S15,'Tables - Part 2'!$AX$5:$BA$5,0))+INDEX('Tables - Part 2'!$BB$17:$BE$24,MATCH(SCC_Polythionic_Acid!$V15,'Tables - Part 2'!$AV$6:$AV$13,0),MATCH(SCC_Polythionic_Acid!$S15,'Tables - Part 2'!$AX$5:$BA$5,0)))/2)/2,0)</f>
        <v>0</v>
      </c>
      <c r="BC15" s="248">
        <f>IF($R15=$BC$3,((((INDEX('Tables - Part 2'!$AX$17:$BA$24,MATCH(SCC_Polythionic_Acid!$V15,'Tables - Part 2'!$AV$6:$AV$13,0),MATCH(SCC_Polythionic_Acid!$S15,'Tables - Part 2'!$AX$5:$BA$5,0)))+(INDEX('Tables - Part 2'!$AX$17:$BA$24,MATCH(SCC_Polythionic_Acid!$V15,'Tables - Part 2'!$AV$6:$AV$13,0),MATCH(SCC_Polythionic_Acid!$S15,'Tables - Part 2'!$AX$5:$BA$5,0))+INDEX('Tables - Part 2'!$BB$17:$BE$24,MATCH(SCC_Polythionic_Acid!$V15,'Tables - Part 2'!$AV$6:$AV$13,0),MATCH(SCC_Polythionic_Acid!$S15,'Tables - Part 2'!$AX$5:$BA$5,0)))/2)/2)+((INDEX('Tables - Part 2'!$AX$17:$BA$24,MATCH(SCC_Polythionic_Acid!$V15,'Tables - Part 2'!$AV$6:$AV$13,0),MATCH(SCC_Polythionic_Acid!$S15,'Tables - Part 2'!$AX$5:$BA$5,0))+INDEX('Tables - Part 2'!$BB$17:$BE$24,MATCH(SCC_Polythionic_Acid!$V15,'Tables - Part 2'!$AV$6:$AV$13,0),MATCH(SCC_Polythionic_Acid!$S15,'Tables - Part 2'!$AX$5:$BA$5,0)))/2))/2,0)</f>
        <v>0</v>
      </c>
      <c r="BD15" s="248">
        <f>IF($R15=$BD$3,(INDEX('Tables - Part 2'!$AX$17:$BA$24,MATCH(SCC_Polythionic_Acid!$V15,'Tables - Part 2'!$AV$6:$AV$13,0),MATCH(SCC_Polythionic_Acid!$S15,'Tables - Part 2'!$AX$5:$BA$5,0))+INDEX('Tables - Part 2'!$BB$17:$BE$24,MATCH(SCC_Polythionic_Acid!$V15,'Tables - Part 2'!$AV$6:$AV$13,0),MATCH(SCC_Polythionic_Acid!$S15,'Tables - Part 2'!$AX$5:$BA$5,0)))/2,0)</f>
        <v>0</v>
      </c>
      <c r="BE15" s="248">
        <f>IF($R15=$BE$3,(((INDEX('Tables - Part 2'!$AX$17:$BA$24,MATCH(SCC_Polythionic_Acid!$V15,'Tables - Part 2'!$AV$6:$AV$13,0),MATCH(SCC_Polythionic_Acid!$S15,'Tables - Part 2'!$AX$5:$BA$5,0))+INDEX('Tables - Part 2'!$BB$17:$BE$24,MATCH(SCC_Polythionic_Acid!$V15,'Tables - Part 2'!$AV$6:$AV$13,0),MATCH(SCC_Polythionic_Acid!$S15,'Tables - Part 2'!$AX$5:$BA$5,0)))/2)+((((INDEX('Tables - Part 2'!$AX$17:$BA$24,MATCH(SCC_Polythionic_Acid!$V15,'Tables - Part 2'!$AV$6:$AV$13,0),MATCH(SCC_Polythionic_Acid!$S15,'Tables - Part 2'!$AX$5:$BA$5,0))+INDEX('Tables - Part 2'!$BB$17:$BE$24,MATCH(SCC_Polythionic_Acid!$V15,'Tables - Part 2'!$AV$6:$AV$13,0),MATCH(SCC_Polythionic_Acid!$S15,'Tables - Part 2'!$AX$5:$BA$5,0)))/2)+INDEX('Tables - Part 2'!$BB$17:$BE$24,MATCH(SCC_Polythionic_Acid!$V15,'Tables - Part 2'!$AV$6:$AV$13,0),MATCH(SCC_Polythionic_Acid!$S15,'Tables - Part 2'!$AX$5:$BA$5,0)))/2))/2,0)</f>
        <v>0</v>
      </c>
      <c r="BF15" s="248">
        <f>IF($R15=$BF$3,(((INDEX('Tables - Part 2'!$AX$17:$BA$24,MATCH(SCC_Polythionic_Acid!$V15,'Tables - Part 2'!$AV$6:$AV$13,0),MATCH(SCC_Polythionic_Acid!$S15,'Tables - Part 2'!$AX$5:$BA$5,0))+INDEX('Tables - Part 2'!$BB$17:$BE$24,MATCH(SCC_Polythionic_Acid!$V15,'Tables - Part 2'!$AV$6:$AV$13,0),MATCH(SCC_Polythionic_Acid!$S15,'Tables - Part 2'!$AX$5:$BA$5,0)))/2)+INDEX('Tables - Part 2'!$BB$17:$BE$24,MATCH(SCC_Polythionic_Acid!$V15,'Tables - Part 2'!$AV$6:$AV$13,0),MATCH(SCC_Polythionic_Acid!$S15,'Tables - Part 2'!$AX$5:$BA$5,0)))/2,0)</f>
        <v>0</v>
      </c>
      <c r="BG15" s="248">
        <f>IF($R15=$BG$3,(((((INDEX('Tables - Part 2'!$AX$17:$BA$24,MATCH(SCC_Polythionic_Acid!$V15,'Tables - Part 2'!$AV$6:$AV$13,0),MATCH(SCC_Polythionic_Acid!$S15,'Tables - Part 2'!$AX$5:$BA$5,0))+INDEX('Tables - Part 2'!$BB$17:$BE$24,MATCH(SCC_Polythionic_Acid!$V15,'Tables - Part 2'!$AV$6:$AV$13,0),MATCH(SCC_Polythionic_Acid!$S15,'Tables - Part 2'!$AX$5:$BA$5,0)))/2)+INDEX('Tables - Part 2'!$BB$17:$BE$24,MATCH(SCC_Polythionic_Acid!$V15,'Tables - Part 2'!$AV$6:$AV$13,0),MATCH(SCC_Polythionic_Acid!$S15,'Tables - Part 2'!$AX$5:$BA$5,0)))/2)+(INDEX('Tables - Part 2'!$BB$17:$BE$24,MATCH(SCC_Polythionic_Acid!$V15,'Tables - Part 2'!$AV$6:$AV$13,0),MATCH(SCC_Polythionic_Acid!$S15,'Tables - Part 2'!$AX$5:$BA$5,0))))/2,0)</f>
        <v>0</v>
      </c>
      <c r="BH15" s="248">
        <f>IF($R15=$BH$3,INDEX('Tables - Part 2'!$BB$17:$BE$24,MATCH(SCC_Polythionic_Acid!$V15,'Tables - Part 2'!$AV$6:$AV$13,0),MATCH(SCC_Polythionic_Acid!$S15,'Tables - Part 2'!$AX$5:$BA$5,0)),0)</f>
        <v>0</v>
      </c>
      <c r="BI15" s="248">
        <f>IF($R15=$BI$3,((INDEX('Tables - Part 2'!$BB$17:$BE$24,MATCH(SCC_Polythionic_Acid!$V15,'Tables - Part 2'!$AV$6:$AV$13,0),MATCH(SCC_Polythionic_Acid!$S15,'Tables - Part 2'!$AX$5:$BA$5,0)))+(((INDEX('Tables - Part 2'!$BB$17:$BE$24,MATCH(SCC_Polythionic_Acid!$V15,'Tables - Part 2'!$AV$6:$AV$13,0),MATCH(SCC_Polythionic_Acid!$S15,'Tables - Part 2'!$AX$5:$BA$5,0)))+(INDEX('Tables - Part 2'!$BB$17:$BE$24,MATCH(SCC_Polythionic_Acid!$V15,'Tables - Part 2'!$AV$6:$AV$13,0),MATCH(SCC_Polythionic_Acid!$S15,'Tables - Part 2'!$AX$5:$BA$5,0))+INDEX('Tables - Part 2'!$BF$17:$BI$24,MATCH(SCC_Polythionic_Acid!$V15,'Tables - Part 2'!$AV$6:$AV$13,0),MATCH(SCC_Polythionic_Acid!$S15,'Tables - Part 2'!$AX$5:$BA$5,0)))/2)/2))/2,0)</f>
        <v>0</v>
      </c>
      <c r="BJ15" s="248">
        <f>IF($R15=$BJ$3,((INDEX('Tables - Part 2'!$BB$17:$BE$24,MATCH(SCC_Polythionic_Acid!$V15,'Tables - Part 2'!$AV$6:$AV$13,0),MATCH(SCC_Polythionic_Acid!$S15,'Tables - Part 2'!$AX$5:$BA$5,0)))+(INDEX('Tables - Part 2'!$BB$17:$BE$24,MATCH(SCC_Polythionic_Acid!$V15,'Tables - Part 2'!$AV$6:$AV$13,0),MATCH(SCC_Polythionic_Acid!$S15,'Tables - Part 2'!$AX$5:$BA$5,0))+INDEX('Tables - Part 2'!$BF$17:$BI$24,MATCH(SCC_Polythionic_Acid!$V15,'Tables - Part 2'!$AV$6:$AV$13,0),MATCH(SCC_Polythionic_Acid!$S15,'Tables - Part 2'!$AX$5:$BA$5,0)))/2)/2,0)</f>
        <v>0</v>
      </c>
      <c r="BK15" s="248">
        <f>IF($R15=$BK$3,((((INDEX('Tables - Part 2'!$BB$17:$BE$24,MATCH(SCC_Polythionic_Acid!$V15,'Tables - Part 2'!$AV$6:$AV$13,0),MATCH(SCC_Polythionic_Acid!$S15,'Tables - Part 2'!$AX$5:$BA$5,0)))+(INDEX('Tables - Part 2'!$BB$17:$BE$24,MATCH(SCC_Polythionic_Acid!$V15,'Tables - Part 2'!$AV$6:$AV$13,0),MATCH(SCC_Polythionic_Acid!$S15,'Tables - Part 2'!$AX$5:$BA$5,0))+INDEX('Tables - Part 2'!$BF$17:$BI$24,MATCH(SCC_Polythionic_Acid!$V15,'Tables - Part 2'!$AV$6:$AV$13,0),MATCH(SCC_Polythionic_Acid!$S15,'Tables - Part 2'!$AX$5:$BA$5,0)))/2)/2)+((INDEX('Tables - Part 2'!$BB$17:$BE$24,MATCH(SCC_Polythionic_Acid!$V15,'Tables - Part 2'!$AV$6:$AV$13,0),MATCH(SCC_Polythionic_Acid!$S15,'Tables - Part 2'!$AX$5:$BA$5,0))+INDEX('Tables - Part 2'!$BF$17:$BI$24,MATCH(SCC_Polythionic_Acid!$V15,'Tables - Part 2'!$AV$6:$AV$13,0),MATCH(SCC_Polythionic_Acid!$S15,'Tables - Part 2'!$AX$5:$BA$5,0)))/2))/2,0)</f>
        <v>0</v>
      </c>
      <c r="BL15" s="248">
        <f>IF($R15=$BL$3,(INDEX('Tables - Part 2'!$BB$17:$BE$24,MATCH(SCC_Polythionic_Acid!$V15,'Tables - Part 2'!$AV$6:$AV$13,0),MATCH(SCC_Polythionic_Acid!$S15,'Tables - Part 2'!$AX$5:$BA$5,0))+INDEX('Tables - Part 2'!$BF$17:$BI$24,MATCH(SCC_Polythionic_Acid!$V15,'Tables - Part 2'!$AV$6:$AV$13,0),MATCH(SCC_Polythionic_Acid!$S15,'Tables - Part 2'!$AX$5:$BA$5,0)))/2,0)</f>
        <v>0</v>
      </c>
      <c r="BM15" s="248">
        <f>IF($R15=$BM$3,(((INDEX('Tables - Part 2'!$BB$17:$BE$24,MATCH(SCC_Polythionic_Acid!$V15,'Tables - Part 2'!$AV$6:$AV$13,0),MATCH(SCC_Polythionic_Acid!$S15,'Tables - Part 2'!$AX$5:$BA$5,0))+INDEX('Tables - Part 2'!$BF$17:$BI$24,MATCH(SCC_Polythionic_Acid!$V15,'Tables - Part 2'!$AV$6:$AV$13,0),MATCH(SCC_Polythionic_Acid!$S15,'Tables - Part 2'!$AX$5:$BA$5,0)))/2)+((((INDEX('Tables - Part 2'!$BB$17:$BE$24,MATCH(SCC_Polythionic_Acid!$V15,'Tables - Part 2'!$AV$6:$AV$13,0),MATCH(SCC_Polythionic_Acid!$S15,'Tables - Part 2'!$AX$5:$BA$5,0))+INDEX('Tables - Part 2'!$BF$17:$BI$24,MATCH(SCC_Polythionic_Acid!$V15,'Tables - Part 2'!$AV$6:$AV$13,0),MATCH(SCC_Polythionic_Acid!$S15,'Tables - Part 2'!$AX$5:$BA$5,0)))/2)+INDEX('Tables - Part 2'!$BF$17:$BI$24,MATCH(SCC_Polythionic_Acid!$V15,'Tables - Part 2'!$AV$6:$AV$13,0),MATCH(SCC_Polythionic_Acid!$S15,'Tables - Part 2'!$AX$5:$BA$5,0)))/2))/2,0)</f>
        <v>0</v>
      </c>
      <c r="BN15" s="248">
        <f>IF($R15=$BN$3,(((INDEX('Tables - Part 2'!$BB$17:$BE$24,MATCH(SCC_Polythionic_Acid!$V15,'Tables - Part 2'!$AV$6:$AV$13,0),MATCH(SCC_Polythionic_Acid!$S15,'Tables - Part 2'!$AX$5:$BA$5,0))+INDEX('Tables - Part 2'!$BF$17:$BI$24,MATCH(SCC_Polythionic_Acid!$V15,'Tables - Part 2'!$AV$6:$AV$13,0),MATCH(SCC_Polythionic_Acid!$S15,'Tables - Part 2'!$AX$5:$BA$5,0)))/2)+INDEX('Tables - Part 2'!$BF$17:$BI$24,MATCH(SCC_Polythionic_Acid!$V15,'Tables - Part 2'!$AV$6:$AV$13,0),MATCH(SCC_Polythionic_Acid!$S15,'Tables - Part 2'!$AX$5:$BA$5,0)))/2,0)</f>
        <v>0</v>
      </c>
      <c r="BO15" s="248">
        <f>IF($R15=$BO$3,(((((INDEX('Tables - Part 2'!$BB$17:$BE$24,MATCH(SCC_Polythionic_Acid!$V15,'Tables - Part 2'!$AV$6:$AV$13,0),MATCH(SCC_Polythionic_Acid!$S15,'Tables - Part 2'!$AX$5:$BA$5,0))+INDEX('Tables - Part 2'!$BF$17:$BI$24,MATCH(SCC_Polythionic_Acid!$V15,'Tables - Part 2'!$AV$6:$AV$13,0),MATCH(SCC_Polythionic_Acid!$S15,'Tables - Part 2'!$AX$5:$BA$5,0)))/2)+INDEX('Tables - Part 2'!$BF$17:$BI$24,MATCH(SCC_Polythionic_Acid!$V15,'Tables - Part 2'!$AV$6:$AV$13,0),MATCH(SCC_Polythionic_Acid!$S15,'Tables - Part 2'!$AX$5:$BA$5,0)))/2)+(INDEX('Tables - Part 2'!$BF$17:$BI$24,MATCH(SCC_Polythionic_Acid!$V15,'Tables - Part 2'!$AV$6:$AV$13,0),MATCH(SCC_Polythionic_Acid!$S15,'Tables - Part 2'!$AX$5:$BA$5,0))))/2,0)</f>
        <v>0</v>
      </c>
      <c r="BP15" s="248">
        <f>IF($R15=$BP$3,INDEX('Tables - Part 2'!$BF$17:$BI$24,MATCH(SCC_Polythionic_Acid!$V15,'Tables - Part 2'!$AV$6:$AV$13,0),MATCH(SCC_Polythionic_Acid!$S15,'Tables - Part 2'!$AX$5:$BA$5,0)),0)</f>
        <v>0</v>
      </c>
      <c r="BQ15" s="248">
        <f t="shared" si="5"/>
        <v>0</v>
      </c>
      <c r="BR15" s="238">
        <f t="shared" si="8"/>
        <v>165</v>
      </c>
      <c r="BS15" s="238">
        <f t="shared" si="9"/>
        <v>2767.5256072873844</v>
      </c>
    </row>
    <row r="16" spans="2:84" x14ac:dyDescent="0.35">
      <c r="B16" s="161" t="str">
        <f>'Tratamento de Dados'!B24</f>
        <v>V-6</v>
      </c>
      <c r="C16" s="161" t="str">
        <f>'Tratamento de Dados'!D24</f>
        <v>Casco</v>
      </c>
      <c r="D16" s="209" t="s">
        <v>244</v>
      </c>
      <c r="E16" s="209" t="s">
        <v>244</v>
      </c>
      <c r="F16" s="209" t="s">
        <v>244</v>
      </c>
      <c r="G16" s="209" t="s">
        <v>244</v>
      </c>
      <c r="H16" s="209" t="s">
        <v>1145</v>
      </c>
      <c r="I16" s="247">
        <f>'Tratamento de Dados'!S24</f>
        <v>2</v>
      </c>
      <c r="J16" s="209" t="s">
        <v>1146</v>
      </c>
      <c r="K16" s="210">
        <v>39092</v>
      </c>
      <c r="L16" s="209">
        <v>0</v>
      </c>
      <c r="M16" s="209">
        <v>1</v>
      </c>
      <c r="N16" s="209">
        <v>1</v>
      </c>
      <c r="O16" s="209">
        <v>4</v>
      </c>
      <c r="P16" s="253">
        <f>'Tratamento de Dados'!DA24</f>
        <v>0</v>
      </c>
      <c r="Q16" s="253">
        <f>'Tratamento de Dados'!DB24</f>
        <v>0</v>
      </c>
      <c r="R16" s="256">
        <f t="shared" si="0"/>
        <v>2.5</v>
      </c>
      <c r="S16" s="246" t="str">
        <f t="shared" si="1"/>
        <v>B</v>
      </c>
      <c r="T16" s="238" t="str">
        <f>IF(D16=$BX$2,$BV$5,IF(F16=$BX$3,$BV$2,INDEX(IF(I16&lt;427,'Tables - Part 2'!$DH$6:$DJ$10,'Tables - Part 2'!$DH$14:$DJ$18),MATCH(SCC_Polythionic_Acid!H16,'Tables - Part 2'!$DG$6:$DG$10,0),MATCH(J16,'Tables - Part 2'!$DH$5:$DJ$5,0))))</f>
        <v>High</v>
      </c>
      <c r="U16" s="238" t="str">
        <f t="shared" si="6"/>
        <v>High</v>
      </c>
      <c r="V16" s="238">
        <f>IF(AND(D16=$BX$2,E16&lt;&gt;$BX$2),"Fitness-For-Service",INDEX('Tables - Part 2'!$DM$4:$DM$7,MATCH(SCC_Polythionic_Acid!U16,'Tables - Part 2'!$DL$4:$DL$7,0),))</f>
        <v>5000</v>
      </c>
      <c r="W16" s="238">
        <f>IF(K16=0,(Thinning!G17-Thinning!F17)/365.25,(Thinning!G17-K16)/365.25)</f>
        <v>12.980150581793293</v>
      </c>
      <c r="X16" s="248">
        <f t="shared" si="2"/>
        <v>0</v>
      </c>
      <c r="Y16" s="248">
        <f t="shared" si="3"/>
        <v>2.5</v>
      </c>
      <c r="Z16" s="247">
        <f t="shared" si="7"/>
        <v>3</v>
      </c>
      <c r="AA16" s="247">
        <f t="shared" si="4"/>
        <v>4</v>
      </c>
      <c r="AB16" s="248">
        <f>IF($R16=$AB$3,INDEX('Tables - Part 2'!$AX$6:$BA$13,MATCH(SCC_Polythionic_Acid!V16,'Tables - Part 2'!$AV$6:$AV$13,0),MATCH(SCC_Polythionic_Acid!S16,'Tables - Part 2'!$AX$5:$BA$5,0)),0)</f>
        <v>0</v>
      </c>
      <c r="AC16" s="248">
        <f>IF($R16=$AC$3,(INDEX('Tables - Part 2'!$AX$6:$BA$13,MATCH(SCC_Polythionic_Acid!V16,'Tables - Part 2'!$AV$6:$AV$13,0),MATCH(SCC_Polythionic_Acid!S16,'Tables - Part 2'!$AX$5:$BA$5,0))+(INDEX('Tables - Part 2'!$AX$6:$BA$13,MATCH(SCC_Polythionic_Acid!V16,'Tables - Part 2'!$AV$6:$AV$13,0),MATCH(SCC_Polythionic_Acid!S16,'Tables - Part 2'!$AX$5:$BA$5,0))+((INDEX('Tables - Part 2'!$AX$6:$BA$13,MATCH(SCC_Polythionic_Acid!V16,'Tables - Part 2'!$AV$6:$AV$13,0),MATCH(SCC_Polythionic_Acid!S16,'Tables - Part 2'!$AX$5:$BA$5,0))+INDEX('Tables - Part 2'!$BB$6:$BE$13,MATCH(SCC_Polythionic_Acid!$V16,'Tables - Part 2'!$AV$6:$AV$13,0),MATCH(SCC_Polythionic_Acid!$S16,'Tables - Part 2'!$AX$5:$BA$5,0)))/2))/2)/2,0)</f>
        <v>0</v>
      </c>
      <c r="AD16" s="248">
        <f>IF($R16=$AD$3,(INDEX('Tables - Part 2'!$AX$6:$BA$13,MATCH(SCC_Polythionic_Acid!V16,'Tables - Part 2'!$AV$6:$AV$13,0),MATCH(SCC_Polythionic_Acid!S16,'Tables - Part 2'!$AX$5:$BA$5,0))+((INDEX('Tables - Part 2'!$AX$6:$BA$13,MATCH(SCC_Polythionic_Acid!V16,'Tables - Part 2'!$AV$6:$AV$13,0),MATCH(SCC_Polythionic_Acid!S16,'Tables - Part 2'!$AX$5:$BA$5,0))+INDEX('Tables - Part 2'!$BB$6:$BE$13,MATCH(SCC_Polythionic_Acid!$V16,'Tables - Part 2'!$AV$6:$AV$13,0),MATCH(SCC_Polythionic_Acid!$S16,'Tables - Part 2'!$AX$5:$BA$5,0)))/2))/2,0)</f>
        <v>0</v>
      </c>
      <c r="AE16" s="248">
        <f>IF($R16=$AE$3,(((INDEX('Tables - Part 2'!$AX$6:$BA$13,MATCH(SCC_Polythionic_Acid!V16,'Tables - Part 2'!$AV$6:$AV$13,0),MATCH(SCC_Polythionic_Acid!S16,'Tables - Part 2'!$AX$5:$BA$5,0))+((INDEX('Tables - Part 2'!$AX$6:$BA$13,MATCH(SCC_Polythionic_Acid!V16,'Tables - Part 2'!$AV$6:$AV$13,0),MATCH(SCC_Polythionic_Acid!S16,'Tables - Part 2'!$AX$5:$BA$5,0))+INDEX('Tables - Part 2'!$BB$6:$BE$13,MATCH(SCC_Polythionic_Acid!$V16,'Tables - Part 2'!$AV$6:$AV$13,0),MATCH(SCC_Polythionic_Acid!$S16,'Tables - Part 2'!$AX$5:$BA$5,0)))/2))/2)+(INDEX('Tables - Part 2'!$AX$6:$BA$13,MATCH(SCC_Polythionic_Acid!V16,'Tables - Part 2'!$AV$6:$AV$13,0),MATCH(SCC_Polythionic_Acid!S16,'Tables - Part 2'!$AX$5:$BA$5,0))+INDEX('Tables - Part 2'!$BB$6:$BE$13,MATCH(SCC_Polythionic_Acid!$V16,'Tables - Part 2'!$AV$6:$AV$13,0),MATCH(SCC_Polythionic_Acid!$S16,'Tables - Part 2'!$AX$5:$BA$5,0)))/2)/2,0)</f>
        <v>0</v>
      </c>
      <c r="AF16" s="248">
        <f>IF($R16=$AF$3,(INDEX('Tables - Part 2'!$AX$6:$BA$13,MATCH(SCC_Polythionic_Acid!V16,'Tables - Part 2'!$AV$6:$AV$13,0),MATCH(SCC_Polythionic_Acid!S16,'Tables - Part 2'!$AX$5:$BA$5,0))+INDEX('Tables - Part 2'!$BB$6:$BE$13,MATCH(SCC_Polythionic_Acid!$V16,'Tables - Part 2'!$AV$6:$AV$13,0),MATCH(SCC_Polythionic_Acid!$S16,'Tables - Part 2'!$AX$5:$BA$5,0)))/2,0)</f>
        <v>0</v>
      </c>
      <c r="AG16" s="248">
        <f>IF($R16=$AG$3,(((INDEX('Tables - Part 2'!$AX$6:$BA$13,MATCH(SCC_Polythionic_Acid!V16,'Tables - Part 2'!$AV$6:$AV$13,0),MATCH(SCC_Polythionic_Acid!S16,'Tables - Part 2'!$AX$5:$BA$5,0))+INDEX('Tables - Part 2'!$BB$6:$BE$13,MATCH(SCC_Polythionic_Acid!$V16,'Tables - Part 2'!$AV$6:$AV$13,0),MATCH(SCC_Polythionic_Acid!$S16,'Tables - Part 2'!$AX$5:$BA$5,0)))/2)+(((INDEX('Tables - Part 2'!$AX$6:$BA$13,MATCH(SCC_Polythionic_Acid!V16,'Tables - Part 2'!$AV$6:$AV$13,0),MATCH(SCC_Polythionic_Acid!S16,'Tables - Part 2'!$AX$5:$BA$5,0))+INDEX('Tables - Part 2'!$BB$6:$BE$13,MATCH(SCC_Polythionic_Acid!$V16,'Tables - Part 2'!$AV$6:$AV$13,0),MATCH(SCC_Polythionic_Acid!$S16,'Tables - Part 2'!$AX$5:$BA$5,0)))/2)+INDEX('Tables - Part 2'!$BB$6:$BE$13,MATCH(SCC_Polythionic_Acid!$V16,'Tables - Part 2'!$AV$6:$AV$13,0),MATCH(SCC_Polythionic_Acid!$S16,'Tables - Part 2'!$AX$5:$BA$5,0)))/2)/2,0)</f>
        <v>0</v>
      </c>
      <c r="AH16" s="248">
        <f>IF($R16=$AH$3,(((INDEX('Tables - Part 2'!$AX$6:$BA$13,MATCH(SCC_Polythionic_Acid!V16,'Tables - Part 2'!$AV$6:$AV$13,0),MATCH(SCC_Polythionic_Acid!S16,'Tables - Part 2'!$AX$5:$BA$5,0))+INDEX('Tables - Part 2'!$BB$6:$BE$13,MATCH(SCC_Polythionic_Acid!$V16,'Tables - Part 2'!$AV$6:$AV$13,0),MATCH(SCC_Polythionic_Acid!$S16,'Tables - Part 2'!$AX$5:$BA$5,0)))/2)+INDEX('Tables - Part 2'!$BB$6:$BE$13,MATCH(SCC_Polythionic_Acid!$V16,'Tables - Part 2'!$AV$6:$AV$13,0),MATCH(SCC_Polythionic_Acid!$S16,'Tables - Part 2'!$AX$5:$BA$5,0)))/2,0)</f>
        <v>0</v>
      </c>
      <c r="AI16" s="248">
        <f>IF($R16=$AI$3,(((((INDEX('Tables - Part 2'!$AX$6:$BA$13,MATCH(SCC_Polythionic_Acid!V16,'Tables - Part 2'!$AV$6:$AV$13,0),MATCH(SCC_Polythionic_Acid!S16,'Tables - Part 2'!$AX$5:$BA$5,0))+INDEX('Tables - Part 2'!$BB$6:$BE$13,MATCH(SCC_Polythionic_Acid!$V16,'Tables - Part 2'!$AV$6:$AV$13,0),MATCH(SCC_Polythionic_Acid!$S16,'Tables - Part 2'!$AX$5:$BA$5,0)))/2)+INDEX('Tables - Part 2'!$BB$6:$BE$13,MATCH(SCC_Polythionic_Acid!$V16,'Tables - Part 2'!$AV$6:$AV$13,0),MATCH(SCC_Polythionic_Acid!$S16,'Tables - Part 2'!$AX$5:$BA$5,0)))/2)+INDEX('Tables - Part 2'!$BB$6:$BE$13,MATCH(SCC_Polythionic_Acid!$V16,'Tables - Part 2'!$AV$6:$AV$13,0),MATCH(SCC_Polythionic_Acid!$S16,'Tables - Part 2'!$AX$5:$BA$5,0)))/2,0)</f>
        <v>0</v>
      </c>
      <c r="AJ16" s="248">
        <f>IF($R16=$AJ$3,INDEX('Tables - Part 2'!$BB$6:$BE$13,MATCH(SCC_Polythionic_Acid!$V16,'Tables - Part 2'!$AV$6:$AV$13,0),MATCH(SCC_Polythionic_Acid!$S16,'Tables - Part 2'!$AX$5:$BA$5,0)),0)</f>
        <v>0</v>
      </c>
      <c r="AK16" s="248">
        <f>IF($R16=$AK$3,((INDEX('Tables - Part 2'!$BB$6:$BE$13,MATCH(SCC_Polythionic_Acid!$V16,'Tables - Part 2'!$AV$6:$AV$13,0),MATCH(SCC_Polythionic_Acid!$S16,'Tables - Part 2'!$AX$5:$BA$5,0)))+(INDEX('Tables - Part 2'!$BB$6:$BE$13,MATCH(SCC_Polythionic_Acid!$V16,'Tables - Part 2'!$AV$6:$AV$13,0),MATCH(SCC_Polythionic_Acid!$S16,'Tables - Part 2'!$AX$5:$BA$5,0))+(INDEX('Tables - Part 2'!$BB$6:$BE$13,MATCH(SCC_Polythionic_Acid!$V16,'Tables - Part 2'!$AV$6:$AV$13,0),MATCH(SCC_Polythionic_Acid!$S16,'Tables - Part 2'!$AX$5:$BA$5,0))+INDEX('Tables - Part 2'!$BF$6:$BI$13,MATCH(SCC_Polythionic_Acid!$V16,'Tables - Part 2'!$AV$6:$AV$13,0),MATCH(SCC_Polythionic_Acid!$S16,'Tables - Part 2'!$AX$5:$BA$5,0)))/2)/2)/2,0)</f>
        <v>0</v>
      </c>
      <c r="AL16" s="248">
        <f>IF($R16=$AL$3,(INDEX('Tables - Part 2'!$BB$6:$BE$13,MATCH(SCC_Polythionic_Acid!$V16,'Tables - Part 2'!$AV$6:$AV$13,0),MATCH(SCC_Polythionic_Acid!$S16,'Tables - Part 2'!$AX$5:$BA$5,0))+(INDEX('Tables - Part 2'!$BB$6:$BE$13,MATCH(SCC_Polythionic_Acid!$V16,'Tables - Part 2'!$AV$6:$AV$13,0),MATCH(SCC_Polythionic_Acid!$S16,'Tables - Part 2'!$AX$5:$BA$5,0))+INDEX('Tables - Part 2'!$BF$6:$BI$13,MATCH(SCC_Polythionic_Acid!$V16,'Tables - Part 2'!$AV$6:$AV$13,0),MATCH(SCC_Polythionic_Acid!$S16,'Tables - Part 2'!$AX$5:$BA$5,0)))/2)/2,0)</f>
        <v>0</v>
      </c>
      <c r="AM16" s="248">
        <f>IF($R16=$AM$3,(((INDEX('Tables - Part 2'!$BB$6:$BE$13,MATCH(SCC_Polythionic_Acid!$V16,'Tables - Part 2'!$AV$6:$AV$13,0),MATCH(SCC_Polythionic_Acid!$S16,'Tables - Part 2'!$AX$5:$BA$5,0))+(INDEX('Tables - Part 2'!$BB$6:$BE$13,MATCH(SCC_Polythionic_Acid!$V16,'Tables - Part 2'!$AV$6:$AV$13,0),MATCH(SCC_Polythionic_Acid!$S16,'Tables - Part 2'!$AX$5:$BA$5,0))+INDEX('Tables - Part 2'!$BF$6:$BI$13,MATCH(SCC_Polythionic_Acid!$V16,'Tables - Part 2'!$AV$6:$AV$13,0),MATCH(SCC_Polythionic_Acid!$S16,'Tables - Part 2'!$AX$5:$BA$5,0)))/2)/2)+((INDEX('Tables - Part 2'!$BB$6:$BE$13,MATCH(SCC_Polythionic_Acid!$V16,'Tables - Part 2'!$AV$6:$AV$13,0),MATCH(SCC_Polythionic_Acid!$S16,'Tables - Part 2'!$AX$5:$BA$5,0))+INDEX('Tables - Part 2'!$BF$6:$BI$13,MATCH(SCC_Polythionic_Acid!$V16,'Tables - Part 2'!$AV$6:$AV$13,0),MATCH(SCC_Polythionic_Acid!$S16,'Tables - Part 2'!$AX$5:$BA$5,0)))/2))/2,0)</f>
        <v>0</v>
      </c>
      <c r="AN16" s="248">
        <f>IF($R16=$AN$3,(INDEX('Tables - Part 2'!$BB$6:$BE$13,MATCH(SCC_Polythionic_Acid!$V16,'Tables - Part 2'!$AV$6:$AV$13,0),MATCH(SCC_Polythionic_Acid!$S16,'Tables - Part 2'!$AX$5:$BA$5,0))+INDEX('Tables - Part 2'!$BF$6:$BI$13,MATCH(SCC_Polythionic_Acid!$V16,'Tables - Part 2'!$AV$6:$AV$13,0),MATCH(SCC_Polythionic_Acid!$S16,'Tables - Part 2'!$AX$5:$BA$5,0)))/2,0)</f>
        <v>165</v>
      </c>
      <c r="AO16" s="248">
        <f>IF($R16=$AO$3,(((INDEX('Tables - Part 2'!$BB$6:$BE$13,MATCH(SCC_Polythionic_Acid!$V16,'Tables - Part 2'!$AV$6:$AV$13,0),MATCH(SCC_Polythionic_Acid!$S16,'Tables - Part 2'!$AX$5:$BA$5,0))+INDEX('Tables - Part 2'!$BF$6:$BI$13,MATCH(SCC_Polythionic_Acid!$V16,'Tables - Part 2'!$AV$6:$AV$13,0),MATCH(SCC_Polythionic_Acid!$S16,'Tables - Part 2'!$AX$5:$BA$5,0)))/2)+((((INDEX('Tables - Part 2'!$BB$6:$BE$13,MATCH(SCC_Polythionic_Acid!$V16,'Tables - Part 2'!$AV$6:$AV$13,0),MATCH(SCC_Polythionic_Acid!$S16,'Tables - Part 2'!$AX$5:$BA$5,0))+INDEX('Tables - Part 2'!$BF$6:$BI$13,MATCH(SCC_Polythionic_Acid!$V16,'Tables - Part 2'!$AV$6:$AV$13,0),MATCH(SCC_Polythionic_Acid!$S16,'Tables - Part 2'!$AX$5:$BA$5,0)))/2)+INDEX('Tables - Part 2'!$BF$6:$BI$13,MATCH(SCC_Polythionic_Acid!$V16,'Tables - Part 2'!$AV$6:$AV$13,0),MATCH(SCC_Polythionic_Acid!$S16,'Tables - Part 2'!$AX$5:$BA$5,0)))/2))/2,0)</f>
        <v>0</v>
      </c>
      <c r="AP16" s="248">
        <f>IF($R16=$AP$3,(((INDEX('Tables - Part 2'!$BB$6:$BE$13,MATCH(SCC_Polythionic_Acid!$V16,'Tables - Part 2'!$AV$6:$AV$13,0),MATCH(SCC_Polythionic_Acid!$S16,'Tables - Part 2'!$AX$5:$BA$5,0))+INDEX('Tables - Part 2'!$BF$6:$BI$13,MATCH(SCC_Polythionic_Acid!$V16,'Tables - Part 2'!$AV$6:$AV$13,0),MATCH(SCC_Polythionic_Acid!$S16,'Tables - Part 2'!$AX$5:$BA$5,0)))/2)+INDEX('Tables - Part 2'!$BF$6:$BI$13,MATCH(SCC_Polythionic_Acid!$V16,'Tables - Part 2'!$AV$6:$AV$13,0),MATCH(SCC_Polythionic_Acid!$S16,'Tables - Part 2'!$AX$5:$BA$5,0)))/2,0)</f>
        <v>0</v>
      </c>
      <c r="AQ16" s="248">
        <f>IF($R16=$AQ$3,(((((INDEX('Tables - Part 2'!$BB$6:$BE$13,MATCH(SCC_Polythionic_Acid!$V16,'Tables - Part 2'!$AV$6:$AV$13,0),MATCH(SCC_Polythionic_Acid!$S16,'Tables - Part 2'!$AX$5:$BA$5,0))+INDEX('Tables - Part 2'!$BF$6:$BI$13,MATCH(SCC_Polythionic_Acid!$V16,'Tables - Part 2'!$AV$6:$AV$13,0),MATCH(SCC_Polythionic_Acid!$S16,'Tables - Part 2'!$AX$5:$BA$5,0)))/2)+INDEX('Tables - Part 2'!$BF$6:$BI$13,MATCH(SCC_Polythionic_Acid!$V16,'Tables - Part 2'!$AV$6:$AV$13,0),MATCH(SCC_Polythionic_Acid!$S16,'Tables - Part 2'!$AX$5:$BA$5,0)))/2)+INDEX('Tables - Part 2'!$BF$6:$BI$13,MATCH(SCC_Polythionic_Acid!$V16,'Tables - Part 2'!$AV$6:$AV$13,0),MATCH(SCC_Polythionic_Acid!$S16,'Tables - Part 2'!$AX$5:$BA$5,0)))/2,0)</f>
        <v>0</v>
      </c>
      <c r="AR16" s="248">
        <f>IF($R16=$AR$3,INDEX('Tables - Part 2'!$BF$6:$BI$13,MATCH(SCC_Polythionic_Acid!$V16,'Tables - Part 2'!$AV$6:$AV$13,0),MATCH(SCC_Polythionic_Acid!$S16,'Tables - Part 2'!$AX$5:$BA$5,0)),0)</f>
        <v>0</v>
      </c>
      <c r="AS16" s="248">
        <f>IF($R16=$AS$3,(INDEX('Tables - Part 2'!$BF$6:$BI$13,MATCH(SCC_Polythionic_Acid!$V16,'Tables - Part 2'!$AV$6:$AV$13,0),MATCH(SCC_Polythionic_Acid!$S16,'Tables - Part 2'!$AX$5:$BA$5,0))+((INDEX('Tables - Part 2'!$BF$6:$BI$13,MATCH(SCC_Polythionic_Acid!$V16,'Tables - Part 2'!$AV$6:$AV$13,0),MATCH(SCC_Polythionic_Acid!$S16,'Tables - Part 2'!$AX$5:$BA$5,0))+(INDEX('Tables - Part 2'!$BF$6:$BI$13,MATCH(SCC_Polythionic_Acid!$V16,'Tables - Part 2'!$AV$6:$AV$13,0),MATCH(SCC_Polythionic_Acid!$S16,'Tables - Part 2'!$AX$5:$BA$5,0))+INDEX('Tables - Part 2'!$AX$17:$BA$24,MATCH(SCC_Polythionic_Acid!$V16,'Tables - Part 2'!$AV$6:$AV$13,0),MATCH(SCC_Polythionic_Acid!$S16,'Tables - Part 2'!$AX$5:$BA$5,0)))/2)/2))/2,0)</f>
        <v>0</v>
      </c>
      <c r="AT16" s="248">
        <f>IF($R16=$AT$3,(INDEX('Tables - Part 2'!$BF$6:$BI$13,MATCH(SCC_Polythionic_Acid!$V16,'Tables - Part 2'!$AV$6:$AV$13,0),MATCH(SCC_Polythionic_Acid!$S16,'Tables - Part 2'!$AX$5:$BA$5,0))+(INDEX('Tables - Part 2'!$BF$6:$BI$13,MATCH(SCC_Polythionic_Acid!$V16,'Tables - Part 2'!$AV$6:$AV$13,0),MATCH(SCC_Polythionic_Acid!$S16,'Tables - Part 2'!$AX$5:$BA$5,0))+INDEX('Tables - Part 2'!$AX$17:$BA$24,MATCH(SCC_Polythionic_Acid!$V16,'Tables - Part 2'!$AV$6:$AV$13,0),MATCH(SCC_Polythionic_Acid!$S16,'Tables - Part 2'!$AX$5:$BA$5,0)))/2)/2,0)</f>
        <v>0</v>
      </c>
      <c r="AU16" s="248">
        <f>IF($R16=$AU$3,(((INDEX('Tables - Part 2'!$BF$6:$BI$13,MATCH(SCC_Polythionic_Acid!$V16,'Tables - Part 2'!$AV$6:$AV$13,0),MATCH(SCC_Polythionic_Acid!$S16,'Tables - Part 2'!$AX$5:$BA$5,0))+(INDEX('Tables - Part 2'!$BF$6:$BI$13,MATCH(SCC_Polythionic_Acid!$V16,'Tables - Part 2'!$AV$6:$AV$13,0),MATCH(SCC_Polythionic_Acid!$S16,'Tables - Part 2'!$AX$5:$BA$5,0))+INDEX('Tables - Part 2'!$AX$17:$BA$24,MATCH(SCC_Polythionic_Acid!$V16,'Tables - Part 2'!$AV$6:$AV$13,0),MATCH(SCC_Polythionic_Acid!$S16,'Tables - Part 2'!$AX$5:$BA$5,0)))/2)/2)+((INDEX('Tables - Part 2'!$BF$6:$BI$13,MATCH(SCC_Polythionic_Acid!$V16,'Tables - Part 2'!$AV$6:$AV$13,0),MATCH(SCC_Polythionic_Acid!$S16,'Tables - Part 2'!$AX$5:$BA$5,0))+INDEX('Tables - Part 2'!$AX$17:$BA$24,MATCH(SCC_Polythionic_Acid!$V16,'Tables - Part 2'!$AV$6:$AV$13,0),MATCH(SCC_Polythionic_Acid!$S16,'Tables - Part 2'!$AX$5:$BA$5,0)))/2))/2,0)</f>
        <v>0</v>
      </c>
      <c r="AV16" s="248">
        <f>IF($R16=$AV$3,(INDEX('Tables - Part 2'!$BF$6:$BI$13,MATCH(SCC_Polythionic_Acid!$V16,'Tables - Part 2'!$AV$6:$AV$13,0),MATCH(SCC_Polythionic_Acid!$S16,'Tables - Part 2'!$AX$5:$BA$5,0))+INDEX('Tables - Part 2'!$AX$17:$BA$24,MATCH(SCC_Polythionic_Acid!$V16,'Tables - Part 2'!$AV$6:$AV$13,0),MATCH(SCC_Polythionic_Acid!$S16,'Tables - Part 2'!$AX$5:$BA$5,0)))/2,0)</f>
        <v>0</v>
      </c>
      <c r="AW16" s="248">
        <f>IF($R16=$AW$3,(((INDEX('Tables - Part 2'!$BF$6:$BI$13,MATCH(SCC_Polythionic_Acid!$V16,'Tables - Part 2'!$AV$6:$AV$13,0),MATCH(SCC_Polythionic_Acid!$S16,'Tables - Part 2'!$AX$5:$BA$5,0))+INDEX('Tables - Part 2'!$AX$17:$BA$24,MATCH(SCC_Polythionic_Acid!$V16,'Tables - Part 2'!$AV$6:$AV$13,0),MATCH(SCC_Polythionic_Acid!$S16,'Tables - Part 2'!$AX$5:$BA$5,0)))/2)+((((INDEX('Tables - Part 2'!$BF$6:$BI$13,MATCH(SCC_Polythionic_Acid!$V16,'Tables - Part 2'!$AV$6:$AV$13,0),MATCH(SCC_Polythionic_Acid!$S16,'Tables - Part 2'!$AX$5:$BA$5,0))+INDEX('Tables - Part 2'!$AX$17:$BA$24,MATCH(SCC_Polythionic_Acid!$V16,'Tables - Part 2'!$AV$6:$AV$13,0),MATCH(SCC_Polythionic_Acid!$S16,'Tables - Part 2'!$AX$5:$BA$5,0)))/2)+INDEX('Tables - Part 2'!$AX$17:$BA$24,MATCH(SCC_Polythionic_Acid!$V16,'Tables - Part 2'!$AV$6:$AV$13,0),MATCH(SCC_Polythionic_Acid!$S16,'Tables - Part 2'!$AX$5:$BA$5,0)))/2))/2,0)</f>
        <v>0</v>
      </c>
      <c r="AX16" s="248">
        <f>IF($R16=$AX$3,(((INDEX('Tables - Part 2'!$BF$6:$BI$13,MATCH(SCC_Polythionic_Acid!$V16,'Tables - Part 2'!$AV$6:$AV$13,0),MATCH(SCC_Polythionic_Acid!$S16,'Tables - Part 2'!$AX$5:$BA$5,0))+INDEX('Tables - Part 2'!$AX$17:$BA$24,MATCH(SCC_Polythionic_Acid!$V16,'Tables - Part 2'!$AV$6:$AV$13,0),MATCH(SCC_Polythionic_Acid!$S16,'Tables - Part 2'!$AX$5:$BA$5,0)))/2)+INDEX('Tables - Part 2'!$AX$17:$BA$24,MATCH(SCC_Polythionic_Acid!$V16,'Tables - Part 2'!$AV$6:$AV$13,0),MATCH(SCC_Polythionic_Acid!$S16,'Tables - Part 2'!$AX$5:$BA$5,0)))/2,0)</f>
        <v>0</v>
      </c>
      <c r="AY16" s="248">
        <f>IF($R16=$AY$3,(((((INDEX('Tables - Part 2'!$BF$6:$BI$13,MATCH(SCC_Polythionic_Acid!$V16,'Tables - Part 2'!$AV$6:$AV$13,0),MATCH(SCC_Polythionic_Acid!$S16,'Tables - Part 2'!$AX$5:$BA$5,0))+INDEX('Tables - Part 2'!$AX$17:$BA$24,MATCH(SCC_Polythionic_Acid!$V16,'Tables - Part 2'!$AV$6:$AV$13,0),MATCH(SCC_Polythionic_Acid!$S16,'Tables - Part 2'!$AX$5:$BA$5,0)))/2)+INDEX('Tables - Part 2'!$AX$17:$BA$24,MATCH(SCC_Polythionic_Acid!$V16,'Tables - Part 2'!$AV$6:$AV$13,0),MATCH(SCC_Polythionic_Acid!$S16,'Tables - Part 2'!$AX$5:$BA$5,0)))/2)+(INDEX('Tables - Part 2'!$AX$17:$BA$24,MATCH(SCC_Polythionic_Acid!$V16,'Tables - Part 2'!$AV$6:$AV$13,0),MATCH(SCC_Polythionic_Acid!$S16,'Tables - Part 2'!$AX$5:$BA$5,0))))/2,0)</f>
        <v>0</v>
      </c>
      <c r="AZ16" s="248">
        <f>IF($R16=$AZ$3,INDEX('Tables - Part 2'!$AX$17:$BA$24,MATCH(SCC_Polythionic_Acid!$V16,'Tables - Part 2'!$AV$6:$AV$13,0),MATCH(SCC_Polythionic_Acid!$S16,'Tables - Part 2'!$AX$5:$BA$5,0)),0)</f>
        <v>0</v>
      </c>
      <c r="BA16" s="248">
        <f>IF($R16=$BA$3,((INDEX('Tables - Part 2'!$AX$17:$BA$24,MATCH(SCC_Polythionic_Acid!$V16,'Tables - Part 2'!$AV$6:$AV$13,0),MATCH(SCC_Polythionic_Acid!$S16,'Tables - Part 2'!$AX$5:$BA$5,0)))+(((INDEX('Tables - Part 2'!$AX$17:$BA$24,MATCH(SCC_Polythionic_Acid!$V16,'Tables - Part 2'!$AV$6:$AV$13,0),MATCH(SCC_Polythionic_Acid!$S16,'Tables - Part 2'!$AX$5:$BA$5,0)))+(INDEX('Tables - Part 2'!$AX$17:$BA$24,MATCH(SCC_Polythionic_Acid!$V16,'Tables - Part 2'!$AV$6:$AV$13,0),MATCH(SCC_Polythionic_Acid!$S16,'Tables - Part 2'!$AX$5:$BA$5,0))+INDEX('Tables - Part 2'!$BB$17:$BE$24,MATCH(SCC_Polythionic_Acid!$V16,'Tables - Part 2'!$AV$6:$AV$13,0),MATCH(SCC_Polythionic_Acid!$S16,'Tables - Part 2'!$AX$5:$BA$5,0)))/2)/2))/2,0)</f>
        <v>0</v>
      </c>
      <c r="BB16" s="248">
        <f>IF($R16=$BB$3,((INDEX('Tables - Part 2'!$AX$17:$BA$24,MATCH(SCC_Polythionic_Acid!$V16,'Tables - Part 2'!$AV$6:$AV$13,0),MATCH(SCC_Polythionic_Acid!$S16,'Tables - Part 2'!$AX$5:$BA$5,0)))+(INDEX('Tables - Part 2'!$AX$17:$BA$24,MATCH(SCC_Polythionic_Acid!$V16,'Tables - Part 2'!$AV$6:$AV$13,0),MATCH(SCC_Polythionic_Acid!$S16,'Tables - Part 2'!$AX$5:$BA$5,0))+INDEX('Tables - Part 2'!$BB$17:$BE$24,MATCH(SCC_Polythionic_Acid!$V16,'Tables - Part 2'!$AV$6:$AV$13,0),MATCH(SCC_Polythionic_Acid!$S16,'Tables - Part 2'!$AX$5:$BA$5,0)))/2)/2,0)</f>
        <v>0</v>
      </c>
      <c r="BC16" s="248">
        <f>IF($R16=$BC$3,((((INDEX('Tables - Part 2'!$AX$17:$BA$24,MATCH(SCC_Polythionic_Acid!$V16,'Tables - Part 2'!$AV$6:$AV$13,0),MATCH(SCC_Polythionic_Acid!$S16,'Tables - Part 2'!$AX$5:$BA$5,0)))+(INDEX('Tables - Part 2'!$AX$17:$BA$24,MATCH(SCC_Polythionic_Acid!$V16,'Tables - Part 2'!$AV$6:$AV$13,0),MATCH(SCC_Polythionic_Acid!$S16,'Tables - Part 2'!$AX$5:$BA$5,0))+INDEX('Tables - Part 2'!$BB$17:$BE$24,MATCH(SCC_Polythionic_Acid!$V16,'Tables - Part 2'!$AV$6:$AV$13,0),MATCH(SCC_Polythionic_Acid!$S16,'Tables - Part 2'!$AX$5:$BA$5,0)))/2)/2)+((INDEX('Tables - Part 2'!$AX$17:$BA$24,MATCH(SCC_Polythionic_Acid!$V16,'Tables - Part 2'!$AV$6:$AV$13,0),MATCH(SCC_Polythionic_Acid!$S16,'Tables - Part 2'!$AX$5:$BA$5,0))+INDEX('Tables - Part 2'!$BB$17:$BE$24,MATCH(SCC_Polythionic_Acid!$V16,'Tables - Part 2'!$AV$6:$AV$13,0),MATCH(SCC_Polythionic_Acid!$S16,'Tables - Part 2'!$AX$5:$BA$5,0)))/2))/2,0)</f>
        <v>0</v>
      </c>
      <c r="BD16" s="248">
        <f>IF($R16=$BD$3,(INDEX('Tables - Part 2'!$AX$17:$BA$24,MATCH(SCC_Polythionic_Acid!$V16,'Tables - Part 2'!$AV$6:$AV$13,0),MATCH(SCC_Polythionic_Acid!$S16,'Tables - Part 2'!$AX$5:$BA$5,0))+INDEX('Tables - Part 2'!$BB$17:$BE$24,MATCH(SCC_Polythionic_Acid!$V16,'Tables - Part 2'!$AV$6:$AV$13,0),MATCH(SCC_Polythionic_Acid!$S16,'Tables - Part 2'!$AX$5:$BA$5,0)))/2,0)</f>
        <v>0</v>
      </c>
      <c r="BE16" s="248">
        <f>IF($R16=$BE$3,(((INDEX('Tables - Part 2'!$AX$17:$BA$24,MATCH(SCC_Polythionic_Acid!$V16,'Tables - Part 2'!$AV$6:$AV$13,0),MATCH(SCC_Polythionic_Acid!$S16,'Tables - Part 2'!$AX$5:$BA$5,0))+INDEX('Tables - Part 2'!$BB$17:$BE$24,MATCH(SCC_Polythionic_Acid!$V16,'Tables - Part 2'!$AV$6:$AV$13,0),MATCH(SCC_Polythionic_Acid!$S16,'Tables - Part 2'!$AX$5:$BA$5,0)))/2)+((((INDEX('Tables - Part 2'!$AX$17:$BA$24,MATCH(SCC_Polythionic_Acid!$V16,'Tables - Part 2'!$AV$6:$AV$13,0),MATCH(SCC_Polythionic_Acid!$S16,'Tables - Part 2'!$AX$5:$BA$5,0))+INDEX('Tables - Part 2'!$BB$17:$BE$24,MATCH(SCC_Polythionic_Acid!$V16,'Tables - Part 2'!$AV$6:$AV$13,0),MATCH(SCC_Polythionic_Acid!$S16,'Tables - Part 2'!$AX$5:$BA$5,0)))/2)+INDEX('Tables - Part 2'!$BB$17:$BE$24,MATCH(SCC_Polythionic_Acid!$V16,'Tables - Part 2'!$AV$6:$AV$13,0),MATCH(SCC_Polythionic_Acid!$S16,'Tables - Part 2'!$AX$5:$BA$5,0)))/2))/2,0)</f>
        <v>0</v>
      </c>
      <c r="BF16" s="248">
        <f>IF($R16=$BF$3,(((INDEX('Tables - Part 2'!$AX$17:$BA$24,MATCH(SCC_Polythionic_Acid!$V16,'Tables - Part 2'!$AV$6:$AV$13,0),MATCH(SCC_Polythionic_Acid!$S16,'Tables - Part 2'!$AX$5:$BA$5,0))+INDEX('Tables - Part 2'!$BB$17:$BE$24,MATCH(SCC_Polythionic_Acid!$V16,'Tables - Part 2'!$AV$6:$AV$13,0),MATCH(SCC_Polythionic_Acid!$S16,'Tables - Part 2'!$AX$5:$BA$5,0)))/2)+INDEX('Tables - Part 2'!$BB$17:$BE$24,MATCH(SCC_Polythionic_Acid!$V16,'Tables - Part 2'!$AV$6:$AV$13,0),MATCH(SCC_Polythionic_Acid!$S16,'Tables - Part 2'!$AX$5:$BA$5,0)))/2,0)</f>
        <v>0</v>
      </c>
      <c r="BG16" s="248">
        <f>IF($R16=$BG$3,(((((INDEX('Tables - Part 2'!$AX$17:$BA$24,MATCH(SCC_Polythionic_Acid!$V16,'Tables - Part 2'!$AV$6:$AV$13,0),MATCH(SCC_Polythionic_Acid!$S16,'Tables - Part 2'!$AX$5:$BA$5,0))+INDEX('Tables - Part 2'!$BB$17:$BE$24,MATCH(SCC_Polythionic_Acid!$V16,'Tables - Part 2'!$AV$6:$AV$13,0),MATCH(SCC_Polythionic_Acid!$S16,'Tables - Part 2'!$AX$5:$BA$5,0)))/2)+INDEX('Tables - Part 2'!$BB$17:$BE$24,MATCH(SCC_Polythionic_Acid!$V16,'Tables - Part 2'!$AV$6:$AV$13,0),MATCH(SCC_Polythionic_Acid!$S16,'Tables - Part 2'!$AX$5:$BA$5,0)))/2)+(INDEX('Tables - Part 2'!$BB$17:$BE$24,MATCH(SCC_Polythionic_Acid!$V16,'Tables - Part 2'!$AV$6:$AV$13,0),MATCH(SCC_Polythionic_Acid!$S16,'Tables - Part 2'!$AX$5:$BA$5,0))))/2,0)</f>
        <v>0</v>
      </c>
      <c r="BH16" s="248">
        <f>IF($R16=$BH$3,INDEX('Tables - Part 2'!$BB$17:$BE$24,MATCH(SCC_Polythionic_Acid!$V16,'Tables - Part 2'!$AV$6:$AV$13,0),MATCH(SCC_Polythionic_Acid!$S16,'Tables - Part 2'!$AX$5:$BA$5,0)),0)</f>
        <v>0</v>
      </c>
      <c r="BI16" s="248">
        <f>IF($R16=$BI$3,((INDEX('Tables - Part 2'!$BB$17:$BE$24,MATCH(SCC_Polythionic_Acid!$V16,'Tables - Part 2'!$AV$6:$AV$13,0),MATCH(SCC_Polythionic_Acid!$S16,'Tables - Part 2'!$AX$5:$BA$5,0)))+(((INDEX('Tables - Part 2'!$BB$17:$BE$24,MATCH(SCC_Polythionic_Acid!$V16,'Tables - Part 2'!$AV$6:$AV$13,0),MATCH(SCC_Polythionic_Acid!$S16,'Tables - Part 2'!$AX$5:$BA$5,0)))+(INDEX('Tables - Part 2'!$BB$17:$BE$24,MATCH(SCC_Polythionic_Acid!$V16,'Tables - Part 2'!$AV$6:$AV$13,0),MATCH(SCC_Polythionic_Acid!$S16,'Tables - Part 2'!$AX$5:$BA$5,0))+INDEX('Tables - Part 2'!$BF$17:$BI$24,MATCH(SCC_Polythionic_Acid!$V16,'Tables - Part 2'!$AV$6:$AV$13,0),MATCH(SCC_Polythionic_Acid!$S16,'Tables - Part 2'!$AX$5:$BA$5,0)))/2)/2))/2,0)</f>
        <v>0</v>
      </c>
      <c r="BJ16" s="248">
        <f>IF($R16=$BJ$3,((INDEX('Tables - Part 2'!$BB$17:$BE$24,MATCH(SCC_Polythionic_Acid!$V16,'Tables - Part 2'!$AV$6:$AV$13,0),MATCH(SCC_Polythionic_Acid!$S16,'Tables - Part 2'!$AX$5:$BA$5,0)))+(INDEX('Tables - Part 2'!$BB$17:$BE$24,MATCH(SCC_Polythionic_Acid!$V16,'Tables - Part 2'!$AV$6:$AV$13,0),MATCH(SCC_Polythionic_Acid!$S16,'Tables - Part 2'!$AX$5:$BA$5,0))+INDEX('Tables - Part 2'!$BF$17:$BI$24,MATCH(SCC_Polythionic_Acid!$V16,'Tables - Part 2'!$AV$6:$AV$13,0),MATCH(SCC_Polythionic_Acid!$S16,'Tables - Part 2'!$AX$5:$BA$5,0)))/2)/2,0)</f>
        <v>0</v>
      </c>
      <c r="BK16" s="248">
        <f>IF($R16=$BK$3,((((INDEX('Tables - Part 2'!$BB$17:$BE$24,MATCH(SCC_Polythionic_Acid!$V16,'Tables - Part 2'!$AV$6:$AV$13,0),MATCH(SCC_Polythionic_Acid!$S16,'Tables - Part 2'!$AX$5:$BA$5,0)))+(INDEX('Tables - Part 2'!$BB$17:$BE$24,MATCH(SCC_Polythionic_Acid!$V16,'Tables - Part 2'!$AV$6:$AV$13,0),MATCH(SCC_Polythionic_Acid!$S16,'Tables - Part 2'!$AX$5:$BA$5,0))+INDEX('Tables - Part 2'!$BF$17:$BI$24,MATCH(SCC_Polythionic_Acid!$V16,'Tables - Part 2'!$AV$6:$AV$13,0),MATCH(SCC_Polythionic_Acid!$S16,'Tables - Part 2'!$AX$5:$BA$5,0)))/2)/2)+((INDEX('Tables - Part 2'!$BB$17:$BE$24,MATCH(SCC_Polythionic_Acid!$V16,'Tables - Part 2'!$AV$6:$AV$13,0),MATCH(SCC_Polythionic_Acid!$S16,'Tables - Part 2'!$AX$5:$BA$5,0))+INDEX('Tables - Part 2'!$BF$17:$BI$24,MATCH(SCC_Polythionic_Acid!$V16,'Tables - Part 2'!$AV$6:$AV$13,0),MATCH(SCC_Polythionic_Acid!$S16,'Tables - Part 2'!$AX$5:$BA$5,0)))/2))/2,0)</f>
        <v>0</v>
      </c>
      <c r="BL16" s="248">
        <f>IF($R16=$BL$3,(INDEX('Tables - Part 2'!$BB$17:$BE$24,MATCH(SCC_Polythionic_Acid!$V16,'Tables - Part 2'!$AV$6:$AV$13,0),MATCH(SCC_Polythionic_Acid!$S16,'Tables - Part 2'!$AX$5:$BA$5,0))+INDEX('Tables - Part 2'!$BF$17:$BI$24,MATCH(SCC_Polythionic_Acid!$V16,'Tables - Part 2'!$AV$6:$AV$13,0),MATCH(SCC_Polythionic_Acid!$S16,'Tables - Part 2'!$AX$5:$BA$5,0)))/2,0)</f>
        <v>0</v>
      </c>
      <c r="BM16" s="248">
        <f>IF($R16=$BM$3,(((INDEX('Tables - Part 2'!$BB$17:$BE$24,MATCH(SCC_Polythionic_Acid!$V16,'Tables - Part 2'!$AV$6:$AV$13,0),MATCH(SCC_Polythionic_Acid!$S16,'Tables - Part 2'!$AX$5:$BA$5,0))+INDEX('Tables - Part 2'!$BF$17:$BI$24,MATCH(SCC_Polythionic_Acid!$V16,'Tables - Part 2'!$AV$6:$AV$13,0),MATCH(SCC_Polythionic_Acid!$S16,'Tables - Part 2'!$AX$5:$BA$5,0)))/2)+((((INDEX('Tables - Part 2'!$BB$17:$BE$24,MATCH(SCC_Polythionic_Acid!$V16,'Tables - Part 2'!$AV$6:$AV$13,0),MATCH(SCC_Polythionic_Acid!$S16,'Tables - Part 2'!$AX$5:$BA$5,0))+INDEX('Tables - Part 2'!$BF$17:$BI$24,MATCH(SCC_Polythionic_Acid!$V16,'Tables - Part 2'!$AV$6:$AV$13,0),MATCH(SCC_Polythionic_Acid!$S16,'Tables - Part 2'!$AX$5:$BA$5,0)))/2)+INDEX('Tables - Part 2'!$BF$17:$BI$24,MATCH(SCC_Polythionic_Acid!$V16,'Tables - Part 2'!$AV$6:$AV$13,0),MATCH(SCC_Polythionic_Acid!$S16,'Tables - Part 2'!$AX$5:$BA$5,0)))/2))/2,0)</f>
        <v>0</v>
      </c>
      <c r="BN16" s="248">
        <f>IF($R16=$BN$3,(((INDEX('Tables - Part 2'!$BB$17:$BE$24,MATCH(SCC_Polythionic_Acid!$V16,'Tables - Part 2'!$AV$6:$AV$13,0),MATCH(SCC_Polythionic_Acid!$S16,'Tables - Part 2'!$AX$5:$BA$5,0))+INDEX('Tables - Part 2'!$BF$17:$BI$24,MATCH(SCC_Polythionic_Acid!$V16,'Tables - Part 2'!$AV$6:$AV$13,0),MATCH(SCC_Polythionic_Acid!$S16,'Tables - Part 2'!$AX$5:$BA$5,0)))/2)+INDEX('Tables - Part 2'!$BF$17:$BI$24,MATCH(SCC_Polythionic_Acid!$V16,'Tables - Part 2'!$AV$6:$AV$13,0),MATCH(SCC_Polythionic_Acid!$S16,'Tables - Part 2'!$AX$5:$BA$5,0)))/2,0)</f>
        <v>0</v>
      </c>
      <c r="BO16" s="248">
        <f>IF($R16=$BO$3,(((((INDEX('Tables - Part 2'!$BB$17:$BE$24,MATCH(SCC_Polythionic_Acid!$V16,'Tables - Part 2'!$AV$6:$AV$13,0),MATCH(SCC_Polythionic_Acid!$S16,'Tables - Part 2'!$AX$5:$BA$5,0))+INDEX('Tables - Part 2'!$BF$17:$BI$24,MATCH(SCC_Polythionic_Acid!$V16,'Tables - Part 2'!$AV$6:$AV$13,0),MATCH(SCC_Polythionic_Acid!$S16,'Tables - Part 2'!$AX$5:$BA$5,0)))/2)+INDEX('Tables - Part 2'!$BF$17:$BI$24,MATCH(SCC_Polythionic_Acid!$V16,'Tables - Part 2'!$AV$6:$AV$13,0),MATCH(SCC_Polythionic_Acid!$S16,'Tables - Part 2'!$AX$5:$BA$5,0)))/2)+(INDEX('Tables - Part 2'!$BF$17:$BI$24,MATCH(SCC_Polythionic_Acid!$V16,'Tables - Part 2'!$AV$6:$AV$13,0),MATCH(SCC_Polythionic_Acid!$S16,'Tables - Part 2'!$AX$5:$BA$5,0))))/2,0)</f>
        <v>0</v>
      </c>
      <c r="BP16" s="248">
        <f>IF($R16=$BP$3,INDEX('Tables - Part 2'!$BF$17:$BI$24,MATCH(SCC_Polythionic_Acid!$V16,'Tables - Part 2'!$AV$6:$AV$13,0),MATCH(SCC_Polythionic_Acid!$S16,'Tables - Part 2'!$AX$5:$BA$5,0)),0)</f>
        <v>0</v>
      </c>
      <c r="BQ16" s="248">
        <f t="shared" si="5"/>
        <v>0</v>
      </c>
      <c r="BR16" s="238">
        <f t="shared" si="8"/>
        <v>165</v>
      </c>
      <c r="BS16" s="238">
        <f t="shared" si="9"/>
        <v>2767.5256072873844</v>
      </c>
    </row>
    <row r="17" spans="2:71" x14ac:dyDescent="0.35">
      <c r="B17" s="161" t="str">
        <f>'Tratamento de Dados'!B25</f>
        <v>V-7</v>
      </c>
      <c r="C17" s="161" t="str">
        <f>'Tratamento de Dados'!D25</f>
        <v>Casco</v>
      </c>
      <c r="D17" s="209" t="s">
        <v>244</v>
      </c>
      <c r="E17" s="209" t="s">
        <v>244</v>
      </c>
      <c r="F17" s="209" t="s">
        <v>244</v>
      </c>
      <c r="G17" s="209" t="s">
        <v>244</v>
      </c>
      <c r="H17" s="209" t="s">
        <v>1145</v>
      </c>
      <c r="I17" s="247">
        <f>'Tratamento de Dados'!S25</f>
        <v>2</v>
      </c>
      <c r="J17" s="209" t="s">
        <v>1146</v>
      </c>
      <c r="K17" s="210">
        <v>39092</v>
      </c>
      <c r="L17" s="209">
        <v>0</v>
      </c>
      <c r="M17" s="209">
        <v>1</v>
      </c>
      <c r="N17" s="209">
        <v>1</v>
      </c>
      <c r="O17" s="209">
        <v>4</v>
      </c>
      <c r="P17" s="253">
        <f>'Tratamento de Dados'!DA25</f>
        <v>0</v>
      </c>
      <c r="Q17" s="253">
        <f>'Tratamento de Dados'!DB25</f>
        <v>0</v>
      </c>
      <c r="R17" s="256">
        <f t="shared" si="0"/>
        <v>2.5</v>
      </c>
      <c r="S17" s="246" t="str">
        <f t="shared" si="1"/>
        <v>B</v>
      </c>
      <c r="T17" s="238" t="str">
        <f>IF(D17=$BX$2,$BV$5,IF(F17=$BX$3,$BV$2,INDEX(IF(I17&lt;427,'Tables - Part 2'!$DH$6:$DJ$10,'Tables - Part 2'!$DH$14:$DJ$18),MATCH(SCC_Polythionic_Acid!H17,'Tables - Part 2'!$DG$6:$DG$10,0),MATCH(J17,'Tables - Part 2'!$DH$5:$DJ$5,0))))</f>
        <v>High</v>
      </c>
      <c r="U17" s="238" t="str">
        <f t="shared" si="6"/>
        <v>High</v>
      </c>
      <c r="V17" s="238">
        <f>IF(AND(D17=$BX$2,E17&lt;&gt;$BX$2),"Fitness-For-Service",INDEX('Tables - Part 2'!$DM$4:$DM$7,MATCH(SCC_Polythionic_Acid!U17,'Tables - Part 2'!$DL$4:$DL$7,0),))</f>
        <v>5000</v>
      </c>
      <c r="W17" s="238">
        <f>IF(K17=0,(Thinning!G18-Thinning!F18)/365.25,(Thinning!G18-K17)/365.25)</f>
        <v>12.980150581793293</v>
      </c>
      <c r="X17" s="248">
        <f t="shared" si="2"/>
        <v>0</v>
      </c>
      <c r="Y17" s="248">
        <f t="shared" si="3"/>
        <v>2.5</v>
      </c>
      <c r="Z17" s="247">
        <f t="shared" si="7"/>
        <v>3</v>
      </c>
      <c r="AA17" s="247">
        <f t="shared" si="4"/>
        <v>4</v>
      </c>
      <c r="AB17" s="248">
        <f>IF($R17=$AB$3,INDEX('Tables - Part 2'!$AX$6:$BA$13,MATCH(SCC_Polythionic_Acid!V17,'Tables - Part 2'!$AV$6:$AV$13,0),MATCH(SCC_Polythionic_Acid!S17,'Tables - Part 2'!$AX$5:$BA$5,0)),0)</f>
        <v>0</v>
      </c>
      <c r="AC17" s="248">
        <f>IF($R17=$AC$3,(INDEX('Tables - Part 2'!$AX$6:$BA$13,MATCH(SCC_Polythionic_Acid!V17,'Tables - Part 2'!$AV$6:$AV$13,0),MATCH(SCC_Polythionic_Acid!S17,'Tables - Part 2'!$AX$5:$BA$5,0))+(INDEX('Tables - Part 2'!$AX$6:$BA$13,MATCH(SCC_Polythionic_Acid!V17,'Tables - Part 2'!$AV$6:$AV$13,0),MATCH(SCC_Polythionic_Acid!S17,'Tables - Part 2'!$AX$5:$BA$5,0))+((INDEX('Tables - Part 2'!$AX$6:$BA$13,MATCH(SCC_Polythionic_Acid!V17,'Tables - Part 2'!$AV$6:$AV$13,0),MATCH(SCC_Polythionic_Acid!S17,'Tables - Part 2'!$AX$5:$BA$5,0))+INDEX('Tables - Part 2'!$BB$6:$BE$13,MATCH(SCC_Polythionic_Acid!$V17,'Tables - Part 2'!$AV$6:$AV$13,0),MATCH(SCC_Polythionic_Acid!$S17,'Tables - Part 2'!$AX$5:$BA$5,0)))/2))/2)/2,0)</f>
        <v>0</v>
      </c>
      <c r="AD17" s="248">
        <f>IF($R17=$AD$3,(INDEX('Tables - Part 2'!$AX$6:$BA$13,MATCH(SCC_Polythionic_Acid!V17,'Tables - Part 2'!$AV$6:$AV$13,0),MATCH(SCC_Polythionic_Acid!S17,'Tables - Part 2'!$AX$5:$BA$5,0))+((INDEX('Tables - Part 2'!$AX$6:$BA$13,MATCH(SCC_Polythionic_Acid!V17,'Tables - Part 2'!$AV$6:$AV$13,0),MATCH(SCC_Polythionic_Acid!S17,'Tables - Part 2'!$AX$5:$BA$5,0))+INDEX('Tables - Part 2'!$BB$6:$BE$13,MATCH(SCC_Polythionic_Acid!$V17,'Tables - Part 2'!$AV$6:$AV$13,0),MATCH(SCC_Polythionic_Acid!$S17,'Tables - Part 2'!$AX$5:$BA$5,0)))/2))/2,0)</f>
        <v>0</v>
      </c>
      <c r="AE17" s="248">
        <f>IF($R17=$AE$3,(((INDEX('Tables - Part 2'!$AX$6:$BA$13,MATCH(SCC_Polythionic_Acid!V17,'Tables - Part 2'!$AV$6:$AV$13,0),MATCH(SCC_Polythionic_Acid!S17,'Tables - Part 2'!$AX$5:$BA$5,0))+((INDEX('Tables - Part 2'!$AX$6:$BA$13,MATCH(SCC_Polythionic_Acid!V17,'Tables - Part 2'!$AV$6:$AV$13,0),MATCH(SCC_Polythionic_Acid!S17,'Tables - Part 2'!$AX$5:$BA$5,0))+INDEX('Tables - Part 2'!$BB$6:$BE$13,MATCH(SCC_Polythionic_Acid!$V17,'Tables - Part 2'!$AV$6:$AV$13,0),MATCH(SCC_Polythionic_Acid!$S17,'Tables - Part 2'!$AX$5:$BA$5,0)))/2))/2)+(INDEX('Tables - Part 2'!$AX$6:$BA$13,MATCH(SCC_Polythionic_Acid!V17,'Tables - Part 2'!$AV$6:$AV$13,0),MATCH(SCC_Polythionic_Acid!S17,'Tables - Part 2'!$AX$5:$BA$5,0))+INDEX('Tables - Part 2'!$BB$6:$BE$13,MATCH(SCC_Polythionic_Acid!$V17,'Tables - Part 2'!$AV$6:$AV$13,0),MATCH(SCC_Polythionic_Acid!$S17,'Tables - Part 2'!$AX$5:$BA$5,0)))/2)/2,0)</f>
        <v>0</v>
      </c>
      <c r="AF17" s="248">
        <f>IF($R17=$AF$3,(INDEX('Tables - Part 2'!$AX$6:$BA$13,MATCH(SCC_Polythionic_Acid!V17,'Tables - Part 2'!$AV$6:$AV$13,0),MATCH(SCC_Polythionic_Acid!S17,'Tables - Part 2'!$AX$5:$BA$5,0))+INDEX('Tables - Part 2'!$BB$6:$BE$13,MATCH(SCC_Polythionic_Acid!$V17,'Tables - Part 2'!$AV$6:$AV$13,0),MATCH(SCC_Polythionic_Acid!$S17,'Tables - Part 2'!$AX$5:$BA$5,0)))/2,0)</f>
        <v>0</v>
      </c>
      <c r="AG17" s="248">
        <f>IF($R17=$AG$3,(((INDEX('Tables - Part 2'!$AX$6:$BA$13,MATCH(SCC_Polythionic_Acid!V17,'Tables - Part 2'!$AV$6:$AV$13,0),MATCH(SCC_Polythionic_Acid!S17,'Tables - Part 2'!$AX$5:$BA$5,0))+INDEX('Tables - Part 2'!$BB$6:$BE$13,MATCH(SCC_Polythionic_Acid!$V17,'Tables - Part 2'!$AV$6:$AV$13,0),MATCH(SCC_Polythionic_Acid!$S17,'Tables - Part 2'!$AX$5:$BA$5,0)))/2)+(((INDEX('Tables - Part 2'!$AX$6:$BA$13,MATCH(SCC_Polythionic_Acid!V17,'Tables - Part 2'!$AV$6:$AV$13,0),MATCH(SCC_Polythionic_Acid!S17,'Tables - Part 2'!$AX$5:$BA$5,0))+INDEX('Tables - Part 2'!$BB$6:$BE$13,MATCH(SCC_Polythionic_Acid!$V17,'Tables - Part 2'!$AV$6:$AV$13,0),MATCH(SCC_Polythionic_Acid!$S17,'Tables - Part 2'!$AX$5:$BA$5,0)))/2)+INDEX('Tables - Part 2'!$BB$6:$BE$13,MATCH(SCC_Polythionic_Acid!$V17,'Tables - Part 2'!$AV$6:$AV$13,0),MATCH(SCC_Polythionic_Acid!$S17,'Tables - Part 2'!$AX$5:$BA$5,0)))/2)/2,0)</f>
        <v>0</v>
      </c>
      <c r="AH17" s="248">
        <f>IF($R17=$AH$3,(((INDEX('Tables - Part 2'!$AX$6:$BA$13,MATCH(SCC_Polythionic_Acid!V17,'Tables - Part 2'!$AV$6:$AV$13,0),MATCH(SCC_Polythionic_Acid!S17,'Tables - Part 2'!$AX$5:$BA$5,0))+INDEX('Tables - Part 2'!$BB$6:$BE$13,MATCH(SCC_Polythionic_Acid!$V17,'Tables - Part 2'!$AV$6:$AV$13,0),MATCH(SCC_Polythionic_Acid!$S17,'Tables - Part 2'!$AX$5:$BA$5,0)))/2)+INDEX('Tables - Part 2'!$BB$6:$BE$13,MATCH(SCC_Polythionic_Acid!$V17,'Tables - Part 2'!$AV$6:$AV$13,0),MATCH(SCC_Polythionic_Acid!$S17,'Tables - Part 2'!$AX$5:$BA$5,0)))/2,0)</f>
        <v>0</v>
      </c>
      <c r="AI17" s="248">
        <f>IF($R17=$AI$3,(((((INDEX('Tables - Part 2'!$AX$6:$BA$13,MATCH(SCC_Polythionic_Acid!V17,'Tables - Part 2'!$AV$6:$AV$13,0),MATCH(SCC_Polythionic_Acid!S17,'Tables - Part 2'!$AX$5:$BA$5,0))+INDEX('Tables - Part 2'!$BB$6:$BE$13,MATCH(SCC_Polythionic_Acid!$V17,'Tables - Part 2'!$AV$6:$AV$13,0),MATCH(SCC_Polythionic_Acid!$S17,'Tables - Part 2'!$AX$5:$BA$5,0)))/2)+INDEX('Tables - Part 2'!$BB$6:$BE$13,MATCH(SCC_Polythionic_Acid!$V17,'Tables - Part 2'!$AV$6:$AV$13,0),MATCH(SCC_Polythionic_Acid!$S17,'Tables - Part 2'!$AX$5:$BA$5,0)))/2)+INDEX('Tables - Part 2'!$BB$6:$BE$13,MATCH(SCC_Polythionic_Acid!$V17,'Tables - Part 2'!$AV$6:$AV$13,0),MATCH(SCC_Polythionic_Acid!$S17,'Tables - Part 2'!$AX$5:$BA$5,0)))/2,0)</f>
        <v>0</v>
      </c>
      <c r="AJ17" s="248">
        <f>IF($R17=$AJ$3,INDEX('Tables - Part 2'!$BB$6:$BE$13,MATCH(SCC_Polythionic_Acid!$V17,'Tables - Part 2'!$AV$6:$AV$13,0),MATCH(SCC_Polythionic_Acid!$S17,'Tables - Part 2'!$AX$5:$BA$5,0)),0)</f>
        <v>0</v>
      </c>
      <c r="AK17" s="248">
        <f>IF($R17=$AK$3,((INDEX('Tables - Part 2'!$BB$6:$BE$13,MATCH(SCC_Polythionic_Acid!$V17,'Tables - Part 2'!$AV$6:$AV$13,0),MATCH(SCC_Polythionic_Acid!$S17,'Tables - Part 2'!$AX$5:$BA$5,0)))+(INDEX('Tables - Part 2'!$BB$6:$BE$13,MATCH(SCC_Polythionic_Acid!$V17,'Tables - Part 2'!$AV$6:$AV$13,0),MATCH(SCC_Polythionic_Acid!$S17,'Tables - Part 2'!$AX$5:$BA$5,0))+(INDEX('Tables - Part 2'!$BB$6:$BE$13,MATCH(SCC_Polythionic_Acid!$V17,'Tables - Part 2'!$AV$6:$AV$13,0),MATCH(SCC_Polythionic_Acid!$S17,'Tables - Part 2'!$AX$5:$BA$5,0))+INDEX('Tables - Part 2'!$BF$6:$BI$13,MATCH(SCC_Polythionic_Acid!$V17,'Tables - Part 2'!$AV$6:$AV$13,0),MATCH(SCC_Polythionic_Acid!$S17,'Tables - Part 2'!$AX$5:$BA$5,0)))/2)/2)/2,0)</f>
        <v>0</v>
      </c>
      <c r="AL17" s="248">
        <f>IF($R17=$AL$3,(INDEX('Tables - Part 2'!$BB$6:$BE$13,MATCH(SCC_Polythionic_Acid!$V17,'Tables - Part 2'!$AV$6:$AV$13,0),MATCH(SCC_Polythionic_Acid!$S17,'Tables - Part 2'!$AX$5:$BA$5,0))+(INDEX('Tables - Part 2'!$BB$6:$BE$13,MATCH(SCC_Polythionic_Acid!$V17,'Tables - Part 2'!$AV$6:$AV$13,0),MATCH(SCC_Polythionic_Acid!$S17,'Tables - Part 2'!$AX$5:$BA$5,0))+INDEX('Tables - Part 2'!$BF$6:$BI$13,MATCH(SCC_Polythionic_Acid!$V17,'Tables - Part 2'!$AV$6:$AV$13,0),MATCH(SCC_Polythionic_Acid!$S17,'Tables - Part 2'!$AX$5:$BA$5,0)))/2)/2,0)</f>
        <v>0</v>
      </c>
      <c r="AM17" s="248">
        <f>IF($R17=$AM$3,(((INDEX('Tables - Part 2'!$BB$6:$BE$13,MATCH(SCC_Polythionic_Acid!$V17,'Tables - Part 2'!$AV$6:$AV$13,0),MATCH(SCC_Polythionic_Acid!$S17,'Tables - Part 2'!$AX$5:$BA$5,0))+(INDEX('Tables - Part 2'!$BB$6:$BE$13,MATCH(SCC_Polythionic_Acid!$V17,'Tables - Part 2'!$AV$6:$AV$13,0),MATCH(SCC_Polythionic_Acid!$S17,'Tables - Part 2'!$AX$5:$BA$5,0))+INDEX('Tables - Part 2'!$BF$6:$BI$13,MATCH(SCC_Polythionic_Acid!$V17,'Tables - Part 2'!$AV$6:$AV$13,0),MATCH(SCC_Polythionic_Acid!$S17,'Tables - Part 2'!$AX$5:$BA$5,0)))/2)/2)+((INDEX('Tables - Part 2'!$BB$6:$BE$13,MATCH(SCC_Polythionic_Acid!$V17,'Tables - Part 2'!$AV$6:$AV$13,0),MATCH(SCC_Polythionic_Acid!$S17,'Tables - Part 2'!$AX$5:$BA$5,0))+INDEX('Tables - Part 2'!$BF$6:$BI$13,MATCH(SCC_Polythionic_Acid!$V17,'Tables - Part 2'!$AV$6:$AV$13,0),MATCH(SCC_Polythionic_Acid!$S17,'Tables - Part 2'!$AX$5:$BA$5,0)))/2))/2,0)</f>
        <v>0</v>
      </c>
      <c r="AN17" s="248">
        <f>IF($R17=$AN$3,(INDEX('Tables - Part 2'!$BB$6:$BE$13,MATCH(SCC_Polythionic_Acid!$V17,'Tables - Part 2'!$AV$6:$AV$13,0),MATCH(SCC_Polythionic_Acid!$S17,'Tables - Part 2'!$AX$5:$BA$5,0))+INDEX('Tables - Part 2'!$BF$6:$BI$13,MATCH(SCC_Polythionic_Acid!$V17,'Tables - Part 2'!$AV$6:$AV$13,0),MATCH(SCC_Polythionic_Acid!$S17,'Tables - Part 2'!$AX$5:$BA$5,0)))/2,0)</f>
        <v>165</v>
      </c>
      <c r="AO17" s="248">
        <f>IF($R17=$AO$3,(((INDEX('Tables - Part 2'!$BB$6:$BE$13,MATCH(SCC_Polythionic_Acid!$V17,'Tables - Part 2'!$AV$6:$AV$13,0),MATCH(SCC_Polythionic_Acid!$S17,'Tables - Part 2'!$AX$5:$BA$5,0))+INDEX('Tables - Part 2'!$BF$6:$BI$13,MATCH(SCC_Polythionic_Acid!$V17,'Tables - Part 2'!$AV$6:$AV$13,0),MATCH(SCC_Polythionic_Acid!$S17,'Tables - Part 2'!$AX$5:$BA$5,0)))/2)+((((INDEX('Tables - Part 2'!$BB$6:$BE$13,MATCH(SCC_Polythionic_Acid!$V17,'Tables - Part 2'!$AV$6:$AV$13,0),MATCH(SCC_Polythionic_Acid!$S17,'Tables - Part 2'!$AX$5:$BA$5,0))+INDEX('Tables - Part 2'!$BF$6:$BI$13,MATCH(SCC_Polythionic_Acid!$V17,'Tables - Part 2'!$AV$6:$AV$13,0),MATCH(SCC_Polythionic_Acid!$S17,'Tables - Part 2'!$AX$5:$BA$5,0)))/2)+INDEX('Tables - Part 2'!$BF$6:$BI$13,MATCH(SCC_Polythionic_Acid!$V17,'Tables - Part 2'!$AV$6:$AV$13,0),MATCH(SCC_Polythionic_Acid!$S17,'Tables - Part 2'!$AX$5:$BA$5,0)))/2))/2,0)</f>
        <v>0</v>
      </c>
      <c r="AP17" s="248">
        <f>IF($R17=$AP$3,(((INDEX('Tables - Part 2'!$BB$6:$BE$13,MATCH(SCC_Polythionic_Acid!$V17,'Tables - Part 2'!$AV$6:$AV$13,0),MATCH(SCC_Polythionic_Acid!$S17,'Tables - Part 2'!$AX$5:$BA$5,0))+INDEX('Tables - Part 2'!$BF$6:$BI$13,MATCH(SCC_Polythionic_Acid!$V17,'Tables - Part 2'!$AV$6:$AV$13,0),MATCH(SCC_Polythionic_Acid!$S17,'Tables - Part 2'!$AX$5:$BA$5,0)))/2)+INDEX('Tables - Part 2'!$BF$6:$BI$13,MATCH(SCC_Polythionic_Acid!$V17,'Tables - Part 2'!$AV$6:$AV$13,0),MATCH(SCC_Polythionic_Acid!$S17,'Tables - Part 2'!$AX$5:$BA$5,0)))/2,0)</f>
        <v>0</v>
      </c>
      <c r="AQ17" s="248">
        <f>IF($R17=$AQ$3,(((((INDEX('Tables - Part 2'!$BB$6:$BE$13,MATCH(SCC_Polythionic_Acid!$V17,'Tables - Part 2'!$AV$6:$AV$13,0),MATCH(SCC_Polythionic_Acid!$S17,'Tables - Part 2'!$AX$5:$BA$5,0))+INDEX('Tables - Part 2'!$BF$6:$BI$13,MATCH(SCC_Polythionic_Acid!$V17,'Tables - Part 2'!$AV$6:$AV$13,0),MATCH(SCC_Polythionic_Acid!$S17,'Tables - Part 2'!$AX$5:$BA$5,0)))/2)+INDEX('Tables - Part 2'!$BF$6:$BI$13,MATCH(SCC_Polythionic_Acid!$V17,'Tables - Part 2'!$AV$6:$AV$13,0),MATCH(SCC_Polythionic_Acid!$S17,'Tables - Part 2'!$AX$5:$BA$5,0)))/2)+INDEX('Tables - Part 2'!$BF$6:$BI$13,MATCH(SCC_Polythionic_Acid!$V17,'Tables - Part 2'!$AV$6:$AV$13,0),MATCH(SCC_Polythionic_Acid!$S17,'Tables - Part 2'!$AX$5:$BA$5,0)))/2,0)</f>
        <v>0</v>
      </c>
      <c r="AR17" s="248">
        <f>IF($R17=$AR$3,INDEX('Tables - Part 2'!$BF$6:$BI$13,MATCH(SCC_Polythionic_Acid!$V17,'Tables - Part 2'!$AV$6:$AV$13,0),MATCH(SCC_Polythionic_Acid!$S17,'Tables - Part 2'!$AX$5:$BA$5,0)),0)</f>
        <v>0</v>
      </c>
      <c r="AS17" s="248">
        <f>IF($R17=$AS$3,(INDEX('Tables - Part 2'!$BF$6:$BI$13,MATCH(SCC_Polythionic_Acid!$V17,'Tables - Part 2'!$AV$6:$AV$13,0),MATCH(SCC_Polythionic_Acid!$S17,'Tables - Part 2'!$AX$5:$BA$5,0))+((INDEX('Tables - Part 2'!$BF$6:$BI$13,MATCH(SCC_Polythionic_Acid!$V17,'Tables - Part 2'!$AV$6:$AV$13,0),MATCH(SCC_Polythionic_Acid!$S17,'Tables - Part 2'!$AX$5:$BA$5,0))+(INDEX('Tables - Part 2'!$BF$6:$BI$13,MATCH(SCC_Polythionic_Acid!$V17,'Tables - Part 2'!$AV$6:$AV$13,0),MATCH(SCC_Polythionic_Acid!$S17,'Tables - Part 2'!$AX$5:$BA$5,0))+INDEX('Tables - Part 2'!$AX$17:$BA$24,MATCH(SCC_Polythionic_Acid!$V17,'Tables - Part 2'!$AV$6:$AV$13,0),MATCH(SCC_Polythionic_Acid!$S17,'Tables - Part 2'!$AX$5:$BA$5,0)))/2)/2))/2,0)</f>
        <v>0</v>
      </c>
      <c r="AT17" s="248">
        <f>IF($R17=$AT$3,(INDEX('Tables - Part 2'!$BF$6:$BI$13,MATCH(SCC_Polythionic_Acid!$V17,'Tables - Part 2'!$AV$6:$AV$13,0),MATCH(SCC_Polythionic_Acid!$S17,'Tables - Part 2'!$AX$5:$BA$5,0))+(INDEX('Tables - Part 2'!$BF$6:$BI$13,MATCH(SCC_Polythionic_Acid!$V17,'Tables - Part 2'!$AV$6:$AV$13,0),MATCH(SCC_Polythionic_Acid!$S17,'Tables - Part 2'!$AX$5:$BA$5,0))+INDEX('Tables - Part 2'!$AX$17:$BA$24,MATCH(SCC_Polythionic_Acid!$V17,'Tables - Part 2'!$AV$6:$AV$13,0),MATCH(SCC_Polythionic_Acid!$S17,'Tables - Part 2'!$AX$5:$BA$5,0)))/2)/2,0)</f>
        <v>0</v>
      </c>
      <c r="AU17" s="248">
        <f>IF($R17=$AU$3,(((INDEX('Tables - Part 2'!$BF$6:$BI$13,MATCH(SCC_Polythionic_Acid!$V17,'Tables - Part 2'!$AV$6:$AV$13,0),MATCH(SCC_Polythionic_Acid!$S17,'Tables - Part 2'!$AX$5:$BA$5,0))+(INDEX('Tables - Part 2'!$BF$6:$BI$13,MATCH(SCC_Polythionic_Acid!$V17,'Tables - Part 2'!$AV$6:$AV$13,0),MATCH(SCC_Polythionic_Acid!$S17,'Tables - Part 2'!$AX$5:$BA$5,0))+INDEX('Tables - Part 2'!$AX$17:$BA$24,MATCH(SCC_Polythionic_Acid!$V17,'Tables - Part 2'!$AV$6:$AV$13,0),MATCH(SCC_Polythionic_Acid!$S17,'Tables - Part 2'!$AX$5:$BA$5,0)))/2)/2)+((INDEX('Tables - Part 2'!$BF$6:$BI$13,MATCH(SCC_Polythionic_Acid!$V17,'Tables - Part 2'!$AV$6:$AV$13,0),MATCH(SCC_Polythionic_Acid!$S17,'Tables - Part 2'!$AX$5:$BA$5,0))+INDEX('Tables - Part 2'!$AX$17:$BA$24,MATCH(SCC_Polythionic_Acid!$V17,'Tables - Part 2'!$AV$6:$AV$13,0),MATCH(SCC_Polythionic_Acid!$S17,'Tables - Part 2'!$AX$5:$BA$5,0)))/2))/2,0)</f>
        <v>0</v>
      </c>
      <c r="AV17" s="248">
        <f>IF($R17=$AV$3,(INDEX('Tables - Part 2'!$BF$6:$BI$13,MATCH(SCC_Polythionic_Acid!$V17,'Tables - Part 2'!$AV$6:$AV$13,0),MATCH(SCC_Polythionic_Acid!$S17,'Tables - Part 2'!$AX$5:$BA$5,0))+INDEX('Tables - Part 2'!$AX$17:$BA$24,MATCH(SCC_Polythionic_Acid!$V17,'Tables - Part 2'!$AV$6:$AV$13,0),MATCH(SCC_Polythionic_Acid!$S17,'Tables - Part 2'!$AX$5:$BA$5,0)))/2,0)</f>
        <v>0</v>
      </c>
      <c r="AW17" s="248">
        <f>IF($R17=$AW$3,(((INDEX('Tables - Part 2'!$BF$6:$BI$13,MATCH(SCC_Polythionic_Acid!$V17,'Tables - Part 2'!$AV$6:$AV$13,0),MATCH(SCC_Polythionic_Acid!$S17,'Tables - Part 2'!$AX$5:$BA$5,0))+INDEX('Tables - Part 2'!$AX$17:$BA$24,MATCH(SCC_Polythionic_Acid!$V17,'Tables - Part 2'!$AV$6:$AV$13,0),MATCH(SCC_Polythionic_Acid!$S17,'Tables - Part 2'!$AX$5:$BA$5,0)))/2)+((((INDEX('Tables - Part 2'!$BF$6:$BI$13,MATCH(SCC_Polythionic_Acid!$V17,'Tables - Part 2'!$AV$6:$AV$13,0),MATCH(SCC_Polythionic_Acid!$S17,'Tables - Part 2'!$AX$5:$BA$5,0))+INDEX('Tables - Part 2'!$AX$17:$BA$24,MATCH(SCC_Polythionic_Acid!$V17,'Tables - Part 2'!$AV$6:$AV$13,0),MATCH(SCC_Polythionic_Acid!$S17,'Tables - Part 2'!$AX$5:$BA$5,0)))/2)+INDEX('Tables - Part 2'!$AX$17:$BA$24,MATCH(SCC_Polythionic_Acid!$V17,'Tables - Part 2'!$AV$6:$AV$13,0),MATCH(SCC_Polythionic_Acid!$S17,'Tables - Part 2'!$AX$5:$BA$5,0)))/2))/2,0)</f>
        <v>0</v>
      </c>
      <c r="AX17" s="248">
        <f>IF($R17=$AX$3,(((INDEX('Tables - Part 2'!$BF$6:$BI$13,MATCH(SCC_Polythionic_Acid!$V17,'Tables - Part 2'!$AV$6:$AV$13,0),MATCH(SCC_Polythionic_Acid!$S17,'Tables - Part 2'!$AX$5:$BA$5,0))+INDEX('Tables - Part 2'!$AX$17:$BA$24,MATCH(SCC_Polythionic_Acid!$V17,'Tables - Part 2'!$AV$6:$AV$13,0),MATCH(SCC_Polythionic_Acid!$S17,'Tables - Part 2'!$AX$5:$BA$5,0)))/2)+INDEX('Tables - Part 2'!$AX$17:$BA$24,MATCH(SCC_Polythionic_Acid!$V17,'Tables - Part 2'!$AV$6:$AV$13,0),MATCH(SCC_Polythionic_Acid!$S17,'Tables - Part 2'!$AX$5:$BA$5,0)))/2,0)</f>
        <v>0</v>
      </c>
      <c r="AY17" s="248">
        <f>IF($R17=$AY$3,(((((INDEX('Tables - Part 2'!$BF$6:$BI$13,MATCH(SCC_Polythionic_Acid!$V17,'Tables - Part 2'!$AV$6:$AV$13,0),MATCH(SCC_Polythionic_Acid!$S17,'Tables - Part 2'!$AX$5:$BA$5,0))+INDEX('Tables - Part 2'!$AX$17:$BA$24,MATCH(SCC_Polythionic_Acid!$V17,'Tables - Part 2'!$AV$6:$AV$13,0),MATCH(SCC_Polythionic_Acid!$S17,'Tables - Part 2'!$AX$5:$BA$5,0)))/2)+INDEX('Tables - Part 2'!$AX$17:$BA$24,MATCH(SCC_Polythionic_Acid!$V17,'Tables - Part 2'!$AV$6:$AV$13,0),MATCH(SCC_Polythionic_Acid!$S17,'Tables - Part 2'!$AX$5:$BA$5,0)))/2)+(INDEX('Tables - Part 2'!$AX$17:$BA$24,MATCH(SCC_Polythionic_Acid!$V17,'Tables - Part 2'!$AV$6:$AV$13,0),MATCH(SCC_Polythionic_Acid!$S17,'Tables - Part 2'!$AX$5:$BA$5,0))))/2,0)</f>
        <v>0</v>
      </c>
      <c r="AZ17" s="248">
        <f>IF($R17=$AZ$3,INDEX('Tables - Part 2'!$AX$17:$BA$24,MATCH(SCC_Polythionic_Acid!$V17,'Tables - Part 2'!$AV$6:$AV$13,0),MATCH(SCC_Polythionic_Acid!$S17,'Tables - Part 2'!$AX$5:$BA$5,0)),0)</f>
        <v>0</v>
      </c>
      <c r="BA17" s="248">
        <f>IF($R17=$BA$3,((INDEX('Tables - Part 2'!$AX$17:$BA$24,MATCH(SCC_Polythionic_Acid!$V17,'Tables - Part 2'!$AV$6:$AV$13,0),MATCH(SCC_Polythionic_Acid!$S17,'Tables - Part 2'!$AX$5:$BA$5,0)))+(((INDEX('Tables - Part 2'!$AX$17:$BA$24,MATCH(SCC_Polythionic_Acid!$V17,'Tables - Part 2'!$AV$6:$AV$13,0),MATCH(SCC_Polythionic_Acid!$S17,'Tables - Part 2'!$AX$5:$BA$5,0)))+(INDEX('Tables - Part 2'!$AX$17:$BA$24,MATCH(SCC_Polythionic_Acid!$V17,'Tables - Part 2'!$AV$6:$AV$13,0),MATCH(SCC_Polythionic_Acid!$S17,'Tables - Part 2'!$AX$5:$BA$5,0))+INDEX('Tables - Part 2'!$BB$17:$BE$24,MATCH(SCC_Polythionic_Acid!$V17,'Tables - Part 2'!$AV$6:$AV$13,0),MATCH(SCC_Polythionic_Acid!$S17,'Tables - Part 2'!$AX$5:$BA$5,0)))/2)/2))/2,0)</f>
        <v>0</v>
      </c>
      <c r="BB17" s="248">
        <f>IF($R17=$BB$3,((INDEX('Tables - Part 2'!$AX$17:$BA$24,MATCH(SCC_Polythionic_Acid!$V17,'Tables - Part 2'!$AV$6:$AV$13,0),MATCH(SCC_Polythionic_Acid!$S17,'Tables - Part 2'!$AX$5:$BA$5,0)))+(INDEX('Tables - Part 2'!$AX$17:$BA$24,MATCH(SCC_Polythionic_Acid!$V17,'Tables - Part 2'!$AV$6:$AV$13,0),MATCH(SCC_Polythionic_Acid!$S17,'Tables - Part 2'!$AX$5:$BA$5,0))+INDEX('Tables - Part 2'!$BB$17:$BE$24,MATCH(SCC_Polythionic_Acid!$V17,'Tables - Part 2'!$AV$6:$AV$13,0),MATCH(SCC_Polythionic_Acid!$S17,'Tables - Part 2'!$AX$5:$BA$5,0)))/2)/2,0)</f>
        <v>0</v>
      </c>
      <c r="BC17" s="248">
        <f>IF($R17=$BC$3,((((INDEX('Tables - Part 2'!$AX$17:$BA$24,MATCH(SCC_Polythionic_Acid!$V17,'Tables - Part 2'!$AV$6:$AV$13,0),MATCH(SCC_Polythionic_Acid!$S17,'Tables - Part 2'!$AX$5:$BA$5,0)))+(INDEX('Tables - Part 2'!$AX$17:$BA$24,MATCH(SCC_Polythionic_Acid!$V17,'Tables - Part 2'!$AV$6:$AV$13,0),MATCH(SCC_Polythionic_Acid!$S17,'Tables - Part 2'!$AX$5:$BA$5,0))+INDEX('Tables - Part 2'!$BB$17:$BE$24,MATCH(SCC_Polythionic_Acid!$V17,'Tables - Part 2'!$AV$6:$AV$13,0),MATCH(SCC_Polythionic_Acid!$S17,'Tables - Part 2'!$AX$5:$BA$5,0)))/2)/2)+((INDEX('Tables - Part 2'!$AX$17:$BA$24,MATCH(SCC_Polythionic_Acid!$V17,'Tables - Part 2'!$AV$6:$AV$13,0),MATCH(SCC_Polythionic_Acid!$S17,'Tables - Part 2'!$AX$5:$BA$5,0))+INDEX('Tables - Part 2'!$BB$17:$BE$24,MATCH(SCC_Polythionic_Acid!$V17,'Tables - Part 2'!$AV$6:$AV$13,0),MATCH(SCC_Polythionic_Acid!$S17,'Tables - Part 2'!$AX$5:$BA$5,0)))/2))/2,0)</f>
        <v>0</v>
      </c>
      <c r="BD17" s="248">
        <f>IF($R17=$BD$3,(INDEX('Tables - Part 2'!$AX$17:$BA$24,MATCH(SCC_Polythionic_Acid!$V17,'Tables - Part 2'!$AV$6:$AV$13,0),MATCH(SCC_Polythionic_Acid!$S17,'Tables - Part 2'!$AX$5:$BA$5,0))+INDEX('Tables - Part 2'!$BB$17:$BE$24,MATCH(SCC_Polythionic_Acid!$V17,'Tables - Part 2'!$AV$6:$AV$13,0),MATCH(SCC_Polythionic_Acid!$S17,'Tables - Part 2'!$AX$5:$BA$5,0)))/2,0)</f>
        <v>0</v>
      </c>
      <c r="BE17" s="248">
        <f>IF($R17=$BE$3,(((INDEX('Tables - Part 2'!$AX$17:$BA$24,MATCH(SCC_Polythionic_Acid!$V17,'Tables - Part 2'!$AV$6:$AV$13,0),MATCH(SCC_Polythionic_Acid!$S17,'Tables - Part 2'!$AX$5:$BA$5,0))+INDEX('Tables - Part 2'!$BB$17:$BE$24,MATCH(SCC_Polythionic_Acid!$V17,'Tables - Part 2'!$AV$6:$AV$13,0),MATCH(SCC_Polythionic_Acid!$S17,'Tables - Part 2'!$AX$5:$BA$5,0)))/2)+((((INDEX('Tables - Part 2'!$AX$17:$BA$24,MATCH(SCC_Polythionic_Acid!$V17,'Tables - Part 2'!$AV$6:$AV$13,0),MATCH(SCC_Polythionic_Acid!$S17,'Tables - Part 2'!$AX$5:$BA$5,0))+INDEX('Tables - Part 2'!$BB$17:$BE$24,MATCH(SCC_Polythionic_Acid!$V17,'Tables - Part 2'!$AV$6:$AV$13,0),MATCH(SCC_Polythionic_Acid!$S17,'Tables - Part 2'!$AX$5:$BA$5,0)))/2)+INDEX('Tables - Part 2'!$BB$17:$BE$24,MATCH(SCC_Polythionic_Acid!$V17,'Tables - Part 2'!$AV$6:$AV$13,0),MATCH(SCC_Polythionic_Acid!$S17,'Tables - Part 2'!$AX$5:$BA$5,0)))/2))/2,0)</f>
        <v>0</v>
      </c>
      <c r="BF17" s="248">
        <f>IF($R17=$BF$3,(((INDEX('Tables - Part 2'!$AX$17:$BA$24,MATCH(SCC_Polythionic_Acid!$V17,'Tables - Part 2'!$AV$6:$AV$13,0),MATCH(SCC_Polythionic_Acid!$S17,'Tables - Part 2'!$AX$5:$BA$5,0))+INDEX('Tables - Part 2'!$BB$17:$BE$24,MATCH(SCC_Polythionic_Acid!$V17,'Tables - Part 2'!$AV$6:$AV$13,0),MATCH(SCC_Polythionic_Acid!$S17,'Tables - Part 2'!$AX$5:$BA$5,0)))/2)+INDEX('Tables - Part 2'!$BB$17:$BE$24,MATCH(SCC_Polythionic_Acid!$V17,'Tables - Part 2'!$AV$6:$AV$13,0),MATCH(SCC_Polythionic_Acid!$S17,'Tables - Part 2'!$AX$5:$BA$5,0)))/2,0)</f>
        <v>0</v>
      </c>
      <c r="BG17" s="248">
        <f>IF($R17=$BG$3,(((((INDEX('Tables - Part 2'!$AX$17:$BA$24,MATCH(SCC_Polythionic_Acid!$V17,'Tables - Part 2'!$AV$6:$AV$13,0),MATCH(SCC_Polythionic_Acid!$S17,'Tables - Part 2'!$AX$5:$BA$5,0))+INDEX('Tables - Part 2'!$BB$17:$BE$24,MATCH(SCC_Polythionic_Acid!$V17,'Tables - Part 2'!$AV$6:$AV$13,0),MATCH(SCC_Polythionic_Acid!$S17,'Tables - Part 2'!$AX$5:$BA$5,0)))/2)+INDEX('Tables - Part 2'!$BB$17:$BE$24,MATCH(SCC_Polythionic_Acid!$V17,'Tables - Part 2'!$AV$6:$AV$13,0),MATCH(SCC_Polythionic_Acid!$S17,'Tables - Part 2'!$AX$5:$BA$5,0)))/2)+(INDEX('Tables - Part 2'!$BB$17:$BE$24,MATCH(SCC_Polythionic_Acid!$V17,'Tables - Part 2'!$AV$6:$AV$13,0),MATCH(SCC_Polythionic_Acid!$S17,'Tables - Part 2'!$AX$5:$BA$5,0))))/2,0)</f>
        <v>0</v>
      </c>
      <c r="BH17" s="248">
        <f>IF($R17=$BH$3,INDEX('Tables - Part 2'!$BB$17:$BE$24,MATCH(SCC_Polythionic_Acid!$V17,'Tables - Part 2'!$AV$6:$AV$13,0),MATCH(SCC_Polythionic_Acid!$S17,'Tables - Part 2'!$AX$5:$BA$5,0)),0)</f>
        <v>0</v>
      </c>
      <c r="BI17" s="248">
        <f>IF($R17=$BI$3,((INDEX('Tables - Part 2'!$BB$17:$BE$24,MATCH(SCC_Polythionic_Acid!$V17,'Tables - Part 2'!$AV$6:$AV$13,0),MATCH(SCC_Polythionic_Acid!$S17,'Tables - Part 2'!$AX$5:$BA$5,0)))+(((INDEX('Tables - Part 2'!$BB$17:$BE$24,MATCH(SCC_Polythionic_Acid!$V17,'Tables - Part 2'!$AV$6:$AV$13,0),MATCH(SCC_Polythionic_Acid!$S17,'Tables - Part 2'!$AX$5:$BA$5,0)))+(INDEX('Tables - Part 2'!$BB$17:$BE$24,MATCH(SCC_Polythionic_Acid!$V17,'Tables - Part 2'!$AV$6:$AV$13,0),MATCH(SCC_Polythionic_Acid!$S17,'Tables - Part 2'!$AX$5:$BA$5,0))+INDEX('Tables - Part 2'!$BF$17:$BI$24,MATCH(SCC_Polythionic_Acid!$V17,'Tables - Part 2'!$AV$6:$AV$13,0),MATCH(SCC_Polythionic_Acid!$S17,'Tables - Part 2'!$AX$5:$BA$5,0)))/2)/2))/2,0)</f>
        <v>0</v>
      </c>
      <c r="BJ17" s="248">
        <f>IF($R17=$BJ$3,((INDEX('Tables - Part 2'!$BB$17:$BE$24,MATCH(SCC_Polythionic_Acid!$V17,'Tables - Part 2'!$AV$6:$AV$13,0),MATCH(SCC_Polythionic_Acid!$S17,'Tables - Part 2'!$AX$5:$BA$5,0)))+(INDEX('Tables - Part 2'!$BB$17:$BE$24,MATCH(SCC_Polythionic_Acid!$V17,'Tables - Part 2'!$AV$6:$AV$13,0),MATCH(SCC_Polythionic_Acid!$S17,'Tables - Part 2'!$AX$5:$BA$5,0))+INDEX('Tables - Part 2'!$BF$17:$BI$24,MATCH(SCC_Polythionic_Acid!$V17,'Tables - Part 2'!$AV$6:$AV$13,0),MATCH(SCC_Polythionic_Acid!$S17,'Tables - Part 2'!$AX$5:$BA$5,0)))/2)/2,0)</f>
        <v>0</v>
      </c>
      <c r="BK17" s="248">
        <f>IF($R17=$BK$3,((((INDEX('Tables - Part 2'!$BB$17:$BE$24,MATCH(SCC_Polythionic_Acid!$V17,'Tables - Part 2'!$AV$6:$AV$13,0),MATCH(SCC_Polythionic_Acid!$S17,'Tables - Part 2'!$AX$5:$BA$5,0)))+(INDEX('Tables - Part 2'!$BB$17:$BE$24,MATCH(SCC_Polythionic_Acid!$V17,'Tables - Part 2'!$AV$6:$AV$13,0),MATCH(SCC_Polythionic_Acid!$S17,'Tables - Part 2'!$AX$5:$BA$5,0))+INDEX('Tables - Part 2'!$BF$17:$BI$24,MATCH(SCC_Polythionic_Acid!$V17,'Tables - Part 2'!$AV$6:$AV$13,0),MATCH(SCC_Polythionic_Acid!$S17,'Tables - Part 2'!$AX$5:$BA$5,0)))/2)/2)+((INDEX('Tables - Part 2'!$BB$17:$BE$24,MATCH(SCC_Polythionic_Acid!$V17,'Tables - Part 2'!$AV$6:$AV$13,0),MATCH(SCC_Polythionic_Acid!$S17,'Tables - Part 2'!$AX$5:$BA$5,0))+INDEX('Tables - Part 2'!$BF$17:$BI$24,MATCH(SCC_Polythionic_Acid!$V17,'Tables - Part 2'!$AV$6:$AV$13,0),MATCH(SCC_Polythionic_Acid!$S17,'Tables - Part 2'!$AX$5:$BA$5,0)))/2))/2,0)</f>
        <v>0</v>
      </c>
      <c r="BL17" s="248">
        <f>IF($R17=$BL$3,(INDEX('Tables - Part 2'!$BB$17:$BE$24,MATCH(SCC_Polythionic_Acid!$V17,'Tables - Part 2'!$AV$6:$AV$13,0),MATCH(SCC_Polythionic_Acid!$S17,'Tables - Part 2'!$AX$5:$BA$5,0))+INDEX('Tables - Part 2'!$BF$17:$BI$24,MATCH(SCC_Polythionic_Acid!$V17,'Tables - Part 2'!$AV$6:$AV$13,0),MATCH(SCC_Polythionic_Acid!$S17,'Tables - Part 2'!$AX$5:$BA$5,0)))/2,0)</f>
        <v>0</v>
      </c>
      <c r="BM17" s="248">
        <f>IF($R17=$BM$3,(((INDEX('Tables - Part 2'!$BB$17:$BE$24,MATCH(SCC_Polythionic_Acid!$V17,'Tables - Part 2'!$AV$6:$AV$13,0),MATCH(SCC_Polythionic_Acid!$S17,'Tables - Part 2'!$AX$5:$BA$5,0))+INDEX('Tables - Part 2'!$BF$17:$BI$24,MATCH(SCC_Polythionic_Acid!$V17,'Tables - Part 2'!$AV$6:$AV$13,0),MATCH(SCC_Polythionic_Acid!$S17,'Tables - Part 2'!$AX$5:$BA$5,0)))/2)+((((INDEX('Tables - Part 2'!$BB$17:$BE$24,MATCH(SCC_Polythionic_Acid!$V17,'Tables - Part 2'!$AV$6:$AV$13,0),MATCH(SCC_Polythionic_Acid!$S17,'Tables - Part 2'!$AX$5:$BA$5,0))+INDEX('Tables - Part 2'!$BF$17:$BI$24,MATCH(SCC_Polythionic_Acid!$V17,'Tables - Part 2'!$AV$6:$AV$13,0),MATCH(SCC_Polythionic_Acid!$S17,'Tables - Part 2'!$AX$5:$BA$5,0)))/2)+INDEX('Tables - Part 2'!$BF$17:$BI$24,MATCH(SCC_Polythionic_Acid!$V17,'Tables - Part 2'!$AV$6:$AV$13,0),MATCH(SCC_Polythionic_Acid!$S17,'Tables - Part 2'!$AX$5:$BA$5,0)))/2))/2,0)</f>
        <v>0</v>
      </c>
      <c r="BN17" s="248">
        <f>IF($R17=$BN$3,(((INDEX('Tables - Part 2'!$BB$17:$BE$24,MATCH(SCC_Polythionic_Acid!$V17,'Tables - Part 2'!$AV$6:$AV$13,0),MATCH(SCC_Polythionic_Acid!$S17,'Tables - Part 2'!$AX$5:$BA$5,0))+INDEX('Tables - Part 2'!$BF$17:$BI$24,MATCH(SCC_Polythionic_Acid!$V17,'Tables - Part 2'!$AV$6:$AV$13,0),MATCH(SCC_Polythionic_Acid!$S17,'Tables - Part 2'!$AX$5:$BA$5,0)))/2)+INDEX('Tables - Part 2'!$BF$17:$BI$24,MATCH(SCC_Polythionic_Acid!$V17,'Tables - Part 2'!$AV$6:$AV$13,0),MATCH(SCC_Polythionic_Acid!$S17,'Tables - Part 2'!$AX$5:$BA$5,0)))/2,0)</f>
        <v>0</v>
      </c>
      <c r="BO17" s="248">
        <f>IF($R17=$BO$3,(((((INDEX('Tables - Part 2'!$BB$17:$BE$24,MATCH(SCC_Polythionic_Acid!$V17,'Tables - Part 2'!$AV$6:$AV$13,0),MATCH(SCC_Polythionic_Acid!$S17,'Tables - Part 2'!$AX$5:$BA$5,0))+INDEX('Tables - Part 2'!$BF$17:$BI$24,MATCH(SCC_Polythionic_Acid!$V17,'Tables - Part 2'!$AV$6:$AV$13,0),MATCH(SCC_Polythionic_Acid!$S17,'Tables - Part 2'!$AX$5:$BA$5,0)))/2)+INDEX('Tables - Part 2'!$BF$17:$BI$24,MATCH(SCC_Polythionic_Acid!$V17,'Tables - Part 2'!$AV$6:$AV$13,0),MATCH(SCC_Polythionic_Acid!$S17,'Tables - Part 2'!$AX$5:$BA$5,0)))/2)+(INDEX('Tables - Part 2'!$BF$17:$BI$24,MATCH(SCC_Polythionic_Acid!$V17,'Tables - Part 2'!$AV$6:$AV$13,0),MATCH(SCC_Polythionic_Acid!$S17,'Tables - Part 2'!$AX$5:$BA$5,0))))/2,0)</f>
        <v>0</v>
      </c>
      <c r="BP17" s="248">
        <f>IF($R17=$BP$3,INDEX('Tables - Part 2'!$BF$17:$BI$24,MATCH(SCC_Polythionic_Acid!$V17,'Tables - Part 2'!$AV$6:$AV$13,0),MATCH(SCC_Polythionic_Acid!$S17,'Tables - Part 2'!$AX$5:$BA$5,0)),0)</f>
        <v>0</v>
      </c>
      <c r="BQ17" s="248">
        <f t="shared" si="5"/>
        <v>0</v>
      </c>
      <c r="BR17" s="238">
        <f t="shared" si="8"/>
        <v>165</v>
      </c>
      <c r="BS17" s="238">
        <f t="shared" si="9"/>
        <v>2767.5256072873844</v>
      </c>
    </row>
    <row r="18" spans="2:71" x14ac:dyDescent="0.35">
      <c r="B18" s="161" t="str">
        <f>'Tratamento de Dados'!B26</f>
        <v>V-80</v>
      </c>
      <c r="C18" s="161" t="str">
        <f>'Tratamento de Dados'!D26</f>
        <v>Casco</v>
      </c>
      <c r="D18" s="209" t="s">
        <v>244</v>
      </c>
      <c r="E18" s="209" t="s">
        <v>244</v>
      </c>
      <c r="F18" s="209" t="s">
        <v>244</v>
      </c>
      <c r="G18" s="209" t="s">
        <v>244</v>
      </c>
      <c r="H18" s="209" t="s">
        <v>1145</v>
      </c>
      <c r="I18" s="247">
        <f>'Tratamento de Dados'!S26</f>
        <v>2</v>
      </c>
      <c r="J18" s="209" t="s">
        <v>1146</v>
      </c>
      <c r="K18" s="210">
        <v>39092</v>
      </c>
      <c r="L18" s="209">
        <v>0</v>
      </c>
      <c r="M18" s="209">
        <v>1</v>
      </c>
      <c r="N18" s="209">
        <v>1</v>
      </c>
      <c r="O18" s="209">
        <v>4</v>
      </c>
      <c r="P18" s="253">
        <f>'Tratamento de Dados'!DA26</f>
        <v>0</v>
      </c>
      <c r="Q18" s="253">
        <f>'Tratamento de Dados'!DB26</f>
        <v>0</v>
      </c>
      <c r="R18" s="256">
        <f t="shared" si="0"/>
        <v>2.5</v>
      </c>
      <c r="S18" s="246" t="str">
        <f t="shared" si="1"/>
        <v>B</v>
      </c>
      <c r="T18" s="238" t="str">
        <f>IF(D18=$BX$2,$BV$5,IF(F18=$BX$3,$BV$2,INDEX(IF(I18&lt;427,'Tables - Part 2'!$DH$6:$DJ$10,'Tables - Part 2'!$DH$14:$DJ$18),MATCH(SCC_Polythionic_Acid!H18,'Tables - Part 2'!$DG$6:$DG$10,0),MATCH(J18,'Tables - Part 2'!$DH$5:$DJ$5,0))))</f>
        <v>High</v>
      </c>
      <c r="U18" s="238" t="str">
        <f t="shared" si="6"/>
        <v>High</v>
      </c>
      <c r="V18" s="238">
        <f>IF(AND(D18=$BX$2,E18&lt;&gt;$BX$2),"Fitness-For-Service",INDEX('Tables - Part 2'!$DM$4:$DM$7,MATCH(SCC_Polythionic_Acid!U18,'Tables - Part 2'!$DL$4:$DL$7,0),))</f>
        <v>5000</v>
      </c>
      <c r="W18" s="238">
        <f>IF(K18=0,(Thinning!G19-Thinning!F19)/365.25,(Thinning!G19-K18)/365.25)</f>
        <v>12.980150581793293</v>
      </c>
      <c r="X18" s="248">
        <f t="shared" si="2"/>
        <v>0</v>
      </c>
      <c r="Y18" s="248">
        <f t="shared" si="3"/>
        <v>2.5</v>
      </c>
      <c r="Z18" s="247">
        <f t="shared" si="7"/>
        <v>3</v>
      </c>
      <c r="AA18" s="247">
        <f t="shared" si="4"/>
        <v>4</v>
      </c>
      <c r="AB18" s="248">
        <f>IF($R18=$AB$3,INDEX('Tables - Part 2'!$AX$6:$BA$13,MATCH(SCC_Polythionic_Acid!V18,'Tables - Part 2'!$AV$6:$AV$13,0),MATCH(SCC_Polythionic_Acid!S18,'Tables - Part 2'!$AX$5:$BA$5,0)),0)</f>
        <v>0</v>
      </c>
      <c r="AC18" s="248">
        <f>IF($R18=$AC$3,(INDEX('Tables - Part 2'!$AX$6:$BA$13,MATCH(SCC_Polythionic_Acid!V18,'Tables - Part 2'!$AV$6:$AV$13,0),MATCH(SCC_Polythionic_Acid!S18,'Tables - Part 2'!$AX$5:$BA$5,0))+(INDEX('Tables - Part 2'!$AX$6:$BA$13,MATCH(SCC_Polythionic_Acid!V18,'Tables - Part 2'!$AV$6:$AV$13,0),MATCH(SCC_Polythionic_Acid!S18,'Tables - Part 2'!$AX$5:$BA$5,0))+((INDEX('Tables - Part 2'!$AX$6:$BA$13,MATCH(SCC_Polythionic_Acid!V18,'Tables - Part 2'!$AV$6:$AV$13,0),MATCH(SCC_Polythionic_Acid!S18,'Tables - Part 2'!$AX$5:$BA$5,0))+INDEX('Tables - Part 2'!$BB$6:$BE$13,MATCH(SCC_Polythionic_Acid!$V18,'Tables - Part 2'!$AV$6:$AV$13,0),MATCH(SCC_Polythionic_Acid!$S18,'Tables - Part 2'!$AX$5:$BA$5,0)))/2))/2)/2,0)</f>
        <v>0</v>
      </c>
      <c r="AD18" s="248">
        <f>IF($R18=$AD$3,(INDEX('Tables - Part 2'!$AX$6:$BA$13,MATCH(SCC_Polythionic_Acid!V18,'Tables - Part 2'!$AV$6:$AV$13,0),MATCH(SCC_Polythionic_Acid!S18,'Tables - Part 2'!$AX$5:$BA$5,0))+((INDEX('Tables - Part 2'!$AX$6:$BA$13,MATCH(SCC_Polythionic_Acid!V18,'Tables - Part 2'!$AV$6:$AV$13,0),MATCH(SCC_Polythionic_Acid!S18,'Tables - Part 2'!$AX$5:$BA$5,0))+INDEX('Tables - Part 2'!$BB$6:$BE$13,MATCH(SCC_Polythionic_Acid!$V18,'Tables - Part 2'!$AV$6:$AV$13,0),MATCH(SCC_Polythionic_Acid!$S18,'Tables - Part 2'!$AX$5:$BA$5,0)))/2))/2,0)</f>
        <v>0</v>
      </c>
      <c r="AE18" s="248">
        <f>IF($R18=$AE$3,(((INDEX('Tables - Part 2'!$AX$6:$BA$13,MATCH(SCC_Polythionic_Acid!V18,'Tables - Part 2'!$AV$6:$AV$13,0),MATCH(SCC_Polythionic_Acid!S18,'Tables - Part 2'!$AX$5:$BA$5,0))+((INDEX('Tables - Part 2'!$AX$6:$BA$13,MATCH(SCC_Polythionic_Acid!V18,'Tables - Part 2'!$AV$6:$AV$13,0),MATCH(SCC_Polythionic_Acid!S18,'Tables - Part 2'!$AX$5:$BA$5,0))+INDEX('Tables - Part 2'!$BB$6:$BE$13,MATCH(SCC_Polythionic_Acid!$V18,'Tables - Part 2'!$AV$6:$AV$13,0),MATCH(SCC_Polythionic_Acid!$S18,'Tables - Part 2'!$AX$5:$BA$5,0)))/2))/2)+(INDEX('Tables - Part 2'!$AX$6:$BA$13,MATCH(SCC_Polythionic_Acid!V18,'Tables - Part 2'!$AV$6:$AV$13,0),MATCH(SCC_Polythionic_Acid!S18,'Tables - Part 2'!$AX$5:$BA$5,0))+INDEX('Tables - Part 2'!$BB$6:$BE$13,MATCH(SCC_Polythionic_Acid!$V18,'Tables - Part 2'!$AV$6:$AV$13,0),MATCH(SCC_Polythionic_Acid!$S18,'Tables - Part 2'!$AX$5:$BA$5,0)))/2)/2,0)</f>
        <v>0</v>
      </c>
      <c r="AF18" s="248">
        <f>IF($R18=$AF$3,(INDEX('Tables - Part 2'!$AX$6:$BA$13,MATCH(SCC_Polythionic_Acid!V18,'Tables - Part 2'!$AV$6:$AV$13,0),MATCH(SCC_Polythionic_Acid!S18,'Tables - Part 2'!$AX$5:$BA$5,0))+INDEX('Tables - Part 2'!$BB$6:$BE$13,MATCH(SCC_Polythionic_Acid!$V18,'Tables - Part 2'!$AV$6:$AV$13,0),MATCH(SCC_Polythionic_Acid!$S18,'Tables - Part 2'!$AX$5:$BA$5,0)))/2,0)</f>
        <v>0</v>
      </c>
      <c r="AG18" s="248">
        <f>IF($R18=$AG$3,(((INDEX('Tables - Part 2'!$AX$6:$BA$13,MATCH(SCC_Polythionic_Acid!V18,'Tables - Part 2'!$AV$6:$AV$13,0),MATCH(SCC_Polythionic_Acid!S18,'Tables - Part 2'!$AX$5:$BA$5,0))+INDEX('Tables - Part 2'!$BB$6:$BE$13,MATCH(SCC_Polythionic_Acid!$V18,'Tables - Part 2'!$AV$6:$AV$13,0),MATCH(SCC_Polythionic_Acid!$S18,'Tables - Part 2'!$AX$5:$BA$5,0)))/2)+(((INDEX('Tables - Part 2'!$AX$6:$BA$13,MATCH(SCC_Polythionic_Acid!V18,'Tables - Part 2'!$AV$6:$AV$13,0),MATCH(SCC_Polythionic_Acid!S18,'Tables - Part 2'!$AX$5:$BA$5,0))+INDEX('Tables - Part 2'!$BB$6:$BE$13,MATCH(SCC_Polythionic_Acid!$V18,'Tables - Part 2'!$AV$6:$AV$13,0),MATCH(SCC_Polythionic_Acid!$S18,'Tables - Part 2'!$AX$5:$BA$5,0)))/2)+INDEX('Tables - Part 2'!$BB$6:$BE$13,MATCH(SCC_Polythionic_Acid!$V18,'Tables - Part 2'!$AV$6:$AV$13,0),MATCH(SCC_Polythionic_Acid!$S18,'Tables - Part 2'!$AX$5:$BA$5,0)))/2)/2,0)</f>
        <v>0</v>
      </c>
      <c r="AH18" s="248">
        <f>IF($R18=$AH$3,(((INDEX('Tables - Part 2'!$AX$6:$BA$13,MATCH(SCC_Polythionic_Acid!V18,'Tables - Part 2'!$AV$6:$AV$13,0),MATCH(SCC_Polythionic_Acid!S18,'Tables - Part 2'!$AX$5:$BA$5,0))+INDEX('Tables - Part 2'!$BB$6:$BE$13,MATCH(SCC_Polythionic_Acid!$V18,'Tables - Part 2'!$AV$6:$AV$13,0),MATCH(SCC_Polythionic_Acid!$S18,'Tables - Part 2'!$AX$5:$BA$5,0)))/2)+INDEX('Tables - Part 2'!$BB$6:$BE$13,MATCH(SCC_Polythionic_Acid!$V18,'Tables - Part 2'!$AV$6:$AV$13,0),MATCH(SCC_Polythionic_Acid!$S18,'Tables - Part 2'!$AX$5:$BA$5,0)))/2,0)</f>
        <v>0</v>
      </c>
      <c r="AI18" s="248">
        <f>IF($R18=$AI$3,(((((INDEX('Tables - Part 2'!$AX$6:$BA$13,MATCH(SCC_Polythionic_Acid!V18,'Tables - Part 2'!$AV$6:$AV$13,0),MATCH(SCC_Polythionic_Acid!S18,'Tables - Part 2'!$AX$5:$BA$5,0))+INDEX('Tables - Part 2'!$BB$6:$BE$13,MATCH(SCC_Polythionic_Acid!$V18,'Tables - Part 2'!$AV$6:$AV$13,0),MATCH(SCC_Polythionic_Acid!$S18,'Tables - Part 2'!$AX$5:$BA$5,0)))/2)+INDEX('Tables - Part 2'!$BB$6:$BE$13,MATCH(SCC_Polythionic_Acid!$V18,'Tables - Part 2'!$AV$6:$AV$13,0),MATCH(SCC_Polythionic_Acid!$S18,'Tables - Part 2'!$AX$5:$BA$5,0)))/2)+INDEX('Tables - Part 2'!$BB$6:$BE$13,MATCH(SCC_Polythionic_Acid!$V18,'Tables - Part 2'!$AV$6:$AV$13,0),MATCH(SCC_Polythionic_Acid!$S18,'Tables - Part 2'!$AX$5:$BA$5,0)))/2,0)</f>
        <v>0</v>
      </c>
      <c r="AJ18" s="248">
        <f>IF($R18=$AJ$3,INDEX('Tables - Part 2'!$BB$6:$BE$13,MATCH(SCC_Polythionic_Acid!$V18,'Tables - Part 2'!$AV$6:$AV$13,0),MATCH(SCC_Polythionic_Acid!$S18,'Tables - Part 2'!$AX$5:$BA$5,0)),0)</f>
        <v>0</v>
      </c>
      <c r="AK18" s="248">
        <f>IF($R18=$AK$3,((INDEX('Tables - Part 2'!$BB$6:$BE$13,MATCH(SCC_Polythionic_Acid!$V18,'Tables - Part 2'!$AV$6:$AV$13,0),MATCH(SCC_Polythionic_Acid!$S18,'Tables - Part 2'!$AX$5:$BA$5,0)))+(INDEX('Tables - Part 2'!$BB$6:$BE$13,MATCH(SCC_Polythionic_Acid!$V18,'Tables - Part 2'!$AV$6:$AV$13,0),MATCH(SCC_Polythionic_Acid!$S18,'Tables - Part 2'!$AX$5:$BA$5,0))+(INDEX('Tables - Part 2'!$BB$6:$BE$13,MATCH(SCC_Polythionic_Acid!$V18,'Tables - Part 2'!$AV$6:$AV$13,0),MATCH(SCC_Polythionic_Acid!$S18,'Tables - Part 2'!$AX$5:$BA$5,0))+INDEX('Tables - Part 2'!$BF$6:$BI$13,MATCH(SCC_Polythionic_Acid!$V18,'Tables - Part 2'!$AV$6:$AV$13,0),MATCH(SCC_Polythionic_Acid!$S18,'Tables - Part 2'!$AX$5:$BA$5,0)))/2)/2)/2,0)</f>
        <v>0</v>
      </c>
      <c r="AL18" s="248">
        <f>IF($R18=$AL$3,(INDEX('Tables - Part 2'!$BB$6:$BE$13,MATCH(SCC_Polythionic_Acid!$V18,'Tables - Part 2'!$AV$6:$AV$13,0),MATCH(SCC_Polythionic_Acid!$S18,'Tables - Part 2'!$AX$5:$BA$5,0))+(INDEX('Tables - Part 2'!$BB$6:$BE$13,MATCH(SCC_Polythionic_Acid!$V18,'Tables - Part 2'!$AV$6:$AV$13,0),MATCH(SCC_Polythionic_Acid!$S18,'Tables - Part 2'!$AX$5:$BA$5,0))+INDEX('Tables - Part 2'!$BF$6:$BI$13,MATCH(SCC_Polythionic_Acid!$V18,'Tables - Part 2'!$AV$6:$AV$13,0),MATCH(SCC_Polythionic_Acid!$S18,'Tables - Part 2'!$AX$5:$BA$5,0)))/2)/2,0)</f>
        <v>0</v>
      </c>
      <c r="AM18" s="248">
        <f>IF($R18=$AM$3,(((INDEX('Tables - Part 2'!$BB$6:$BE$13,MATCH(SCC_Polythionic_Acid!$V18,'Tables - Part 2'!$AV$6:$AV$13,0),MATCH(SCC_Polythionic_Acid!$S18,'Tables - Part 2'!$AX$5:$BA$5,0))+(INDEX('Tables - Part 2'!$BB$6:$BE$13,MATCH(SCC_Polythionic_Acid!$V18,'Tables - Part 2'!$AV$6:$AV$13,0),MATCH(SCC_Polythionic_Acid!$S18,'Tables - Part 2'!$AX$5:$BA$5,0))+INDEX('Tables - Part 2'!$BF$6:$BI$13,MATCH(SCC_Polythionic_Acid!$V18,'Tables - Part 2'!$AV$6:$AV$13,0),MATCH(SCC_Polythionic_Acid!$S18,'Tables - Part 2'!$AX$5:$BA$5,0)))/2)/2)+((INDEX('Tables - Part 2'!$BB$6:$BE$13,MATCH(SCC_Polythionic_Acid!$V18,'Tables - Part 2'!$AV$6:$AV$13,0),MATCH(SCC_Polythionic_Acid!$S18,'Tables - Part 2'!$AX$5:$BA$5,0))+INDEX('Tables - Part 2'!$BF$6:$BI$13,MATCH(SCC_Polythionic_Acid!$V18,'Tables - Part 2'!$AV$6:$AV$13,0),MATCH(SCC_Polythionic_Acid!$S18,'Tables - Part 2'!$AX$5:$BA$5,0)))/2))/2,0)</f>
        <v>0</v>
      </c>
      <c r="AN18" s="248">
        <f>IF($R18=$AN$3,(INDEX('Tables - Part 2'!$BB$6:$BE$13,MATCH(SCC_Polythionic_Acid!$V18,'Tables - Part 2'!$AV$6:$AV$13,0),MATCH(SCC_Polythionic_Acid!$S18,'Tables - Part 2'!$AX$5:$BA$5,0))+INDEX('Tables - Part 2'!$BF$6:$BI$13,MATCH(SCC_Polythionic_Acid!$V18,'Tables - Part 2'!$AV$6:$AV$13,0),MATCH(SCC_Polythionic_Acid!$S18,'Tables - Part 2'!$AX$5:$BA$5,0)))/2,0)</f>
        <v>165</v>
      </c>
      <c r="AO18" s="248">
        <f>IF($R18=$AO$3,(((INDEX('Tables - Part 2'!$BB$6:$BE$13,MATCH(SCC_Polythionic_Acid!$V18,'Tables - Part 2'!$AV$6:$AV$13,0),MATCH(SCC_Polythionic_Acid!$S18,'Tables - Part 2'!$AX$5:$BA$5,0))+INDEX('Tables - Part 2'!$BF$6:$BI$13,MATCH(SCC_Polythionic_Acid!$V18,'Tables - Part 2'!$AV$6:$AV$13,0),MATCH(SCC_Polythionic_Acid!$S18,'Tables - Part 2'!$AX$5:$BA$5,0)))/2)+((((INDEX('Tables - Part 2'!$BB$6:$BE$13,MATCH(SCC_Polythionic_Acid!$V18,'Tables - Part 2'!$AV$6:$AV$13,0),MATCH(SCC_Polythionic_Acid!$S18,'Tables - Part 2'!$AX$5:$BA$5,0))+INDEX('Tables - Part 2'!$BF$6:$BI$13,MATCH(SCC_Polythionic_Acid!$V18,'Tables - Part 2'!$AV$6:$AV$13,0),MATCH(SCC_Polythionic_Acid!$S18,'Tables - Part 2'!$AX$5:$BA$5,0)))/2)+INDEX('Tables - Part 2'!$BF$6:$BI$13,MATCH(SCC_Polythionic_Acid!$V18,'Tables - Part 2'!$AV$6:$AV$13,0),MATCH(SCC_Polythionic_Acid!$S18,'Tables - Part 2'!$AX$5:$BA$5,0)))/2))/2,0)</f>
        <v>0</v>
      </c>
      <c r="AP18" s="248">
        <f>IF($R18=$AP$3,(((INDEX('Tables - Part 2'!$BB$6:$BE$13,MATCH(SCC_Polythionic_Acid!$V18,'Tables - Part 2'!$AV$6:$AV$13,0),MATCH(SCC_Polythionic_Acid!$S18,'Tables - Part 2'!$AX$5:$BA$5,0))+INDEX('Tables - Part 2'!$BF$6:$BI$13,MATCH(SCC_Polythionic_Acid!$V18,'Tables - Part 2'!$AV$6:$AV$13,0),MATCH(SCC_Polythionic_Acid!$S18,'Tables - Part 2'!$AX$5:$BA$5,0)))/2)+INDEX('Tables - Part 2'!$BF$6:$BI$13,MATCH(SCC_Polythionic_Acid!$V18,'Tables - Part 2'!$AV$6:$AV$13,0),MATCH(SCC_Polythionic_Acid!$S18,'Tables - Part 2'!$AX$5:$BA$5,0)))/2,0)</f>
        <v>0</v>
      </c>
      <c r="AQ18" s="248">
        <f>IF($R18=$AQ$3,(((((INDEX('Tables - Part 2'!$BB$6:$BE$13,MATCH(SCC_Polythionic_Acid!$V18,'Tables - Part 2'!$AV$6:$AV$13,0),MATCH(SCC_Polythionic_Acid!$S18,'Tables - Part 2'!$AX$5:$BA$5,0))+INDEX('Tables - Part 2'!$BF$6:$BI$13,MATCH(SCC_Polythionic_Acid!$V18,'Tables - Part 2'!$AV$6:$AV$13,0),MATCH(SCC_Polythionic_Acid!$S18,'Tables - Part 2'!$AX$5:$BA$5,0)))/2)+INDEX('Tables - Part 2'!$BF$6:$BI$13,MATCH(SCC_Polythionic_Acid!$V18,'Tables - Part 2'!$AV$6:$AV$13,0),MATCH(SCC_Polythionic_Acid!$S18,'Tables - Part 2'!$AX$5:$BA$5,0)))/2)+INDEX('Tables - Part 2'!$BF$6:$BI$13,MATCH(SCC_Polythionic_Acid!$V18,'Tables - Part 2'!$AV$6:$AV$13,0),MATCH(SCC_Polythionic_Acid!$S18,'Tables - Part 2'!$AX$5:$BA$5,0)))/2,0)</f>
        <v>0</v>
      </c>
      <c r="AR18" s="248">
        <f>IF($R18=$AR$3,INDEX('Tables - Part 2'!$BF$6:$BI$13,MATCH(SCC_Polythionic_Acid!$V18,'Tables - Part 2'!$AV$6:$AV$13,0),MATCH(SCC_Polythionic_Acid!$S18,'Tables - Part 2'!$AX$5:$BA$5,0)),0)</f>
        <v>0</v>
      </c>
      <c r="AS18" s="248">
        <f>IF($R18=$AS$3,(INDEX('Tables - Part 2'!$BF$6:$BI$13,MATCH(SCC_Polythionic_Acid!$V18,'Tables - Part 2'!$AV$6:$AV$13,0),MATCH(SCC_Polythionic_Acid!$S18,'Tables - Part 2'!$AX$5:$BA$5,0))+((INDEX('Tables - Part 2'!$BF$6:$BI$13,MATCH(SCC_Polythionic_Acid!$V18,'Tables - Part 2'!$AV$6:$AV$13,0),MATCH(SCC_Polythionic_Acid!$S18,'Tables - Part 2'!$AX$5:$BA$5,0))+(INDEX('Tables - Part 2'!$BF$6:$BI$13,MATCH(SCC_Polythionic_Acid!$V18,'Tables - Part 2'!$AV$6:$AV$13,0),MATCH(SCC_Polythionic_Acid!$S18,'Tables - Part 2'!$AX$5:$BA$5,0))+INDEX('Tables - Part 2'!$AX$17:$BA$24,MATCH(SCC_Polythionic_Acid!$V18,'Tables - Part 2'!$AV$6:$AV$13,0),MATCH(SCC_Polythionic_Acid!$S18,'Tables - Part 2'!$AX$5:$BA$5,0)))/2)/2))/2,0)</f>
        <v>0</v>
      </c>
      <c r="AT18" s="248">
        <f>IF($R18=$AT$3,(INDEX('Tables - Part 2'!$BF$6:$BI$13,MATCH(SCC_Polythionic_Acid!$V18,'Tables - Part 2'!$AV$6:$AV$13,0),MATCH(SCC_Polythionic_Acid!$S18,'Tables - Part 2'!$AX$5:$BA$5,0))+(INDEX('Tables - Part 2'!$BF$6:$BI$13,MATCH(SCC_Polythionic_Acid!$V18,'Tables - Part 2'!$AV$6:$AV$13,0),MATCH(SCC_Polythionic_Acid!$S18,'Tables - Part 2'!$AX$5:$BA$5,0))+INDEX('Tables - Part 2'!$AX$17:$BA$24,MATCH(SCC_Polythionic_Acid!$V18,'Tables - Part 2'!$AV$6:$AV$13,0),MATCH(SCC_Polythionic_Acid!$S18,'Tables - Part 2'!$AX$5:$BA$5,0)))/2)/2,0)</f>
        <v>0</v>
      </c>
      <c r="AU18" s="248">
        <f>IF($R18=$AU$3,(((INDEX('Tables - Part 2'!$BF$6:$BI$13,MATCH(SCC_Polythionic_Acid!$V18,'Tables - Part 2'!$AV$6:$AV$13,0),MATCH(SCC_Polythionic_Acid!$S18,'Tables - Part 2'!$AX$5:$BA$5,0))+(INDEX('Tables - Part 2'!$BF$6:$BI$13,MATCH(SCC_Polythionic_Acid!$V18,'Tables - Part 2'!$AV$6:$AV$13,0),MATCH(SCC_Polythionic_Acid!$S18,'Tables - Part 2'!$AX$5:$BA$5,0))+INDEX('Tables - Part 2'!$AX$17:$BA$24,MATCH(SCC_Polythionic_Acid!$V18,'Tables - Part 2'!$AV$6:$AV$13,0),MATCH(SCC_Polythionic_Acid!$S18,'Tables - Part 2'!$AX$5:$BA$5,0)))/2)/2)+((INDEX('Tables - Part 2'!$BF$6:$BI$13,MATCH(SCC_Polythionic_Acid!$V18,'Tables - Part 2'!$AV$6:$AV$13,0),MATCH(SCC_Polythionic_Acid!$S18,'Tables - Part 2'!$AX$5:$BA$5,0))+INDEX('Tables - Part 2'!$AX$17:$BA$24,MATCH(SCC_Polythionic_Acid!$V18,'Tables - Part 2'!$AV$6:$AV$13,0),MATCH(SCC_Polythionic_Acid!$S18,'Tables - Part 2'!$AX$5:$BA$5,0)))/2))/2,0)</f>
        <v>0</v>
      </c>
      <c r="AV18" s="248">
        <f>IF($R18=$AV$3,(INDEX('Tables - Part 2'!$BF$6:$BI$13,MATCH(SCC_Polythionic_Acid!$V18,'Tables - Part 2'!$AV$6:$AV$13,0),MATCH(SCC_Polythionic_Acid!$S18,'Tables - Part 2'!$AX$5:$BA$5,0))+INDEX('Tables - Part 2'!$AX$17:$BA$24,MATCH(SCC_Polythionic_Acid!$V18,'Tables - Part 2'!$AV$6:$AV$13,0),MATCH(SCC_Polythionic_Acid!$S18,'Tables - Part 2'!$AX$5:$BA$5,0)))/2,0)</f>
        <v>0</v>
      </c>
      <c r="AW18" s="248">
        <f>IF($R18=$AW$3,(((INDEX('Tables - Part 2'!$BF$6:$BI$13,MATCH(SCC_Polythionic_Acid!$V18,'Tables - Part 2'!$AV$6:$AV$13,0),MATCH(SCC_Polythionic_Acid!$S18,'Tables - Part 2'!$AX$5:$BA$5,0))+INDEX('Tables - Part 2'!$AX$17:$BA$24,MATCH(SCC_Polythionic_Acid!$V18,'Tables - Part 2'!$AV$6:$AV$13,0),MATCH(SCC_Polythionic_Acid!$S18,'Tables - Part 2'!$AX$5:$BA$5,0)))/2)+((((INDEX('Tables - Part 2'!$BF$6:$BI$13,MATCH(SCC_Polythionic_Acid!$V18,'Tables - Part 2'!$AV$6:$AV$13,0),MATCH(SCC_Polythionic_Acid!$S18,'Tables - Part 2'!$AX$5:$BA$5,0))+INDEX('Tables - Part 2'!$AX$17:$BA$24,MATCH(SCC_Polythionic_Acid!$V18,'Tables - Part 2'!$AV$6:$AV$13,0),MATCH(SCC_Polythionic_Acid!$S18,'Tables - Part 2'!$AX$5:$BA$5,0)))/2)+INDEX('Tables - Part 2'!$AX$17:$BA$24,MATCH(SCC_Polythionic_Acid!$V18,'Tables - Part 2'!$AV$6:$AV$13,0),MATCH(SCC_Polythionic_Acid!$S18,'Tables - Part 2'!$AX$5:$BA$5,0)))/2))/2,0)</f>
        <v>0</v>
      </c>
      <c r="AX18" s="248">
        <f>IF($R18=$AX$3,(((INDEX('Tables - Part 2'!$BF$6:$BI$13,MATCH(SCC_Polythionic_Acid!$V18,'Tables - Part 2'!$AV$6:$AV$13,0),MATCH(SCC_Polythionic_Acid!$S18,'Tables - Part 2'!$AX$5:$BA$5,0))+INDEX('Tables - Part 2'!$AX$17:$BA$24,MATCH(SCC_Polythionic_Acid!$V18,'Tables - Part 2'!$AV$6:$AV$13,0),MATCH(SCC_Polythionic_Acid!$S18,'Tables - Part 2'!$AX$5:$BA$5,0)))/2)+INDEX('Tables - Part 2'!$AX$17:$BA$24,MATCH(SCC_Polythionic_Acid!$V18,'Tables - Part 2'!$AV$6:$AV$13,0),MATCH(SCC_Polythionic_Acid!$S18,'Tables - Part 2'!$AX$5:$BA$5,0)))/2,0)</f>
        <v>0</v>
      </c>
      <c r="AY18" s="248">
        <f>IF($R18=$AY$3,(((((INDEX('Tables - Part 2'!$BF$6:$BI$13,MATCH(SCC_Polythionic_Acid!$V18,'Tables - Part 2'!$AV$6:$AV$13,0),MATCH(SCC_Polythionic_Acid!$S18,'Tables - Part 2'!$AX$5:$BA$5,0))+INDEX('Tables - Part 2'!$AX$17:$BA$24,MATCH(SCC_Polythionic_Acid!$V18,'Tables - Part 2'!$AV$6:$AV$13,0),MATCH(SCC_Polythionic_Acid!$S18,'Tables - Part 2'!$AX$5:$BA$5,0)))/2)+INDEX('Tables - Part 2'!$AX$17:$BA$24,MATCH(SCC_Polythionic_Acid!$V18,'Tables - Part 2'!$AV$6:$AV$13,0),MATCH(SCC_Polythionic_Acid!$S18,'Tables - Part 2'!$AX$5:$BA$5,0)))/2)+(INDEX('Tables - Part 2'!$AX$17:$BA$24,MATCH(SCC_Polythionic_Acid!$V18,'Tables - Part 2'!$AV$6:$AV$13,0),MATCH(SCC_Polythionic_Acid!$S18,'Tables - Part 2'!$AX$5:$BA$5,0))))/2,0)</f>
        <v>0</v>
      </c>
      <c r="AZ18" s="248">
        <f>IF($R18=$AZ$3,INDEX('Tables - Part 2'!$AX$17:$BA$24,MATCH(SCC_Polythionic_Acid!$V18,'Tables - Part 2'!$AV$6:$AV$13,0),MATCH(SCC_Polythionic_Acid!$S18,'Tables - Part 2'!$AX$5:$BA$5,0)),0)</f>
        <v>0</v>
      </c>
      <c r="BA18" s="248">
        <f>IF($R18=$BA$3,((INDEX('Tables - Part 2'!$AX$17:$BA$24,MATCH(SCC_Polythionic_Acid!$V18,'Tables - Part 2'!$AV$6:$AV$13,0),MATCH(SCC_Polythionic_Acid!$S18,'Tables - Part 2'!$AX$5:$BA$5,0)))+(((INDEX('Tables - Part 2'!$AX$17:$BA$24,MATCH(SCC_Polythionic_Acid!$V18,'Tables - Part 2'!$AV$6:$AV$13,0),MATCH(SCC_Polythionic_Acid!$S18,'Tables - Part 2'!$AX$5:$BA$5,0)))+(INDEX('Tables - Part 2'!$AX$17:$BA$24,MATCH(SCC_Polythionic_Acid!$V18,'Tables - Part 2'!$AV$6:$AV$13,0),MATCH(SCC_Polythionic_Acid!$S18,'Tables - Part 2'!$AX$5:$BA$5,0))+INDEX('Tables - Part 2'!$BB$17:$BE$24,MATCH(SCC_Polythionic_Acid!$V18,'Tables - Part 2'!$AV$6:$AV$13,0),MATCH(SCC_Polythionic_Acid!$S18,'Tables - Part 2'!$AX$5:$BA$5,0)))/2)/2))/2,0)</f>
        <v>0</v>
      </c>
      <c r="BB18" s="248">
        <f>IF($R18=$BB$3,((INDEX('Tables - Part 2'!$AX$17:$BA$24,MATCH(SCC_Polythionic_Acid!$V18,'Tables - Part 2'!$AV$6:$AV$13,0),MATCH(SCC_Polythionic_Acid!$S18,'Tables - Part 2'!$AX$5:$BA$5,0)))+(INDEX('Tables - Part 2'!$AX$17:$BA$24,MATCH(SCC_Polythionic_Acid!$V18,'Tables - Part 2'!$AV$6:$AV$13,0),MATCH(SCC_Polythionic_Acid!$S18,'Tables - Part 2'!$AX$5:$BA$5,0))+INDEX('Tables - Part 2'!$BB$17:$BE$24,MATCH(SCC_Polythionic_Acid!$V18,'Tables - Part 2'!$AV$6:$AV$13,0),MATCH(SCC_Polythionic_Acid!$S18,'Tables - Part 2'!$AX$5:$BA$5,0)))/2)/2,0)</f>
        <v>0</v>
      </c>
      <c r="BC18" s="248">
        <f>IF($R18=$BC$3,((((INDEX('Tables - Part 2'!$AX$17:$BA$24,MATCH(SCC_Polythionic_Acid!$V18,'Tables - Part 2'!$AV$6:$AV$13,0),MATCH(SCC_Polythionic_Acid!$S18,'Tables - Part 2'!$AX$5:$BA$5,0)))+(INDEX('Tables - Part 2'!$AX$17:$BA$24,MATCH(SCC_Polythionic_Acid!$V18,'Tables - Part 2'!$AV$6:$AV$13,0),MATCH(SCC_Polythionic_Acid!$S18,'Tables - Part 2'!$AX$5:$BA$5,0))+INDEX('Tables - Part 2'!$BB$17:$BE$24,MATCH(SCC_Polythionic_Acid!$V18,'Tables - Part 2'!$AV$6:$AV$13,0),MATCH(SCC_Polythionic_Acid!$S18,'Tables - Part 2'!$AX$5:$BA$5,0)))/2)/2)+((INDEX('Tables - Part 2'!$AX$17:$BA$24,MATCH(SCC_Polythionic_Acid!$V18,'Tables - Part 2'!$AV$6:$AV$13,0),MATCH(SCC_Polythionic_Acid!$S18,'Tables - Part 2'!$AX$5:$BA$5,0))+INDEX('Tables - Part 2'!$BB$17:$BE$24,MATCH(SCC_Polythionic_Acid!$V18,'Tables - Part 2'!$AV$6:$AV$13,0),MATCH(SCC_Polythionic_Acid!$S18,'Tables - Part 2'!$AX$5:$BA$5,0)))/2))/2,0)</f>
        <v>0</v>
      </c>
      <c r="BD18" s="248">
        <f>IF($R18=$BD$3,(INDEX('Tables - Part 2'!$AX$17:$BA$24,MATCH(SCC_Polythionic_Acid!$V18,'Tables - Part 2'!$AV$6:$AV$13,0),MATCH(SCC_Polythionic_Acid!$S18,'Tables - Part 2'!$AX$5:$BA$5,0))+INDEX('Tables - Part 2'!$BB$17:$BE$24,MATCH(SCC_Polythionic_Acid!$V18,'Tables - Part 2'!$AV$6:$AV$13,0),MATCH(SCC_Polythionic_Acid!$S18,'Tables - Part 2'!$AX$5:$BA$5,0)))/2,0)</f>
        <v>0</v>
      </c>
      <c r="BE18" s="248">
        <f>IF($R18=$BE$3,(((INDEX('Tables - Part 2'!$AX$17:$BA$24,MATCH(SCC_Polythionic_Acid!$V18,'Tables - Part 2'!$AV$6:$AV$13,0),MATCH(SCC_Polythionic_Acid!$S18,'Tables - Part 2'!$AX$5:$BA$5,0))+INDEX('Tables - Part 2'!$BB$17:$BE$24,MATCH(SCC_Polythionic_Acid!$V18,'Tables - Part 2'!$AV$6:$AV$13,0),MATCH(SCC_Polythionic_Acid!$S18,'Tables - Part 2'!$AX$5:$BA$5,0)))/2)+((((INDEX('Tables - Part 2'!$AX$17:$BA$24,MATCH(SCC_Polythionic_Acid!$V18,'Tables - Part 2'!$AV$6:$AV$13,0),MATCH(SCC_Polythionic_Acid!$S18,'Tables - Part 2'!$AX$5:$BA$5,0))+INDEX('Tables - Part 2'!$BB$17:$BE$24,MATCH(SCC_Polythionic_Acid!$V18,'Tables - Part 2'!$AV$6:$AV$13,0),MATCH(SCC_Polythionic_Acid!$S18,'Tables - Part 2'!$AX$5:$BA$5,0)))/2)+INDEX('Tables - Part 2'!$BB$17:$BE$24,MATCH(SCC_Polythionic_Acid!$V18,'Tables - Part 2'!$AV$6:$AV$13,0),MATCH(SCC_Polythionic_Acid!$S18,'Tables - Part 2'!$AX$5:$BA$5,0)))/2))/2,0)</f>
        <v>0</v>
      </c>
      <c r="BF18" s="248">
        <f>IF($R18=$BF$3,(((INDEX('Tables - Part 2'!$AX$17:$BA$24,MATCH(SCC_Polythionic_Acid!$V18,'Tables - Part 2'!$AV$6:$AV$13,0),MATCH(SCC_Polythionic_Acid!$S18,'Tables - Part 2'!$AX$5:$BA$5,0))+INDEX('Tables - Part 2'!$BB$17:$BE$24,MATCH(SCC_Polythionic_Acid!$V18,'Tables - Part 2'!$AV$6:$AV$13,0),MATCH(SCC_Polythionic_Acid!$S18,'Tables - Part 2'!$AX$5:$BA$5,0)))/2)+INDEX('Tables - Part 2'!$BB$17:$BE$24,MATCH(SCC_Polythionic_Acid!$V18,'Tables - Part 2'!$AV$6:$AV$13,0),MATCH(SCC_Polythionic_Acid!$S18,'Tables - Part 2'!$AX$5:$BA$5,0)))/2,0)</f>
        <v>0</v>
      </c>
      <c r="BG18" s="248">
        <f>IF($R18=$BG$3,(((((INDEX('Tables - Part 2'!$AX$17:$BA$24,MATCH(SCC_Polythionic_Acid!$V18,'Tables - Part 2'!$AV$6:$AV$13,0),MATCH(SCC_Polythionic_Acid!$S18,'Tables - Part 2'!$AX$5:$BA$5,0))+INDEX('Tables - Part 2'!$BB$17:$BE$24,MATCH(SCC_Polythionic_Acid!$V18,'Tables - Part 2'!$AV$6:$AV$13,0),MATCH(SCC_Polythionic_Acid!$S18,'Tables - Part 2'!$AX$5:$BA$5,0)))/2)+INDEX('Tables - Part 2'!$BB$17:$BE$24,MATCH(SCC_Polythionic_Acid!$V18,'Tables - Part 2'!$AV$6:$AV$13,0),MATCH(SCC_Polythionic_Acid!$S18,'Tables - Part 2'!$AX$5:$BA$5,0)))/2)+(INDEX('Tables - Part 2'!$BB$17:$BE$24,MATCH(SCC_Polythionic_Acid!$V18,'Tables - Part 2'!$AV$6:$AV$13,0),MATCH(SCC_Polythionic_Acid!$S18,'Tables - Part 2'!$AX$5:$BA$5,0))))/2,0)</f>
        <v>0</v>
      </c>
      <c r="BH18" s="248">
        <f>IF($R18=$BH$3,INDEX('Tables - Part 2'!$BB$17:$BE$24,MATCH(SCC_Polythionic_Acid!$V18,'Tables - Part 2'!$AV$6:$AV$13,0),MATCH(SCC_Polythionic_Acid!$S18,'Tables - Part 2'!$AX$5:$BA$5,0)),0)</f>
        <v>0</v>
      </c>
      <c r="BI18" s="248">
        <f>IF($R18=$BI$3,((INDEX('Tables - Part 2'!$BB$17:$BE$24,MATCH(SCC_Polythionic_Acid!$V18,'Tables - Part 2'!$AV$6:$AV$13,0),MATCH(SCC_Polythionic_Acid!$S18,'Tables - Part 2'!$AX$5:$BA$5,0)))+(((INDEX('Tables - Part 2'!$BB$17:$BE$24,MATCH(SCC_Polythionic_Acid!$V18,'Tables - Part 2'!$AV$6:$AV$13,0),MATCH(SCC_Polythionic_Acid!$S18,'Tables - Part 2'!$AX$5:$BA$5,0)))+(INDEX('Tables - Part 2'!$BB$17:$BE$24,MATCH(SCC_Polythionic_Acid!$V18,'Tables - Part 2'!$AV$6:$AV$13,0),MATCH(SCC_Polythionic_Acid!$S18,'Tables - Part 2'!$AX$5:$BA$5,0))+INDEX('Tables - Part 2'!$BF$17:$BI$24,MATCH(SCC_Polythionic_Acid!$V18,'Tables - Part 2'!$AV$6:$AV$13,0),MATCH(SCC_Polythionic_Acid!$S18,'Tables - Part 2'!$AX$5:$BA$5,0)))/2)/2))/2,0)</f>
        <v>0</v>
      </c>
      <c r="BJ18" s="248">
        <f>IF($R18=$BJ$3,((INDEX('Tables - Part 2'!$BB$17:$BE$24,MATCH(SCC_Polythionic_Acid!$V18,'Tables - Part 2'!$AV$6:$AV$13,0),MATCH(SCC_Polythionic_Acid!$S18,'Tables - Part 2'!$AX$5:$BA$5,0)))+(INDEX('Tables - Part 2'!$BB$17:$BE$24,MATCH(SCC_Polythionic_Acid!$V18,'Tables - Part 2'!$AV$6:$AV$13,0),MATCH(SCC_Polythionic_Acid!$S18,'Tables - Part 2'!$AX$5:$BA$5,0))+INDEX('Tables - Part 2'!$BF$17:$BI$24,MATCH(SCC_Polythionic_Acid!$V18,'Tables - Part 2'!$AV$6:$AV$13,0),MATCH(SCC_Polythionic_Acid!$S18,'Tables - Part 2'!$AX$5:$BA$5,0)))/2)/2,0)</f>
        <v>0</v>
      </c>
      <c r="BK18" s="248">
        <f>IF($R18=$BK$3,((((INDEX('Tables - Part 2'!$BB$17:$BE$24,MATCH(SCC_Polythionic_Acid!$V18,'Tables - Part 2'!$AV$6:$AV$13,0),MATCH(SCC_Polythionic_Acid!$S18,'Tables - Part 2'!$AX$5:$BA$5,0)))+(INDEX('Tables - Part 2'!$BB$17:$BE$24,MATCH(SCC_Polythionic_Acid!$V18,'Tables - Part 2'!$AV$6:$AV$13,0),MATCH(SCC_Polythionic_Acid!$S18,'Tables - Part 2'!$AX$5:$BA$5,0))+INDEX('Tables - Part 2'!$BF$17:$BI$24,MATCH(SCC_Polythionic_Acid!$V18,'Tables - Part 2'!$AV$6:$AV$13,0),MATCH(SCC_Polythionic_Acid!$S18,'Tables - Part 2'!$AX$5:$BA$5,0)))/2)/2)+((INDEX('Tables - Part 2'!$BB$17:$BE$24,MATCH(SCC_Polythionic_Acid!$V18,'Tables - Part 2'!$AV$6:$AV$13,0),MATCH(SCC_Polythionic_Acid!$S18,'Tables - Part 2'!$AX$5:$BA$5,0))+INDEX('Tables - Part 2'!$BF$17:$BI$24,MATCH(SCC_Polythionic_Acid!$V18,'Tables - Part 2'!$AV$6:$AV$13,0),MATCH(SCC_Polythionic_Acid!$S18,'Tables - Part 2'!$AX$5:$BA$5,0)))/2))/2,0)</f>
        <v>0</v>
      </c>
      <c r="BL18" s="248">
        <f>IF($R18=$BL$3,(INDEX('Tables - Part 2'!$BB$17:$BE$24,MATCH(SCC_Polythionic_Acid!$V18,'Tables - Part 2'!$AV$6:$AV$13,0),MATCH(SCC_Polythionic_Acid!$S18,'Tables - Part 2'!$AX$5:$BA$5,0))+INDEX('Tables - Part 2'!$BF$17:$BI$24,MATCH(SCC_Polythionic_Acid!$V18,'Tables - Part 2'!$AV$6:$AV$13,0),MATCH(SCC_Polythionic_Acid!$S18,'Tables - Part 2'!$AX$5:$BA$5,0)))/2,0)</f>
        <v>0</v>
      </c>
      <c r="BM18" s="248">
        <f>IF($R18=$BM$3,(((INDEX('Tables - Part 2'!$BB$17:$BE$24,MATCH(SCC_Polythionic_Acid!$V18,'Tables - Part 2'!$AV$6:$AV$13,0),MATCH(SCC_Polythionic_Acid!$S18,'Tables - Part 2'!$AX$5:$BA$5,0))+INDEX('Tables - Part 2'!$BF$17:$BI$24,MATCH(SCC_Polythionic_Acid!$V18,'Tables - Part 2'!$AV$6:$AV$13,0),MATCH(SCC_Polythionic_Acid!$S18,'Tables - Part 2'!$AX$5:$BA$5,0)))/2)+((((INDEX('Tables - Part 2'!$BB$17:$BE$24,MATCH(SCC_Polythionic_Acid!$V18,'Tables - Part 2'!$AV$6:$AV$13,0),MATCH(SCC_Polythionic_Acid!$S18,'Tables - Part 2'!$AX$5:$BA$5,0))+INDEX('Tables - Part 2'!$BF$17:$BI$24,MATCH(SCC_Polythionic_Acid!$V18,'Tables - Part 2'!$AV$6:$AV$13,0),MATCH(SCC_Polythionic_Acid!$S18,'Tables - Part 2'!$AX$5:$BA$5,0)))/2)+INDEX('Tables - Part 2'!$BF$17:$BI$24,MATCH(SCC_Polythionic_Acid!$V18,'Tables - Part 2'!$AV$6:$AV$13,0),MATCH(SCC_Polythionic_Acid!$S18,'Tables - Part 2'!$AX$5:$BA$5,0)))/2))/2,0)</f>
        <v>0</v>
      </c>
      <c r="BN18" s="248">
        <f>IF($R18=$BN$3,(((INDEX('Tables - Part 2'!$BB$17:$BE$24,MATCH(SCC_Polythionic_Acid!$V18,'Tables - Part 2'!$AV$6:$AV$13,0),MATCH(SCC_Polythionic_Acid!$S18,'Tables - Part 2'!$AX$5:$BA$5,0))+INDEX('Tables - Part 2'!$BF$17:$BI$24,MATCH(SCC_Polythionic_Acid!$V18,'Tables - Part 2'!$AV$6:$AV$13,0),MATCH(SCC_Polythionic_Acid!$S18,'Tables - Part 2'!$AX$5:$BA$5,0)))/2)+INDEX('Tables - Part 2'!$BF$17:$BI$24,MATCH(SCC_Polythionic_Acid!$V18,'Tables - Part 2'!$AV$6:$AV$13,0),MATCH(SCC_Polythionic_Acid!$S18,'Tables - Part 2'!$AX$5:$BA$5,0)))/2,0)</f>
        <v>0</v>
      </c>
      <c r="BO18" s="248">
        <f>IF($R18=$BO$3,(((((INDEX('Tables - Part 2'!$BB$17:$BE$24,MATCH(SCC_Polythionic_Acid!$V18,'Tables - Part 2'!$AV$6:$AV$13,0),MATCH(SCC_Polythionic_Acid!$S18,'Tables - Part 2'!$AX$5:$BA$5,0))+INDEX('Tables - Part 2'!$BF$17:$BI$24,MATCH(SCC_Polythionic_Acid!$V18,'Tables - Part 2'!$AV$6:$AV$13,0),MATCH(SCC_Polythionic_Acid!$S18,'Tables - Part 2'!$AX$5:$BA$5,0)))/2)+INDEX('Tables - Part 2'!$BF$17:$BI$24,MATCH(SCC_Polythionic_Acid!$V18,'Tables - Part 2'!$AV$6:$AV$13,0),MATCH(SCC_Polythionic_Acid!$S18,'Tables - Part 2'!$AX$5:$BA$5,0)))/2)+(INDEX('Tables - Part 2'!$BF$17:$BI$24,MATCH(SCC_Polythionic_Acid!$V18,'Tables - Part 2'!$AV$6:$AV$13,0),MATCH(SCC_Polythionic_Acid!$S18,'Tables - Part 2'!$AX$5:$BA$5,0))))/2,0)</f>
        <v>0</v>
      </c>
      <c r="BP18" s="248">
        <f>IF($R18=$BP$3,INDEX('Tables - Part 2'!$BF$17:$BI$24,MATCH(SCC_Polythionic_Acid!$V18,'Tables - Part 2'!$AV$6:$AV$13,0),MATCH(SCC_Polythionic_Acid!$S18,'Tables - Part 2'!$AX$5:$BA$5,0)),0)</f>
        <v>0</v>
      </c>
      <c r="BQ18" s="248">
        <f t="shared" si="5"/>
        <v>0</v>
      </c>
      <c r="BR18" s="238">
        <f t="shared" si="8"/>
        <v>165</v>
      </c>
      <c r="BS18" s="238">
        <f t="shared" si="9"/>
        <v>2767.5256072873844</v>
      </c>
    </row>
    <row r="19" spans="2:71" x14ac:dyDescent="0.35">
      <c r="B19" s="161" t="str">
        <f>'Tratamento de Dados'!B27</f>
        <v>V-8</v>
      </c>
      <c r="C19" s="161" t="str">
        <f>'Tratamento de Dados'!D27</f>
        <v>Casco</v>
      </c>
      <c r="D19" s="209" t="s">
        <v>244</v>
      </c>
      <c r="E19" s="209" t="s">
        <v>244</v>
      </c>
      <c r="F19" s="209" t="s">
        <v>244</v>
      </c>
      <c r="G19" s="209" t="s">
        <v>244</v>
      </c>
      <c r="H19" s="209" t="s">
        <v>1145</v>
      </c>
      <c r="I19" s="247">
        <f>'Tratamento de Dados'!S27</f>
        <v>2</v>
      </c>
      <c r="J19" s="209" t="s">
        <v>1146</v>
      </c>
      <c r="K19" s="210">
        <v>39092</v>
      </c>
      <c r="L19" s="209">
        <v>0</v>
      </c>
      <c r="M19" s="209">
        <v>1</v>
      </c>
      <c r="N19" s="209">
        <v>1</v>
      </c>
      <c r="O19" s="209">
        <v>4</v>
      </c>
      <c r="P19" s="253">
        <f>'Tratamento de Dados'!DA27</f>
        <v>0</v>
      </c>
      <c r="Q19" s="253">
        <f>'Tratamento de Dados'!DB27</f>
        <v>0</v>
      </c>
      <c r="R19" s="256">
        <f t="shared" si="0"/>
        <v>2.5</v>
      </c>
      <c r="S19" s="246" t="str">
        <f t="shared" si="1"/>
        <v>B</v>
      </c>
      <c r="T19" s="238" t="str">
        <f>IF(D19=$BX$2,$BV$5,IF(F19=$BX$3,$BV$2,INDEX(IF(I19&lt;427,'Tables - Part 2'!$DH$6:$DJ$10,'Tables - Part 2'!$DH$14:$DJ$18),MATCH(SCC_Polythionic_Acid!H19,'Tables - Part 2'!$DG$6:$DG$10,0),MATCH(J19,'Tables - Part 2'!$DH$5:$DJ$5,0))))</f>
        <v>High</v>
      </c>
      <c r="U19" s="238" t="str">
        <f t="shared" si="6"/>
        <v>High</v>
      </c>
      <c r="V19" s="238">
        <f>IF(AND(D19=$BX$2,E19&lt;&gt;$BX$2),"Fitness-For-Service",INDEX('Tables - Part 2'!$DM$4:$DM$7,MATCH(SCC_Polythionic_Acid!U19,'Tables - Part 2'!$DL$4:$DL$7,0),))</f>
        <v>5000</v>
      </c>
      <c r="W19" s="238">
        <f>IF(K19=0,(Thinning!G20-Thinning!F20)/365.25,(Thinning!G20-K19)/365.25)</f>
        <v>12.980150581793293</v>
      </c>
      <c r="X19" s="248">
        <f t="shared" si="2"/>
        <v>0</v>
      </c>
      <c r="Y19" s="248">
        <f t="shared" si="3"/>
        <v>2.5</v>
      </c>
      <c r="Z19" s="247">
        <f t="shared" si="7"/>
        <v>3</v>
      </c>
      <c r="AA19" s="247">
        <f t="shared" si="4"/>
        <v>4</v>
      </c>
      <c r="AB19" s="248">
        <f>IF($R19=$AB$3,INDEX('Tables - Part 2'!$AX$6:$BA$13,MATCH(SCC_Polythionic_Acid!V19,'Tables - Part 2'!$AV$6:$AV$13,0),MATCH(SCC_Polythionic_Acid!S19,'Tables - Part 2'!$AX$5:$BA$5,0)),0)</f>
        <v>0</v>
      </c>
      <c r="AC19" s="248">
        <f>IF($R19=$AC$3,(INDEX('Tables - Part 2'!$AX$6:$BA$13,MATCH(SCC_Polythionic_Acid!V19,'Tables - Part 2'!$AV$6:$AV$13,0),MATCH(SCC_Polythionic_Acid!S19,'Tables - Part 2'!$AX$5:$BA$5,0))+(INDEX('Tables - Part 2'!$AX$6:$BA$13,MATCH(SCC_Polythionic_Acid!V19,'Tables - Part 2'!$AV$6:$AV$13,0),MATCH(SCC_Polythionic_Acid!S19,'Tables - Part 2'!$AX$5:$BA$5,0))+((INDEX('Tables - Part 2'!$AX$6:$BA$13,MATCH(SCC_Polythionic_Acid!V19,'Tables - Part 2'!$AV$6:$AV$13,0),MATCH(SCC_Polythionic_Acid!S19,'Tables - Part 2'!$AX$5:$BA$5,0))+INDEX('Tables - Part 2'!$BB$6:$BE$13,MATCH(SCC_Polythionic_Acid!$V19,'Tables - Part 2'!$AV$6:$AV$13,0),MATCH(SCC_Polythionic_Acid!$S19,'Tables - Part 2'!$AX$5:$BA$5,0)))/2))/2)/2,0)</f>
        <v>0</v>
      </c>
      <c r="AD19" s="248">
        <f>IF($R19=$AD$3,(INDEX('Tables - Part 2'!$AX$6:$BA$13,MATCH(SCC_Polythionic_Acid!V19,'Tables - Part 2'!$AV$6:$AV$13,0),MATCH(SCC_Polythionic_Acid!S19,'Tables - Part 2'!$AX$5:$BA$5,0))+((INDEX('Tables - Part 2'!$AX$6:$BA$13,MATCH(SCC_Polythionic_Acid!V19,'Tables - Part 2'!$AV$6:$AV$13,0),MATCH(SCC_Polythionic_Acid!S19,'Tables - Part 2'!$AX$5:$BA$5,0))+INDEX('Tables - Part 2'!$BB$6:$BE$13,MATCH(SCC_Polythionic_Acid!$V19,'Tables - Part 2'!$AV$6:$AV$13,0),MATCH(SCC_Polythionic_Acid!$S19,'Tables - Part 2'!$AX$5:$BA$5,0)))/2))/2,0)</f>
        <v>0</v>
      </c>
      <c r="AE19" s="248">
        <f>IF($R19=$AE$3,(((INDEX('Tables - Part 2'!$AX$6:$BA$13,MATCH(SCC_Polythionic_Acid!V19,'Tables - Part 2'!$AV$6:$AV$13,0),MATCH(SCC_Polythionic_Acid!S19,'Tables - Part 2'!$AX$5:$BA$5,0))+((INDEX('Tables - Part 2'!$AX$6:$BA$13,MATCH(SCC_Polythionic_Acid!V19,'Tables - Part 2'!$AV$6:$AV$13,0),MATCH(SCC_Polythionic_Acid!S19,'Tables - Part 2'!$AX$5:$BA$5,0))+INDEX('Tables - Part 2'!$BB$6:$BE$13,MATCH(SCC_Polythionic_Acid!$V19,'Tables - Part 2'!$AV$6:$AV$13,0),MATCH(SCC_Polythionic_Acid!$S19,'Tables - Part 2'!$AX$5:$BA$5,0)))/2))/2)+(INDEX('Tables - Part 2'!$AX$6:$BA$13,MATCH(SCC_Polythionic_Acid!V19,'Tables - Part 2'!$AV$6:$AV$13,0),MATCH(SCC_Polythionic_Acid!S19,'Tables - Part 2'!$AX$5:$BA$5,0))+INDEX('Tables - Part 2'!$BB$6:$BE$13,MATCH(SCC_Polythionic_Acid!$V19,'Tables - Part 2'!$AV$6:$AV$13,0),MATCH(SCC_Polythionic_Acid!$S19,'Tables - Part 2'!$AX$5:$BA$5,0)))/2)/2,0)</f>
        <v>0</v>
      </c>
      <c r="AF19" s="248">
        <f>IF($R19=$AF$3,(INDEX('Tables - Part 2'!$AX$6:$BA$13,MATCH(SCC_Polythionic_Acid!V19,'Tables - Part 2'!$AV$6:$AV$13,0),MATCH(SCC_Polythionic_Acid!S19,'Tables - Part 2'!$AX$5:$BA$5,0))+INDEX('Tables - Part 2'!$BB$6:$BE$13,MATCH(SCC_Polythionic_Acid!$V19,'Tables - Part 2'!$AV$6:$AV$13,0),MATCH(SCC_Polythionic_Acid!$S19,'Tables - Part 2'!$AX$5:$BA$5,0)))/2,0)</f>
        <v>0</v>
      </c>
      <c r="AG19" s="248">
        <f>IF($R19=$AG$3,(((INDEX('Tables - Part 2'!$AX$6:$BA$13,MATCH(SCC_Polythionic_Acid!V19,'Tables - Part 2'!$AV$6:$AV$13,0),MATCH(SCC_Polythionic_Acid!S19,'Tables - Part 2'!$AX$5:$BA$5,0))+INDEX('Tables - Part 2'!$BB$6:$BE$13,MATCH(SCC_Polythionic_Acid!$V19,'Tables - Part 2'!$AV$6:$AV$13,0),MATCH(SCC_Polythionic_Acid!$S19,'Tables - Part 2'!$AX$5:$BA$5,0)))/2)+(((INDEX('Tables - Part 2'!$AX$6:$BA$13,MATCH(SCC_Polythionic_Acid!V19,'Tables - Part 2'!$AV$6:$AV$13,0),MATCH(SCC_Polythionic_Acid!S19,'Tables - Part 2'!$AX$5:$BA$5,0))+INDEX('Tables - Part 2'!$BB$6:$BE$13,MATCH(SCC_Polythionic_Acid!$V19,'Tables - Part 2'!$AV$6:$AV$13,0),MATCH(SCC_Polythionic_Acid!$S19,'Tables - Part 2'!$AX$5:$BA$5,0)))/2)+INDEX('Tables - Part 2'!$BB$6:$BE$13,MATCH(SCC_Polythionic_Acid!$V19,'Tables - Part 2'!$AV$6:$AV$13,0),MATCH(SCC_Polythionic_Acid!$S19,'Tables - Part 2'!$AX$5:$BA$5,0)))/2)/2,0)</f>
        <v>0</v>
      </c>
      <c r="AH19" s="248">
        <f>IF($R19=$AH$3,(((INDEX('Tables - Part 2'!$AX$6:$BA$13,MATCH(SCC_Polythionic_Acid!V19,'Tables - Part 2'!$AV$6:$AV$13,0),MATCH(SCC_Polythionic_Acid!S19,'Tables - Part 2'!$AX$5:$BA$5,0))+INDEX('Tables - Part 2'!$BB$6:$BE$13,MATCH(SCC_Polythionic_Acid!$V19,'Tables - Part 2'!$AV$6:$AV$13,0),MATCH(SCC_Polythionic_Acid!$S19,'Tables - Part 2'!$AX$5:$BA$5,0)))/2)+INDEX('Tables - Part 2'!$BB$6:$BE$13,MATCH(SCC_Polythionic_Acid!$V19,'Tables - Part 2'!$AV$6:$AV$13,0),MATCH(SCC_Polythionic_Acid!$S19,'Tables - Part 2'!$AX$5:$BA$5,0)))/2,0)</f>
        <v>0</v>
      </c>
      <c r="AI19" s="248">
        <f>IF($R19=$AI$3,(((((INDEX('Tables - Part 2'!$AX$6:$BA$13,MATCH(SCC_Polythionic_Acid!V19,'Tables - Part 2'!$AV$6:$AV$13,0),MATCH(SCC_Polythionic_Acid!S19,'Tables - Part 2'!$AX$5:$BA$5,0))+INDEX('Tables - Part 2'!$BB$6:$BE$13,MATCH(SCC_Polythionic_Acid!$V19,'Tables - Part 2'!$AV$6:$AV$13,0),MATCH(SCC_Polythionic_Acid!$S19,'Tables - Part 2'!$AX$5:$BA$5,0)))/2)+INDEX('Tables - Part 2'!$BB$6:$BE$13,MATCH(SCC_Polythionic_Acid!$V19,'Tables - Part 2'!$AV$6:$AV$13,0),MATCH(SCC_Polythionic_Acid!$S19,'Tables - Part 2'!$AX$5:$BA$5,0)))/2)+INDEX('Tables - Part 2'!$BB$6:$BE$13,MATCH(SCC_Polythionic_Acid!$V19,'Tables - Part 2'!$AV$6:$AV$13,0),MATCH(SCC_Polythionic_Acid!$S19,'Tables - Part 2'!$AX$5:$BA$5,0)))/2,0)</f>
        <v>0</v>
      </c>
      <c r="AJ19" s="248">
        <f>IF($R19=$AJ$3,INDEX('Tables - Part 2'!$BB$6:$BE$13,MATCH(SCC_Polythionic_Acid!$V19,'Tables - Part 2'!$AV$6:$AV$13,0),MATCH(SCC_Polythionic_Acid!$S19,'Tables - Part 2'!$AX$5:$BA$5,0)),0)</f>
        <v>0</v>
      </c>
      <c r="AK19" s="248">
        <f>IF($R19=$AK$3,((INDEX('Tables - Part 2'!$BB$6:$BE$13,MATCH(SCC_Polythionic_Acid!$V19,'Tables - Part 2'!$AV$6:$AV$13,0),MATCH(SCC_Polythionic_Acid!$S19,'Tables - Part 2'!$AX$5:$BA$5,0)))+(INDEX('Tables - Part 2'!$BB$6:$BE$13,MATCH(SCC_Polythionic_Acid!$V19,'Tables - Part 2'!$AV$6:$AV$13,0),MATCH(SCC_Polythionic_Acid!$S19,'Tables - Part 2'!$AX$5:$BA$5,0))+(INDEX('Tables - Part 2'!$BB$6:$BE$13,MATCH(SCC_Polythionic_Acid!$V19,'Tables - Part 2'!$AV$6:$AV$13,0),MATCH(SCC_Polythionic_Acid!$S19,'Tables - Part 2'!$AX$5:$BA$5,0))+INDEX('Tables - Part 2'!$BF$6:$BI$13,MATCH(SCC_Polythionic_Acid!$V19,'Tables - Part 2'!$AV$6:$AV$13,0),MATCH(SCC_Polythionic_Acid!$S19,'Tables - Part 2'!$AX$5:$BA$5,0)))/2)/2)/2,0)</f>
        <v>0</v>
      </c>
      <c r="AL19" s="248">
        <f>IF($R19=$AL$3,(INDEX('Tables - Part 2'!$BB$6:$BE$13,MATCH(SCC_Polythionic_Acid!$V19,'Tables - Part 2'!$AV$6:$AV$13,0),MATCH(SCC_Polythionic_Acid!$S19,'Tables - Part 2'!$AX$5:$BA$5,0))+(INDEX('Tables - Part 2'!$BB$6:$BE$13,MATCH(SCC_Polythionic_Acid!$V19,'Tables - Part 2'!$AV$6:$AV$13,0),MATCH(SCC_Polythionic_Acid!$S19,'Tables - Part 2'!$AX$5:$BA$5,0))+INDEX('Tables - Part 2'!$BF$6:$BI$13,MATCH(SCC_Polythionic_Acid!$V19,'Tables - Part 2'!$AV$6:$AV$13,0),MATCH(SCC_Polythionic_Acid!$S19,'Tables - Part 2'!$AX$5:$BA$5,0)))/2)/2,0)</f>
        <v>0</v>
      </c>
      <c r="AM19" s="248">
        <f>IF($R19=$AM$3,(((INDEX('Tables - Part 2'!$BB$6:$BE$13,MATCH(SCC_Polythionic_Acid!$V19,'Tables - Part 2'!$AV$6:$AV$13,0),MATCH(SCC_Polythionic_Acid!$S19,'Tables - Part 2'!$AX$5:$BA$5,0))+(INDEX('Tables - Part 2'!$BB$6:$BE$13,MATCH(SCC_Polythionic_Acid!$V19,'Tables - Part 2'!$AV$6:$AV$13,0),MATCH(SCC_Polythionic_Acid!$S19,'Tables - Part 2'!$AX$5:$BA$5,0))+INDEX('Tables - Part 2'!$BF$6:$BI$13,MATCH(SCC_Polythionic_Acid!$V19,'Tables - Part 2'!$AV$6:$AV$13,0),MATCH(SCC_Polythionic_Acid!$S19,'Tables - Part 2'!$AX$5:$BA$5,0)))/2)/2)+((INDEX('Tables - Part 2'!$BB$6:$BE$13,MATCH(SCC_Polythionic_Acid!$V19,'Tables - Part 2'!$AV$6:$AV$13,0),MATCH(SCC_Polythionic_Acid!$S19,'Tables - Part 2'!$AX$5:$BA$5,0))+INDEX('Tables - Part 2'!$BF$6:$BI$13,MATCH(SCC_Polythionic_Acid!$V19,'Tables - Part 2'!$AV$6:$AV$13,0),MATCH(SCC_Polythionic_Acid!$S19,'Tables - Part 2'!$AX$5:$BA$5,0)))/2))/2,0)</f>
        <v>0</v>
      </c>
      <c r="AN19" s="248">
        <f>IF($R19=$AN$3,(INDEX('Tables - Part 2'!$BB$6:$BE$13,MATCH(SCC_Polythionic_Acid!$V19,'Tables - Part 2'!$AV$6:$AV$13,0),MATCH(SCC_Polythionic_Acid!$S19,'Tables - Part 2'!$AX$5:$BA$5,0))+INDEX('Tables - Part 2'!$BF$6:$BI$13,MATCH(SCC_Polythionic_Acid!$V19,'Tables - Part 2'!$AV$6:$AV$13,0),MATCH(SCC_Polythionic_Acid!$S19,'Tables - Part 2'!$AX$5:$BA$5,0)))/2,0)</f>
        <v>165</v>
      </c>
      <c r="AO19" s="248">
        <f>IF($R19=$AO$3,(((INDEX('Tables - Part 2'!$BB$6:$BE$13,MATCH(SCC_Polythionic_Acid!$V19,'Tables - Part 2'!$AV$6:$AV$13,0),MATCH(SCC_Polythionic_Acid!$S19,'Tables - Part 2'!$AX$5:$BA$5,0))+INDEX('Tables - Part 2'!$BF$6:$BI$13,MATCH(SCC_Polythionic_Acid!$V19,'Tables - Part 2'!$AV$6:$AV$13,0),MATCH(SCC_Polythionic_Acid!$S19,'Tables - Part 2'!$AX$5:$BA$5,0)))/2)+((((INDEX('Tables - Part 2'!$BB$6:$BE$13,MATCH(SCC_Polythionic_Acid!$V19,'Tables - Part 2'!$AV$6:$AV$13,0),MATCH(SCC_Polythionic_Acid!$S19,'Tables - Part 2'!$AX$5:$BA$5,0))+INDEX('Tables - Part 2'!$BF$6:$BI$13,MATCH(SCC_Polythionic_Acid!$V19,'Tables - Part 2'!$AV$6:$AV$13,0),MATCH(SCC_Polythionic_Acid!$S19,'Tables - Part 2'!$AX$5:$BA$5,0)))/2)+INDEX('Tables - Part 2'!$BF$6:$BI$13,MATCH(SCC_Polythionic_Acid!$V19,'Tables - Part 2'!$AV$6:$AV$13,0),MATCH(SCC_Polythionic_Acid!$S19,'Tables - Part 2'!$AX$5:$BA$5,0)))/2))/2,0)</f>
        <v>0</v>
      </c>
      <c r="AP19" s="248">
        <f>IF($R19=$AP$3,(((INDEX('Tables - Part 2'!$BB$6:$BE$13,MATCH(SCC_Polythionic_Acid!$V19,'Tables - Part 2'!$AV$6:$AV$13,0),MATCH(SCC_Polythionic_Acid!$S19,'Tables - Part 2'!$AX$5:$BA$5,0))+INDEX('Tables - Part 2'!$BF$6:$BI$13,MATCH(SCC_Polythionic_Acid!$V19,'Tables - Part 2'!$AV$6:$AV$13,0),MATCH(SCC_Polythionic_Acid!$S19,'Tables - Part 2'!$AX$5:$BA$5,0)))/2)+INDEX('Tables - Part 2'!$BF$6:$BI$13,MATCH(SCC_Polythionic_Acid!$V19,'Tables - Part 2'!$AV$6:$AV$13,0),MATCH(SCC_Polythionic_Acid!$S19,'Tables - Part 2'!$AX$5:$BA$5,0)))/2,0)</f>
        <v>0</v>
      </c>
      <c r="AQ19" s="248">
        <f>IF($R19=$AQ$3,(((((INDEX('Tables - Part 2'!$BB$6:$BE$13,MATCH(SCC_Polythionic_Acid!$V19,'Tables - Part 2'!$AV$6:$AV$13,0),MATCH(SCC_Polythionic_Acid!$S19,'Tables - Part 2'!$AX$5:$BA$5,0))+INDEX('Tables - Part 2'!$BF$6:$BI$13,MATCH(SCC_Polythionic_Acid!$V19,'Tables - Part 2'!$AV$6:$AV$13,0),MATCH(SCC_Polythionic_Acid!$S19,'Tables - Part 2'!$AX$5:$BA$5,0)))/2)+INDEX('Tables - Part 2'!$BF$6:$BI$13,MATCH(SCC_Polythionic_Acid!$V19,'Tables - Part 2'!$AV$6:$AV$13,0),MATCH(SCC_Polythionic_Acid!$S19,'Tables - Part 2'!$AX$5:$BA$5,0)))/2)+INDEX('Tables - Part 2'!$BF$6:$BI$13,MATCH(SCC_Polythionic_Acid!$V19,'Tables - Part 2'!$AV$6:$AV$13,0),MATCH(SCC_Polythionic_Acid!$S19,'Tables - Part 2'!$AX$5:$BA$5,0)))/2,0)</f>
        <v>0</v>
      </c>
      <c r="AR19" s="248">
        <f>IF($R19=$AR$3,INDEX('Tables - Part 2'!$BF$6:$BI$13,MATCH(SCC_Polythionic_Acid!$V19,'Tables - Part 2'!$AV$6:$AV$13,0),MATCH(SCC_Polythionic_Acid!$S19,'Tables - Part 2'!$AX$5:$BA$5,0)),0)</f>
        <v>0</v>
      </c>
      <c r="AS19" s="248">
        <f>IF($R19=$AS$3,(INDEX('Tables - Part 2'!$BF$6:$BI$13,MATCH(SCC_Polythionic_Acid!$V19,'Tables - Part 2'!$AV$6:$AV$13,0),MATCH(SCC_Polythionic_Acid!$S19,'Tables - Part 2'!$AX$5:$BA$5,0))+((INDEX('Tables - Part 2'!$BF$6:$BI$13,MATCH(SCC_Polythionic_Acid!$V19,'Tables - Part 2'!$AV$6:$AV$13,0),MATCH(SCC_Polythionic_Acid!$S19,'Tables - Part 2'!$AX$5:$BA$5,0))+(INDEX('Tables - Part 2'!$BF$6:$BI$13,MATCH(SCC_Polythionic_Acid!$V19,'Tables - Part 2'!$AV$6:$AV$13,0),MATCH(SCC_Polythionic_Acid!$S19,'Tables - Part 2'!$AX$5:$BA$5,0))+INDEX('Tables - Part 2'!$AX$17:$BA$24,MATCH(SCC_Polythionic_Acid!$V19,'Tables - Part 2'!$AV$6:$AV$13,0),MATCH(SCC_Polythionic_Acid!$S19,'Tables - Part 2'!$AX$5:$BA$5,0)))/2)/2))/2,0)</f>
        <v>0</v>
      </c>
      <c r="AT19" s="248">
        <f>IF($R19=$AT$3,(INDEX('Tables - Part 2'!$BF$6:$BI$13,MATCH(SCC_Polythionic_Acid!$V19,'Tables - Part 2'!$AV$6:$AV$13,0),MATCH(SCC_Polythionic_Acid!$S19,'Tables - Part 2'!$AX$5:$BA$5,0))+(INDEX('Tables - Part 2'!$BF$6:$BI$13,MATCH(SCC_Polythionic_Acid!$V19,'Tables - Part 2'!$AV$6:$AV$13,0),MATCH(SCC_Polythionic_Acid!$S19,'Tables - Part 2'!$AX$5:$BA$5,0))+INDEX('Tables - Part 2'!$AX$17:$BA$24,MATCH(SCC_Polythionic_Acid!$V19,'Tables - Part 2'!$AV$6:$AV$13,0),MATCH(SCC_Polythionic_Acid!$S19,'Tables - Part 2'!$AX$5:$BA$5,0)))/2)/2,0)</f>
        <v>0</v>
      </c>
      <c r="AU19" s="248">
        <f>IF($R19=$AU$3,(((INDEX('Tables - Part 2'!$BF$6:$BI$13,MATCH(SCC_Polythionic_Acid!$V19,'Tables - Part 2'!$AV$6:$AV$13,0),MATCH(SCC_Polythionic_Acid!$S19,'Tables - Part 2'!$AX$5:$BA$5,0))+(INDEX('Tables - Part 2'!$BF$6:$BI$13,MATCH(SCC_Polythionic_Acid!$V19,'Tables - Part 2'!$AV$6:$AV$13,0),MATCH(SCC_Polythionic_Acid!$S19,'Tables - Part 2'!$AX$5:$BA$5,0))+INDEX('Tables - Part 2'!$AX$17:$BA$24,MATCH(SCC_Polythionic_Acid!$V19,'Tables - Part 2'!$AV$6:$AV$13,0),MATCH(SCC_Polythionic_Acid!$S19,'Tables - Part 2'!$AX$5:$BA$5,0)))/2)/2)+((INDEX('Tables - Part 2'!$BF$6:$BI$13,MATCH(SCC_Polythionic_Acid!$V19,'Tables - Part 2'!$AV$6:$AV$13,0),MATCH(SCC_Polythionic_Acid!$S19,'Tables - Part 2'!$AX$5:$BA$5,0))+INDEX('Tables - Part 2'!$AX$17:$BA$24,MATCH(SCC_Polythionic_Acid!$V19,'Tables - Part 2'!$AV$6:$AV$13,0),MATCH(SCC_Polythionic_Acid!$S19,'Tables - Part 2'!$AX$5:$BA$5,0)))/2))/2,0)</f>
        <v>0</v>
      </c>
      <c r="AV19" s="248">
        <f>IF($R19=$AV$3,(INDEX('Tables - Part 2'!$BF$6:$BI$13,MATCH(SCC_Polythionic_Acid!$V19,'Tables - Part 2'!$AV$6:$AV$13,0),MATCH(SCC_Polythionic_Acid!$S19,'Tables - Part 2'!$AX$5:$BA$5,0))+INDEX('Tables - Part 2'!$AX$17:$BA$24,MATCH(SCC_Polythionic_Acid!$V19,'Tables - Part 2'!$AV$6:$AV$13,0),MATCH(SCC_Polythionic_Acid!$S19,'Tables - Part 2'!$AX$5:$BA$5,0)))/2,0)</f>
        <v>0</v>
      </c>
      <c r="AW19" s="248">
        <f>IF($R19=$AW$3,(((INDEX('Tables - Part 2'!$BF$6:$BI$13,MATCH(SCC_Polythionic_Acid!$V19,'Tables - Part 2'!$AV$6:$AV$13,0),MATCH(SCC_Polythionic_Acid!$S19,'Tables - Part 2'!$AX$5:$BA$5,0))+INDEX('Tables - Part 2'!$AX$17:$BA$24,MATCH(SCC_Polythionic_Acid!$V19,'Tables - Part 2'!$AV$6:$AV$13,0),MATCH(SCC_Polythionic_Acid!$S19,'Tables - Part 2'!$AX$5:$BA$5,0)))/2)+((((INDEX('Tables - Part 2'!$BF$6:$BI$13,MATCH(SCC_Polythionic_Acid!$V19,'Tables - Part 2'!$AV$6:$AV$13,0),MATCH(SCC_Polythionic_Acid!$S19,'Tables - Part 2'!$AX$5:$BA$5,0))+INDEX('Tables - Part 2'!$AX$17:$BA$24,MATCH(SCC_Polythionic_Acid!$V19,'Tables - Part 2'!$AV$6:$AV$13,0),MATCH(SCC_Polythionic_Acid!$S19,'Tables - Part 2'!$AX$5:$BA$5,0)))/2)+INDEX('Tables - Part 2'!$AX$17:$BA$24,MATCH(SCC_Polythionic_Acid!$V19,'Tables - Part 2'!$AV$6:$AV$13,0),MATCH(SCC_Polythionic_Acid!$S19,'Tables - Part 2'!$AX$5:$BA$5,0)))/2))/2,0)</f>
        <v>0</v>
      </c>
      <c r="AX19" s="248">
        <f>IF($R19=$AX$3,(((INDEX('Tables - Part 2'!$BF$6:$BI$13,MATCH(SCC_Polythionic_Acid!$V19,'Tables - Part 2'!$AV$6:$AV$13,0),MATCH(SCC_Polythionic_Acid!$S19,'Tables - Part 2'!$AX$5:$BA$5,0))+INDEX('Tables - Part 2'!$AX$17:$BA$24,MATCH(SCC_Polythionic_Acid!$V19,'Tables - Part 2'!$AV$6:$AV$13,0),MATCH(SCC_Polythionic_Acid!$S19,'Tables - Part 2'!$AX$5:$BA$5,0)))/2)+INDEX('Tables - Part 2'!$AX$17:$BA$24,MATCH(SCC_Polythionic_Acid!$V19,'Tables - Part 2'!$AV$6:$AV$13,0),MATCH(SCC_Polythionic_Acid!$S19,'Tables - Part 2'!$AX$5:$BA$5,0)))/2,0)</f>
        <v>0</v>
      </c>
      <c r="AY19" s="248">
        <f>IF($R19=$AY$3,(((((INDEX('Tables - Part 2'!$BF$6:$BI$13,MATCH(SCC_Polythionic_Acid!$V19,'Tables - Part 2'!$AV$6:$AV$13,0),MATCH(SCC_Polythionic_Acid!$S19,'Tables - Part 2'!$AX$5:$BA$5,0))+INDEX('Tables - Part 2'!$AX$17:$BA$24,MATCH(SCC_Polythionic_Acid!$V19,'Tables - Part 2'!$AV$6:$AV$13,0),MATCH(SCC_Polythionic_Acid!$S19,'Tables - Part 2'!$AX$5:$BA$5,0)))/2)+INDEX('Tables - Part 2'!$AX$17:$BA$24,MATCH(SCC_Polythionic_Acid!$V19,'Tables - Part 2'!$AV$6:$AV$13,0),MATCH(SCC_Polythionic_Acid!$S19,'Tables - Part 2'!$AX$5:$BA$5,0)))/2)+(INDEX('Tables - Part 2'!$AX$17:$BA$24,MATCH(SCC_Polythionic_Acid!$V19,'Tables - Part 2'!$AV$6:$AV$13,0),MATCH(SCC_Polythionic_Acid!$S19,'Tables - Part 2'!$AX$5:$BA$5,0))))/2,0)</f>
        <v>0</v>
      </c>
      <c r="AZ19" s="248">
        <f>IF($R19=$AZ$3,INDEX('Tables - Part 2'!$AX$17:$BA$24,MATCH(SCC_Polythionic_Acid!$V19,'Tables - Part 2'!$AV$6:$AV$13,0),MATCH(SCC_Polythionic_Acid!$S19,'Tables - Part 2'!$AX$5:$BA$5,0)),0)</f>
        <v>0</v>
      </c>
      <c r="BA19" s="248">
        <f>IF($R19=$BA$3,((INDEX('Tables - Part 2'!$AX$17:$BA$24,MATCH(SCC_Polythionic_Acid!$V19,'Tables - Part 2'!$AV$6:$AV$13,0),MATCH(SCC_Polythionic_Acid!$S19,'Tables - Part 2'!$AX$5:$BA$5,0)))+(((INDEX('Tables - Part 2'!$AX$17:$BA$24,MATCH(SCC_Polythionic_Acid!$V19,'Tables - Part 2'!$AV$6:$AV$13,0),MATCH(SCC_Polythionic_Acid!$S19,'Tables - Part 2'!$AX$5:$BA$5,0)))+(INDEX('Tables - Part 2'!$AX$17:$BA$24,MATCH(SCC_Polythionic_Acid!$V19,'Tables - Part 2'!$AV$6:$AV$13,0),MATCH(SCC_Polythionic_Acid!$S19,'Tables - Part 2'!$AX$5:$BA$5,0))+INDEX('Tables - Part 2'!$BB$17:$BE$24,MATCH(SCC_Polythionic_Acid!$V19,'Tables - Part 2'!$AV$6:$AV$13,0),MATCH(SCC_Polythionic_Acid!$S19,'Tables - Part 2'!$AX$5:$BA$5,0)))/2)/2))/2,0)</f>
        <v>0</v>
      </c>
      <c r="BB19" s="248">
        <f>IF($R19=$BB$3,((INDEX('Tables - Part 2'!$AX$17:$BA$24,MATCH(SCC_Polythionic_Acid!$V19,'Tables - Part 2'!$AV$6:$AV$13,0),MATCH(SCC_Polythionic_Acid!$S19,'Tables - Part 2'!$AX$5:$BA$5,0)))+(INDEX('Tables - Part 2'!$AX$17:$BA$24,MATCH(SCC_Polythionic_Acid!$V19,'Tables - Part 2'!$AV$6:$AV$13,0),MATCH(SCC_Polythionic_Acid!$S19,'Tables - Part 2'!$AX$5:$BA$5,0))+INDEX('Tables - Part 2'!$BB$17:$BE$24,MATCH(SCC_Polythionic_Acid!$V19,'Tables - Part 2'!$AV$6:$AV$13,0),MATCH(SCC_Polythionic_Acid!$S19,'Tables - Part 2'!$AX$5:$BA$5,0)))/2)/2,0)</f>
        <v>0</v>
      </c>
      <c r="BC19" s="248">
        <f>IF($R19=$BC$3,((((INDEX('Tables - Part 2'!$AX$17:$BA$24,MATCH(SCC_Polythionic_Acid!$V19,'Tables - Part 2'!$AV$6:$AV$13,0),MATCH(SCC_Polythionic_Acid!$S19,'Tables - Part 2'!$AX$5:$BA$5,0)))+(INDEX('Tables - Part 2'!$AX$17:$BA$24,MATCH(SCC_Polythionic_Acid!$V19,'Tables - Part 2'!$AV$6:$AV$13,0),MATCH(SCC_Polythionic_Acid!$S19,'Tables - Part 2'!$AX$5:$BA$5,0))+INDEX('Tables - Part 2'!$BB$17:$BE$24,MATCH(SCC_Polythionic_Acid!$V19,'Tables - Part 2'!$AV$6:$AV$13,0),MATCH(SCC_Polythionic_Acid!$S19,'Tables - Part 2'!$AX$5:$BA$5,0)))/2)/2)+((INDEX('Tables - Part 2'!$AX$17:$BA$24,MATCH(SCC_Polythionic_Acid!$V19,'Tables - Part 2'!$AV$6:$AV$13,0),MATCH(SCC_Polythionic_Acid!$S19,'Tables - Part 2'!$AX$5:$BA$5,0))+INDEX('Tables - Part 2'!$BB$17:$BE$24,MATCH(SCC_Polythionic_Acid!$V19,'Tables - Part 2'!$AV$6:$AV$13,0),MATCH(SCC_Polythionic_Acid!$S19,'Tables - Part 2'!$AX$5:$BA$5,0)))/2))/2,0)</f>
        <v>0</v>
      </c>
      <c r="BD19" s="248">
        <f>IF($R19=$BD$3,(INDEX('Tables - Part 2'!$AX$17:$BA$24,MATCH(SCC_Polythionic_Acid!$V19,'Tables - Part 2'!$AV$6:$AV$13,0),MATCH(SCC_Polythionic_Acid!$S19,'Tables - Part 2'!$AX$5:$BA$5,0))+INDEX('Tables - Part 2'!$BB$17:$BE$24,MATCH(SCC_Polythionic_Acid!$V19,'Tables - Part 2'!$AV$6:$AV$13,0),MATCH(SCC_Polythionic_Acid!$S19,'Tables - Part 2'!$AX$5:$BA$5,0)))/2,0)</f>
        <v>0</v>
      </c>
      <c r="BE19" s="248">
        <f>IF($R19=$BE$3,(((INDEX('Tables - Part 2'!$AX$17:$BA$24,MATCH(SCC_Polythionic_Acid!$V19,'Tables - Part 2'!$AV$6:$AV$13,0),MATCH(SCC_Polythionic_Acid!$S19,'Tables - Part 2'!$AX$5:$BA$5,0))+INDEX('Tables - Part 2'!$BB$17:$BE$24,MATCH(SCC_Polythionic_Acid!$V19,'Tables - Part 2'!$AV$6:$AV$13,0),MATCH(SCC_Polythionic_Acid!$S19,'Tables - Part 2'!$AX$5:$BA$5,0)))/2)+((((INDEX('Tables - Part 2'!$AX$17:$BA$24,MATCH(SCC_Polythionic_Acid!$V19,'Tables - Part 2'!$AV$6:$AV$13,0),MATCH(SCC_Polythionic_Acid!$S19,'Tables - Part 2'!$AX$5:$BA$5,0))+INDEX('Tables - Part 2'!$BB$17:$BE$24,MATCH(SCC_Polythionic_Acid!$V19,'Tables - Part 2'!$AV$6:$AV$13,0),MATCH(SCC_Polythionic_Acid!$S19,'Tables - Part 2'!$AX$5:$BA$5,0)))/2)+INDEX('Tables - Part 2'!$BB$17:$BE$24,MATCH(SCC_Polythionic_Acid!$V19,'Tables - Part 2'!$AV$6:$AV$13,0),MATCH(SCC_Polythionic_Acid!$S19,'Tables - Part 2'!$AX$5:$BA$5,0)))/2))/2,0)</f>
        <v>0</v>
      </c>
      <c r="BF19" s="248">
        <f>IF($R19=$BF$3,(((INDEX('Tables - Part 2'!$AX$17:$BA$24,MATCH(SCC_Polythionic_Acid!$V19,'Tables - Part 2'!$AV$6:$AV$13,0),MATCH(SCC_Polythionic_Acid!$S19,'Tables - Part 2'!$AX$5:$BA$5,0))+INDEX('Tables - Part 2'!$BB$17:$BE$24,MATCH(SCC_Polythionic_Acid!$V19,'Tables - Part 2'!$AV$6:$AV$13,0),MATCH(SCC_Polythionic_Acid!$S19,'Tables - Part 2'!$AX$5:$BA$5,0)))/2)+INDEX('Tables - Part 2'!$BB$17:$BE$24,MATCH(SCC_Polythionic_Acid!$V19,'Tables - Part 2'!$AV$6:$AV$13,0),MATCH(SCC_Polythionic_Acid!$S19,'Tables - Part 2'!$AX$5:$BA$5,0)))/2,0)</f>
        <v>0</v>
      </c>
      <c r="BG19" s="248">
        <f>IF($R19=$BG$3,(((((INDEX('Tables - Part 2'!$AX$17:$BA$24,MATCH(SCC_Polythionic_Acid!$V19,'Tables - Part 2'!$AV$6:$AV$13,0),MATCH(SCC_Polythionic_Acid!$S19,'Tables - Part 2'!$AX$5:$BA$5,0))+INDEX('Tables - Part 2'!$BB$17:$BE$24,MATCH(SCC_Polythionic_Acid!$V19,'Tables - Part 2'!$AV$6:$AV$13,0),MATCH(SCC_Polythionic_Acid!$S19,'Tables - Part 2'!$AX$5:$BA$5,0)))/2)+INDEX('Tables - Part 2'!$BB$17:$BE$24,MATCH(SCC_Polythionic_Acid!$V19,'Tables - Part 2'!$AV$6:$AV$13,0),MATCH(SCC_Polythionic_Acid!$S19,'Tables - Part 2'!$AX$5:$BA$5,0)))/2)+(INDEX('Tables - Part 2'!$BB$17:$BE$24,MATCH(SCC_Polythionic_Acid!$V19,'Tables - Part 2'!$AV$6:$AV$13,0),MATCH(SCC_Polythionic_Acid!$S19,'Tables - Part 2'!$AX$5:$BA$5,0))))/2,0)</f>
        <v>0</v>
      </c>
      <c r="BH19" s="248">
        <f>IF($R19=$BH$3,INDEX('Tables - Part 2'!$BB$17:$BE$24,MATCH(SCC_Polythionic_Acid!$V19,'Tables - Part 2'!$AV$6:$AV$13,0),MATCH(SCC_Polythionic_Acid!$S19,'Tables - Part 2'!$AX$5:$BA$5,0)),0)</f>
        <v>0</v>
      </c>
      <c r="BI19" s="248">
        <f>IF($R19=$BI$3,((INDEX('Tables - Part 2'!$BB$17:$BE$24,MATCH(SCC_Polythionic_Acid!$V19,'Tables - Part 2'!$AV$6:$AV$13,0),MATCH(SCC_Polythionic_Acid!$S19,'Tables - Part 2'!$AX$5:$BA$5,0)))+(((INDEX('Tables - Part 2'!$BB$17:$BE$24,MATCH(SCC_Polythionic_Acid!$V19,'Tables - Part 2'!$AV$6:$AV$13,0),MATCH(SCC_Polythionic_Acid!$S19,'Tables - Part 2'!$AX$5:$BA$5,0)))+(INDEX('Tables - Part 2'!$BB$17:$BE$24,MATCH(SCC_Polythionic_Acid!$V19,'Tables - Part 2'!$AV$6:$AV$13,0),MATCH(SCC_Polythionic_Acid!$S19,'Tables - Part 2'!$AX$5:$BA$5,0))+INDEX('Tables - Part 2'!$BF$17:$BI$24,MATCH(SCC_Polythionic_Acid!$V19,'Tables - Part 2'!$AV$6:$AV$13,0),MATCH(SCC_Polythionic_Acid!$S19,'Tables - Part 2'!$AX$5:$BA$5,0)))/2)/2))/2,0)</f>
        <v>0</v>
      </c>
      <c r="BJ19" s="248">
        <f>IF($R19=$BJ$3,((INDEX('Tables - Part 2'!$BB$17:$BE$24,MATCH(SCC_Polythionic_Acid!$V19,'Tables - Part 2'!$AV$6:$AV$13,0),MATCH(SCC_Polythionic_Acid!$S19,'Tables - Part 2'!$AX$5:$BA$5,0)))+(INDEX('Tables - Part 2'!$BB$17:$BE$24,MATCH(SCC_Polythionic_Acid!$V19,'Tables - Part 2'!$AV$6:$AV$13,0),MATCH(SCC_Polythionic_Acid!$S19,'Tables - Part 2'!$AX$5:$BA$5,0))+INDEX('Tables - Part 2'!$BF$17:$BI$24,MATCH(SCC_Polythionic_Acid!$V19,'Tables - Part 2'!$AV$6:$AV$13,0),MATCH(SCC_Polythionic_Acid!$S19,'Tables - Part 2'!$AX$5:$BA$5,0)))/2)/2,0)</f>
        <v>0</v>
      </c>
      <c r="BK19" s="248">
        <f>IF($R19=$BK$3,((((INDEX('Tables - Part 2'!$BB$17:$BE$24,MATCH(SCC_Polythionic_Acid!$V19,'Tables - Part 2'!$AV$6:$AV$13,0),MATCH(SCC_Polythionic_Acid!$S19,'Tables - Part 2'!$AX$5:$BA$5,0)))+(INDEX('Tables - Part 2'!$BB$17:$BE$24,MATCH(SCC_Polythionic_Acid!$V19,'Tables - Part 2'!$AV$6:$AV$13,0),MATCH(SCC_Polythionic_Acid!$S19,'Tables - Part 2'!$AX$5:$BA$5,0))+INDEX('Tables - Part 2'!$BF$17:$BI$24,MATCH(SCC_Polythionic_Acid!$V19,'Tables - Part 2'!$AV$6:$AV$13,0),MATCH(SCC_Polythionic_Acid!$S19,'Tables - Part 2'!$AX$5:$BA$5,0)))/2)/2)+((INDEX('Tables - Part 2'!$BB$17:$BE$24,MATCH(SCC_Polythionic_Acid!$V19,'Tables - Part 2'!$AV$6:$AV$13,0),MATCH(SCC_Polythionic_Acid!$S19,'Tables - Part 2'!$AX$5:$BA$5,0))+INDEX('Tables - Part 2'!$BF$17:$BI$24,MATCH(SCC_Polythionic_Acid!$V19,'Tables - Part 2'!$AV$6:$AV$13,0),MATCH(SCC_Polythionic_Acid!$S19,'Tables - Part 2'!$AX$5:$BA$5,0)))/2))/2,0)</f>
        <v>0</v>
      </c>
      <c r="BL19" s="248">
        <f>IF($R19=$BL$3,(INDEX('Tables - Part 2'!$BB$17:$BE$24,MATCH(SCC_Polythionic_Acid!$V19,'Tables - Part 2'!$AV$6:$AV$13,0),MATCH(SCC_Polythionic_Acid!$S19,'Tables - Part 2'!$AX$5:$BA$5,0))+INDEX('Tables - Part 2'!$BF$17:$BI$24,MATCH(SCC_Polythionic_Acid!$V19,'Tables - Part 2'!$AV$6:$AV$13,0),MATCH(SCC_Polythionic_Acid!$S19,'Tables - Part 2'!$AX$5:$BA$5,0)))/2,0)</f>
        <v>0</v>
      </c>
      <c r="BM19" s="248">
        <f>IF($R19=$BM$3,(((INDEX('Tables - Part 2'!$BB$17:$BE$24,MATCH(SCC_Polythionic_Acid!$V19,'Tables - Part 2'!$AV$6:$AV$13,0),MATCH(SCC_Polythionic_Acid!$S19,'Tables - Part 2'!$AX$5:$BA$5,0))+INDEX('Tables - Part 2'!$BF$17:$BI$24,MATCH(SCC_Polythionic_Acid!$V19,'Tables - Part 2'!$AV$6:$AV$13,0),MATCH(SCC_Polythionic_Acid!$S19,'Tables - Part 2'!$AX$5:$BA$5,0)))/2)+((((INDEX('Tables - Part 2'!$BB$17:$BE$24,MATCH(SCC_Polythionic_Acid!$V19,'Tables - Part 2'!$AV$6:$AV$13,0),MATCH(SCC_Polythionic_Acid!$S19,'Tables - Part 2'!$AX$5:$BA$5,0))+INDEX('Tables - Part 2'!$BF$17:$BI$24,MATCH(SCC_Polythionic_Acid!$V19,'Tables - Part 2'!$AV$6:$AV$13,0),MATCH(SCC_Polythionic_Acid!$S19,'Tables - Part 2'!$AX$5:$BA$5,0)))/2)+INDEX('Tables - Part 2'!$BF$17:$BI$24,MATCH(SCC_Polythionic_Acid!$V19,'Tables - Part 2'!$AV$6:$AV$13,0),MATCH(SCC_Polythionic_Acid!$S19,'Tables - Part 2'!$AX$5:$BA$5,0)))/2))/2,0)</f>
        <v>0</v>
      </c>
      <c r="BN19" s="248">
        <f>IF($R19=$BN$3,(((INDEX('Tables - Part 2'!$BB$17:$BE$24,MATCH(SCC_Polythionic_Acid!$V19,'Tables - Part 2'!$AV$6:$AV$13,0),MATCH(SCC_Polythionic_Acid!$S19,'Tables - Part 2'!$AX$5:$BA$5,0))+INDEX('Tables - Part 2'!$BF$17:$BI$24,MATCH(SCC_Polythionic_Acid!$V19,'Tables - Part 2'!$AV$6:$AV$13,0),MATCH(SCC_Polythionic_Acid!$S19,'Tables - Part 2'!$AX$5:$BA$5,0)))/2)+INDEX('Tables - Part 2'!$BF$17:$BI$24,MATCH(SCC_Polythionic_Acid!$V19,'Tables - Part 2'!$AV$6:$AV$13,0),MATCH(SCC_Polythionic_Acid!$S19,'Tables - Part 2'!$AX$5:$BA$5,0)))/2,0)</f>
        <v>0</v>
      </c>
      <c r="BO19" s="248">
        <f>IF($R19=$BO$3,(((((INDEX('Tables - Part 2'!$BB$17:$BE$24,MATCH(SCC_Polythionic_Acid!$V19,'Tables - Part 2'!$AV$6:$AV$13,0),MATCH(SCC_Polythionic_Acid!$S19,'Tables - Part 2'!$AX$5:$BA$5,0))+INDEX('Tables - Part 2'!$BF$17:$BI$24,MATCH(SCC_Polythionic_Acid!$V19,'Tables - Part 2'!$AV$6:$AV$13,0),MATCH(SCC_Polythionic_Acid!$S19,'Tables - Part 2'!$AX$5:$BA$5,0)))/2)+INDEX('Tables - Part 2'!$BF$17:$BI$24,MATCH(SCC_Polythionic_Acid!$V19,'Tables - Part 2'!$AV$6:$AV$13,0),MATCH(SCC_Polythionic_Acid!$S19,'Tables - Part 2'!$AX$5:$BA$5,0)))/2)+(INDEX('Tables - Part 2'!$BF$17:$BI$24,MATCH(SCC_Polythionic_Acid!$V19,'Tables - Part 2'!$AV$6:$AV$13,0),MATCH(SCC_Polythionic_Acid!$S19,'Tables - Part 2'!$AX$5:$BA$5,0))))/2,0)</f>
        <v>0</v>
      </c>
      <c r="BP19" s="248">
        <f>IF($R19=$BP$3,INDEX('Tables - Part 2'!$BF$17:$BI$24,MATCH(SCC_Polythionic_Acid!$V19,'Tables - Part 2'!$AV$6:$AV$13,0),MATCH(SCC_Polythionic_Acid!$S19,'Tables - Part 2'!$AX$5:$BA$5,0)),0)</f>
        <v>0</v>
      </c>
      <c r="BQ19" s="248">
        <f t="shared" si="5"/>
        <v>0</v>
      </c>
      <c r="BR19" s="238">
        <f t="shared" si="8"/>
        <v>165</v>
      </c>
      <c r="BS19" s="238">
        <f t="shared" si="9"/>
        <v>2767.5256072873844</v>
      </c>
    </row>
    <row r="20" spans="2:71" x14ac:dyDescent="0.35">
      <c r="B20" s="161" t="str">
        <f>'Tratamento de Dados'!B28</f>
        <v>V-90</v>
      </c>
      <c r="C20" s="161" t="str">
        <f>'Tratamento de Dados'!D28</f>
        <v>Casco</v>
      </c>
      <c r="D20" s="209" t="s">
        <v>244</v>
      </c>
      <c r="E20" s="209" t="s">
        <v>244</v>
      </c>
      <c r="F20" s="209" t="s">
        <v>244</v>
      </c>
      <c r="G20" s="209" t="s">
        <v>244</v>
      </c>
      <c r="H20" s="209" t="s">
        <v>1145</v>
      </c>
      <c r="I20" s="247">
        <f>'Tratamento de Dados'!S28</f>
        <v>2</v>
      </c>
      <c r="J20" s="209" t="s">
        <v>1146</v>
      </c>
      <c r="K20" s="210">
        <v>39092</v>
      </c>
      <c r="L20" s="209">
        <v>0</v>
      </c>
      <c r="M20" s="209">
        <v>1</v>
      </c>
      <c r="N20" s="209">
        <v>1</v>
      </c>
      <c r="O20" s="209">
        <v>4</v>
      </c>
      <c r="P20" s="253">
        <f>'Tratamento de Dados'!DA28</f>
        <v>0</v>
      </c>
      <c r="Q20" s="253">
        <f>'Tratamento de Dados'!DB28</f>
        <v>0</v>
      </c>
      <c r="R20" s="256">
        <f t="shared" si="0"/>
        <v>2.5</v>
      </c>
      <c r="S20" s="246" t="str">
        <f t="shared" si="1"/>
        <v>B</v>
      </c>
      <c r="T20" s="238" t="str">
        <f>IF(D20=$BX$2,$BV$5,IF(F20=$BX$3,$BV$2,INDEX(IF(I20&lt;427,'Tables - Part 2'!$DH$6:$DJ$10,'Tables - Part 2'!$DH$14:$DJ$18),MATCH(SCC_Polythionic_Acid!H20,'Tables - Part 2'!$DG$6:$DG$10,0),MATCH(J20,'Tables - Part 2'!$DH$5:$DJ$5,0))))</f>
        <v>High</v>
      </c>
      <c r="U20" s="238" t="str">
        <f t="shared" si="6"/>
        <v>High</v>
      </c>
      <c r="V20" s="238">
        <f>IF(AND(D20=$BX$2,E20&lt;&gt;$BX$2),"Fitness-For-Service",INDEX('Tables - Part 2'!$DM$4:$DM$7,MATCH(SCC_Polythionic_Acid!U20,'Tables - Part 2'!$DL$4:$DL$7,0),))</f>
        <v>5000</v>
      </c>
      <c r="W20" s="238">
        <f>IF(K20=0,(Thinning!G21-Thinning!F21)/365.25,(Thinning!G21-K20)/365.25)</f>
        <v>12.980150581793293</v>
      </c>
      <c r="X20" s="248">
        <f t="shared" si="2"/>
        <v>0</v>
      </c>
      <c r="Y20" s="248">
        <f t="shared" si="3"/>
        <v>2.5</v>
      </c>
      <c r="Z20" s="247">
        <f t="shared" si="7"/>
        <v>3</v>
      </c>
      <c r="AA20" s="247">
        <f t="shared" si="4"/>
        <v>4</v>
      </c>
      <c r="AB20" s="248">
        <f>IF($R20=$AB$3,INDEX('Tables - Part 2'!$AX$6:$BA$13,MATCH(SCC_Polythionic_Acid!V20,'Tables - Part 2'!$AV$6:$AV$13,0),MATCH(SCC_Polythionic_Acid!S20,'Tables - Part 2'!$AX$5:$BA$5,0)),0)</f>
        <v>0</v>
      </c>
      <c r="AC20" s="248">
        <f>IF($R20=$AC$3,(INDEX('Tables - Part 2'!$AX$6:$BA$13,MATCH(SCC_Polythionic_Acid!V20,'Tables - Part 2'!$AV$6:$AV$13,0),MATCH(SCC_Polythionic_Acid!S20,'Tables - Part 2'!$AX$5:$BA$5,0))+(INDEX('Tables - Part 2'!$AX$6:$BA$13,MATCH(SCC_Polythionic_Acid!V20,'Tables - Part 2'!$AV$6:$AV$13,0),MATCH(SCC_Polythionic_Acid!S20,'Tables - Part 2'!$AX$5:$BA$5,0))+((INDEX('Tables - Part 2'!$AX$6:$BA$13,MATCH(SCC_Polythionic_Acid!V20,'Tables - Part 2'!$AV$6:$AV$13,0),MATCH(SCC_Polythionic_Acid!S20,'Tables - Part 2'!$AX$5:$BA$5,0))+INDEX('Tables - Part 2'!$BB$6:$BE$13,MATCH(SCC_Polythionic_Acid!$V20,'Tables - Part 2'!$AV$6:$AV$13,0),MATCH(SCC_Polythionic_Acid!$S20,'Tables - Part 2'!$AX$5:$BA$5,0)))/2))/2)/2,0)</f>
        <v>0</v>
      </c>
      <c r="AD20" s="248">
        <f>IF($R20=$AD$3,(INDEX('Tables - Part 2'!$AX$6:$BA$13,MATCH(SCC_Polythionic_Acid!V20,'Tables - Part 2'!$AV$6:$AV$13,0),MATCH(SCC_Polythionic_Acid!S20,'Tables - Part 2'!$AX$5:$BA$5,0))+((INDEX('Tables - Part 2'!$AX$6:$BA$13,MATCH(SCC_Polythionic_Acid!V20,'Tables - Part 2'!$AV$6:$AV$13,0),MATCH(SCC_Polythionic_Acid!S20,'Tables - Part 2'!$AX$5:$BA$5,0))+INDEX('Tables - Part 2'!$BB$6:$BE$13,MATCH(SCC_Polythionic_Acid!$V20,'Tables - Part 2'!$AV$6:$AV$13,0),MATCH(SCC_Polythionic_Acid!$S20,'Tables - Part 2'!$AX$5:$BA$5,0)))/2))/2,0)</f>
        <v>0</v>
      </c>
      <c r="AE20" s="248">
        <f>IF($R20=$AE$3,(((INDEX('Tables - Part 2'!$AX$6:$BA$13,MATCH(SCC_Polythionic_Acid!V20,'Tables - Part 2'!$AV$6:$AV$13,0),MATCH(SCC_Polythionic_Acid!S20,'Tables - Part 2'!$AX$5:$BA$5,0))+((INDEX('Tables - Part 2'!$AX$6:$BA$13,MATCH(SCC_Polythionic_Acid!V20,'Tables - Part 2'!$AV$6:$AV$13,0),MATCH(SCC_Polythionic_Acid!S20,'Tables - Part 2'!$AX$5:$BA$5,0))+INDEX('Tables - Part 2'!$BB$6:$BE$13,MATCH(SCC_Polythionic_Acid!$V20,'Tables - Part 2'!$AV$6:$AV$13,0),MATCH(SCC_Polythionic_Acid!$S20,'Tables - Part 2'!$AX$5:$BA$5,0)))/2))/2)+(INDEX('Tables - Part 2'!$AX$6:$BA$13,MATCH(SCC_Polythionic_Acid!V20,'Tables - Part 2'!$AV$6:$AV$13,0),MATCH(SCC_Polythionic_Acid!S20,'Tables - Part 2'!$AX$5:$BA$5,0))+INDEX('Tables - Part 2'!$BB$6:$BE$13,MATCH(SCC_Polythionic_Acid!$V20,'Tables - Part 2'!$AV$6:$AV$13,0),MATCH(SCC_Polythionic_Acid!$S20,'Tables - Part 2'!$AX$5:$BA$5,0)))/2)/2,0)</f>
        <v>0</v>
      </c>
      <c r="AF20" s="248">
        <f>IF($R20=$AF$3,(INDEX('Tables - Part 2'!$AX$6:$BA$13,MATCH(SCC_Polythionic_Acid!V20,'Tables - Part 2'!$AV$6:$AV$13,0),MATCH(SCC_Polythionic_Acid!S20,'Tables - Part 2'!$AX$5:$BA$5,0))+INDEX('Tables - Part 2'!$BB$6:$BE$13,MATCH(SCC_Polythionic_Acid!$V20,'Tables - Part 2'!$AV$6:$AV$13,0),MATCH(SCC_Polythionic_Acid!$S20,'Tables - Part 2'!$AX$5:$BA$5,0)))/2,0)</f>
        <v>0</v>
      </c>
      <c r="AG20" s="248">
        <f>IF($R20=$AG$3,(((INDEX('Tables - Part 2'!$AX$6:$BA$13,MATCH(SCC_Polythionic_Acid!V20,'Tables - Part 2'!$AV$6:$AV$13,0),MATCH(SCC_Polythionic_Acid!S20,'Tables - Part 2'!$AX$5:$BA$5,0))+INDEX('Tables - Part 2'!$BB$6:$BE$13,MATCH(SCC_Polythionic_Acid!$V20,'Tables - Part 2'!$AV$6:$AV$13,0),MATCH(SCC_Polythionic_Acid!$S20,'Tables - Part 2'!$AX$5:$BA$5,0)))/2)+(((INDEX('Tables - Part 2'!$AX$6:$BA$13,MATCH(SCC_Polythionic_Acid!V20,'Tables - Part 2'!$AV$6:$AV$13,0),MATCH(SCC_Polythionic_Acid!S20,'Tables - Part 2'!$AX$5:$BA$5,0))+INDEX('Tables - Part 2'!$BB$6:$BE$13,MATCH(SCC_Polythionic_Acid!$V20,'Tables - Part 2'!$AV$6:$AV$13,0),MATCH(SCC_Polythionic_Acid!$S20,'Tables - Part 2'!$AX$5:$BA$5,0)))/2)+INDEX('Tables - Part 2'!$BB$6:$BE$13,MATCH(SCC_Polythionic_Acid!$V20,'Tables - Part 2'!$AV$6:$AV$13,0),MATCH(SCC_Polythionic_Acid!$S20,'Tables - Part 2'!$AX$5:$BA$5,0)))/2)/2,0)</f>
        <v>0</v>
      </c>
      <c r="AH20" s="248">
        <f>IF($R20=$AH$3,(((INDEX('Tables - Part 2'!$AX$6:$BA$13,MATCH(SCC_Polythionic_Acid!V20,'Tables - Part 2'!$AV$6:$AV$13,0),MATCH(SCC_Polythionic_Acid!S20,'Tables - Part 2'!$AX$5:$BA$5,0))+INDEX('Tables - Part 2'!$BB$6:$BE$13,MATCH(SCC_Polythionic_Acid!$V20,'Tables - Part 2'!$AV$6:$AV$13,0),MATCH(SCC_Polythionic_Acid!$S20,'Tables - Part 2'!$AX$5:$BA$5,0)))/2)+INDEX('Tables - Part 2'!$BB$6:$BE$13,MATCH(SCC_Polythionic_Acid!$V20,'Tables - Part 2'!$AV$6:$AV$13,0),MATCH(SCC_Polythionic_Acid!$S20,'Tables - Part 2'!$AX$5:$BA$5,0)))/2,0)</f>
        <v>0</v>
      </c>
      <c r="AI20" s="248">
        <f>IF($R20=$AI$3,(((((INDEX('Tables - Part 2'!$AX$6:$BA$13,MATCH(SCC_Polythionic_Acid!V20,'Tables - Part 2'!$AV$6:$AV$13,0),MATCH(SCC_Polythionic_Acid!S20,'Tables - Part 2'!$AX$5:$BA$5,0))+INDEX('Tables - Part 2'!$BB$6:$BE$13,MATCH(SCC_Polythionic_Acid!$V20,'Tables - Part 2'!$AV$6:$AV$13,0),MATCH(SCC_Polythionic_Acid!$S20,'Tables - Part 2'!$AX$5:$BA$5,0)))/2)+INDEX('Tables - Part 2'!$BB$6:$BE$13,MATCH(SCC_Polythionic_Acid!$V20,'Tables - Part 2'!$AV$6:$AV$13,0),MATCH(SCC_Polythionic_Acid!$S20,'Tables - Part 2'!$AX$5:$BA$5,0)))/2)+INDEX('Tables - Part 2'!$BB$6:$BE$13,MATCH(SCC_Polythionic_Acid!$V20,'Tables - Part 2'!$AV$6:$AV$13,0),MATCH(SCC_Polythionic_Acid!$S20,'Tables - Part 2'!$AX$5:$BA$5,0)))/2,0)</f>
        <v>0</v>
      </c>
      <c r="AJ20" s="248">
        <f>IF($R20=$AJ$3,INDEX('Tables - Part 2'!$BB$6:$BE$13,MATCH(SCC_Polythionic_Acid!$V20,'Tables - Part 2'!$AV$6:$AV$13,0),MATCH(SCC_Polythionic_Acid!$S20,'Tables - Part 2'!$AX$5:$BA$5,0)),0)</f>
        <v>0</v>
      </c>
      <c r="AK20" s="248">
        <f>IF($R20=$AK$3,((INDEX('Tables - Part 2'!$BB$6:$BE$13,MATCH(SCC_Polythionic_Acid!$V20,'Tables - Part 2'!$AV$6:$AV$13,0),MATCH(SCC_Polythionic_Acid!$S20,'Tables - Part 2'!$AX$5:$BA$5,0)))+(INDEX('Tables - Part 2'!$BB$6:$BE$13,MATCH(SCC_Polythionic_Acid!$V20,'Tables - Part 2'!$AV$6:$AV$13,0),MATCH(SCC_Polythionic_Acid!$S20,'Tables - Part 2'!$AX$5:$BA$5,0))+(INDEX('Tables - Part 2'!$BB$6:$BE$13,MATCH(SCC_Polythionic_Acid!$V20,'Tables - Part 2'!$AV$6:$AV$13,0),MATCH(SCC_Polythionic_Acid!$S20,'Tables - Part 2'!$AX$5:$BA$5,0))+INDEX('Tables - Part 2'!$BF$6:$BI$13,MATCH(SCC_Polythionic_Acid!$V20,'Tables - Part 2'!$AV$6:$AV$13,0),MATCH(SCC_Polythionic_Acid!$S20,'Tables - Part 2'!$AX$5:$BA$5,0)))/2)/2)/2,0)</f>
        <v>0</v>
      </c>
      <c r="AL20" s="248">
        <f>IF($R20=$AL$3,(INDEX('Tables - Part 2'!$BB$6:$BE$13,MATCH(SCC_Polythionic_Acid!$V20,'Tables - Part 2'!$AV$6:$AV$13,0),MATCH(SCC_Polythionic_Acid!$S20,'Tables - Part 2'!$AX$5:$BA$5,0))+(INDEX('Tables - Part 2'!$BB$6:$BE$13,MATCH(SCC_Polythionic_Acid!$V20,'Tables - Part 2'!$AV$6:$AV$13,0),MATCH(SCC_Polythionic_Acid!$S20,'Tables - Part 2'!$AX$5:$BA$5,0))+INDEX('Tables - Part 2'!$BF$6:$BI$13,MATCH(SCC_Polythionic_Acid!$V20,'Tables - Part 2'!$AV$6:$AV$13,0),MATCH(SCC_Polythionic_Acid!$S20,'Tables - Part 2'!$AX$5:$BA$5,0)))/2)/2,0)</f>
        <v>0</v>
      </c>
      <c r="AM20" s="248">
        <f>IF($R20=$AM$3,(((INDEX('Tables - Part 2'!$BB$6:$BE$13,MATCH(SCC_Polythionic_Acid!$V20,'Tables - Part 2'!$AV$6:$AV$13,0),MATCH(SCC_Polythionic_Acid!$S20,'Tables - Part 2'!$AX$5:$BA$5,0))+(INDEX('Tables - Part 2'!$BB$6:$BE$13,MATCH(SCC_Polythionic_Acid!$V20,'Tables - Part 2'!$AV$6:$AV$13,0),MATCH(SCC_Polythionic_Acid!$S20,'Tables - Part 2'!$AX$5:$BA$5,0))+INDEX('Tables - Part 2'!$BF$6:$BI$13,MATCH(SCC_Polythionic_Acid!$V20,'Tables - Part 2'!$AV$6:$AV$13,0),MATCH(SCC_Polythionic_Acid!$S20,'Tables - Part 2'!$AX$5:$BA$5,0)))/2)/2)+((INDEX('Tables - Part 2'!$BB$6:$BE$13,MATCH(SCC_Polythionic_Acid!$V20,'Tables - Part 2'!$AV$6:$AV$13,0),MATCH(SCC_Polythionic_Acid!$S20,'Tables - Part 2'!$AX$5:$BA$5,0))+INDEX('Tables - Part 2'!$BF$6:$BI$13,MATCH(SCC_Polythionic_Acid!$V20,'Tables - Part 2'!$AV$6:$AV$13,0),MATCH(SCC_Polythionic_Acid!$S20,'Tables - Part 2'!$AX$5:$BA$5,0)))/2))/2,0)</f>
        <v>0</v>
      </c>
      <c r="AN20" s="248">
        <f>IF($R20=$AN$3,(INDEX('Tables - Part 2'!$BB$6:$BE$13,MATCH(SCC_Polythionic_Acid!$V20,'Tables - Part 2'!$AV$6:$AV$13,0),MATCH(SCC_Polythionic_Acid!$S20,'Tables - Part 2'!$AX$5:$BA$5,0))+INDEX('Tables - Part 2'!$BF$6:$BI$13,MATCH(SCC_Polythionic_Acid!$V20,'Tables - Part 2'!$AV$6:$AV$13,0),MATCH(SCC_Polythionic_Acid!$S20,'Tables - Part 2'!$AX$5:$BA$5,0)))/2,0)</f>
        <v>165</v>
      </c>
      <c r="AO20" s="248">
        <f>IF($R20=$AO$3,(((INDEX('Tables - Part 2'!$BB$6:$BE$13,MATCH(SCC_Polythionic_Acid!$V20,'Tables - Part 2'!$AV$6:$AV$13,0),MATCH(SCC_Polythionic_Acid!$S20,'Tables - Part 2'!$AX$5:$BA$5,0))+INDEX('Tables - Part 2'!$BF$6:$BI$13,MATCH(SCC_Polythionic_Acid!$V20,'Tables - Part 2'!$AV$6:$AV$13,0),MATCH(SCC_Polythionic_Acid!$S20,'Tables - Part 2'!$AX$5:$BA$5,0)))/2)+((((INDEX('Tables - Part 2'!$BB$6:$BE$13,MATCH(SCC_Polythionic_Acid!$V20,'Tables - Part 2'!$AV$6:$AV$13,0),MATCH(SCC_Polythionic_Acid!$S20,'Tables - Part 2'!$AX$5:$BA$5,0))+INDEX('Tables - Part 2'!$BF$6:$BI$13,MATCH(SCC_Polythionic_Acid!$V20,'Tables - Part 2'!$AV$6:$AV$13,0),MATCH(SCC_Polythionic_Acid!$S20,'Tables - Part 2'!$AX$5:$BA$5,0)))/2)+INDEX('Tables - Part 2'!$BF$6:$BI$13,MATCH(SCC_Polythionic_Acid!$V20,'Tables - Part 2'!$AV$6:$AV$13,0),MATCH(SCC_Polythionic_Acid!$S20,'Tables - Part 2'!$AX$5:$BA$5,0)))/2))/2,0)</f>
        <v>0</v>
      </c>
      <c r="AP20" s="248">
        <f>IF($R20=$AP$3,(((INDEX('Tables - Part 2'!$BB$6:$BE$13,MATCH(SCC_Polythionic_Acid!$V20,'Tables - Part 2'!$AV$6:$AV$13,0),MATCH(SCC_Polythionic_Acid!$S20,'Tables - Part 2'!$AX$5:$BA$5,0))+INDEX('Tables - Part 2'!$BF$6:$BI$13,MATCH(SCC_Polythionic_Acid!$V20,'Tables - Part 2'!$AV$6:$AV$13,0),MATCH(SCC_Polythionic_Acid!$S20,'Tables - Part 2'!$AX$5:$BA$5,0)))/2)+INDEX('Tables - Part 2'!$BF$6:$BI$13,MATCH(SCC_Polythionic_Acid!$V20,'Tables - Part 2'!$AV$6:$AV$13,0),MATCH(SCC_Polythionic_Acid!$S20,'Tables - Part 2'!$AX$5:$BA$5,0)))/2,0)</f>
        <v>0</v>
      </c>
      <c r="AQ20" s="248">
        <f>IF($R20=$AQ$3,(((((INDEX('Tables - Part 2'!$BB$6:$BE$13,MATCH(SCC_Polythionic_Acid!$V20,'Tables - Part 2'!$AV$6:$AV$13,0),MATCH(SCC_Polythionic_Acid!$S20,'Tables - Part 2'!$AX$5:$BA$5,0))+INDEX('Tables - Part 2'!$BF$6:$BI$13,MATCH(SCC_Polythionic_Acid!$V20,'Tables - Part 2'!$AV$6:$AV$13,0),MATCH(SCC_Polythionic_Acid!$S20,'Tables - Part 2'!$AX$5:$BA$5,0)))/2)+INDEX('Tables - Part 2'!$BF$6:$BI$13,MATCH(SCC_Polythionic_Acid!$V20,'Tables - Part 2'!$AV$6:$AV$13,0),MATCH(SCC_Polythionic_Acid!$S20,'Tables - Part 2'!$AX$5:$BA$5,0)))/2)+INDEX('Tables - Part 2'!$BF$6:$BI$13,MATCH(SCC_Polythionic_Acid!$V20,'Tables - Part 2'!$AV$6:$AV$13,0),MATCH(SCC_Polythionic_Acid!$S20,'Tables - Part 2'!$AX$5:$BA$5,0)))/2,0)</f>
        <v>0</v>
      </c>
      <c r="AR20" s="248">
        <f>IF($R20=$AR$3,INDEX('Tables - Part 2'!$BF$6:$BI$13,MATCH(SCC_Polythionic_Acid!$V20,'Tables - Part 2'!$AV$6:$AV$13,0),MATCH(SCC_Polythionic_Acid!$S20,'Tables - Part 2'!$AX$5:$BA$5,0)),0)</f>
        <v>0</v>
      </c>
      <c r="AS20" s="248">
        <f>IF($R20=$AS$3,(INDEX('Tables - Part 2'!$BF$6:$BI$13,MATCH(SCC_Polythionic_Acid!$V20,'Tables - Part 2'!$AV$6:$AV$13,0),MATCH(SCC_Polythionic_Acid!$S20,'Tables - Part 2'!$AX$5:$BA$5,0))+((INDEX('Tables - Part 2'!$BF$6:$BI$13,MATCH(SCC_Polythionic_Acid!$V20,'Tables - Part 2'!$AV$6:$AV$13,0),MATCH(SCC_Polythionic_Acid!$S20,'Tables - Part 2'!$AX$5:$BA$5,0))+(INDEX('Tables - Part 2'!$BF$6:$BI$13,MATCH(SCC_Polythionic_Acid!$V20,'Tables - Part 2'!$AV$6:$AV$13,0),MATCH(SCC_Polythionic_Acid!$S20,'Tables - Part 2'!$AX$5:$BA$5,0))+INDEX('Tables - Part 2'!$AX$17:$BA$24,MATCH(SCC_Polythionic_Acid!$V20,'Tables - Part 2'!$AV$6:$AV$13,0),MATCH(SCC_Polythionic_Acid!$S20,'Tables - Part 2'!$AX$5:$BA$5,0)))/2)/2))/2,0)</f>
        <v>0</v>
      </c>
      <c r="AT20" s="248">
        <f>IF($R20=$AT$3,(INDEX('Tables - Part 2'!$BF$6:$BI$13,MATCH(SCC_Polythionic_Acid!$V20,'Tables - Part 2'!$AV$6:$AV$13,0),MATCH(SCC_Polythionic_Acid!$S20,'Tables - Part 2'!$AX$5:$BA$5,0))+(INDEX('Tables - Part 2'!$BF$6:$BI$13,MATCH(SCC_Polythionic_Acid!$V20,'Tables - Part 2'!$AV$6:$AV$13,0),MATCH(SCC_Polythionic_Acid!$S20,'Tables - Part 2'!$AX$5:$BA$5,0))+INDEX('Tables - Part 2'!$AX$17:$BA$24,MATCH(SCC_Polythionic_Acid!$V20,'Tables - Part 2'!$AV$6:$AV$13,0),MATCH(SCC_Polythionic_Acid!$S20,'Tables - Part 2'!$AX$5:$BA$5,0)))/2)/2,0)</f>
        <v>0</v>
      </c>
      <c r="AU20" s="248">
        <f>IF($R20=$AU$3,(((INDEX('Tables - Part 2'!$BF$6:$BI$13,MATCH(SCC_Polythionic_Acid!$V20,'Tables - Part 2'!$AV$6:$AV$13,0),MATCH(SCC_Polythionic_Acid!$S20,'Tables - Part 2'!$AX$5:$BA$5,0))+(INDEX('Tables - Part 2'!$BF$6:$BI$13,MATCH(SCC_Polythionic_Acid!$V20,'Tables - Part 2'!$AV$6:$AV$13,0),MATCH(SCC_Polythionic_Acid!$S20,'Tables - Part 2'!$AX$5:$BA$5,0))+INDEX('Tables - Part 2'!$AX$17:$BA$24,MATCH(SCC_Polythionic_Acid!$V20,'Tables - Part 2'!$AV$6:$AV$13,0),MATCH(SCC_Polythionic_Acid!$S20,'Tables - Part 2'!$AX$5:$BA$5,0)))/2)/2)+((INDEX('Tables - Part 2'!$BF$6:$BI$13,MATCH(SCC_Polythionic_Acid!$V20,'Tables - Part 2'!$AV$6:$AV$13,0),MATCH(SCC_Polythionic_Acid!$S20,'Tables - Part 2'!$AX$5:$BA$5,0))+INDEX('Tables - Part 2'!$AX$17:$BA$24,MATCH(SCC_Polythionic_Acid!$V20,'Tables - Part 2'!$AV$6:$AV$13,0),MATCH(SCC_Polythionic_Acid!$S20,'Tables - Part 2'!$AX$5:$BA$5,0)))/2))/2,0)</f>
        <v>0</v>
      </c>
      <c r="AV20" s="248">
        <f>IF($R20=$AV$3,(INDEX('Tables - Part 2'!$BF$6:$BI$13,MATCH(SCC_Polythionic_Acid!$V20,'Tables - Part 2'!$AV$6:$AV$13,0),MATCH(SCC_Polythionic_Acid!$S20,'Tables - Part 2'!$AX$5:$BA$5,0))+INDEX('Tables - Part 2'!$AX$17:$BA$24,MATCH(SCC_Polythionic_Acid!$V20,'Tables - Part 2'!$AV$6:$AV$13,0),MATCH(SCC_Polythionic_Acid!$S20,'Tables - Part 2'!$AX$5:$BA$5,0)))/2,0)</f>
        <v>0</v>
      </c>
      <c r="AW20" s="248">
        <f>IF($R20=$AW$3,(((INDEX('Tables - Part 2'!$BF$6:$BI$13,MATCH(SCC_Polythionic_Acid!$V20,'Tables - Part 2'!$AV$6:$AV$13,0),MATCH(SCC_Polythionic_Acid!$S20,'Tables - Part 2'!$AX$5:$BA$5,0))+INDEX('Tables - Part 2'!$AX$17:$BA$24,MATCH(SCC_Polythionic_Acid!$V20,'Tables - Part 2'!$AV$6:$AV$13,0),MATCH(SCC_Polythionic_Acid!$S20,'Tables - Part 2'!$AX$5:$BA$5,0)))/2)+((((INDEX('Tables - Part 2'!$BF$6:$BI$13,MATCH(SCC_Polythionic_Acid!$V20,'Tables - Part 2'!$AV$6:$AV$13,0),MATCH(SCC_Polythionic_Acid!$S20,'Tables - Part 2'!$AX$5:$BA$5,0))+INDEX('Tables - Part 2'!$AX$17:$BA$24,MATCH(SCC_Polythionic_Acid!$V20,'Tables - Part 2'!$AV$6:$AV$13,0),MATCH(SCC_Polythionic_Acid!$S20,'Tables - Part 2'!$AX$5:$BA$5,0)))/2)+INDEX('Tables - Part 2'!$AX$17:$BA$24,MATCH(SCC_Polythionic_Acid!$V20,'Tables - Part 2'!$AV$6:$AV$13,0),MATCH(SCC_Polythionic_Acid!$S20,'Tables - Part 2'!$AX$5:$BA$5,0)))/2))/2,0)</f>
        <v>0</v>
      </c>
      <c r="AX20" s="248">
        <f>IF($R20=$AX$3,(((INDEX('Tables - Part 2'!$BF$6:$BI$13,MATCH(SCC_Polythionic_Acid!$V20,'Tables - Part 2'!$AV$6:$AV$13,0),MATCH(SCC_Polythionic_Acid!$S20,'Tables - Part 2'!$AX$5:$BA$5,0))+INDEX('Tables - Part 2'!$AX$17:$BA$24,MATCH(SCC_Polythionic_Acid!$V20,'Tables - Part 2'!$AV$6:$AV$13,0),MATCH(SCC_Polythionic_Acid!$S20,'Tables - Part 2'!$AX$5:$BA$5,0)))/2)+INDEX('Tables - Part 2'!$AX$17:$BA$24,MATCH(SCC_Polythionic_Acid!$V20,'Tables - Part 2'!$AV$6:$AV$13,0),MATCH(SCC_Polythionic_Acid!$S20,'Tables - Part 2'!$AX$5:$BA$5,0)))/2,0)</f>
        <v>0</v>
      </c>
      <c r="AY20" s="248">
        <f>IF($R20=$AY$3,(((((INDEX('Tables - Part 2'!$BF$6:$BI$13,MATCH(SCC_Polythionic_Acid!$V20,'Tables - Part 2'!$AV$6:$AV$13,0),MATCH(SCC_Polythionic_Acid!$S20,'Tables - Part 2'!$AX$5:$BA$5,0))+INDEX('Tables - Part 2'!$AX$17:$BA$24,MATCH(SCC_Polythionic_Acid!$V20,'Tables - Part 2'!$AV$6:$AV$13,0),MATCH(SCC_Polythionic_Acid!$S20,'Tables - Part 2'!$AX$5:$BA$5,0)))/2)+INDEX('Tables - Part 2'!$AX$17:$BA$24,MATCH(SCC_Polythionic_Acid!$V20,'Tables - Part 2'!$AV$6:$AV$13,0),MATCH(SCC_Polythionic_Acid!$S20,'Tables - Part 2'!$AX$5:$BA$5,0)))/2)+(INDEX('Tables - Part 2'!$AX$17:$BA$24,MATCH(SCC_Polythionic_Acid!$V20,'Tables - Part 2'!$AV$6:$AV$13,0),MATCH(SCC_Polythionic_Acid!$S20,'Tables - Part 2'!$AX$5:$BA$5,0))))/2,0)</f>
        <v>0</v>
      </c>
      <c r="AZ20" s="248">
        <f>IF($R20=$AZ$3,INDEX('Tables - Part 2'!$AX$17:$BA$24,MATCH(SCC_Polythionic_Acid!$V20,'Tables - Part 2'!$AV$6:$AV$13,0),MATCH(SCC_Polythionic_Acid!$S20,'Tables - Part 2'!$AX$5:$BA$5,0)),0)</f>
        <v>0</v>
      </c>
      <c r="BA20" s="248">
        <f>IF($R20=$BA$3,((INDEX('Tables - Part 2'!$AX$17:$BA$24,MATCH(SCC_Polythionic_Acid!$V20,'Tables - Part 2'!$AV$6:$AV$13,0),MATCH(SCC_Polythionic_Acid!$S20,'Tables - Part 2'!$AX$5:$BA$5,0)))+(((INDEX('Tables - Part 2'!$AX$17:$BA$24,MATCH(SCC_Polythionic_Acid!$V20,'Tables - Part 2'!$AV$6:$AV$13,0),MATCH(SCC_Polythionic_Acid!$S20,'Tables - Part 2'!$AX$5:$BA$5,0)))+(INDEX('Tables - Part 2'!$AX$17:$BA$24,MATCH(SCC_Polythionic_Acid!$V20,'Tables - Part 2'!$AV$6:$AV$13,0),MATCH(SCC_Polythionic_Acid!$S20,'Tables - Part 2'!$AX$5:$BA$5,0))+INDEX('Tables - Part 2'!$BB$17:$BE$24,MATCH(SCC_Polythionic_Acid!$V20,'Tables - Part 2'!$AV$6:$AV$13,0),MATCH(SCC_Polythionic_Acid!$S20,'Tables - Part 2'!$AX$5:$BA$5,0)))/2)/2))/2,0)</f>
        <v>0</v>
      </c>
      <c r="BB20" s="248">
        <f>IF($R20=$BB$3,((INDEX('Tables - Part 2'!$AX$17:$BA$24,MATCH(SCC_Polythionic_Acid!$V20,'Tables - Part 2'!$AV$6:$AV$13,0),MATCH(SCC_Polythionic_Acid!$S20,'Tables - Part 2'!$AX$5:$BA$5,0)))+(INDEX('Tables - Part 2'!$AX$17:$BA$24,MATCH(SCC_Polythionic_Acid!$V20,'Tables - Part 2'!$AV$6:$AV$13,0),MATCH(SCC_Polythionic_Acid!$S20,'Tables - Part 2'!$AX$5:$BA$5,0))+INDEX('Tables - Part 2'!$BB$17:$BE$24,MATCH(SCC_Polythionic_Acid!$V20,'Tables - Part 2'!$AV$6:$AV$13,0),MATCH(SCC_Polythionic_Acid!$S20,'Tables - Part 2'!$AX$5:$BA$5,0)))/2)/2,0)</f>
        <v>0</v>
      </c>
      <c r="BC20" s="248">
        <f>IF($R20=$BC$3,((((INDEX('Tables - Part 2'!$AX$17:$BA$24,MATCH(SCC_Polythionic_Acid!$V20,'Tables - Part 2'!$AV$6:$AV$13,0),MATCH(SCC_Polythionic_Acid!$S20,'Tables - Part 2'!$AX$5:$BA$5,0)))+(INDEX('Tables - Part 2'!$AX$17:$BA$24,MATCH(SCC_Polythionic_Acid!$V20,'Tables - Part 2'!$AV$6:$AV$13,0),MATCH(SCC_Polythionic_Acid!$S20,'Tables - Part 2'!$AX$5:$BA$5,0))+INDEX('Tables - Part 2'!$BB$17:$BE$24,MATCH(SCC_Polythionic_Acid!$V20,'Tables - Part 2'!$AV$6:$AV$13,0),MATCH(SCC_Polythionic_Acid!$S20,'Tables - Part 2'!$AX$5:$BA$5,0)))/2)/2)+((INDEX('Tables - Part 2'!$AX$17:$BA$24,MATCH(SCC_Polythionic_Acid!$V20,'Tables - Part 2'!$AV$6:$AV$13,0),MATCH(SCC_Polythionic_Acid!$S20,'Tables - Part 2'!$AX$5:$BA$5,0))+INDEX('Tables - Part 2'!$BB$17:$BE$24,MATCH(SCC_Polythionic_Acid!$V20,'Tables - Part 2'!$AV$6:$AV$13,0),MATCH(SCC_Polythionic_Acid!$S20,'Tables - Part 2'!$AX$5:$BA$5,0)))/2))/2,0)</f>
        <v>0</v>
      </c>
      <c r="BD20" s="248">
        <f>IF($R20=$BD$3,(INDEX('Tables - Part 2'!$AX$17:$BA$24,MATCH(SCC_Polythionic_Acid!$V20,'Tables - Part 2'!$AV$6:$AV$13,0),MATCH(SCC_Polythionic_Acid!$S20,'Tables - Part 2'!$AX$5:$BA$5,0))+INDEX('Tables - Part 2'!$BB$17:$BE$24,MATCH(SCC_Polythionic_Acid!$V20,'Tables - Part 2'!$AV$6:$AV$13,0),MATCH(SCC_Polythionic_Acid!$S20,'Tables - Part 2'!$AX$5:$BA$5,0)))/2,0)</f>
        <v>0</v>
      </c>
      <c r="BE20" s="248">
        <f>IF($R20=$BE$3,(((INDEX('Tables - Part 2'!$AX$17:$BA$24,MATCH(SCC_Polythionic_Acid!$V20,'Tables - Part 2'!$AV$6:$AV$13,0),MATCH(SCC_Polythionic_Acid!$S20,'Tables - Part 2'!$AX$5:$BA$5,0))+INDEX('Tables - Part 2'!$BB$17:$BE$24,MATCH(SCC_Polythionic_Acid!$V20,'Tables - Part 2'!$AV$6:$AV$13,0),MATCH(SCC_Polythionic_Acid!$S20,'Tables - Part 2'!$AX$5:$BA$5,0)))/2)+((((INDEX('Tables - Part 2'!$AX$17:$BA$24,MATCH(SCC_Polythionic_Acid!$V20,'Tables - Part 2'!$AV$6:$AV$13,0),MATCH(SCC_Polythionic_Acid!$S20,'Tables - Part 2'!$AX$5:$BA$5,0))+INDEX('Tables - Part 2'!$BB$17:$BE$24,MATCH(SCC_Polythionic_Acid!$V20,'Tables - Part 2'!$AV$6:$AV$13,0),MATCH(SCC_Polythionic_Acid!$S20,'Tables - Part 2'!$AX$5:$BA$5,0)))/2)+INDEX('Tables - Part 2'!$BB$17:$BE$24,MATCH(SCC_Polythionic_Acid!$V20,'Tables - Part 2'!$AV$6:$AV$13,0),MATCH(SCC_Polythionic_Acid!$S20,'Tables - Part 2'!$AX$5:$BA$5,0)))/2))/2,0)</f>
        <v>0</v>
      </c>
      <c r="BF20" s="248">
        <f>IF($R20=$BF$3,(((INDEX('Tables - Part 2'!$AX$17:$BA$24,MATCH(SCC_Polythionic_Acid!$V20,'Tables - Part 2'!$AV$6:$AV$13,0),MATCH(SCC_Polythionic_Acid!$S20,'Tables - Part 2'!$AX$5:$BA$5,0))+INDEX('Tables - Part 2'!$BB$17:$BE$24,MATCH(SCC_Polythionic_Acid!$V20,'Tables - Part 2'!$AV$6:$AV$13,0),MATCH(SCC_Polythionic_Acid!$S20,'Tables - Part 2'!$AX$5:$BA$5,0)))/2)+INDEX('Tables - Part 2'!$BB$17:$BE$24,MATCH(SCC_Polythionic_Acid!$V20,'Tables - Part 2'!$AV$6:$AV$13,0),MATCH(SCC_Polythionic_Acid!$S20,'Tables - Part 2'!$AX$5:$BA$5,0)))/2,0)</f>
        <v>0</v>
      </c>
      <c r="BG20" s="248">
        <f>IF($R20=$BG$3,(((((INDEX('Tables - Part 2'!$AX$17:$BA$24,MATCH(SCC_Polythionic_Acid!$V20,'Tables - Part 2'!$AV$6:$AV$13,0),MATCH(SCC_Polythionic_Acid!$S20,'Tables - Part 2'!$AX$5:$BA$5,0))+INDEX('Tables - Part 2'!$BB$17:$BE$24,MATCH(SCC_Polythionic_Acid!$V20,'Tables - Part 2'!$AV$6:$AV$13,0),MATCH(SCC_Polythionic_Acid!$S20,'Tables - Part 2'!$AX$5:$BA$5,0)))/2)+INDEX('Tables - Part 2'!$BB$17:$BE$24,MATCH(SCC_Polythionic_Acid!$V20,'Tables - Part 2'!$AV$6:$AV$13,0),MATCH(SCC_Polythionic_Acid!$S20,'Tables - Part 2'!$AX$5:$BA$5,0)))/2)+(INDEX('Tables - Part 2'!$BB$17:$BE$24,MATCH(SCC_Polythionic_Acid!$V20,'Tables - Part 2'!$AV$6:$AV$13,0),MATCH(SCC_Polythionic_Acid!$S20,'Tables - Part 2'!$AX$5:$BA$5,0))))/2,0)</f>
        <v>0</v>
      </c>
      <c r="BH20" s="248">
        <f>IF($R20=$BH$3,INDEX('Tables - Part 2'!$BB$17:$BE$24,MATCH(SCC_Polythionic_Acid!$V20,'Tables - Part 2'!$AV$6:$AV$13,0),MATCH(SCC_Polythionic_Acid!$S20,'Tables - Part 2'!$AX$5:$BA$5,0)),0)</f>
        <v>0</v>
      </c>
      <c r="BI20" s="248">
        <f>IF($R20=$BI$3,((INDEX('Tables - Part 2'!$BB$17:$BE$24,MATCH(SCC_Polythionic_Acid!$V20,'Tables - Part 2'!$AV$6:$AV$13,0),MATCH(SCC_Polythionic_Acid!$S20,'Tables - Part 2'!$AX$5:$BA$5,0)))+(((INDEX('Tables - Part 2'!$BB$17:$BE$24,MATCH(SCC_Polythionic_Acid!$V20,'Tables - Part 2'!$AV$6:$AV$13,0),MATCH(SCC_Polythionic_Acid!$S20,'Tables - Part 2'!$AX$5:$BA$5,0)))+(INDEX('Tables - Part 2'!$BB$17:$BE$24,MATCH(SCC_Polythionic_Acid!$V20,'Tables - Part 2'!$AV$6:$AV$13,0),MATCH(SCC_Polythionic_Acid!$S20,'Tables - Part 2'!$AX$5:$BA$5,0))+INDEX('Tables - Part 2'!$BF$17:$BI$24,MATCH(SCC_Polythionic_Acid!$V20,'Tables - Part 2'!$AV$6:$AV$13,0),MATCH(SCC_Polythionic_Acid!$S20,'Tables - Part 2'!$AX$5:$BA$5,0)))/2)/2))/2,0)</f>
        <v>0</v>
      </c>
      <c r="BJ20" s="248">
        <f>IF($R20=$BJ$3,((INDEX('Tables - Part 2'!$BB$17:$BE$24,MATCH(SCC_Polythionic_Acid!$V20,'Tables - Part 2'!$AV$6:$AV$13,0),MATCH(SCC_Polythionic_Acid!$S20,'Tables - Part 2'!$AX$5:$BA$5,0)))+(INDEX('Tables - Part 2'!$BB$17:$BE$24,MATCH(SCC_Polythionic_Acid!$V20,'Tables - Part 2'!$AV$6:$AV$13,0),MATCH(SCC_Polythionic_Acid!$S20,'Tables - Part 2'!$AX$5:$BA$5,0))+INDEX('Tables - Part 2'!$BF$17:$BI$24,MATCH(SCC_Polythionic_Acid!$V20,'Tables - Part 2'!$AV$6:$AV$13,0),MATCH(SCC_Polythionic_Acid!$S20,'Tables - Part 2'!$AX$5:$BA$5,0)))/2)/2,0)</f>
        <v>0</v>
      </c>
      <c r="BK20" s="248">
        <f>IF($R20=$BK$3,((((INDEX('Tables - Part 2'!$BB$17:$BE$24,MATCH(SCC_Polythionic_Acid!$V20,'Tables - Part 2'!$AV$6:$AV$13,0),MATCH(SCC_Polythionic_Acid!$S20,'Tables - Part 2'!$AX$5:$BA$5,0)))+(INDEX('Tables - Part 2'!$BB$17:$BE$24,MATCH(SCC_Polythionic_Acid!$V20,'Tables - Part 2'!$AV$6:$AV$13,0),MATCH(SCC_Polythionic_Acid!$S20,'Tables - Part 2'!$AX$5:$BA$5,0))+INDEX('Tables - Part 2'!$BF$17:$BI$24,MATCH(SCC_Polythionic_Acid!$V20,'Tables - Part 2'!$AV$6:$AV$13,0),MATCH(SCC_Polythionic_Acid!$S20,'Tables - Part 2'!$AX$5:$BA$5,0)))/2)/2)+((INDEX('Tables - Part 2'!$BB$17:$BE$24,MATCH(SCC_Polythionic_Acid!$V20,'Tables - Part 2'!$AV$6:$AV$13,0),MATCH(SCC_Polythionic_Acid!$S20,'Tables - Part 2'!$AX$5:$BA$5,0))+INDEX('Tables - Part 2'!$BF$17:$BI$24,MATCH(SCC_Polythionic_Acid!$V20,'Tables - Part 2'!$AV$6:$AV$13,0),MATCH(SCC_Polythionic_Acid!$S20,'Tables - Part 2'!$AX$5:$BA$5,0)))/2))/2,0)</f>
        <v>0</v>
      </c>
      <c r="BL20" s="248">
        <f>IF($R20=$BL$3,(INDEX('Tables - Part 2'!$BB$17:$BE$24,MATCH(SCC_Polythionic_Acid!$V20,'Tables - Part 2'!$AV$6:$AV$13,0),MATCH(SCC_Polythionic_Acid!$S20,'Tables - Part 2'!$AX$5:$BA$5,0))+INDEX('Tables - Part 2'!$BF$17:$BI$24,MATCH(SCC_Polythionic_Acid!$V20,'Tables - Part 2'!$AV$6:$AV$13,0),MATCH(SCC_Polythionic_Acid!$S20,'Tables - Part 2'!$AX$5:$BA$5,0)))/2,0)</f>
        <v>0</v>
      </c>
      <c r="BM20" s="248">
        <f>IF($R20=$BM$3,(((INDEX('Tables - Part 2'!$BB$17:$BE$24,MATCH(SCC_Polythionic_Acid!$V20,'Tables - Part 2'!$AV$6:$AV$13,0),MATCH(SCC_Polythionic_Acid!$S20,'Tables - Part 2'!$AX$5:$BA$5,0))+INDEX('Tables - Part 2'!$BF$17:$BI$24,MATCH(SCC_Polythionic_Acid!$V20,'Tables - Part 2'!$AV$6:$AV$13,0),MATCH(SCC_Polythionic_Acid!$S20,'Tables - Part 2'!$AX$5:$BA$5,0)))/2)+((((INDEX('Tables - Part 2'!$BB$17:$BE$24,MATCH(SCC_Polythionic_Acid!$V20,'Tables - Part 2'!$AV$6:$AV$13,0),MATCH(SCC_Polythionic_Acid!$S20,'Tables - Part 2'!$AX$5:$BA$5,0))+INDEX('Tables - Part 2'!$BF$17:$BI$24,MATCH(SCC_Polythionic_Acid!$V20,'Tables - Part 2'!$AV$6:$AV$13,0),MATCH(SCC_Polythionic_Acid!$S20,'Tables - Part 2'!$AX$5:$BA$5,0)))/2)+INDEX('Tables - Part 2'!$BF$17:$BI$24,MATCH(SCC_Polythionic_Acid!$V20,'Tables - Part 2'!$AV$6:$AV$13,0),MATCH(SCC_Polythionic_Acid!$S20,'Tables - Part 2'!$AX$5:$BA$5,0)))/2))/2,0)</f>
        <v>0</v>
      </c>
      <c r="BN20" s="248">
        <f>IF($R20=$BN$3,(((INDEX('Tables - Part 2'!$BB$17:$BE$24,MATCH(SCC_Polythionic_Acid!$V20,'Tables - Part 2'!$AV$6:$AV$13,0),MATCH(SCC_Polythionic_Acid!$S20,'Tables - Part 2'!$AX$5:$BA$5,0))+INDEX('Tables - Part 2'!$BF$17:$BI$24,MATCH(SCC_Polythionic_Acid!$V20,'Tables - Part 2'!$AV$6:$AV$13,0),MATCH(SCC_Polythionic_Acid!$S20,'Tables - Part 2'!$AX$5:$BA$5,0)))/2)+INDEX('Tables - Part 2'!$BF$17:$BI$24,MATCH(SCC_Polythionic_Acid!$V20,'Tables - Part 2'!$AV$6:$AV$13,0),MATCH(SCC_Polythionic_Acid!$S20,'Tables - Part 2'!$AX$5:$BA$5,0)))/2,0)</f>
        <v>0</v>
      </c>
      <c r="BO20" s="248">
        <f>IF($R20=$BO$3,(((((INDEX('Tables - Part 2'!$BB$17:$BE$24,MATCH(SCC_Polythionic_Acid!$V20,'Tables - Part 2'!$AV$6:$AV$13,0),MATCH(SCC_Polythionic_Acid!$S20,'Tables - Part 2'!$AX$5:$BA$5,0))+INDEX('Tables - Part 2'!$BF$17:$BI$24,MATCH(SCC_Polythionic_Acid!$V20,'Tables - Part 2'!$AV$6:$AV$13,0),MATCH(SCC_Polythionic_Acid!$S20,'Tables - Part 2'!$AX$5:$BA$5,0)))/2)+INDEX('Tables - Part 2'!$BF$17:$BI$24,MATCH(SCC_Polythionic_Acid!$V20,'Tables - Part 2'!$AV$6:$AV$13,0),MATCH(SCC_Polythionic_Acid!$S20,'Tables - Part 2'!$AX$5:$BA$5,0)))/2)+(INDEX('Tables - Part 2'!$BF$17:$BI$24,MATCH(SCC_Polythionic_Acid!$V20,'Tables - Part 2'!$AV$6:$AV$13,0),MATCH(SCC_Polythionic_Acid!$S20,'Tables - Part 2'!$AX$5:$BA$5,0))))/2,0)</f>
        <v>0</v>
      </c>
      <c r="BP20" s="248">
        <f>IF($R20=$BP$3,INDEX('Tables - Part 2'!$BF$17:$BI$24,MATCH(SCC_Polythionic_Acid!$V20,'Tables - Part 2'!$AV$6:$AV$13,0),MATCH(SCC_Polythionic_Acid!$S20,'Tables - Part 2'!$AX$5:$BA$5,0)),0)</f>
        <v>0</v>
      </c>
      <c r="BQ20" s="248">
        <f t="shared" si="5"/>
        <v>0</v>
      </c>
      <c r="BR20" s="238">
        <f t="shared" si="8"/>
        <v>165</v>
      </c>
      <c r="BS20" s="238">
        <f t="shared" si="9"/>
        <v>2767.5256072873844</v>
      </c>
    </row>
    <row r="21" spans="2:71" x14ac:dyDescent="0.35">
      <c r="B21" s="161" t="str">
        <f>'Tratamento de Dados'!B29</f>
        <v>V-9</v>
      </c>
      <c r="C21" s="161" t="str">
        <f>'Tratamento de Dados'!D29</f>
        <v>Casco</v>
      </c>
      <c r="D21" s="209" t="s">
        <v>244</v>
      </c>
      <c r="E21" s="209" t="s">
        <v>244</v>
      </c>
      <c r="F21" s="209" t="s">
        <v>244</v>
      </c>
      <c r="G21" s="209" t="s">
        <v>244</v>
      </c>
      <c r="H21" s="209" t="s">
        <v>1145</v>
      </c>
      <c r="I21" s="247">
        <f>'Tratamento de Dados'!S29</f>
        <v>2</v>
      </c>
      <c r="J21" s="209" t="s">
        <v>1146</v>
      </c>
      <c r="K21" s="210">
        <v>39092</v>
      </c>
      <c r="L21" s="209">
        <v>0</v>
      </c>
      <c r="M21" s="209">
        <v>1</v>
      </c>
      <c r="N21" s="209">
        <v>1</v>
      </c>
      <c r="O21" s="209">
        <v>4</v>
      </c>
      <c r="P21" s="253">
        <f>'Tratamento de Dados'!DA29</f>
        <v>0</v>
      </c>
      <c r="Q21" s="253">
        <f>'Tratamento de Dados'!DB29</f>
        <v>0</v>
      </c>
      <c r="R21" s="256">
        <f t="shared" si="0"/>
        <v>2.5</v>
      </c>
      <c r="S21" s="246" t="str">
        <f t="shared" si="1"/>
        <v>B</v>
      </c>
      <c r="T21" s="238" t="str">
        <f>IF(D21=$BX$2,$BV$5,IF(F21=$BX$3,$BV$2,INDEX(IF(I21&lt;427,'Tables - Part 2'!$DH$6:$DJ$10,'Tables - Part 2'!$DH$14:$DJ$18),MATCH(SCC_Polythionic_Acid!H21,'Tables - Part 2'!$DG$6:$DG$10,0),MATCH(J21,'Tables - Part 2'!$DH$5:$DJ$5,0))))</f>
        <v>High</v>
      </c>
      <c r="U21" s="238" t="str">
        <f t="shared" si="6"/>
        <v>High</v>
      </c>
      <c r="V21" s="238">
        <f>IF(AND(D21=$BX$2,E21&lt;&gt;$BX$2),"Fitness-For-Service",INDEX('Tables - Part 2'!$DM$4:$DM$7,MATCH(SCC_Polythionic_Acid!U21,'Tables - Part 2'!$DL$4:$DL$7,0),))</f>
        <v>5000</v>
      </c>
      <c r="W21" s="238">
        <f>IF(K21=0,(Thinning!G22-Thinning!F22)/365.25,(Thinning!G22-K21)/365.25)</f>
        <v>12.980150581793293</v>
      </c>
      <c r="X21" s="248">
        <f t="shared" si="2"/>
        <v>0</v>
      </c>
      <c r="Y21" s="248">
        <f t="shared" si="3"/>
        <v>2.5</v>
      </c>
      <c r="Z21" s="247">
        <f t="shared" si="7"/>
        <v>3</v>
      </c>
      <c r="AA21" s="247">
        <f t="shared" si="4"/>
        <v>4</v>
      </c>
      <c r="AB21" s="248">
        <f>IF($R21=$AB$3,INDEX('Tables - Part 2'!$AX$6:$BA$13,MATCH(SCC_Polythionic_Acid!V21,'Tables - Part 2'!$AV$6:$AV$13,0),MATCH(SCC_Polythionic_Acid!S21,'Tables - Part 2'!$AX$5:$BA$5,0)),0)</f>
        <v>0</v>
      </c>
      <c r="AC21" s="248">
        <f>IF($R21=$AC$3,(INDEX('Tables - Part 2'!$AX$6:$BA$13,MATCH(SCC_Polythionic_Acid!V21,'Tables - Part 2'!$AV$6:$AV$13,0),MATCH(SCC_Polythionic_Acid!S21,'Tables - Part 2'!$AX$5:$BA$5,0))+(INDEX('Tables - Part 2'!$AX$6:$BA$13,MATCH(SCC_Polythionic_Acid!V21,'Tables - Part 2'!$AV$6:$AV$13,0),MATCH(SCC_Polythionic_Acid!S21,'Tables - Part 2'!$AX$5:$BA$5,0))+((INDEX('Tables - Part 2'!$AX$6:$BA$13,MATCH(SCC_Polythionic_Acid!V21,'Tables - Part 2'!$AV$6:$AV$13,0),MATCH(SCC_Polythionic_Acid!S21,'Tables - Part 2'!$AX$5:$BA$5,0))+INDEX('Tables - Part 2'!$BB$6:$BE$13,MATCH(SCC_Polythionic_Acid!$V21,'Tables - Part 2'!$AV$6:$AV$13,0),MATCH(SCC_Polythionic_Acid!$S21,'Tables - Part 2'!$AX$5:$BA$5,0)))/2))/2)/2,0)</f>
        <v>0</v>
      </c>
      <c r="AD21" s="248">
        <f>IF($R21=$AD$3,(INDEX('Tables - Part 2'!$AX$6:$BA$13,MATCH(SCC_Polythionic_Acid!V21,'Tables - Part 2'!$AV$6:$AV$13,0),MATCH(SCC_Polythionic_Acid!S21,'Tables - Part 2'!$AX$5:$BA$5,0))+((INDEX('Tables - Part 2'!$AX$6:$BA$13,MATCH(SCC_Polythionic_Acid!V21,'Tables - Part 2'!$AV$6:$AV$13,0),MATCH(SCC_Polythionic_Acid!S21,'Tables - Part 2'!$AX$5:$BA$5,0))+INDEX('Tables - Part 2'!$BB$6:$BE$13,MATCH(SCC_Polythionic_Acid!$V21,'Tables - Part 2'!$AV$6:$AV$13,0),MATCH(SCC_Polythionic_Acid!$S21,'Tables - Part 2'!$AX$5:$BA$5,0)))/2))/2,0)</f>
        <v>0</v>
      </c>
      <c r="AE21" s="248">
        <f>IF($R21=$AE$3,(((INDEX('Tables - Part 2'!$AX$6:$BA$13,MATCH(SCC_Polythionic_Acid!V21,'Tables - Part 2'!$AV$6:$AV$13,0),MATCH(SCC_Polythionic_Acid!S21,'Tables - Part 2'!$AX$5:$BA$5,0))+((INDEX('Tables - Part 2'!$AX$6:$BA$13,MATCH(SCC_Polythionic_Acid!V21,'Tables - Part 2'!$AV$6:$AV$13,0),MATCH(SCC_Polythionic_Acid!S21,'Tables - Part 2'!$AX$5:$BA$5,0))+INDEX('Tables - Part 2'!$BB$6:$BE$13,MATCH(SCC_Polythionic_Acid!$V21,'Tables - Part 2'!$AV$6:$AV$13,0),MATCH(SCC_Polythionic_Acid!$S21,'Tables - Part 2'!$AX$5:$BA$5,0)))/2))/2)+(INDEX('Tables - Part 2'!$AX$6:$BA$13,MATCH(SCC_Polythionic_Acid!V21,'Tables - Part 2'!$AV$6:$AV$13,0),MATCH(SCC_Polythionic_Acid!S21,'Tables - Part 2'!$AX$5:$BA$5,0))+INDEX('Tables - Part 2'!$BB$6:$BE$13,MATCH(SCC_Polythionic_Acid!$V21,'Tables - Part 2'!$AV$6:$AV$13,0),MATCH(SCC_Polythionic_Acid!$S21,'Tables - Part 2'!$AX$5:$BA$5,0)))/2)/2,0)</f>
        <v>0</v>
      </c>
      <c r="AF21" s="248">
        <f>IF($R21=$AF$3,(INDEX('Tables - Part 2'!$AX$6:$BA$13,MATCH(SCC_Polythionic_Acid!V21,'Tables - Part 2'!$AV$6:$AV$13,0),MATCH(SCC_Polythionic_Acid!S21,'Tables - Part 2'!$AX$5:$BA$5,0))+INDEX('Tables - Part 2'!$BB$6:$BE$13,MATCH(SCC_Polythionic_Acid!$V21,'Tables - Part 2'!$AV$6:$AV$13,0),MATCH(SCC_Polythionic_Acid!$S21,'Tables - Part 2'!$AX$5:$BA$5,0)))/2,0)</f>
        <v>0</v>
      </c>
      <c r="AG21" s="248">
        <f>IF($R21=$AG$3,(((INDEX('Tables - Part 2'!$AX$6:$BA$13,MATCH(SCC_Polythionic_Acid!V21,'Tables - Part 2'!$AV$6:$AV$13,0),MATCH(SCC_Polythionic_Acid!S21,'Tables - Part 2'!$AX$5:$BA$5,0))+INDEX('Tables - Part 2'!$BB$6:$BE$13,MATCH(SCC_Polythionic_Acid!$V21,'Tables - Part 2'!$AV$6:$AV$13,0),MATCH(SCC_Polythionic_Acid!$S21,'Tables - Part 2'!$AX$5:$BA$5,0)))/2)+(((INDEX('Tables - Part 2'!$AX$6:$BA$13,MATCH(SCC_Polythionic_Acid!V21,'Tables - Part 2'!$AV$6:$AV$13,0),MATCH(SCC_Polythionic_Acid!S21,'Tables - Part 2'!$AX$5:$BA$5,0))+INDEX('Tables - Part 2'!$BB$6:$BE$13,MATCH(SCC_Polythionic_Acid!$V21,'Tables - Part 2'!$AV$6:$AV$13,0),MATCH(SCC_Polythionic_Acid!$S21,'Tables - Part 2'!$AX$5:$BA$5,0)))/2)+INDEX('Tables - Part 2'!$BB$6:$BE$13,MATCH(SCC_Polythionic_Acid!$V21,'Tables - Part 2'!$AV$6:$AV$13,0),MATCH(SCC_Polythionic_Acid!$S21,'Tables - Part 2'!$AX$5:$BA$5,0)))/2)/2,0)</f>
        <v>0</v>
      </c>
      <c r="AH21" s="248">
        <f>IF($R21=$AH$3,(((INDEX('Tables - Part 2'!$AX$6:$BA$13,MATCH(SCC_Polythionic_Acid!V21,'Tables - Part 2'!$AV$6:$AV$13,0),MATCH(SCC_Polythionic_Acid!S21,'Tables - Part 2'!$AX$5:$BA$5,0))+INDEX('Tables - Part 2'!$BB$6:$BE$13,MATCH(SCC_Polythionic_Acid!$V21,'Tables - Part 2'!$AV$6:$AV$13,0),MATCH(SCC_Polythionic_Acid!$S21,'Tables - Part 2'!$AX$5:$BA$5,0)))/2)+INDEX('Tables - Part 2'!$BB$6:$BE$13,MATCH(SCC_Polythionic_Acid!$V21,'Tables - Part 2'!$AV$6:$AV$13,0),MATCH(SCC_Polythionic_Acid!$S21,'Tables - Part 2'!$AX$5:$BA$5,0)))/2,0)</f>
        <v>0</v>
      </c>
      <c r="AI21" s="248">
        <f>IF($R21=$AI$3,(((((INDEX('Tables - Part 2'!$AX$6:$BA$13,MATCH(SCC_Polythionic_Acid!V21,'Tables - Part 2'!$AV$6:$AV$13,0),MATCH(SCC_Polythionic_Acid!S21,'Tables - Part 2'!$AX$5:$BA$5,0))+INDEX('Tables - Part 2'!$BB$6:$BE$13,MATCH(SCC_Polythionic_Acid!$V21,'Tables - Part 2'!$AV$6:$AV$13,0),MATCH(SCC_Polythionic_Acid!$S21,'Tables - Part 2'!$AX$5:$BA$5,0)))/2)+INDEX('Tables - Part 2'!$BB$6:$BE$13,MATCH(SCC_Polythionic_Acid!$V21,'Tables - Part 2'!$AV$6:$AV$13,0),MATCH(SCC_Polythionic_Acid!$S21,'Tables - Part 2'!$AX$5:$BA$5,0)))/2)+INDEX('Tables - Part 2'!$BB$6:$BE$13,MATCH(SCC_Polythionic_Acid!$V21,'Tables - Part 2'!$AV$6:$AV$13,0),MATCH(SCC_Polythionic_Acid!$S21,'Tables - Part 2'!$AX$5:$BA$5,0)))/2,0)</f>
        <v>0</v>
      </c>
      <c r="AJ21" s="248">
        <f>IF($R21=$AJ$3,INDEX('Tables - Part 2'!$BB$6:$BE$13,MATCH(SCC_Polythionic_Acid!$V21,'Tables - Part 2'!$AV$6:$AV$13,0),MATCH(SCC_Polythionic_Acid!$S21,'Tables - Part 2'!$AX$5:$BA$5,0)),0)</f>
        <v>0</v>
      </c>
      <c r="AK21" s="248">
        <f>IF($R21=$AK$3,((INDEX('Tables - Part 2'!$BB$6:$BE$13,MATCH(SCC_Polythionic_Acid!$V21,'Tables - Part 2'!$AV$6:$AV$13,0),MATCH(SCC_Polythionic_Acid!$S21,'Tables - Part 2'!$AX$5:$BA$5,0)))+(INDEX('Tables - Part 2'!$BB$6:$BE$13,MATCH(SCC_Polythionic_Acid!$V21,'Tables - Part 2'!$AV$6:$AV$13,0),MATCH(SCC_Polythionic_Acid!$S21,'Tables - Part 2'!$AX$5:$BA$5,0))+(INDEX('Tables - Part 2'!$BB$6:$BE$13,MATCH(SCC_Polythionic_Acid!$V21,'Tables - Part 2'!$AV$6:$AV$13,0),MATCH(SCC_Polythionic_Acid!$S21,'Tables - Part 2'!$AX$5:$BA$5,0))+INDEX('Tables - Part 2'!$BF$6:$BI$13,MATCH(SCC_Polythionic_Acid!$V21,'Tables - Part 2'!$AV$6:$AV$13,0),MATCH(SCC_Polythionic_Acid!$S21,'Tables - Part 2'!$AX$5:$BA$5,0)))/2)/2)/2,0)</f>
        <v>0</v>
      </c>
      <c r="AL21" s="248">
        <f>IF($R21=$AL$3,(INDEX('Tables - Part 2'!$BB$6:$BE$13,MATCH(SCC_Polythionic_Acid!$V21,'Tables - Part 2'!$AV$6:$AV$13,0),MATCH(SCC_Polythionic_Acid!$S21,'Tables - Part 2'!$AX$5:$BA$5,0))+(INDEX('Tables - Part 2'!$BB$6:$BE$13,MATCH(SCC_Polythionic_Acid!$V21,'Tables - Part 2'!$AV$6:$AV$13,0),MATCH(SCC_Polythionic_Acid!$S21,'Tables - Part 2'!$AX$5:$BA$5,0))+INDEX('Tables - Part 2'!$BF$6:$BI$13,MATCH(SCC_Polythionic_Acid!$V21,'Tables - Part 2'!$AV$6:$AV$13,0),MATCH(SCC_Polythionic_Acid!$S21,'Tables - Part 2'!$AX$5:$BA$5,0)))/2)/2,0)</f>
        <v>0</v>
      </c>
      <c r="AM21" s="248">
        <f>IF($R21=$AM$3,(((INDEX('Tables - Part 2'!$BB$6:$BE$13,MATCH(SCC_Polythionic_Acid!$V21,'Tables - Part 2'!$AV$6:$AV$13,0),MATCH(SCC_Polythionic_Acid!$S21,'Tables - Part 2'!$AX$5:$BA$5,0))+(INDEX('Tables - Part 2'!$BB$6:$BE$13,MATCH(SCC_Polythionic_Acid!$V21,'Tables - Part 2'!$AV$6:$AV$13,0),MATCH(SCC_Polythionic_Acid!$S21,'Tables - Part 2'!$AX$5:$BA$5,0))+INDEX('Tables - Part 2'!$BF$6:$BI$13,MATCH(SCC_Polythionic_Acid!$V21,'Tables - Part 2'!$AV$6:$AV$13,0),MATCH(SCC_Polythionic_Acid!$S21,'Tables - Part 2'!$AX$5:$BA$5,0)))/2)/2)+((INDEX('Tables - Part 2'!$BB$6:$BE$13,MATCH(SCC_Polythionic_Acid!$V21,'Tables - Part 2'!$AV$6:$AV$13,0),MATCH(SCC_Polythionic_Acid!$S21,'Tables - Part 2'!$AX$5:$BA$5,0))+INDEX('Tables - Part 2'!$BF$6:$BI$13,MATCH(SCC_Polythionic_Acid!$V21,'Tables - Part 2'!$AV$6:$AV$13,0),MATCH(SCC_Polythionic_Acid!$S21,'Tables - Part 2'!$AX$5:$BA$5,0)))/2))/2,0)</f>
        <v>0</v>
      </c>
      <c r="AN21" s="248">
        <f>IF($R21=$AN$3,(INDEX('Tables - Part 2'!$BB$6:$BE$13,MATCH(SCC_Polythionic_Acid!$V21,'Tables - Part 2'!$AV$6:$AV$13,0),MATCH(SCC_Polythionic_Acid!$S21,'Tables - Part 2'!$AX$5:$BA$5,0))+INDEX('Tables - Part 2'!$BF$6:$BI$13,MATCH(SCC_Polythionic_Acid!$V21,'Tables - Part 2'!$AV$6:$AV$13,0),MATCH(SCC_Polythionic_Acid!$S21,'Tables - Part 2'!$AX$5:$BA$5,0)))/2,0)</f>
        <v>165</v>
      </c>
      <c r="AO21" s="248">
        <f>IF($R21=$AO$3,(((INDEX('Tables - Part 2'!$BB$6:$BE$13,MATCH(SCC_Polythionic_Acid!$V21,'Tables - Part 2'!$AV$6:$AV$13,0),MATCH(SCC_Polythionic_Acid!$S21,'Tables - Part 2'!$AX$5:$BA$5,0))+INDEX('Tables - Part 2'!$BF$6:$BI$13,MATCH(SCC_Polythionic_Acid!$V21,'Tables - Part 2'!$AV$6:$AV$13,0),MATCH(SCC_Polythionic_Acid!$S21,'Tables - Part 2'!$AX$5:$BA$5,0)))/2)+((((INDEX('Tables - Part 2'!$BB$6:$BE$13,MATCH(SCC_Polythionic_Acid!$V21,'Tables - Part 2'!$AV$6:$AV$13,0),MATCH(SCC_Polythionic_Acid!$S21,'Tables - Part 2'!$AX$5:$BA$5,0))+INDEX('Tables - Part 2'!$BF$6:$BI$13,MATCH(SCC_Polythionic_Acid!$V21,'Tables - Part 2'!$AV$6:$AV$13,0),MATCH(SCC_Polythionic_Acid!$S21,'Tables - Part 2'!$AX$5:$BA$5,0)))/2)+INDEX('Tables - Part 2'!$BF$6:$BI$13,MATCH(SCC_Polythionic_Acid!$V21,'Tables - Part 2'!$AV$6:$AV$13,0),MATCH(SCC_Polythionic_Acid!$S21,'Tables - Part 2'!$AX$5:$BA$5,0)))/2))/2,0)</f>
        <v>0</v>
      </c>
      <c r="AP21" s="248">
        <f>IF($R21=$AP$3,(((INDEX('Tables - Part 2'!$BB$6:$BE$13,MATCH(SCC_Polythionic_Acid!$V21,'Tables - Part 2'!$AV$6:$AV$13,0),MATCH(SCC_Polythionic_Acid!$S21,'Tables - Part 2'!$AX$5:$BA$5,0))+INDEX('Tables - Part 2'!$BF$6:$BI$13,MATCH(SCC_Polythionic_Acid!$V21,'Tables - Part 2'!$AV$6:$AV$13,0),MATCH(SCC_Polythionic_Acid!$S21,'Tables - Part 2'!$AX$5:$BA$5,0)))/2)+INDEX('Tables - Part 2'!$BF$6:$BI$13,MATCH(SCC_Polythionic_Acid!$V21,'Tables - Part 2'!$AV$6:$AV$13,0),MATCH(SCC_Polythionic_Acid!$S21,'Tables - Part 2'!$AX$5:$BA$5,0)))/2,0)</f>
        <v>0</v>
      </c>
      <c r="AQ21" s="248">
        <f>IF($R21=$AQ$3,(((((INDEX('Tables - Part 2'!$BB$6:$BE$13,MATCH(SCC_Polythionic_Acid!$V21,'Tables - Part 2'!$AV$6:$AV$13,0),MATCH(SCC_Polythionic_Acid!$S21,'Tables - Part 2'!$AX$5:$BA$5,0))+INDEX('Tables - Part 2'!$BF$6:$BI$13,MATCH(SCC_Polythionic_Acid!$V21,'Tables - Part 2'!$AV$6:$AV$13,0),MATCH(SCC_Polythionic_Acid!$S21,'Tables - Part 2'!$AX$5:$BA$5,0)))/2)+INDEX('Tables - Part 2'!$BF$6:$BI$13,MATCH(SCC_Polythionic_Acid!$V21,'Tables - Part 2'!$AV$6:$AV$13,0),MATCH(SCC_Polythionic_Acid!$S21,'Tables - Part 2'!$AX$5:$BA$5,0)))/2)+INDEX('Tables - Part 2'!$BF$6:$BI$13,MATCH(SCC_Polythionic_Acid!$V21,'Tables - Part 2'!$AV$6:$AV$13,0),MATCH(SCC_Polythionic_Acid!$S21,'Tables - Part 2'!$AX$5:$BA$5,0)))/2,0)</f>
        <v>0</v>
      </c>
      <c r="AR21" s="248">
        <f>IF($R21=$AR$3,INDEX('Tables - Part 2'!$BF$6:$BI$13,MATCH(SCC_Polythionic_Acid!$V21,'Tables - Part 2'!$AV$6:$AV$13,0),MATCH(SCC_Polythionic_Acid!$S21,'Tables - Part 2'!$AX$5:$BA$5,0)),0)</f>
        <v>0</v>
      </c>
      <c r="AS21" s="248">
        <f>IF($R21=$AS$3,(INDEX('Tables - Part 2'!$BF$6:$BI$13,MATCH(SCC_Polythionic_Acid!$V21,'Tables - Part 2'!$AV$6:$AV$13,0),MATCH(SCC_Polythionic_Acid!$S21,'Tables - Part 2'!$AX$5:$BA$5,0))+((INDEX('Tables - Part 2'!$BF$6:$BI$13,MATCH(SCC_Polythionic_Acid!$V21,'Tables - Part 2'!$AV$6:$AV$13,0),MATCH(SCC_Polythionic_Acid!$S21,'Tables - Part 2'!$AX$5:$BA$5,0))+(INDEX('Tables - Part 2'!$BF$6:$BI$13,MATCH(SCC_Polythionic_Acid!$V21,'Tables - Part 2'!$AV$6:$AV$13,0),MATCH(SCC_Polythionic_Acid!$S21,'Tables - Part 2'!$AX$5:$BA$5,0))+INDEX('Tables - Part 2'!$AX$17:$BA$24,MATCH(SCC_Polythionic_Acid!$V21,'Tables - Part 2'!$AV$6:$AV$13,0),MATCH(SCC_Polythionic_Acid!$S21,'Tables - Part 2'!$AX$5:$BA$5,0)))/2)/2))/2,0)</f>
        <v>0</v>
      </c>
      <c r="AT21" s="248">
        <f>IF($R21=$AT$3,(INDEX('Tables - Part 2'!$BF$6:$BI$13,MATCH(SCC_Polythionic_Acid!$V21,'Tables - Part 2'!$AV$6:$AV$13,0),MATCH(SCC_Polythionic_Acid!$S21,'Tables - Part 2'!$AX$5:$BA$5,0))+(INDEX('Tables - Part 2'!$BF$6:$BI$13,MATCH(SCC_Polythionic_Acid!$V21,'Tables - Part 2'!$AV$6:$AV$13,0),MATCH(SCC_Polythionic_Acid!$S21,'Tables - Part 2'!$AX$5:$BA$5,0))+INDEX('Tables - Part 2'!$AX$17:$BA$24,MATCH(SCC_Polythionic_Acid!$V21,'Tables - Part 2'!$AV$6:$AV$13,0),MATCH(SCC_Polythionic_Acid!$S21,'Tables - Part 2'!$AX$5:$BA$5,0)))/2)/2,0)</f>
        <v>0</v>
      </c>
      <c r="AU21" s="248">
        <f>IF($R21=$AU$3,(((INDEX('Tables - Part 2'!$BF$6:$BI$13,MATCH(SCC_Polythionic_Acid!$V21,'Tables - Part 2'!$AV$6:$AV$13,0),MATCH(SCC_Polythionic_Acid!$S21,'Tables - Part 2'!$AX$5:$BA$5,0))+(INDEX('Tables - Part 2'!$BF$6:$BI$13,MATCH(SCC_Polythionic_Acid!$V21,'Tables - Part 2'!$AV$6:$AV$13,0),MATCH(SCC_Polythionic_Acid!$S21,'Tables - Part 2'!$AX$5:$BA$5,0))+INDEX('Tables - Part 2'!$AX$17:$BA$24,MATCH(SCC_Polythionic_Acid!$V21,'Tables - Part 2'!$AV$6:$AV$13,0),MATCH(SCC_Polythionic_Acid!$S21,'Tables - Part 2'!$AX$5:$BA$5,0)))/2)/2)+((INDEX('Tables - Part 2'!$BF$6:$BI$13,MATCH(SCC_Polythionic_Acid!$V21,'Tables - Part 2'!$AV$6:$AV$13,0),MATCH(SCC_Polythionic_Acid!$S21,'Tables - Part 2'!$AX$5:$BA$5,0))+INDEX('Tables - Part 2'!$AX$17:$BA$24,MATCH(SCC_Polythionic_Acid!$V21,'Tables - Part 2'!$AV$6:$AV$13,0),MATCH(SCC_Polythionic_Acid!$S21,'Tables - Part 2'!$AX$5:$BA$5,0)))/2))/2,0)</f>
        <v>0</v>
      </c>
      <c r="AV21" s="248">
        <f>IF($R21=$AV$3,(INDEX('Tables - Part 2'!$BF$6:$BI$13,MATCH(SCC_Polythionic_Acid!$V21,'Tables - Part 2'!$AV$6:$AV$13,0),MATCH(SCC_Polythionic_Acid!$S21,'Tables - Part 2'!$AX$5:$BA$5,0))+INDEX('Tables - Part 2'!$AX$17:$BA$24,MATCH(SCC_Polythionic_Acid!$V21,'Tables - Part 2'!$AV$6:$AV$13,0),MATCH(SCC_Polythionic_Acid!$S21,'Tables - Part 2'!$AX$5:$BA$5,0)))/2,0)</f>
        <v>0</v>
      </c>
      <c r="AW21" s="248">
        <f>IF($R21=$AW$3,(((INDEX('Tables - Part 2'!$BF$6:$BI$13,MATCH(SCC_Polythionic_Acid!$V21,'Tables - Part 2'!$AV$6:$AV$13,0),MATCH(SCC_Polythionic_Acid!$S21,'Tables - Part 2'!$AX$5:$BA$5,0))+INDEX('Tables - Part 2'!$AX$17:$BA$24,MATCH(SCC_Polythionic_Acid!$V21,'Tables - Part 2'!$AV$6:$AV$13,0),MATCH(SCC_Polythionic_Acid!$S21,'Tables - Part 2'!$AX$5:$BA$5,0)))/2)+((((INDEX('Tables - Part 2'!$BF$6:$BI$13,MATCH(SCC_Polythionic_Acid!$V21,'Tables - Part 2'!$AV$6:$AV$13,0),MATCH(SCC_Polythionic_Acid!$S21,'Tables - Part 2'!$AX$5:$BA$5,0))+INDEX('Tables - Part 2'!$AX$17:$BA$24,MATCH(SCC_Polythionic_Acid!$V21,'Tables - Part 2'!$AV$6:$AV$13,0),MATCH(SCC_Polythionic_Acid!$S21,'Tables - Part 2'!$AX$5:$BA$5,0)))/2)+INDEX('Tables - Part 2'!$AX$17:$BA$24,MATCH(SCC_Polythionic_Acid!$V21,'Tables - Part 2'!$AV$6:$AV$13,0),MATCH(SCC_Polythionic_Acid!$S21,'Tables - Part 2'!$AX$5:$BA$5,0)))/2))/2,0)</f>
        <v>0</v>
      </c>
      <c r="AX21" s="248">
        <f>IF($R21=$AX$3,(((INDEX('Tables - Part 2'!$BF$6:$BI$13,MATCH(SCC_Polythionic_Acid!$V21,'Tables - Part 2'!$AV$6:$AV$13,0),MATCH(SCC_Polythionic_Acid!$S21,'Tables - Part 2'!$AX$5:$BA$5,0))+INDEX('Tables - Part 2'!$AX$17:$BA$24,MATCH(SCC_Polythionic_Acid!$V21,'Tables - Part 2'!$AV$6:$AV$13,0),MATCH(SCC_Polythionic_Acid!$S21,'Tables - Part 2'!$AX$5:$BA$5,0)))/2)+INDEX('Tables - Part 2'!$AX$17:$BA$24,MATCH(SCC_Polythionic_Acid!$V21,'Tables - Part 2'!$AV$6:$AV$13,0),MATCH(SCC_Polythionic_Acid!$S21,'Tables - Part 2'!$AX$5:$BA$5,0)))/2,0)</f>
        <v>0</v>
      </c>
      <c r="AY21" s="248">
        <f>IF($R21=$AY$3,(((((INDEX('Tables - Part 2'!$BF$6:$BI$13,MATCH(SCC_Polythionic_Acid!$V21,'Tables - Part 2'!$AV$6:$AV$13,0),MATCH(SCC_Polythionic_Acid!$S21,'Tables - Part 2'!$AX$5:$BA$5,0))+INDEX('Tables - Part 2'!$AX$17:$BA$24,MATCH(SCC_Polythionic_Acid!$V21,'Tables - Part 2'!$AV$6:$AV$13,0),MATCH(SCC_Polythionic_Acid!$S21,'Tables - Part 2'!$AX$5:$BA$5,0)))/2)+INDEX('Tables - Part 2'!$AX$17:$BA$24,MATCH(SCC_Polythionic_Acid!$V21,'Tables - Part 2'!$AV$6:$AV$13,0),MATCH(SCC_Polythionic_Acid!$S21,'Tables - Part 2'!$AX$5:$BA$5,0)))/2)+(INDEX('Tables - Part 2'!$AX$17:$BA$24,MATCH(SCC_Polythionic_Acid!$V21,'Tables - Part 2'!$AV$6:$AV$13,0),MATCH(SCC_Polythionic_Acid!$S21,'Tables - Part 2'!$AX$5:$BA$5,0))))/2,0)</f>
        <v>0</v>
      </c>
      <c r="AZ21" s="248">
        <f>IF($R21=$AZ$3,INDEX('Tables - Part 2'!$AX$17:$BA$24,MATCH(SCC_Polythionic_Acid!$V21,'Tables - Part 2'!$AV$6:$AV$13,0),MATCH(SCC_Polythionic_Acid!$S21,'Tables - Part 2'!$AX$5:$BA$5,0)),0)</f>
        <v>0</v>
      </c>
      <c r="BA21" s="248">
        <f>IF($R21=$BA$3,((INDEX('Tables - Part 2'!$AX$17:$BA$24,MATCH(SCC_Polythionic_Acid!$V21,'Tables - Part 2'!$AV$6:$AV$13,0),MATCH(SCC_Polythionic_Acid!$S21,'Tables - Part 2'!$AX$5:$BA$5,0)))+(((INDEX('Tables - Part 2'!$AX$17:$BA$24,MATCH(SCC_Polythionic_Acid!$V21,'Tables - Part 2'!$AV$6:$AV$13,0),MATCH(SCC_Polythionic_Acid!$S21,'Tables - Part 2'!$AX$5:$BA$5,0)))+(INDEX('Tables - Part 2'!$AX$17:$BA$24,MATCH(SCC_Polythionic_Acid!$V21,'Tables - Part 2'!$AV$6:$AV$13,0),MATCH(SCC_Polythionic_Acid!$S21,'Tables - Part 2'!$AX$5:$BA$5,0))+INDEX('Tables - Part 2'!$BB$17:$BE$24,MATCH(SCC_Polythionic_Acid!$V21,'Tables - Part 2'!$AV$6:$AV$13,0),MATCH(SCC_Polythionic_Acid!$S21,'Tables - Part 2'!$AX$5:$BA$5,0)))/2)/2))/2,0)</f>
        <v>0</v>
      </c>
      <c r="BB21" s="248">
        <f>IF($R21=$BB$3,((INDEX('Tables - Part 2'!$AX$17:$BA$24,MATCH(SCC_Polythionic_Acid!$V21,'Tables - Part 2'!$AV$6:$AV$13,0),MATCH(SCC_Polythionic_Acid!$S21,'Tables - Part 2'!$AX$5:$BA$5,0)))+(INDEX('Tables - Part 2'!$AX$17:$BA$24,MATCH(SCC_Polythionic_Acid!$V21,'Tables - Part 2'!$AV$6:$AV$13,0),MATCH(SCC_Polythionic_Acid!$S21,'Tables - Part 2'!$AX$5:$BA$5,0))+INDEX('Tables - Part 2'!$BB$17:$BE$24,MATCH(SCC_Polythionic_Acid!$V21,'Tables - Part 2'!$AV$6:$AV$13,0),MATCH(SCC_Polythionic_Acid!$S21,'Tables - Part 2'!$AX$5:$BA$5,0)))/2)/2,0)</f>
        <v>0</v>
      </c>
      <c r="BC21" s="248">
        <f>IF($R21=$BC$3,((((INDEX('Tables - Part 2'!$AX$17:$BA$24,MATCH(SCC_Polythionic_Acid!$V21,'Tables - Part 2'!$AV$6:$AV$13,0),MATCH(SCC_Polythionic_Acid!$S21,'Tables - Part 2'!$AX$5:$BA$5,0)))+(INDEX('Tables - Part 2'!$AX$17:$BA$24,MATCH(SCC_Polythionic_Acid!$V21,'Tables - Part 2'!$AV$6:$AV$13,0),MATCH(SCC_Polythionic_Acid!$S21,'Tables - Part 2'!$AX$5:$BA$5,0))+INDEX('Tables - Part 2'!$BB$17:$BE$24,MATCH(SCC_Polythionic_Acid!$V21,'Tables - Part 2'!$AV$6:$AV$13,0),MATCH(SCC_Polythionic_Acid!$S21,'Tables - Part 2'!$AX$5:$BA$5,0)))/2)/2)+((INDEX('Tables - Part 2'!$AX$17:$BA$24,MATCH(SCC_Polythionic_Acid!$V21,'Tables - Part 2'!$AV$6:$AV$13,0),MATCH(SCC_Polythionic_Acid!$S21,'Tables - Part 2'!$AX$5:$BA$5,0))+INDEX('Tables - Part 2'!$BB$17:$BE$24,MATCH(SCC_Polythionic_Acid!$V21,'Tables - Part 2'!$AV$6:$AV$13,0),MATCH(SCC_Polythionic_Acid!$S21,'Tables - Part 2'!$AX$5:$BA$5,0)))/2))/2,0)</f>
        <v>0</v>
      </c>
      <c r="BD21" s="248">
        <f>IF($R21=$BD$3,(INDEX('Tables - Part 2'!$AX$17:$BA$24,MATCH(SCC_Polythionic_Acid!$V21,'Tables - Part 2'!$AV$6:$AV$13,0),MATCH(SCC_Polythionic_Acid!$S21,'Tables - Part 2'!$AX$5:$BA$5,0))+INDEX('Tables - Part 2'!$BB$17:$BE$24,MATCH(SCC_Polythionic_Acid!$V21,'Tables - Part 2'!$AV$6:$AV$13,0),MATCH(SCC_Polythionic_Acid!$S21,'Tables - Part 2'!$AX$5:$BA$5,0)))/2,0)</f>
        <v>0</v>
      </c>
      <c r="BE21" s="248">
        <f>IF($R21=$BE$3,(((INDEX('Tables - Part 2'!$AX$17:$BA$24,MATCH(SCC_Polythionic_Acid!$V21,'Tables - Part 2'!$AV$6:$AV$13,0),MATCH(SCC_Polythionic_Acid!$S21,'Tables - Part 2'!$AX$5:$BA$5,0))+INDEX('Tables - Part 2'!$BB$17:$BE$24,MATCH(SCC_Polythionic_Acid!$V21,'Tables - Part 2'!$AV$6:$AV$13,0),MATCH(SCC_Polythionic_Acid!$S21,'Tables - Part 2'!$AX$5:$BA$5,0)))/2)+((((INDEX('Tables - Part 2'!$AX$17:$BA$24,MATCH(SCC_Polythionic_Acid!$V21,'Tables - Part 2'!$AV$6:$AV$13,0),MATCH(SCC_Polythionic_Acid!$S21,'Tables - Part 2'!$AX$5:$BA$5,0))+INDEX('Tables - Part 2'!$BB$17:$BE$24,MATCH(SCC_Polythionic_Acid!$V21,'Tables - Part 2'!$AV$6:$AV$13,0),MATCH(SCC_Polythionic_Acid!$S21,'Tables - Part 2'!$AX$5:$BA$5,0)))/2)+INDEX('Tables - Part 2'!$BB$17:$BE$24,MATCH(SCC_Polythionic_Acid!$V21,'Tables - Part 2'!$AV$6:$AV$13,0),MATCH(SCC_Polythionic_Acid!$S21,'Tables - Part 2'!$AX$5:$BA$5,0)))/2))/2,0)</f>
        <v>0</v>
      </c>
      <c r="BF21" s="248">
        <f>IF($R21=$BF$3,(((INDEX('Tables - Part 2'!$AX$17:$BA$24,MATCH(SCC_Polythionic_Acid!$V21,'Tables - Part 2'!$AV$6:$AV$13,0),MATCH(SCC_Polythionic_Acid!$S21,'Tables - Part 2'!$AX$5:$BA$5,0))+INDEX('Tables - Part 2'!$BB$17:$BE$24,MATCH(SCC_Polythionic_Acid!$V21,'Tables - Part 2'!$AV$6:$AV$13,0),MATCH(SCC_Polythionic_Acid!$S21,'Tables - Part 2'!$AX$5:$BA$5,0)))/2)+INDEX('Tables - Part 2'!$BB$17:$BE$24,MATCH(SCC_Polythionic_Acid!$V21,'Tables - Part 2'!$AV$6:$AV$13,0),MATCH(SCC_Polythionic_Acid!$S21,'Tables - Part 2'!$AX$5:$BA$5,0)))/2,0)</f>
        <v>0</v>
      </c>
      <c r="BG21" s="248">
        <f>IF($R21=$BG$3,(((((INDEX('Tables - Part 2'!$AX$17:$BA$24,MATCH(SCC_Polythionic_Acid!$V21,'Tables - Part 2'!$AV$6:$AV$13,0),MATCH(SCC_Polythionic_Acid!$S21,'Tables - Part 2'!$AX$5:$BA$5,0))+INDEX('Tables - Part 2'!$BB$17:$BE$24,MATCH(SCC_Polythionic_Acid!$V21,'Tables - Part 2'!$AV$6:$AV$13,0),MATCH(SCC_Polythionic_Acid!$S21,'Tables - Part 2'!$AX$5:$BA$5,0)))/2)+INDEX('Tables - Part 2'!$BB$17:$BE$24,MATCH(SCC_Polythionic_Acid!$V21,'Tables - Part 2'!$AV$6:$AV$13,0),MATCH(SCC_Polythionic_Acid!$S21,'Tables - Part 2'!$AX$5:$BA$5,0)))/2)+(INDEX('Tables - Part 2'!$BB$17:$BE$24,MATCH(SCC_Polythionic_Acid!$V21,'Tables - Part 2'!$AV$6:$AV$13,0),MATCH(SCC_Polythionic_Acid!$S21,'Tables - Part 2'!$AX$5:$BA$5,0))))/2,0)</f>
        <v>0</v>
      </c>
      <c r="BH21" s="248">
        <f>IF($R21=$BH$3,INDEX('Tables - Part 2'!$BB$17:$BE$24,MATCH(SCC_Polythionic_Acid!$V21,'Tables - Part 2'!$AV$6:$AV$13,0),MATCH(SCC_Polythionic_Acid!$S21,'Tables - Part 2'!$AX$5:$BA$5,0)),0)</f>
        <v>0</v>
      </c>
      <c r="BI21" s="248">
        <f>IF($R21=$BI$3,((INDEX('Tables - Part 2'!$BB$17:$BE$24,MATCH(SCC_Polythionic_Acid!$V21,'Tables - Part 2'!$AV$6:$AV$13,0),MATCH(SCC_Polythionic_Acid!$S21,'Tables - Part 2'!$AX$5:$BA$5,0)))+(((INDEX('Tables - Part 2'!$BB$17:$BE$24,MATCH(SCC_Polythionic_Acid!$V21,'Tables - Part 2'!$AV$6:$AV$13,0),MATCH(SCC_Polythionic_Acid!$S21,'Tables - Part 2'!$AX$5:$BA$5,0)))+(INDEX('Tables - Part 2'!$BB$17:$BE$24,MATCH(SCC_Polythionic_Acid!$V21,'Tables - Part 2'!$AV$6:$AV$13,0),MATCH(SCC_Polythionic_Acid!$S21,'Tables - Part 2'!$AX$5:$BA$5,0))+INDEX('Tables - Part 2'!$BF$17:$BI$24,MATCH(SCC_Polythionic_Acid!$V21,'Tables - Part 2'!$AV$6:$AV$13,0),MATCH(SCC_Polythionic_Acid!$S21,'Tables - Part 2'!$AX$5:$BA$5,0)))/2)/2))/2,0)</f>
        <v>0</v>
      </c>
      <c r="BJ21" s="248">
        <f>IF($R21=$BJ$3,((INDEX('Tables - Part 2'!$BB$17:$BE$24,MATCH(SCC_Polythionic_Acid!$V21,'Tables - Part 2'!$AV$6:$AV$13,0),MATCH(SCC_Polythionic_Acid!$S21,'Tables - Part 2'!$AX$5:$BA$5,0)))+(INDEX('Tables - Part 2'!$BB$17:$BE$24,MATCH(SCC_Polythionic_Acid!$V21,'Tables - Part 2'!$AV$6:$AV$13,0),MATCH(SCC_Polythionic_Acid!$S21,'Tables - Part 2'!$AX$5:$BA$5,0))+INDEX('Tables - Part 2'!$BF$17:$BI$24,MATCH(SCC_Polythionic_Acid!$V21,'Tables - Part 2'!$AV$6:$AV$13,0),MATCH(SCC_Polythionic_Acid!$S21,'Tables - Part 2'!$AX$5:$BA$5,0)))/2)/2,0)</f>
        <v>0</v>
      </c>
      <c r="BK21" s="248">
        <f>IF($R21=$BK$3,((((INDEX('Tables - Part 2'!$BB$17:$BE$24,MATCH(SCC_Polythionic_Acid!$V21,'Tables - Part 2'!$AV$6:$AV$13,0),MATCH(SCC_Polythionic_Acid!$S21,'Tables - Part 2'!$AX$5:$BA$5,0)))+(INDEX('Tables - Part 2'!$BB$17:$BE$24,MATCH(SCC_Polythionic_Acid!$V21,'Tables - Part 2'!$AV$6:$AV$13,0),MATCH(SCC_Polythionic_Acid!$S21,'Tables - Part 2'!$AX$5:$BA$5,0))+INDEX('Tables - Part 2'!$BF$17:$BI$24,MATCH(SCC_Polythionic_Acid!$V21,'Tables - Part 2'!$AV$6:$AV$13,0),MATCH(SCC_Polythionic_Acid!$S21,'Tables - Part 2'!$AX$5:$BA$5,0)))/2)/2)+((INDEX('Tables - Part 2'!$BB$17:$BE$24,MATCH(SCC_Polythionic_Acid!$V21,'Tables - Part 2'!$AV$6:$AV$13,0),MATCH(SCC_Polythionic_Acid!$S21,'Tables - Part 2'!$AX$5:$BA$5,0))+INDEX('Tables - Part 2'!$BF$17:$BI$24,MATCH(SCC_Polythionic_Acid!$V21,'Tables - Part 2'!$AV$6:$AV$13,0),MATCH(SCC_Polythionic_Acid!$S21,'Tables - Part 2'!$AX$5:$BA$5,0)))/2))/2,0)</f>
        <v>0</v>
      </c>
      <c r="BL21" s="248">
        <f>IF($R21=$BL$3,(INDEX('Tables - Part 2'!$BB$17:$BE$24,MATCH(SCC_Polythionic_Acid!$V21,'Tables - Part 2'!$AV$6:$AV$13,0),MATCH(SCC_Polythionic_Acid!$S21,'Tables - Part 2'!$AX$5:$BA$5,0))+INDEX('Tables - Part 2'!$BF$17:$BI$24,MATCH(SCC_Polythionic_Acid!$V21,'Tables - Part 2'!$AV$6:$AV$13,0),MATCH(SCC_Polythionic_Acid!$S21,'Tables - Part 2'!$AX$5:$BA$5,0)))/2,0)</f>
        <v>0</v>
      </c>
      <c r="BM21" s="248">
        <f>IF($R21=$BM$3,(((INDEX('Tables - Part 2'!$BB$17:$BE$24,MATCH(SCC_Polythionic_Acid!$V21,'Tables - Part 2'!$AV$6:$AV$13,0),MATCH(SCC_Polythionic_Acid!$S21,'Tables - Part 2'!$AX$5:$BA$5,0))+INDEX('Tables - Part 2'!$BF$17:$BI$24,MATCH(SCC_Polythionic_Acid!$V21,'Tables - Part 2'!$AV$6:$AV$13,0),MATCH(SCC_Polythionic_Acid!$S21,'Tables - Part 2'!$AX$5:$BA$5,0)))/2)+((((INDEX('Tables - Part 2'!$BB$17:$BE$24,MATCH(SCC_Polythionic_Acid!$V21,'Tables - Part 2'!$AV$6:$AV$13,0),MATCH(SCC_Polythionic_Acid!$S21,'Tables - Part 2'!$AX$5:$BA$5,0))+INDEX('Tables - Part 2'!$BF$17:$BI$24,MATCH(SCC_Polythionic_Acid!$V21,'Tables - Part 2'!$AV$6:$AV$13,0),MATCH(SCC_Polythionic_Acid!$S21,'Tables - Part 2'!$AX$5:$BA$5,0)))/2)+INDEX('Tables - Part 2'!$BF$17:$BI$24,MATCH(SCC_Polythionic_Acid!$V21,'Tables - Part 2'!$AV$6:$AV$13,0),MATCH(SCC_Polythionic_Acid!$S21,'Tables - Part 2'!$AX$5:$BA$5,0)))/2))/2,0)</f>
        <v>0</v>
      </c>
      <c r="BN21" s="248">
        <f>IF($R21=$BN$3,(((INDEX('Tables - Part 2'!$BB$17:$BE$24,MATCH(SCC_Polythionic_Acid!$V21,'Tables - Part 2'!$AV$6:$AV$13,0),MATCH(SCC_Polythionic_Acid!$S21,'Tables - Part 2'!$AX$5:$BA$5,0))+INDEX('Tables - Part 2'!$BF$17:$BI$24,MATCH(SCC_Polythionic_Acid!$V21,'Tables - Part 2'!$AV$6:$AV$13,0),MATCH(SCC_Polythionic_Acid!$S21,'Tables - Part 2'!$AX$5:$BA$5,0)))/2)+INDEX('Tables - Part 2'!$BF$17:$BI$24,MATCH(SCC_Polythionic_Acid!$V21,'Tables - Part 2'!$AV$6:$AV$13,0),MATCH(SCC_Polythionic_Acid!$S21,'Tables - Part 2'!$AX$5:$BA$5,0)))/2,0)</f>
        <v>0</v>
      </c>
      <c r="BO21" s="248">
        <f>IF($R21=$BO$3,(((((INDEX('Tables - Part 2'!$BB$17:$BE$24,MATCH(SCC_Polythionic_Acid!$V21,'Tables - Part 2'!$AV$6:$AV$13,0),MATCH(SCC_Polythionic_Acid!$S21,'Tables - Part 2'!$AX$5:$BA$5,0))+INDEX('Tables - Part 2'!$BF$17:$BI$24,MATCH(SCC_Polythionic_Acid!$V21,'Tables - Part 2'!$AV$6:$AV$13,0),MATCH(SCC_Polythionic_Acid!$S21,'Tables - Part 2'!$AX$5:$BA$5,0)))/2)+INDEX('Tables - Part 2'!$BF$17:$BI$24,MATCH(SCC_Polythionic_Acid!$V21,'Tables - Part 2'!$AV$6:$AV$13,0),MATCH(SCC_Polythionic_Acid!$S21,'Tables - Part 2'!$AX$5:$BA$5,0)))/2)+(INDEX('Tables - Part 2'!$BF$17:$BI$24,MATCH(SCC_Polythionic_Acid!$V21,'Tables - Part 2'!$AV$6:$AV$13,0),MATCH(SCC_Polythionic_Acid!$S21,'Tables - Part 2'!$AX$5:$BA$5,0))))/2,0)</f>
        <v>0</v>
      </c>
      <c r="BP21" s="248">
        <f>IF($R21=$BP$3,INDEX('Tables - Part 2'!$BF$17:$BI$24,MATCH(SCC_Polythionic_Acid!$V21,'Tables - Part 2'!$AV$6:$AV$13,0),MATCH(SCC_Polythionic_Acid!$S21,'Tables - Part 2'!$AX$5:$BA$5,0)),0)</f>
        <v>0</v>
      </c>
      <c r="BQ21" s="248">
        <f t="shared" si="5"/>
        <v>0</v>
      </c>
      <c r="BR21" s="238">
        <f t="shared" si="8"/>
        <v>165</v>
      </c>
      <c r="BS21" s="238">
        <f t="shared" si="9"/>
        <v>2767.5256072873844</v>
      </c>
    </row>
  </sheetData>
  <mergeCells count="1">
    <mergeCell ref="X2:AA2"/>
  </mergeCells>
  <dataValidations count="2">
    <dataValidation type="list" allowBlank="1" showInputMessage="1" showErrorMessage="1" sqref="D4:D21 F4:G21" xr:uid="{00000000-0002-0000-1400-000000000000}">
      <formula1>$BX$2:$BX$3</formula1>
    </dataValidation>
    <dataValidation type="list" allowBlank="1" showInputMessage="1" showErrorMessage="1" sqref="E4:E21" xr:uid="{00000000-0002-0000-1400-000001000000}">
      <formula1>$BX$2:$BX$4</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2000000}">
          <x14:formula1>
            <xm:f>'Tables - Part 2'!$DH$5:$DJ$5</xm:f>
          </x14:formula1>
          <xm:sqref>J4:J21</xm:sqref>
        </x14:dataValidation>
        <x14:dataValidation type="list" allowBlank="1" showInputMessage="1" showErrorMessage="1" xr:uid="{00000000-0002-0000-1400-000003000000}">
          <x14:formula1>
            <xm:f>'Tables - Part 2'!$DG$6:$DG$10</xm:f>
          </x14:formula1>
          <xm:sqref>H4:H21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25">
    <tabColor rgb="FFFFFF00"/>
  </sheetPr>
  <dimension ref="B1:CF21"/>
  <sheetViews>
    <sheetView zoomScale="70" zoomScaleNormal="70" workbookViewId="0">
      <selection activeCell="N4" sqref="N4"/>
    </sheetView>
  </sheetViews>
  <sheetFormatPr defaultRowHeight="14.5" x14ac:dyDescent="0.35"/>
  <cols>
    <col min="1" max="1" width="1.26953125" customWidth="1"/>
    <col min="2" max="3" width="18.26953125" customWidth="1"/>
    <col min="4" max="4" width="21.26953125" customWidth="1"/>
    <col min="5" max="5" width="10.453125" customWidth="1"/>
    <col min="6" max="6" width="38.7265625" customWidth="1"/>
    <col min="7" max="7" width="30.54296875" customWidth="1"/>
    <col min="8" max="8" width="21.7265625" customWidth="1"/>
    <col min="9" max="9" width="23.54296875" customWidth="1"/>
    <col min="10" max="10" width="13.453125" customWidth="1"/>
    <col min="11" max="13" width="12.81640625" customWidth="1"/>
    <col min="14" max="14" width="16.1796875" customWidth="1"/>
    <col min="15" max="15" width="12.81640625" customWidth="1"/>
    <col min="16" max="16" width="16.453125" customWidth="1"/>
    <col min="17" max="20" width="12.1796875" customWidth="1"/>
    <col min="21" max="21" width="25.81640625" bestFit="1" customWidth="1"/>
    <col min="22" max="22" width="11" customWidth="1"/>
    <col min="23" max="27" width="19.81640625" customWidth="1"/>
    <col min="28" max="28" width="5.7265625" bestFit="1" customWidth="1"/>
    <col min="29" max="29" width="6" customWidth="1"/>
    <col min="30" max="30" width="5.54296875" customWidth="1"/>
    <col min="31" max="31" width="6.7265625" customWidth="1"/>
    <col min="32" max="32" width="6" customWidth="1"/>
    <col min="33" max="33" width="6.7265625" customWidth="1"/>
    <col min="34" max="34" width="5.54296875" customWidth="1"/>
    <col min="35" max="35" width="6" customWidth="1"/>
    <col min="36" max="36" width="5.7265625" bestFit="1" customWidth="1"/>
    <col min="37" max="37" width="6.7265625" customWidth="1"/>
    <col min="38" max="38" width="6" customWidth="1"/>
    <col min="39" max="39" width="6.7265625" customWidth="1"/>
    <col min="40" max="40" width="6" bestFit="1" customWidth="1"/>
    <col min="41" max="41" width="6" customWidth="1"/>
    <col min="42" max="42" width="5.54296875" customWidth="1"/>
    <col min="43" max="43" width="6.7265625" customWidth="1"/>
    <col min="44" max="44" width="6" customWidth="1"/>
    <col min="45" max="45" width="6.7265625" customWidth="1"/>
    <col min="46" max="48" width="6" customWidth="1"/>
    <col min="49" max="49" width="6.7265625" customWidth="1"/>
    <col min="50" max="50" width="6" customWidth="1"/>
    <col min="51" max="51" width="6.7265625" customWidth="1"/>
    <col min="52" max="54" width="6" customWidth="1"/>
    <col min="55" max="55" width="6.7265625" customWidth="1"/>
    <col min="56" max="56" width="6" customWidth="1"/>
    <col min="57" max="57" width="6.7265625" customWidth="1"/>
    <col min="58" max="60" width="6" customWidth="1"/>
    <col min="61" max="61" width="6.7265625" customWidth="1"/>
    <col min="62" max="62" width="6" customWidth="1"/>
    <col min="63" max="63" width="6.7265625" customWidth="1"/>
    <col min="64" max="64" width="4.81640625" customWidth="1"/>
    <col min="65" max="65" width="6" customWidth="1"/>
    <col min="66" max="66" width="5.54296875" customWidth="1"/>
    <col min="67" max="67" width="6.7265625" customWidth="1"/>
    <col min="68" max="69" width="4.81640625" customWidth="1"/>
    <col min="70" max="71" width="19.81640625" customWidth="1"/>
    <col min="72" max="73" width="9.1796875" customWidth="1"/>
    <col min="74" max="74" width="26.81640625" customWidth="1"/>
    <col min="75" max="75" width="23.54296875" customWidth="1"/>
    <col min="76" max="76" width="35.54296875" customWidth="1"/>
  </cols>
  <sheetData>
    <row r="1" spans="2:84" ht="3.75" customHeight="1" x14ac:dyDescent="0.35"/>
    <row r="2" spans="2:84" x14ac:dyDescent="0.35">
      <c r="X2" s="702" t="s">
        <v>897</v>
      </c>
      <c r="Y2" s="702"/>
      <c r="Z2" s="702"/>
      <c r="AA2" s="702"/>
      <c r="AB2" s="449"/>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1"/>
      <c r="BV2" s="438" t="s">
        <v>898</v>
      </c>
      <c r="BX2" s="158" t="s">
        <v>244</v>
      </c>
      <c r="BY2" t="s">
        <v>1101</v>
      </c>
      <c r="BZ2" t="s">
        <v>1101</v>
      </c>
      <c r="CA2" t="s">
        <v>1102</v>
      </c>
      <c r="CB2" t="s">
        <v>1102</v>
      </c>
      <c r="CC2" s="208"/>
      <c r="CD2" s="208"/>
      <c r="CF2" s="208"/>
    </row>
    <row r="3" spans="2:84" ht="29.25" customHeight="1" x14ac:dyDescent="0.35">
      <c r="B3" s="346" t="s">
        <v>968</v>
      </c>
      <c r="C3" s="346" t="s">
        <v>969</v>
      </c>
      <c r="D3" s="139" t="s">
        <v>843</v>
      </c>
      <c r="E3" s="139" t="s">
        <v>860</v>
      </c>
      <c r="F3" s="139" t="s">
        <v>1176</v>
      </c>
      <c r="G3" s="139" t="s">
        <v>1177</v>
      </c>
      <c r="H3" s="139" t="s">
        <v>1152</v>
      </c>
      <c r="I3" s="139" t="s">
        <v>867</v>
      </c>
      <c r="J3" s="139" t="s">
        <v>893</v>
      </c>
      <c r="K3" s="139" t="s">
        <v>894</v>
      </c>
      <c r="L3" s="139" t="s">
        <v>895</v>
      </c>
      <c r="M3" s="139" t="s">
        <v>896</v>
      </c>
      <c r="N3" s="139" t="s">
        <v>882</v>
      </c>
      <c r="O3" s="139" t="s">
        <v>880</v>
      </c>
      <c r="P3" s="139" t="s">
        <v>882</v>
      </c>
      <c r="Q3" s="139" t="s">
        <v>880</v>
      </c>
      <c r="R3" s="139" t="s">
        <v>1178</v>
      </c>
      <c r="S3" s="139" t="s">
        <v>1179</v>
      </c>
      <c r="T3" s="139" t="s">
        <v>1180</v>
      </c>
      <c r="U3" s="346" t="s">
        <v>1095</v>
      </c>
      <c r="V3" s="244" t="s">
        <v>861</v>
      </c>
      <c r="W3" s="346" t="s">
        <v>869</v>
      </c>
      <c r="X3" s="346" t="s">
        <v>278</v>
      </c>
      <c r="Y3" s="346" t="s">
        <v>279</v>
      </c>
      <c r="Z3" s="346" t="s">
        <v>280</v>
      </c>
      <c r="AA3" s="346" t="s">
        <v>274</v>
      </c>
      <c r="AB3" s="346">
        <v>1</v>
      </c>
      <c r="AC3" s="252">
        <v>1.125</v>
      </c>
      <c r="AD3" s="346">
        <v>1.25</v>
      </c>
      <c r="AE3" s="346">
        <v>1.375</v>
      </c>
      <c r="AF3" s="254">
        <v>1.5</v>
      </c>
      <c r="AG3" s="346">
        <v>1.625</v>
      </c>
      <c r="AH3" s="346">
        <v>1.75</v>
      </c>
      <c r="AI3" s="252">
        <v>1.875</v>
      </c>
      <c r="AJ3" s="346">
        <v>2</v>
      </c>
      <c r="AK3" s="346">
        <v>2.125</v>
      </c>
      <c r="AL3" s="252">
        <v>2.25</v>
      </c>
      <c r="AM3" s="346">
        <v>2.375</v>
      </c>
      <c r="AN3" s="346">
        <v>2.5</v>
      </c>
      <c r="AO3" s="252">
        <v>2.625</v>
      </c>
      <c r="AP3" s="346">
        <v>2.75</v>
      </c>
      <c r="AQ3" s="346">
        <v>2.875</v>
      </c>
      <c r="AR3" s="255">
        <v>3</v>
      </c>
      <c r="AS3" s="346">
        <v>3.125</v>
      </c>
      <c r="AT3" s="346">
        <v>3.25</v>
      </c>
      <c r="AU3" s="252">
        <v>3.375</v>
      </c>
      <c r="AV3" s="346">
        <v>3.5</v>
      </c>
      <c r="AW3" s="346">
        <v>3.625</v>
      </c>
      <c r="AX3" s="252">
        <v>3.75</v>
      </c>
      <c r="AY3" s="346">
        <v>3.875</v>
      </c>
      <c r="AZ3" s="346">
        <v>4</v>
      </c>
      <c r="BA3" s="252">
        <v>4.125</v>
      </c>
      <c r="BB3" s="346">
        <v>4.25</v>
      </c>
      <c r="BC3" s="346">
        <v>4.375</v>
      </c>
      <c r="BD3" s="254">
        <v>4.5</v>
      </c>
      <c r="BE3" s="346">
        <v>4.625</v>
      </c>
      <c r="BF3" s="346">
        <v>4.75</v>
      </c>
      <c r="BG3" s="252">
        <v>4.875</v>
      </c>
      <c r="BH3" s="346">
        <v>5</v>
      </c>
      <c r="BI3" s="346">
        <v>5.125</v>
      </c>
      <c r="BJ3" s="252">
        <v>5.25</v>
      </c>
      <c r="BK3" s="346">
        <v>5.375</v>
      </c>
      <c r="BL3" s="346">
        <v>5.5</v>
      </c>
      <c r="BM3" s="252">
        <v>5.625</v>
      </c>
      <c r="BN3" s="346">
        <v>5.75</v>
      </c>
      <c r="BO3" s="346">
        <v>5.875</v>
      </c>
      <c r="BP3" s="346">
        <v>6</v>
      </c>
      <c r="BQ3" s="346" t="s">
        <v>281</v>
      </c>
      <c r="BR3" s="346" t="s">
        <v>1181</v>
      </c>
      <c r="BS3" s="141" t="s">
        <v>1182</v>
      </c>
      <c r="BV3" s="237" t="s">
        <v>839</v>
      </c>
      <c r="BX3" s="158" t="s">
        <v>245</v>
      </c>
      <c r="BY3">
        <v>180</v>
      </c>
      <c r="BZ3" t="s">
        <v>1103</v>
      </c>
      <c r="CA3">
        <v>82.222200000000001</v>
      </c>
      <c r="CB3" s="208" t="s">
        <v>1103</v>
      </c>
    </row>
    <row r="4" spans="2:84" x14ac:dyDescent="0.35">
      <c r="B4" s="161" t="str">
        <f>'Tratamento de Dados'!B12</f>
        <v>V-90</v>
      </c>
      <c r="C4" s="161" t="str">
        <f>'Tratamento de Dados'!D12</f>
        <v>Casco</v>
      </c>
      <c r="D4" s="209" t="s">
        <v>245</v>
      </c>
      <c r="E4" s="209" t="s">
        <v>61</v>
      </c>
      <c r="F4" s="209">
        <v>10</v>
      </c>
      <c r="G4" s="209" t="s">
        <v>1167</v>
      </c>
      <c r="H4" s="247">
        <f>'Tratamento de Dados'!S12</f>
        <v>2</v>
      </c>
      <c r="I4" s="210">
        <v>39092</v>
      </c>
      <c r="J4" s="209">
        <v>0</v>
      </c>
      <c r="K4" s="209">
        <v>1</v>
      </c>
      <c r="L4" s="209">
        <v>1</v>
      </c>
      <c r="M4" s="209">
        <v>4</v>
      </c>
      <c r="N4" s="253">
        <f>'Tratamento de Dados'!DA12</f>
        <v>0</v>
      </c>
      <c r="O4" s="253">
        <f>'Tratamento de Dados'!DB12</f>
        <v>0</v>
      </c>
      <c r="P4" s="256">
        <f t="shared" ref="P4:P21" si="0">IF(N4=0,IF(X4&gt;=1,X4,IF(Y4&gt;=1,Y4,IF(Z4&gt;=1,Z4,IF(AA4&gt;=1,AA4,0)))),N4)</f>
        <v>2.5</v>
      </c>
      <c r="Q4" s="246" t="str">
        <f t="shared" ref="Q4:Q21" si="1">IF(O4=0,IF(X4&gt;=1,$X$3,IF(Y4&gt;=1,$Y$3,IF(Z4&gt;=1,$Z$3,IF(AA4&gt;=1,$AA$3,"E")))),O4)</f>
        <v>B</v>
      </c>
      <c r="R4" s="246" t="str">
        <f>IF(H4&lt;=38,'Tables - Part 2'!$DO$6,IF(H4&lt;=66,'Tables - Part 2'!$DO$7,IF(H4&lt;=93,'Tables - Part 2'!$DO$8,IF(H4&lt;=149,'Tables - Part 2'!$DO$9,'Tables - Part 2'!$DO$10))))</f>
        <v>≤38</v>
      </c>
      <c r="S4" s="246" t="str">
        <f>IF(H4&lt;=38,'Tables - Part 2'!$DO$14,IF(H4&lt;=93,'Tables - Part 2'!$DO$15,IF(H4&lt;=149,'Tables - Part 2'!$DO$16,'Tables - Part 2'!$DO$17)))</f>
        <v>≤38</v>
      </c>
      <c r="T4" s="246" t="str">
        <f>IF(F4&gt;10,S4,R4)</f>
        <v>≤38</v>
      </c>
      <c r="U4" s="467" t="str">
        <f>IF(D4=$BX$2,$BV$5,INDEX(IF(F4&gt;10,'Tables - Part 2'!$DP$14:$DS$17,'Tables - Part 2'!$DP$6:$DS$10),MATCH(T4,IF(F4&gt;10,'Tables - Part 2'!$DO$14:$DO$17,'Tables - Part 2'!$DO$6:$DO$10),0),MATCH(SCC_Chloride!G4,'Tables - Part 2'!$DP$5:$DS$5,0)))</f>
        <v>Low</v>
      </c>
      <c r="V4" s="238">
        <f>IF(AND(D4=$BX$2,E4&lt;&gt;$BX$2),"Fitness-For-Service",INDEX('Tables - Part 2'!$DV$4:$DV$7,MATCH(SCC_Chloride!U4,'Tables - Part 2'!$DU$4:$DU$7,0),))</f>
        <v>50</v>
      </c>
      <c r="W4" s="238">
        <f>IF(I4=0,(Thinning!G5-Thinning!F5)/365.25,(Thinning!G5-I4)/365.25)</f>
        <v>12.980150581793293</v>
      </c>
      <c r="X4" s="248">
        <f t="shared" ref="X4:X21" si="2">IF(J4=0,0,_xlfn.FLOOR.MATH((Y4/2)+J4,0.25))</f>
        <v>0</v>
      </c>
      <c r="Y4" s="248">
        <f t="shared" ref="Y4:Y21" si="3">IF(AND(J4=0,K4=0),0,_xlfn.FLOOR.MATH((Z4/2)+K4,0.25))</f>
        <v>2.5</v>
      </c>
      <c r="Z4" s="248">
        <f>_xlfn.FLOOR.MATH((AA4/2)+L4,0.25)</f>
        <v>3</v>
      </c>
      <c r="AA4" s="247">
        <f t="shared" ref="AA4:AA21" si="4">M4</f>
        <v>4</v>
      </c>
      <c r="AB4" s="248">
        <f>IF($P4=$AB$3,INDEX('Tables - Part 2'!$AX$6:$BA$13,MATCH(SCC_Chloride!V4,'Tables - Part 2'!$AV$6:$AV$13,0),MATCH(SCC_Chloride!Q4,'Tables - Part 2'!$AX$5:$BA$5,0)),0)</f>
        <v>0</v>
      </c>
      <c r="AC4" s="248">
        <f>IF($P4=$AC$3,(INDEX('Tables - Part 2'!$AX$6:$BA$13,MATCH(SCC_Chloride!V4,'Tables - Part 2'!$AV$6:$AV$13,0),MATCH(SCC_Chloride!Q4,'Tables - Part 2'!$AX$5:$BA$5,0))+(INDEX('Tables - Part 2'!$AX$6:$BA$13,MATCH(SCC_Chloride!V4,'Tables - Part 2'!$AV$6:$AV$13,0),MATCH(SCC_Chloride!Q4,'Tables - Part 2'!$AX$5:$BA$5,0))+((INDEX('Tables - Part 2'!$AX$6:$BA$13,MATCH(SCC_Chloride!V4,'Tables - Part 2'!$AV$6:$AV$13,0),MATCH(SCC_Chloride!Q4,'Tables - Part 2'!$AX$5:$BA$5,0))+INDEX('Tables - Part 2'!$BB$6:$BE$13,MATCH(SCC_Chloride!$V4,'Tables - Part 2'!$AV$6:$AV$13,0),MATCH(SCC_Chloride!$Q4,'Tables - Part 2'!$AX$5:$BA$5,0)))/2))/2)/2,0)</f>
        <v>0</v>
      </c>
      <c r="AD4" s="248">
        <f>IF($P4=$AD$3,(INDEX('Tables - Part 2'!$AX$6:$BA$13,MATCH(SCC_Chloride!V4,'Tables - Part 2'!$AV$6:$AV$13,0),MATCH(SCC_Chloride!Q4,'Tables - Part 2'!$AX$5:$BA$5,0))+((INDEX('Tables - Part 2'!$AX$6:$BA$13,MATCH(SCC_Chloride!V4,'Tables - Part 2'!$AV$6:$AV$13,0),MATCH(SCC_Chloride!Q4,'Tables - Part 2'!$AX$5:$BA$5,0))+INDEX('Tables - Part 2'!$BB$6:$BE$13,MATCH(SCC_Chloride!$V4,'Tables - Part 2'!$AV$6:$AV$13,0),MATCH(SCC_Chloride!$Q4,'Tables - Part 2'!$AX$5:$BA$5,0)))/2))/2,0)</f>
        <v>0</v>
      </c>
      <c r="AE4" s="248">
        <f>IF($P4=$AE$3,(((INDEX('Tables - Part 2'!$AX$6:$BA$13,MATCH(SCC_Chloride!V4,'Tables - Part 2'!$AV$6:$AV$13,0),MATCH(SCC_Chloride!Q4,'Tables - Part 2'!$AX$5:$BA$5,0))+((INDEX('Tables - Part 2'!$AX$6:$BA$13,MATCH(SCC_Chloride!V4,'Tables - Part 2'!$AV$6:$AV$13,0),MATCH(SCC_Chloride!Q4,'Tables - Part 2'!$AX$5:$BA$5,0))+INDEX('Tables - Part 2'!$BB$6:$BE$13,MATCH(SCC_Chloride!$V4,'Tables - Part 2'!$AV$6:$AV$13,0),MATCH(SCC_Chloride!$Q4,'Tables - Part 2'!$AX$5:$BA$5,0)))/2))/2)+(INDEX('Tables - Part 2'!$AX$6:$BA$13,MATCH(SCC_Chloride!V4,'Tables - Part 2'!$AV$6:$AV$13,0),MATCH(SCC_Chloride!Q4,'Tables - Part 2'!$AX$5:$BA$5,0))+INDEX('Tables - Part 2'!$BB$6:$BE$13,MATCH(SCC_Chloride!$V4,'Tables - Part 2'!$AV$6:$AV$13,0),MATCH(SCC_Chloride!$Q4,'Tables - Part 2'!$AX$5:$BA$5,0)))/2)/2,0)</f>
        <v>0</v>
      </c>
      <c r="AF4" s="248">
        <f>IF($P4=$AF$3,(INDEX('Tables - Part 2'!$AX$6:$BA$13,MATCH(SCC_Chloride!V4,'Tables - Part 2'!$AV$6:$AV$13,0),MATCH(SCC_Chloride!Q4,'Tables - Part 2'!$AX$5:$BA$5,0))+INDEX('Tables - Part 2'!$BB$6:$BE$13,MATCH(SCC_Chloride!$V4,'Tables - Part 2'!$AV$6:$AV$13,0),MATCH(SCC_Chloride!$Q4,'Tables - Part 2'!$AX$5:$BA$5,0)))/2,0)</f>
        <v>0</v>
      </c>
      <c r="AG4" s="248">
        <f>IF($P4=$AG$3,(((INDEX('Tables - Part 2'!$AX$6:$BA$13,MATCH(SCC_Chloride!V4,'Tables - Part 2'!$AV$6:$AV$13,0),MATCH(SCC_Chloride!Q4,'Tables - Part 2'!$AX$5:$BA$5,0))+INDEX('Tables - Part 2'!$BB$6:$BE$13,MATCH(SCC_Chloride!$V4,'Tables - Part 2'!$AV$6:$AV$13,0),MATCH(SCC_Chloride!$Q4,'Tables - Part 2'!$AX$5:$BA$5,0)))/2)+(((INDEX('Tables - Part 2'!$AX$6:$BA$13,MATCH(SCC_Chloride!V4,'Tables - Part 2'!$AV$6:$AV$13,0),MATCH(SCC_Chloride!Q4,'Tables - Part 2'!$AX$5:$BA$5,0))+INDEX('Tables - Part 2'!$BB$6:$BE$13,MATCH(SCC_Chloride!$V4,'Tables - Part 2'!$AV$6:$AV$13,0),MATCH(SCC_Chloride!$Q4,'Tables - Part 2'!$AX$5:$BA$5,0)))/2)+INDEX('Tables - Part 2'!$BB$6:$BE$13,MATCH(SCC_Chloride!$V4,'Tables - Part 2'!$AV$6:$AV$13,0),MATCH(SCC_Chloride!$Q4,'Tables - Part 2'!$AX$5:$BA$5,0)))/2)/2,0)</f>
        <v>0</v>
      </c>
      <c r="AH4" s="248">
        <f>IF($P4=$AH$3,(((INDEX('Tables - Part 2'!$AX$6:$BA$13,MATCH(SCC_Chloride!V4,'Tables - Part 2'!$AV$6:$AV$13,0),MATCH(SCC_Chloride!Q4,'Tables - Part 2'!$AX$5:$BA$5,0))+INDEX('Tables - Part 2'!$BB$6:$BE$13,MATCH(SCC_Chloride!$V4,'Tables - Part 2'!$AV$6:$AV$13,0),MATCH(SCC_Chloride!$Q4,'Tables - Part 2'!$AX$5:$BA$5,0)))/2)+INDEX('Tables - Part 2'!$BB$6:$BE$13,MATCH(SCC_Chloride!$V4,'Tables - Part 2'!$AV$6:$AV$13,0),MATCH(SCC_Chloride!$Q4,'Tables - Part 2'!$AX$5:$BA$5,0)))/2,0)</f>
        <v>0</v>
      </c>
      <c r="AI4" s="248">
        <f>IF($P4=$AI$3,(((((INDEX('Tables - Part 2'!$AX$6:$BA$13,MATCH(SCC_Chloride!V4,'Tables - Part 2'!$AV$6:$AV$13,0),MATCH(SCC_Chloride!Q4,'Tables - Part 2'!$AX$5:$BA$5,0))+INDEX('Tables - Part 2'!$BB$6:$BE$13,MATCH(SCC_Chloride!$V4,'Tables - Part 2'!$AV$6:$AV$13,0),MATCH(SCC_Chloride!$Q4,'Tables - Part 2'!$AX$5:$BA$5,0)))/2)+INDEX('Tables - Part 2'!$BB$6:$BE$13,MATCH(SCC_Chloride!$V4,'Tables - Part 2'!$AV$6:$AV$13,0),MATCH(SCC_Chloride!$Q4,'Tables - Part 2'!$AX$5:$BA$5,0)))/2)+INDEX('Tables - Part 2'!$BB$6:$BE$13,MATCH(SCC_Chloride!$V4,'Tables - Part 2'!$AV$6:$AV$13,0),MATCH(SCC_Chloride!$Q4,'Tables - Part 2'!$AX$5:$BA$5,0)))/2,0)</f>
        <v>0</v>
      </c>
      <c r="AJ4" s="248">
        <f>IF($P4=$AJ$3,INDEX('Tables - Part 2'!$BB$6:$BE$13,MATCH(SCC_Chloride!$V4,'Tables - Part 2'!$AV$6:$AV$13,0),MATCH(SCC_Chloride!$Q4,'Tables - Part 2'!$AX$5:$BA$5,0)),0)</f>
        <v>0</v>
      </c>
      <c r="AK4" s="248">
        <f>IF($P4=$AK$3,((INDEX('Tables - Part 2'!$BB$6:$BE$13,MATCH(SCC_Chloride!$V4,'Tables - Part 2'!$AV$6:$AV$13,0),MATCH(SCC_Chloride!$Q4,'Tables - Part 2'!$AX$5:$BA$5,0)))+(INDEX('Tables - Part 2'!$BB$6:$BE$13,MATCH(SCC_Chloride!$V4,'Tables - Part 2'!$AV$6:$AV$13,0),MATCH(SCC_Chloride!$Q4,'Tables - Part 2'!$AX$5:$BA$5,0))+(INDEX('Tables - Part 2'!$BB$6:$BE$13,MATCH(SCC_Chloride!$V4,'Tables - Part 2'!$AV$6:$AV$13,0),MATCH(SCC_Chloride!$Q4,'Tables - Part 2'!$AX$5:$BA$5,0))+INDEX('Tables - Part 2'!$BF$6:$BI$13,MATCH(SCC_Chloride!$V4,'Tables - Part 2'!$AV$6:$AV$13,0),MATCH(SCC_Chloride!$Q4,'Tables - Part 2'!$AX$5:$BA$5,0)))/2)/2)/2,0)</f>
        <v>0</v>
      </c>
      <c r="AL4" s="248">
        <f>IF($P4=$AL$3,(INDEX('Tables - Part 2'!$BB$6:$BE$13,MATCH(SCC_Chloride!$V4,'Tables - Part 2'!$AV$6:$AV$13,0),MATCH(SCC_Chloride!$Q4,'Tables - Part 2'!$AX$5:$BA$5,0))+(INDEX('Tables - Part 2'!$BB$6:$BE$13,MATCH(SCC_Chloride!$V4,'Tables - Part 2'!$AV$6:$AV$13,0),MATCH(SCC_Chloride!$Q4,'Tables - Part 2'!$AX$5:$BA$5,0))+INDEX('Tables - Part 2'!$BF$6:$BI$13,MATCH(SCC_Chloride!$V4,'Tables - Part 2'!$AV$6:$AV$13,0),MATCH(SCC_Chloride!$Q4,'Tables - Part 2'!$AX$5:$BA$5,0)))/2)/2,0)</f>
        <v>0</v>
      </c>
      <c r="AM4" s="248">
        <f>IF($P4=$AM$3,(((INDEX('Tables - Part 2'!$BB$6:$BE$13,MATCH(SCC_Chloride!$V4,'Tables - Part 2'!$AV$6:$AV$13,0),MATCH(SCC_Chloride!$Q4,'Tables - Part 2'!$AX$5:$BA$5,0))+(INDEX('Tables - Part 2'!$BB$6:$BE$13,MATCH(SCC_Chloride!$V4,'Tables - Part 2'!$AV$6:$AV$13,0),MATCH(SCC_Chloride!$Q4,'Tables - Part 2'!$AX$5:$BA$5,0))+INDEX('Tables - Part 2'!$BF$6:$BI$13,MATCH(SCC_Chloride!$V4,'Tables - Part 2'!$AV$6:$AV$13,0),MATCH(SCC_Chloride!$Q4,'Tables - Part 2'!$AX$5:$BA$5,0)))/2)/2)+((INDEX('Tables - Part 2'!$BB$6:$BE$13,MATCH(SCC_Chloride!$V4,'Tables - Part 2'!$AV$6:$AV$13,0),MATCH(SCC_Chloride!$Q4,'Tables - Part 2'!$AX$5:$BA$5,0))+INDEX('Tables - Part 2'!$BF$6:$BI$13,MATCH(SCC_Chloride!$V4,'Tables - Part 2'!$AV$6:$AV$13,0),MATCH(SCC_Chloride!$Q4,'Tables - Part 2'!$AX$5:$BA$5,0)))/2))/2,0)</f>
        <v>0</v>
      </c>
      <c r="AN4" s="248">
        <f>IF($P4=$AN$3,(INDEX('Tables - Part 2'!$BB$6:$BE$13,MATCH(SCC_Chloride!$V4,'Tables - Part 2'!$AV$6:$AV$13,0),MATCH(SCC_Chloride!$Q4,'Tables - Part 2'!$AX$5:$BA$5,0))+INDEX('Tables - Part 2'!$BF$6:$BI$13,MATCH(SCC_Chloride!$V4,'Tables - Part 2'!$AV$6:$AV$13,0),MATCH(SCC_Chloride!$Q4,'Tables - Part 2'!$AX$5:$BA$5,0)))/2,0)</f>
        <v>1.5</v>
      </c>
      <c r="AO4" s="248">
        <f>IF($P4=$AO$3,(((INDEX('Tables - Part 2'!$BB$6:$BE$13,MATCH(SCC_Chloride!$V4,'Tables - Part 2'!$AV$6:$AV$13,0),MATCH(SCC_Chloride!$Q4,'Tables - Part 2'!$AX$5:$BA$5,0))+INDEX('Tables - Part 2'!$BF$6:$BI$13,MATCH(SCC_Chloride!$V4,'Tables - Part 2'!$AV$6:$AV$13,0),MATCH(SCC_Chloride!$Q4,'Tables - Part 2'!$AX$5:$BA$5,0)))/2)+((((INDEX('Tables - Part 2'!$BB$6:$BE$13,MATCH(SCC_Chloride!$V4,'Tables - Part 2'!$AV$6:$AV$13,0),MATCH(SCC_Chloride!$Q4,'Tables - Part 2'!$AX$5:$BA$5,0))+INDEX('Tables - Part 2'!$BF$6:$BI$13,MATCH(SCC_Chloride!$V4,'Tables - Part 2'!$AV$6:$AV$13,0),MATCH(SCC_Chloride!$Q4,'Tables - Part 2'!$AX$5:$BA$5,0)))/2)+INDEX('Tables - Part 2'!$BF$6:$BI$13,MATCH(SCC_Chloride!$V4,'Tables - Part 2'!$AV$6:$AV$13,0),MATCH(SCC_Chloride!$Q4,'Tables - Part 2'!$AX$5:$BA$5,0)))/2))/2,0)</f>
        <v>0</v>
      </c>
      <c r="AP4" s="248">
        <f>IF($P4=$AP$3,(((INDEX('Tables - Part 2'!$BB$6:$BE$13,MATCH(SCC_Chloride!$V4,'Tables - Part 2'!$AV$6:$AV$13,0),MATCH(SCC_Chloride!$Q4,'Tables - Part 2'!$AX$5:$BA$5,0))+INDEX('Tables - Part 2'!$BF$6:$BI$13,MATCH(SCC_Chloride!$V4,'Tables - Part 2'!$AV$6:$AV$13,0),MATCH(SCC_Chloride!$Q4,'Tables - Part 2'!$AX$5:$BA$5,0)))/2)+INDEX('Tables - Part 2'!$BF$6:$BI$13,MATCH(SCC_Chloride!$V4,'Tables - Part 2'!$AV$6:$AV$13,0),MATCH(SCC_Chloride!$Q4,'Tables - Part 2'!$AX$5:$BA$5,0)))/2,0)</f>
        <v>0</v>
      </c>
      <c r="AQ4" s="248">
        <f>IF($P4=$AQ$3,(((((INDEX('Tables - Part 2'!$BB$6:$BE$13,MATCH(SCC_Chloride!$V4,'Tables - Part 2'!$AV$6:$AV$13,0),MATCH(SCC_Chloride!$Q4,'Tables - Part 2'!$AX$5:$BA$5,0))+INDEX('Tables - Part 2'!$BF$6:$BI$13,MATCH(SCC_Chloride!$V4,'Tables - Part 2'!$AV$6:$AV$13,0),MATCH(SCC_Chloride!$Q4,'Tables - Part 2'!$AX$5:$BA$5,0)))/2)+INDEX('Tables - Part 2'!$BF$6:$BI$13,MATCH(SCC_Chloride!$V4,'Tables - Part 2'!$AV$6:$AV$13,0),MATCH(SCC_Chloride!$Q4,'Tables - Part 2'!$AX$5:$BA$5,0)))/2)+INDEX('Tables - Part 2'!$BF$6:$BI$13,MATCH(SCC_Chloride!$V4,'Tables - Part 2'!$AV$6:$AV$13,0),MATCH(SCC_Chloride!$Q4,'Tables - Part 2'!$AX$5:$BA$5,0)))/2,0)</f>
        <v>0</v>
      </c>
      <c r="AR4" s="248">
        <f>IF($P4=$AR$3,INDEX('Tables - Part 2'!$BF$6:$BI$13,MATCH(SCC_Chloride!$V4,'Tables - Part 2'!$AV$6:$AV$13,0),MATCH(SCC_Chloride!$Q4,'Tables - Part 2'!$AX$5:$BA$5,0)),0)</f>
        <v>0</v>
      </c>
      <c r="AS4" s="248">
        <f>IF($P4=$AS$3,(INDEX('Tables - Part 2'!$BF$6:$BI$13,MATCH(SCC_Chloride!$V4,'Tables - Part 2'!$AV$6:$AV$13,0),MATCH(SCC_Chloride!$Q4,'Tables - Part 2'!$AX$5:$BA$5,0))+((INDEX('Tables - Part 2'!$BF$6:$BI$13,MATCH(SCC_Chloride!$V4,'Tables - Part 2'!$AV$6:$AV$13,0),MATCH(SCC_Chloride!$Q4,'Tables - Part 2'!$AX$5:$BA$5,0))+(INDEX('Tables - Part 2'!$BF$6:$BI$13,MATCH(SCC_Chloride!$V4,'Tables - Part 2'!$AV$6:$AV$13,0),MATCH(SCC_Chloride!$Q4,'Tables - Part 2'!$AX$5:$BA$5,0))+INDEX('Tables - Part 2'!$AX$17:$BA$24,MATCH(SCC_Chloride!$V4,'Tables - Part 2'!$AV$6:$AV$13,0),MATCH(SCC_Chloride!$Q4,'Tables - Part 2'!$AX$5:$BA$5,0)))/2)/2))/2,0)</f>
        <v>0</v>
      </c>
      <c r="AT4" s="248">
        <f>IF($P4=$AT$3,(INDEX('Tables - Part 2'!$BF$6:$BI$13,MATCH(SCC_Chloride!$V4,'Tables - Part 2'!$AV$6:$AV$13,0),MATCH(SCC_Chloride!$Q4,'Tables - Part 2'!$AX$5:$BA$5,0))+(INDEX('Tables - Part 2'!$BF$6:$BI$13,MATCH(SCC_Chloride!$V4,'Tables - Part 2'!$AV$6:$AV$13,0),MATCH(SCC_Chloride!$Q4,'Tables - Part 2'!$AX$5:$BA$5,0))+INDEX('Tables - Part 2'!$AX$17:$BA$24,MATCH(SCC_Chloride!$V4,'Tables - Part 2'!$AV$6:$AV$13,0),MATCH(SCC_Chloride!$Q4,'Tables - Part 2'!$AX$5:$BA$5,0)))/2)/2,0)</f>
        <v>0</v>
      </c>
      <c r="AU4" s="248">
        <f>IF($P4=$AU$3,(((INDEX('Tables - Part 2'!$BF$6:$BI$13,MATCH(SCC_Chloride!$V4,'Tables - Part 2'!$AV$6:$AV$13,0),MATCH(SCC_Chloride!$Q4,'Tables - Part 2'!$AX$5:$BA$5,0))+(INDEX('Tables - Part 2'!$BF$6:$BI$13,MATCH(SCC_Chloride!$V4,'Tables - Part 2'!$AV$6:$AV$13,0),MATCH(SCC_Chloride!$Q4,'Tables - Part 2'!$AX$5:$BA$5,0))+INDEX('Tables - Part 2'!$AX$17:$BA$24,MATCH(SCC_Chloride!$V4,'Tables - Part 2'!$AV$6:$AV$13,0),MATCH(SCC_Chloride!$Q4,'Tables - Part 2'!$AX$5:$BA$5,0)))/2)/2)+((INDEX('Tables - Part 2'!$BF$6:$BI$13,MATCH(SCC_Chloride!$V4,'Tables - Part 2'!$AV$6:$AV$13,0),MATCH(SCC_Chloride!$Q4,'Tables - Part 2'!$AX$5:$BA$5,0))+INDEX('Tables - Part 2'!$AX$17:$BA$24,MATCH(SCC_Chloride!$V4,'Tables - Part 2'!$AV$6:$AV$13,0),MATCH(SCC_Chloride!$Q4,'Tables - Part 2'!$AX$5:$BA$5,0)))/2))/2,0)</f>
        <v>0</v>
      </c>
      <c r="AV4" s="248">
        <f>IF($P4=$AV$3,(INDEX('Tables - Part 2'!$BF$6:$BI$13,MATCH(SCC_Chloride!$V4,'Tables - Part 2'!$AV$6:$AV$13,0),MATCH(SCC_Chloride!$Q4,'Tables - Part 2'!$AX$5:$BA$5,0))+INDEX('Tables - Part 2'!$AX$17:$BA$24,MATCH(SCC_Chloride!$V4,'Tables - Part 2'!$AV$6:$AV$13,0),MATCH(SCC_Chloride!$Q4,'Tables - Part 2'!$AX$5:$BA$5,0)))/2,0)</f>
        <v>0</v>
      </c>
      <c r="AW4" s="248">
        <f>IF($P4=$AW$3,(((INDEX('Tables - Part 2'!$BF$6:$BI$13,MATCH(SCC_Chloride!$V4,'Tables - Part 2'!$AV$6:$AV$13,0),MATCH(SCC_Chloride!$Q4,'Tables - Part 2'!$AX$5:$BA$5,0))+INDEX('Tables - Part 2'!$AX$17:$BA$24,MATCH(SCC_Chloride!$V4,'Tables - Part 2'!$AV$6:$AV$13,0),MATCH(SCC_Chloride!$Q4,'Tables - Part 2'!$AX$5:$BA$5,0)))/2)+((((INDEX('Tables - Part 2'!$BF$6:$BI$13,MATCH(SCC_Chloride!$V4,'Tables - Part 2'!$AV$6:$AV$13,0),MATCH(SCC_Chloride!$Q4,'Tables - Part 2'!$AX$5:$BA$5,0))+INDEX('Tables - Part 2'!$AX$17:$BA$24,MATCH(SCC_Chloride!$V4,'Tables - Part 2'!$AV$6:$AV$13,0),MATCH(SCC_Chloride!$Q4,'Tables - Part 2'!$AX$5:$BA$5,0)))/2)+INDEX('Tables - Part 2'!$AX$17:$BA$24,MATCH(SCC_Chloride!$V4,'Tables - Part 2'!$AV$6:$AV$13,0),MATCH(SCC_Chloride!$Q4,'Tables - Part 2'!$AX$5:$BA$5,0)))/2))/2,0)</f>
        <v>0</v>
      </c>
      <c r="AX4" s="248">
        <f>IF($P4=$AX$3,(((INDEX('Tables - Part 2'!$BF$6:$BI$13,MATCH(SCC_Chloride!$V4,'Tables - Part 2'!$AV$6:$AV$13,0),MATCH(SCC_Chloride!$Q4,'Tables - Part 2'!$AX$5:$BA$5,0))+INDEX('Tables - Part 2'!$AX$17:$BA$24,MATCH(SCC_Chloride!$V4,'Tables - Part 2'!$AV$6:$AV$13,0),MATCH(SCC_Chloride!$Q4,'Tables - Part 2'!$AX$5:$BA$5,0)))/2)+INDEX('Tables - Part 2'!$AX$17:$BA$24,MATCH(SCC_Chloride!$V4,'Tables - Part 2'!$AV$6:$AV$13,0),MATCH(SCC_Chloride!$Q4,'Tables - Part 2'!$AX$5:$BA$5,0)))/2,0)</f>
        <v>0</v>
      </c>
      <c r="AY4" s="248">
        <f>IF($P4=$AY$3,(((((INDEX('Tables - Part 2'!$BF$6:$BI$13,MATCH(SCC_Chloride!$V4,'Tables - Part 2'!$AV$6:$AV$13,0),MATCH(SCC_Chloride!$Q4,'Tables - Part 2'!$AX$5:$BA$5,0))+INDEX('Tables - Part 2'!$AX$17:$BA$24,MATCH(SCC_Chloride!$V4,'Tables - Part 2'!$AV$6:$AV$13,0),MATCH(SCC_Chloride!$Q4,'Tables - Part 2'!$AX$5:$BA$5,0)))/2)+INDEX('Tables - Part 2'!$AX$17:$BA$24,MATCH(SCC_Chloride!$V4,'Tables - Part 2'!$AV$6:$AV$13,0),MATCH(SCC_Chloride!$Q4,'Tables - Part 2'!$AX$5:$BA$5,0)))/2)+(INDEX('Tables - Part 2'!$AX$17:$BA$24,MATCH(SCC_Chloride!$V4,'Tables - Part 2'!$AV$6:$AV$13,0),MATCH(SCC_Chloride!$Q4,'Tables - Part 2'!$AX$5:$BA$5,0))))/2,0)</f>
        <v>0</v>
      </c>
      <c r="AZ4" s="248">
        <f>IF($P4=$AZ$3,INDEX('Tables - Part 2'!$AX$17:$BA$24,MATCH(SCC_Chloride!$V4,'Tables - Part 2'!$AV$6:$AV$13,0),MATCH(SCC_Chloride!$Q4,'Tables - Part 2'!$AX$5:$BA$5,0)),0)</f>
        <v>0</v>
      </c>
      <c r="BA4" s="248">
        <f>IF($P4=$BA$3,((INDEX('Tables - Part 2'!$AX$17:$BA$24,MATCH(SCC_Chloride!$V4,'Tables - Part 2'!$AV$6:$AV$13,0),MATCH(SCC_Chloride!$Q4,'Tables - Part 2'!$AX$5:$BA$5,0)))+(((INDEX('Tables - Part 2'!$AX$17:$BA$24,MATCH(SCC_Chloride!$V4,'Tables - Part 2'!$AV$6:$AV$13,0),MATCH(SCC_Chloride!$Q4,'Tables - Part 2'!$AX$5:$BA$5,0)))+(INDEX('Tables - Part 2'!$AX$17:$BA$24,MATCH(SCC_Chloride!$V4,'Tables - Part 2'!$AV$6:$AV$13,0),MATCH(SCC_Chloride!$Q4,'Tables - Part 2'!$AX$5:$BA$5,0))+INDEX('Tables - Part 2'!$BB$17:$BE$24,MATCH(SCC_Chloride!$V4,'Tables - Part 2'!$AV$6:$AV$13,0),MATCH(SCC_Chloride!$Q4,'Tables - Part 2'!$AX$5:$BA$5,0)))/2)/2))/2,0)</f>
        <v>0</v>
      </c>
      <c r="BB4" s="248">
        <f>IF($P4=$BB$3,((INDEX('Tables - Part 2'!$AX$17:$BA$24,MATCH(SCC_Chloride!$V4,'Tables - Part 2'!$AV$6:$AV$13,0),MATCH(SCC_Chloride!$Q4,'Tables - Part 2'!$AX$5:$BA$5,0)))+(INDEX('Tables - Part 2'!$AX$17:$BA$24,MATCH(SCC_Chloride!$V4,'Tables - Part 2'!$AV$6:$AV$13,0),MATCH(SCC_Chloride!$Q4,'Tables - Part 2'!$AX$5:$BA$5,0))+INDEX('Tables - Part 2'!$BB$17:$BE$24,MATCH(SCC_Chloride!$V4,'Tables - Part 2'!$AV$6:$AV$13,0),MATCH(SCC_Chloride!$Q4,'Tables - Part 2'!$AX$5:$BA$5,0)))/2)/2,0)</f>
        <v>0</v>
      </c>
      <c r="BC4" s="248">
        <f>IF($P4=$BC$3,((((INDEX('Tables - Part 2'!$AX$17:$BA$24,MATCH(SCC_Chloride!$V4,'Tables - Part 2'!$AV$6:$AV$13,0),MATCH(SCC_Chloride!$Q4,'Tables - Part 2'!$AX$5:$BA$5,0)))+(INDEX('Tables - Part 2'!$AX$17:$BA$24,MATCH(SCC_Chloride!$V4,'Tables - Part 2'!$AV$6:$AV$13,0),MATCH(SCC_Chloride!$Q4,'Tables - Part 2'!$AX$5:$BA$5,0))+INDEX('Tables - Part 2'!$BB$17:$BE$24,MATCH(SCC_Chloride!$V4,'Tables - Part 2'!$AV$6:$AV$13,0),MATCH(SCC_Chloride!$Q4,'Tables - Part 2'!$AX$5:$BA$5,0)))/2)/2)+((INDEX('Tables - Part 2'!$AX$17:$BA$24,MATCH(SCC_Chloride!$V4,'Tables - Part 2'!$AV$6:$AV$13,0),MATCH(SCC_Chloride!$Q4,'Tables - Part 2'!$AX$5:$BA$5,0))+INDEX('Tables - Part 2'!$BB$17:$BE$24,MATCH(SCC_Chloride!$V4,'Tables - Part 2'!$AV$6:$AV$13,0),MATCH(SCC_Chloride!$Q4,'Tables - Part 2'!$AX$5:$BA$5,0)))/2))/2,0)</f>
        <v>0</v>
      </c>
      <c r="BD4" s="248">
        <f>IF($P4=$BD$3,(INDEX('Tables - Part 2'!$AX$17:$BA$24,MATCH(SCC_Chloride!$V4,'Tables - Part 2'!$AV$6:$AV$13,0),MATCH(SCC_Chloride!$Q4,'Tables - Part 2'!$AX$5:$BA$5,0))+INDEX('Tables - Part 2'!$BB$17:$BE$24,MATCH(SCC_Chloride!$V4,'Tables - Part 2'!$AV$6:$AV$13,0),MATCH(SCC_Chloride!$Q4,'Tables - Part 2'!$AX$5:$BA$5,0)))/2,0)</f>
        <v>0</v>
      </c>
      <c r="BE4" s="248">
        <f>IF($P4=$BE$3,(((INDEX('Tables - Part 2'!$AX$17:$BA$24,MATCH(SCC_Chloride!$V4,'Tables - Part 2'!$AV$6:$AV$13,0),MATCH(SCC_Chloride!$Q4,'Tables - Part 2'!$AX$5:$BA$5,0))+INDEX('Tables - Part 2'!$BB$17:$BE$24,MATCH(SCC_Chloride!$V4,'Tables - Part 2'!$AV$6:$AV$13,0),MATCH(SCC_Chloride!$Q4,'Tables - Part 2'!$AX$5:$BA$5,0)))/2)+((((INDEX('Tables - Part 2'!$AX$17:$BA$24,MATCH(SCC_Chloride!$V4,'Tables - Part 2'!$AV$6:$AV$13,0),MATCH(SCC_Chloride!$Q4,'Tables - Part 2'!$AX$5:$BA$5,0))+INDEX('Tables - Part 2'!$BB$17:$BE$24,MATCH(SCC_Chloride!$V4,'Tables - Part 2'!$AV$6:$AV$13,0),MATCH(SCC_Chloride!$Q4,'Tables - Part 2'!$AX$5:$BA$5,0)))/2)+INDEX('Tables - Part 2'!$BB$17:$BE$24,MATCH(SCC_Chloride!$V4,'Tables - Part 2'!$AV$6:$AV$13,0),MATCH(SCC_Chloride!$Q4,'Tables - Part 2'!$AX$5:$BA$5,0)))/2))/2,0)</f>
        <v>0</v>
      </c>
      <c r="BF4" s="248">
        <f>IF($P4=$BF$3,(((INDEX('Tables - Part 2'!$AX$17:$BA$24,MATCH(SCC_Chloride!$V4,'Tables - Part 2'!$AV$6:$AV$13,0),MATCH(SCC_Chloride!$Q4,'Tables - Part 2'!$AX$5:$BA$5,0))+INDEX('Tables - Part 2'!$BB$17:$BE$24,MATCH(SCC_Chloride!$V4,'Tables - Part 2'!$AV$6:$AV$13,0),MATCH(SCC_Chloride!$Q4,'Tables - Part 2'!$AX$5:$BA$5,0)))/2)+INDEX('Tables - Part 2'!$BB$17:$BE$24,MATCH(SCC_Chloride!$V4,'Tables - Part 2'!$AV$6:$AV$13,0),MATCH(SCC_Chloride!$Q4,'Tables - Part 2'!$AX$5:$BA$5,0)))/2,0)</f>
        <v>0</v>
      </c>
      <c r="BG4" s="248">
        <f>IF($P4=$BG$3,(((((INDEX('Tables - Part 2'!$AX$17:$BA$24,MATCH(SCC_Chloride!$V4,'Tables - Part 2'!$AV$6:$AV$13,0),MATCH(SCC_Chloride!$Q4,'Tables - Part 2'!$AX$5:$BA$5,0))+INDEX('Tables - Part 2'!$BB$17:$BE$24,MATCH(SCC_Chloride!$V4,'Tables - Part 2'!$AV$6:$AV$13,0),MATCH(SCC_Chloride!$Q4,'Tables - Part 2'!$AX$5:$BA$5,0)))/2)+INDEX('Tables - Part 2'!$BB$17:$BE$24,MATCH(SCC_Chloride!$V4,'Tables - Part 2'!$AV$6:$AV$13,0),MATCH(SCC_Chloride!$Q4,'Tables - Part 2'!$AX$5:$BA$5,0)))/2)+(INDEX('Tables - Part 2'!$BB$17:$BE$24,MATCH(SCC_Chloride!$V4,'Tables - Part 2'!$AV$6:$AV$13,0),MATCH(SCC_Chloride!$Q4,'Tables - Part 2'!$AX$5:$BA$5,0))))/2,0)</f>
        <v>0</v>
      </c>
      <c r="BH4" s="248">
        <f>IF($P4=$BH$3,INDEX('Tables - Part 2'!$BB$17:$BE$24,MATCH(SCC_Chloride!$V4,'Tables - Part 2'!$AV$6:$AV$13,0),MATCH(SCC_Chloride!$Q4,'Tables - Part 2'!$AX$5:$BA$5,0)),0)</f>
        <v>0</v>
      </c>
      <c r="BI4" s="248">
        <f>IF($P4=$BI$3,((INDEX('Tables - Part 2'!$BB$17:$BE$24,MATCH(SCC_Chloride!$V4,'Tables - Part 2'!$AV$6:$AV$13,0),MATCH(SCC_Chloride!$Q4,'Tables - Part 2'!$AX$5:$BA$5,0)))+(((INDEX('Tables - Part 2'!$BB$17:$BE$24,MATCH(SCC_Chloride!$V4,'Tables - Part 2'!$AV$6:$AV$13,0),MATCH(SCC_Chloride!$Q4,'Tables - Part 2'!$AX$5:$BA$5,0)))+(INDEX('Tables - Part 2'!$BB$17:$BE$24,MATCH(SCC_Chloride!$V4,'Tables - Part 2'!$AV$6:$AV$13,0),MATCH(SCC_Chloride!$Q4,'Tables - Part 2'!$AX$5:$BA$5,0))+INDEX('Tables - Part 2'!$BF$17:$BI$24,MATCH(SCC_Chloride!$V4,'Tables - Part 2'!$AV$6:$AV$13,0),MATCH(SCC_Chloride!$Q4,'Tables - Part 2'!$AX$5:$BA$5,0)))/2)/2))/2,0)</f>
        <v>0</v>
      </c>
      <c r="BJ4" s="248">
        <f>IF($P4=$BJ$3,((INDEX('Tables - Part 2'!$BB$17:$BE$24,MATCH(SCC_Chloride!$V4,'Tables - Part 2'!$AV$6:$AV$13,0),MATCH(SCC_Chloride!$Q4,'Tables - Part 2'!$AX$5:$BA$5,0)))+(INDEX('Tables - Part 2'!$BB$17:$BE$24,MATCH(SCC_Chloride!$V4,'Tables - Part 2'!$AV$6:$AV$13,0),MATCH(SCC_Chloride!$Q4,'Tables - Part 2'!$AX$5:$BA$5,0))+INDEX('Tables - Part 2'!$BF$17:$BI$24,MATCH(SCC_Chloride!$V4,'Tables - Part 2'!$AV$6:$AV$13,0),MATCH(SCC_Chloride!$Q4,'Tables - Part 2'!$AX$5:$BA$5,0)))/2)/2,0)</f>
        <v>0</v>
      </c>
      <c r="BK4" s="248">
        <f>IF($P4=$BK$3,((((INDEX('Tables - Part 2'!$BB$17:$BE$24,MATCH(SCC_Chloride!$V4,'Tables - Part 2'!$AV$6:$AV$13,0),MATCH(SCC_Chloride!$Q4,'Tables - Part 2'!$AX$5:$BA$5,0)))+(INDEX('Tables - Part 2'!$BB$17:$BE$24,MATCH(SCC_Chloride!$V4,'Tables - Part 2'!$AV$6:$AV$13,0),MATCH(SCC_Chloride!$Q4,'Tables - Part 2'!$AX$5:$BA$5,0))+INDEX('Tables - Part 2'!$BF$17:$BI$24,MATCH(SCC_Chloride!$V4,'Tables - Part 2'!$AV$6:$AV$13,0),MATCH(SCC_Chloride!$Q4,'Tables - Part 2'!$AX$5:$BA$5,0)))/2)/2)+((INDEX('Tables - Part 2'!$BB$17:$BE$24,MATCH(SCC_Chloride!$V4,'Tables - Part 2'!$AV$6:$AV$13,0),MATCH(SCC_Chloride!$Q4,'Tables - Part 2'!$AX$5:$BA$5,0))+INDEX('Tables - Part 2'!$BF$17:$BI$24,MATCH(SCC_Chloride!$V4,'Tables - Part 2'!$AV$6:$AV$13,0),MATCH(SCC_Chloride!$Q4,'Tables - Part 2'!$AX$5:$BA$5,0)))/2))/2,0)</f>
        <v>0</v>
      </c>
      <c r="BL4" s="248">
        <f>IF($P4=$BL$3,(INDEX('Tables - Part 2'!$BB$17:$BE$24,MATCH(SCC_Chloride!$V4,'Tables - Part 2'!$AV$6:$AV$13,0),MATCH(SCC_Chloride!$Q4,'Tables - Part 2'!$AX$5:$BA$5,0))+INDEX('Tables - Part 2'!$BF$17:$BI$24,MATCH(SCC_Chloride!$V4,'Tables - Part 2'!$AV$6:$AV$13,0),MATCH(SCC_Chloride!$Q4,'Tables - Part 2'!$AX$5:$BA$5,0)))/2,0)</f>
        <v>0</v>
      </c>
      <c r="BM4" s="248">
        <f>IF($P4=$BM$3,(((INDEX('Tables - Part 2'!$BB$17:$BE$24,MATCH(SCC_Chloride!$V4,'Tables - Part 2'!$AV$6:$AV$13,0),MATCH(SCC_Chloride!$Q4,'Tables - Part 2'!$AX$5:$BA$5,0))+INDEX('Tables - Part 2'!$BF$17:$BI$24,MATCH(SCC_Chloride!$V4,'Tables - Part 2'!$AV$6:$AV$13,0),MATCH(SCC_Chloride!$Q4,'Tables - Part 2'!$AX$5:$BA$5,0)))/2)+((((INDEX('Tables - Part 2'!$BB$17:$BE$24,MATCH(SCC_Chloride!$V4,'Tables - Part 2'!$AV$6:$AV$13,0),MATCH(SCC_Chloride!$Q4,'Tables - Part 2'!$AX$5:$BA$5,0))+INDEX('Tables - Part 2'!$BF$17:$BI$24,MATCH(SCC_Chloride!$V4,'Tables - Part 2'!$AV$6:$AV$13,0),MATCH(SCC_Chloride!$Q4,'Tables - Part 2'!$AX$5:$BA$5,0)))/2)+INDEX('Tables - Part 2'!$BF$17:$BI$24,MATCH(SCC_Chloride!$V4,'Tables - Part 2'!$AV$6:$AV$13,0),MATCH(SCC_Chloride!$Q4,'Tables - Part 2'!$AX$5:$BA$5,0)))/2))/2,0)</f>
        <v>0</v>
      </c>
      <c r="BN4" s="248">
        <f>IF($P4=$BN$3,(((INDEX('Tables - Part 2'!$BB$17:$BE$24,MATCH(SCC_Chloride!$V4,'Tables - Part 2'!$AV$6:$AV$13,0),MATCH(SCC_Chloride!$Q4,'Tables - Part 2'!$AX$5:$BA$5,0))+INDEX('Tables - Part 2'!$BF$17:$BI$24,MATCH(SCC_Chloride!$V4,'Tables - Part 2'!$AV$6:$AV$13,0),MATCH(SCC_Chloride!$Q4,'Tables - Part 2'!$AX$5:$BA$5,0)))/2)+INDEX('Tables - Part 2'!$BF$17:$BI$24,MATCH(SCC_Chloride!$V4,'Tables - Part 2'!$AV$6:$AV$13,0),MATCH(SCC_Chloride!$Q4,'Tables - Part 2'!$AX$5:$BA$5,0)))/2,0)</f>
        <v>0</v>
      </c>
      <c r="BO4" s="248">
        <f>IF($P4=$BO$3,(((((INDEX('Tables - Part 2'!$BB$17:$BE$24,MATCH(SCC_Chloride!$V4,'Tables - Part 2'!$AV$6:$AV$13,0),MATCH(SCC_Chloride!$Q4,'Tables - Part 2'!$AX$5:$BA$5,0))+INDEX('Tables - Part 2'!$BF$17:$BI$24,MATCH(SCC_Chloride!$V4,'Tables - Part 2'!$AV$6:$AV$13,0),MATCH(SCC_Chloride!$Q4,'Tables - Part 2'!$AX$5:$BA$5,0)))/2)+INDEX('Tables - Part 2'!$BF$17:$BI$24,MATCH(SCC_Chloride!$V4,'Tables - Part 2'!$AV$6:$AV$13,0),MATCH(SCC_Chloride!$Q4,'Tables - Part 2'!$AX$5:$BA$5,0)))/2)+(INDEX('Tables - Part 2'!$BF$17:$BI$24,MATCH(SCC_Chloride!$V4,'Tables - Part 2'!$AV$6:$AV$13,0),MATCH(SCC_Chloride!$Q4,'Tables - Part 2'!$AX$5:$BA$5,0))))/2,0)</f>
        <v>0</v>
      </c>
      <c r="BP4" s="248">
        <f>IF($P4=$BP$3,INDEX('Tables - Part 2'!$BF$17:$BI$24,MATCH(SCC_Chloride!$V4,'Tables - Part 2'!$AV$6:$AV$13,0),MATCH(SCC_Chloride!$Q4,'Tables - Part 2'!$AX$5:$BA$5,0)),0)</f>
        <v>0</v>
      </c>
      <c r="BQ4" s="248">
        <f t="shared" ref="BQ4:BQ21" si="5">IF(P4=0,V4,0)</f>
        <v>0</v>
      </c>
      <c r="BR4" s="238">
        <f>SUM(AB4:BQ4)</f>
        <v>1.5</v>
      </c>
      <c r="BS4" s="238">
        <f t="shared" ref="BS4:BS21" si="6">IF(B4="",0,MIN(BR4*POWER(MAX(W4,1),1.1),5000))</f>
        <v>25.159323702612586</v>
      </c>
      <c r="BV4" s="237" t="s">
        <v>111</v>
      </c>
      <c r="BX4" t="s">
        <v>61</v>
      </c>
      <c r="BY4">
        <v>100</v>
      </c>
      <c r="BZ4">
        <v>180</v>
      </c>
      <c r="CA4">
        <v>37.777799999999999</v>
      </c>
      <c r="CB4" s="208">
        <v>82.222200000000001</v>
      </c>
    </row>
    <row r="5" spans="2:84" x14ac:dyDescent="0.35">
      <c r="B5" s="161" t="str">
        <f>'Tratamento de Dados'!B13</f>
        <v>V-07</v>
      </c>
      <c r="C5" s="161" t="str">
        <f>'Tratamento de Dados'!D13</f>
        <v>Tampo_Sul</v>
      </c>
      <c r="D5" s="209" t="s">
        <v>245</v>
      </c>
      <c r="E5" s="209" t="s">
        <v>61</v>
      </c>
      <c r="F5" s="209">
        <v>10</v>
      </c>
      <c r="G5" s="209" t="s">
        <v>1167</v>
      </c>
      <c r="H5" s="247">
        <f>'Tratamento de Dados'!S13</f>
        <v>49</v>
      </c>
      <c r="I5" s="210">
        <v>39092</v>
      </c>
      <c r="J5" s="209">
        <v>0</v>
      </c>
      <c r="K5" s="209">
        <v>1</v>
      </c>
      <c r="L5" s="209">
        <v>1</v>
      </c>
      <c r="M5" s="209">
        <v>4</v>
      </c>
      <c r="N5" s="253">
        <f>'Tratamento de Dados'!DA13</f>
        <v>0</v>
      </c>
      <c r="O5" s="253">
        <f>'Tratamento de Dados'!DB13</f>
        <v>0</v>
      </c>
      <c r="P5" s="256">
        <f t="shared" si="0"/>
        <v>2.5</v>
      </c>
      <c r="Q5" s="246" t="str">
        <f t="shared" si="1"/>
        <v>B</v>
      </c>
      <c r="R5" s="246" t="str">
        <f>IF(H5&lt;=38,'Tables - Part 2'!$DO$6,IF(H5&lt;=66,'Tables - Part 2'!$DO$7,IF(H5&lt;=93,'Tables - Part 2'!$DO$8,IF(H5&lt;=149,'Tables - Part 2'!$DO$9,'Tables - Part 2'!$DO$10))))</f>
        <v>&gt;38 to 66</v>
      </c>
      <c r="S5" s="246" t="str">
        <f>IF(H5&lt;=38,'Tables - Part 2'!$DO$14,IF(H5&lt;=93,'Tables - Part 2'!$DO$15,IF(H5&lt;=149,'Tables - Part 2'!$DO$16,'Tables - Part 2'!$DO$17)))</f>
        <v>&gt;38 to 93</v>
      </c>
      <c r="T5" s="246" t="str">
        <f t="shared" ref="T5:T21" si="7">IF(F5&gt;10,S5,R5)</f>
        <v>&gt;38 to 66</v>
      </c>
      <c r="U5" s="467" t="str">
        <f>IF(D5=$BX$2,$BV$5,INDEX(IF(F5&gt;10,'Tables - Part 2'!$DP$14:$DS$17,'Tables - Part 2'!$DP$6:$DS$10),MATCH(T5,IF(F5&gt;10,'Tables - Part 2'!$DO$14:$DO$17,'Tables - Part 2'!$DO$6:$DO$10),0),MATCH(SCC_Chloride!G5,'Tables - Part 2'!$DP$5:$DS$5,0)))</f>
        <v>Medium</v>
      </c>
      <c r="V5" s="238">
        <f>IF(AND(D5=$BX$2,E5&lt;&gt;$BX$2),"Fitness-For-Service",INDEX('Tables - Part 2'!$DV$4:$DV$7,MATCH(SCC_Chloride!U5,'Tables - Part 2'!$DU$4:$DU$7,0),))</f>
        <v>500</v>
      </c>
      <c r="W5" s="238">
        <f>IF(I5=0,(Thinning!G6-Thinning!F6)/365.25,(Thinning!G6-I5)/365.25)</f>
        <v>13.390828199863108</v>
      </c>
      <c r="X5" s="248">
        <f t="shared" si="2"/>
        <v>0</v>
      </c>
      <c r="Y5" s="248">
        <f t="shared" si="3"/>
        <v>2.5</v>
      </c>
      <c r="Z5" s="247">
        <f t="shared" ref="Z5:Z21" si="8">_xlfn.FLOOR.MATH((AA5/2)+L5,0.5)</f>
        <v>3</v>
      </c>
      <c r="AA5" s="247">
        <f t="shared" si="4"/>
        <v>4</v>
      </c>
      <c r="AB5" s="248">
        <f>IF($P5=$AB$3,INDEX('Tables - Part 2'!$AX$6:$BA$13,MATCH(SCC_Chloride!V5,'Tables - Part 2'!$AV$6:$AV$13,0),MATCH(SCC_Chloride!Q5,'Tables - Part 2'!$AX$5:$BA$5,0)),0)</f>
        <v>0</v>
      </c>
      <c r="AC5" s="248">
        <f>IF($P5=$AC$3,(INDEX('Tables - Part 2'!$AX$6:$BA$13,MATCH(SCC_Chloride!V5,'Tables - Part 2'!$AV$6:$AV$13,0),MATCH(SCC_Chloride!Q5,'Tables - Part 2'!$AX$5:$BA$5,0))+(INDEX('Tables - Part 2'!$AX$6:$BA$13,MATCH(SCC_Chloride!V5,'Tables - Part 2'!$AV$6:$AV$13,0),MATCH(SCC_Chloride!Q5,'Tables - Part 2'!$AX$5:$BA$5,0))+((INDEX('Tables - Part 2'!$AX$6:$BA$13,MATCH(SCC_Chloride!V5,'Tables - Part 2'!$AV$6:$AV$13,0),MATCH(SCC_Chloride!Q5,'Tables - Part 2'!$AX$5:$BA$5,0))+INDEX('Tables - Part 2'!$BB$6:$BE$13,MATCH(SCC_Chloride!$V5,'Tables - Part 2'!$AV$6:$AV$13,0),MATCH(SCC_Chloride!$Q5,'Tables - Part 2'!$AX$5:$BA$5,0)))/2))/2)/2,0)</f>
        <v>0</v>
      </c>
      <c r="AD5" s="248">
        <f>IF($P5=$AD$3,(INDEX('Tables - Part 2'!$AX$6:$BA$13,MATCH(SCC_Chloride!V5,'Tables - Part 2'!$AV$6:$AV$13,0),MATCH(SCC_Chloride!Q5,'Tables - Part 2'!$AX$5:$BA$5,0))+((INDEX('Tables - Part 2'!$AX$6:$BA$13,MATCH(SCC_Chloride!V5,'Tables - Part 2'!$AV$6:$AV$13,0),MATCH(SCC_Chloride!Q5,'Tables - Part 2'!$AX$5:$BA$5,0))+INDEX('Tables - Part 2'!$BB$6:$BE$13,MATCH(SCC_Chloride!$V5,'Tables - Part 2'!$AV$6:$AV$13,0),MATCH(SCC_Chloride!$Q5,'Tables - Part 2'!$AX$5:$BA$5,0)))/2))/2,0)</f>
        <v>0</v>
      </c>
      <c r="AE5" s="248">
        <f>IF($P5=$AE$3,(((INDEX('Tables - Part 2'!$AX$6:$BA$13,MATCH(SCC_Chloride!V5,'Tables - Part 2'!$AV$6:$AV$13,0),MATCH(SCC_Chloride!Q5,'Tables - Part 2'!$AX$5:$BA$5,0))+((INDEX('Tables - Part 2'!$AX$6:$BA$13,MATCH(SCC_Chloride!V5,'Tables - Part 2'!$AV$6:$AV$13,0),MATCH(SCC_Chloride!Q5,'Tables - Part 2'!$AX$5:$BA$5,0))+INDEX('Tables - Part 2'!$BB$6:$BE$13,MATCH(SCC_Chloride!$V5,'Tables - Part 2'!$AV$6:$AV$13,0),MATCH(SCC_Chloride!$Q5,'Tables - Part 2'!$AX$5:$BA$5,0)))/2))/2)+(INDEX('Tables - Part 2'!$AX$6:$BA$13,MATCH(SCC_Chloride!V5,'Tables - Part 2'!$AV$6:$AV$13,0),MATCH(SCC_Chloride!Q5,'Tables - Part 2'!$AX$5:$BA$5,0))+INDEX('Tables - Part 2'!$BB$6:$BE$13,MATCH(SCC_Chloride!$V5,'Tables - Part 2'!$AV$6:$AV$13,0),MATCH(SCC_Chloride!$Q5,'Tables - Part 2'!$AX$5:$BA$5,0)))/2)/2,0)</f>
        <v>0</v>
      </c>
      <c r="AF5" s="248">
        <f>IF($P5=$AF$3,(INDEX('Tables - Part 2'!$AX$6:$BA$13,MATCH(SCC_Chloride!V5,'Tables - Part 2'!$AV$6:$AV$13,0),MATCH(SCC_Chloride!Q5,'Tables - Part 2'!$AX$5:$BA$5,0))+INDEX('Tables - Part 2'!$BB$6:$BE$13,MATCH(SCC_Chloride!$V5,'Tables - Part 2'!$AV$6:$AV$13,0),MATCH(SCC_Chloride!$Q5,'Tables - Part 2'!$AX$5:$BA$5,0)))/2,0)</f>
        <v>0</v>
      </c>
      <c r="AG5" s="248">
        <f>IF($P5=$AG$3,(((INDEX('Tables - Part 2'!$AX$6:$BA$13,MATCH(SCC_Chloride!V5,'Tables - Part 2'!$AV$6:$AV$13,0),MATCH(SCC_Chloride!Q5,'Tables - Part 2'!$AX$5:$BA$5,0))+INDEX('Tables - Part 2'!$BB$6:$BE$13,MATCH(SCC_Chloride!$V5,'Tables - Part 2'!$AV$6:$AV$13,0),MATCH(SCC_Chloride!$Q5,'Tables - Part 2'!$AX$5:$BA$5,0)))/2)+(((INDEX('Tables - Part 2'!$AX$6:$BA$13,MATCH(SCC_Chloride!V5,'Tables - Part 2'!$AV$6:$AV$13,0),MATCH(SCC_Chloride!Q5,'Tables - Part 2'!$AX$5:$BA$5,0))+INDEX('Tables - Part 2'!$BB$6:$BE$13,MATCH(SCC_Chloride!$V5,'Tables - Part 2'!$AV$6:$AV$13,0),MATCH(SCC_Chloride!$Q5,'Tables - Part 2'!$AX$5:$BA$5,0)))/2)+INDEX('Tables - Part 2'!$BB$6:$BE$13,MATCH(SCC_Chloride!$V5,'Tables - Part 2'!$AV$6:$AV$13,0),MATCH(SCC_Chloride!$Q5,'Tables - Part 2'!$AX$5:$BA$5,0)))/2)/2,0)</f>
        <v>0</v>
      </c>
      <c r="AH5" s="248">
        <f>IF($P5=$AH$3,(((INDEX('Tables - Part 2'!$AX$6:$BA$13,MATCH(SCC_Chloride!V5,'Tables - Part 2'!$AV$6:$AV$13,0),MATCH(SCC_Chloride!Q5,'Tables - Part 2'!$AX$5:$BA$5,0))+INDEX('Tables - Part 2'!$BB$6:$BE$13,MATCH(SCC_Chloride!$V5,'Tables - Part 2'!$AV$6:$AV$13,0),MATCH(SCC_Chloride!$Q5,'Tables - Part 2'!$AX$5:$BA$5,0)))/2)+INDEX('Tables - Part 2'!$BB$6:$BE$13,MATCH(SCC_Chloride!$V5,'Tables - Part 2'!$AV$6:$AV$13,0),MATCH(SCC_Chloride!$Q5,'Tables - Part 2'!$AX$5:$BA$5,0)))/2,0)</f>
        <v>0</v>
      </c>
      <c r="AI5" s="248">
        <f>IF($P5=$AI$3,(((((INDEX('Tables - Part 2'!$AX$6:$BA$13,MATCH(SCC_Chloride!V5,'Tables - Part 2'!$AV$6:$AV$13,0),MATCH(SCC_Chloride!Q5,'Tables - Part 2'!$AX$5:$BA$5,0))+INDEX('Tables - Part 2'!$BB$6:$BE$13,MATCH(SCC_Chloride!$V5,'Tables - Part 2'!$AV$6:$AV$13,0),MATCH(SCC_Chloride!$Q5,'Tables - Part 2'!$AX$5:$BA$5,0)))/2)+INDEX('Tables - Part 2'!$BB$6:$BE$13,MATCH(SCC_Chloride!$V5,'Tables - Part 2'!$AV$6:$AV$13,0),MATCH(SCC_Chloride!$Q5,'Tables - Part 2'!$AX$5:$BA$5,0)))/2)+INDEX('Tables - Part 2'!$BB$6:$BE$13,MATCH(SCC_Chloride!$V5,'Tables - Part 2'!$AV$6:$AV$13,0),MATCH(SCC_Chloride!$Q5,'Tables - Part 2'!$AX$5:$BA$5,0)))/2,0)</f>
        <v>0</v>
      </c>
      <c r="AJ5" s="248">
        <f>IF($P5=$AJ$3,INDEX('Tables - Part 2'!$BB$6:$BE$13,MATCH(SCC_Chloride!$V5,'Tables - Part 2'!$AV$6:$AV$13,0),MATCH(SCC_Chloride!$Q5,'Tables - Part 2'!$AX$5:$BA$5,0)),0)</f>
        <v>0</v>
      </c>
      <c r="AK5" s="248">
        <f>IF($P5=$AK$3,((INDEX('Tables - Part 2'!$BB$6:$BE$13,MATCH(SCC_Chloride!$V5,'Tables - Part 2'!$AV$6:$AV$13,0),MATCH(SCC_Chloride!$Q5,'Tables - Part 2'!$AX$5:$BA$5,0)))+(INDEX('Tables - Part 2'!$BB$6:$BE$13,MATCH(SCC_Chloride!$V5,'Tables - Part 2'!$AV$6:$AV$13,0),MATCH(SCC_Chloride!$Q5,'Tables - Part 2'!$AX$5:$BA$5,0))+(INDEX('Tables - Part 2'!$BB$6:$BE$13,MATCH(SCC_Chloride!$V5,'Tables - Part 2'!$AV$6:$AV$13,0),MATCH(SCC_Chloride!$Q5,'Tables - Part 2'!$AX$5:$BA$5,0))+INDEX('Tables - Part 2'!$BF$6:$BI$13,MATCH(SCC_Chloride!$V5,'Tables - Part 2'!$AV$6:$AV$13,0),MATCH(SCC_Chloride!$Q5,'Tables - Part 2'!$AX$5:$BA$5,0)))/2)/2)/2,0)</f>
        <v>0</v>
      </c>
      <c r="AL5" s="248">
        <f>IF($P5=$AL$3,(INDEX('Tables - Part 2'!$BB$6:$BE$13,MATCH(SCC_Chloride!$V5,'Tables - Part 2'!$AV$6:$AV$13,0),MATCH(SCC_Chloride!$Q5,'Tables - Part 2'!$AX$5:$BA$5,0))+(INDEX('Tables - Part 2'!$BB$6:$BE$13,MATCH(SCC_Chloride!$V5,'Tables - Part 2'!$AV$6:$AV$13,0),MATCH(SCC_Chloride!$Q5,'Tables - Part 2'!$AX$5:$BA$5,0))+INDEX('Tables - Part 2'!$BF$6:$BI$13,MATCH(SCC_Chloride!$V5,'Tables - Part 2'!$AV$6:$AV$13,0),MATCH(SCC_Chloride!$Q5,'Tables - Part 2'!$AX$5:$BA$5,0)))/2)/2,0)</f>
        <v>0</v>
      </c>
      <c r="AM5" s="248">
        <f>IF($P5=$AM$3,(((INDEX('Tables - Part 2'!$BB$6:$BE$13,MATCH(SCC_Chloride!$V5,'Tables - Part 2'!$AV$6:$AV$13,0),MATCH(SCC_Chloride!$Q5,'Tables - Part 2'!$AX$5:$BA$5,0))+(INDEX('Tables - Part 2'!$BB$6:$BE$13,MATCH(SCC_Chloride!$V5,'Tables - Part 2'!$AV$6:$AV$13,0),MATCH(SCC_Chloride!$Q5,'Tables - Part 2'!$AX$5:$BA$5,0))+INDEX('Tables - Part 2'!$BF$6:$BI$13,MATCH(SCC_Chloride!$V5,'Tables - Part 2'!$AV$6:$AV$13,0),MATCH(SCC_Chloride!$Q5,'Tables - Part 2'!$AX$5:$BA$5,0)))/2)/2)+((INDEX('Tables - Part 2'!$BB$6:$BE$13,MATCH(SCC_Chloride!$V5,'Tables - Part 2'!$AV$6:$AV$13,0),MATCH(SCC_Chloride!$Q5,'Tables - Part 2'!$AX$5:$BA$5,0))+INDEX('Tables - Part 2'!$BF$6:$BI$13,MATCH(SCC_Chloride!$V5,'Tables - Part 2'!$AV$6:$AV$13,0),MATCH(SCC_Chloride!$Q5,'Tables - Part 2'!$AX$5:$BA$5,0)))/2))/2,0)</f>
        <v>0</v>
      </c>
      <c r="AN5" s="248">
        <f>IF($P5=$AN$3,(INDEX('Tables - Part 2'!$BB$6:$BE$13,MATCH(SCC_Chloride!$V5,'Tables - Part 2'!$AV$6:$AV$13,0),MATCH(SCC_Chloride!$Q5,'Tables - Part 2'!$AX$5:$BA$5,0))+INDEX('Tables - Part 2'!$BF$6:$BI$13,MATCH(SCC_Chloride!$V5,'Tables - Part 2'!$AV$6:$AV$13,0),MATCH(SCC_Chloride!$Q5,'Tables - Part 2'!$AX$5:$BA$5,0)))/2,0)</f>
        <v>14</v>
      </c>
      <c r="AO5" s="248">
        <f>IF($P5=$AO$3,(((INDEX('Tables - Part 2'!$BB$6:$BE$13,MATCH(SCC_Chloride!$V5,'Tables - Part 2'!$AV$6:$AV$13,0),MATCH(SCC_Chloride!$Q5,'Tables - Part 2'!$AX$5:$BA$5,0))+INDEX('Tables - Part 2'!$BF$6:$BI$13,MATCH(SCC_Chloride!$V5,'Tables - Part 2'!$AV$6:$AV$13,0),MATCH(SCC_Chloride!$Q5,'Tables - Part 2'!$AX$5:$BA$5,0)))/2)+((((INDEX('Tables - Part 2'!$BB$6:$BE$13,MATCH(SCC_Chloride!$V5,'Tables - Part 2'!$AV$6:$AV$13,0),MATCH(SCC_Chloride!$Q5,'Tables - Part 2'!$AX$5:$BA$5,0))+INDEX('Tables - Part 2'!$BF$6:$BI$13,MATCH(SCC_Chloride!$V5,'Tables - Part 2'!$AV$6:$AV$13,0),MATCH(SCC_Chloride!$Q5,'Tables - Part 2'!$AX$5:$BA$5,0)))/2)+INDEX('Tables - Part 2'!$BF$6:$BI$13,MATCH(SCC_Chloride!$V5,'Tables - Part 2'!$AV$6:$AV$13,0),MATCH(SCC_Chloride!$Q5,'Tables - Part 2'!$AX$5:$BA$5,0)))/2))/2,0)</f>
        <v>0</v>
      </c>
      <c r="AP5" s="248">
        <f>IF($P5=$AP$3,(((INDEX('Tables - Part 2'!$BB$6:$BE$13,MATCH(SCC_Chloride!$V5,'Tables - Part 2'!$AV$6:$AV$13,0),MATCH(SCC_Chloride!$Q5,'Tables - Part 2'!$AX$5:$BA$5,0))+INDEX('Tables - Part 2'!$BF$6:$BI$13,MATCH(SCC_Chloride!$V5,'Tables - Part 2'!$AV$6:$AV$13,0),MATCH(SCC_Chloride!$Q5,'Tables - Part 2'!$AX$5:$BA$5,0)))/2)+INDEX('Tables - Part 2'!$BF$6:$BI$13,MATCH(SCC_Chloride!$V5,'Tables - Part 2'!$AV$6:$AV$13,0),MATCH(SCC_Chloride!$Q5,'Tables - Part 2'!$AX$5:$BA$5,0)))/2,0)</f>
        <v>0</v>
      </c>
      <c r="AQ5" s="248">
        <f>IF($P5=$AQ$3,(((((INDEX('Tables - Part 2'!$BB$6:$BE$13,MATCH(SCC_Chloride!$V5,'Tables - Part 2'!$AV$6:$AV$13,0),MATCH(SCC_Chloride!$Q5,'Tables - Part 2'!$AX$5:$BA$5,0))+INDEX('Tables - Part 2'!$BF$6:$BI$13,MATCH(SCC_Chloride!$V5,'Tables - Part 2'!$AV$6:$AV$13,0),MATCH(SCC_Chloride!$Q5,'Tables - Part 2'!$AX$5:$BA$5,0)))/2)+INDEX('Tables - Part 2'!$BF$6:$BI$13,MATCH(SCC_Chloride!$V5,'Tables - Part 2'!$AV$6:$AV$13,0),MATCH(SCC_Chloride!$Q5,'Tables - Part 2'!$AX$5:$BA$5,0)))/2)+INDEX('Tables - Part 2'!$BF$6:$BI$13,MATCH(SCC_Chloride!$V5,'Tables - Part 2'!$AV$6:$AV$13,0),MATCH(SCC_Chloride!$Q5,'Tables - Part 2'!$AX$5:$BA$5,0)))/2,0)</f>
        <v>0</v>
      </c>
      <c r="AR5" s="248">
        <f>IF($P5=$AR$3,INDEX('Tables - Part 2'!$BF$6:$BI$13,MATCH(SCC_Chloride!$V5,'Tables - Part 2'!$AV$6:$AV$13,0),MATCH(SCC_Chloride!$Q5,'Tables - Part 2'!$AX$5:$BA$5,0)),0)</f>
        <v>0</v>
      </c>
      <c r="AS5" s="248">
        <f>IF($P5=$AS$3,(INDEX('Tables - Part 2'!$BF$6:$BI$13,MATCH(SCC_Chloride!$V5,'Tables - Part 2'!$AV$6:$AV$13,0),MATCH(SCC_Chloride!$Q5,'Tables - Part 2'!$AX$5:$BA$5,0))+((INDEX('Tables - Part 2'!$BF$6:$BI$13,MATCH(SCC_Chloride!$V5,'Tables - Part 2'!$AV$6:$AV$13,0),MATCH(SCC_Chloride!$Q5,'Tables - Part 2'!$AX$5:$BA$5,0))+(INDEX('Tables - Part 2'!$BF$6:$BI$13,MATCH(SCC_Chloride!$V5,'Tables - Part 2'!$AV$6:$AV$13,0),MATCH(SCC_Chloride!$Q5,'Tables - Part 2'!$AX$5:$BA$5,0))+INDEX('Tables - Part 2'!$AX$17:$BA$24,MATCH(SCC_Chloride!$V5,'Tables - Part 2'!$AV$6:$AV$13,0),MATCH(SCC_Chloride!$Q5,'Tables - Part 2'!$AX$5:$BA$5,0)))/2)/2))/2,0)</f>
        <v>0</v>
      </c>
      <c r="AT5" s="248">
        <f>IF($P5=$AT$3,(INDEX('Tables - Part 2'!$BF$6:$BI$13,MATCH(SCC_Chloride!$V5,'Tables - Part 2'!$AV$6:$AV$13,0),MATCH(SCC_Chloride!$Q5,'Tables - Part 2'!$AX$5:$BA$5,0))+(INDEX('Tables - Part 2'!$BF$6:$BI$13,MATCH(SCC_Chloride!$V5,'Tables - Part 2'!$AV$6:$AV$13,0),MATCH(SCC_Chloride!$Q5,'Tables - Part 2'!$AX$5:$BA$5,0))+INDEX('Tables - Part 2'!$AX$17:$BA$24,MATCH(SCC_Chloride!$V5,'Tables - Part 2'!$AV$6:$AV$13,0),MATCH(SCC_Chloride!$Q5,'Tables - Part 2'!$AX$5:$BA$5,0)))/2)/2,0)</f>
        <v>0</v>
      </c>
      <c r="AU5" s="248">
        <f>IF($P5=$AU$3,(((INDEX('Tables - Part 2'!$BF$6:$BI$13,MATCH(SCC_Chloride!$V5,'Tables - Part 2'!$AV$6:$AV$13,0),MATCH(SCC_Chloride!$Q5,'Tables - Part 2'!$AX$5:$BA$5,0))+(INDEX('Tables - Part 2'!$BF$6:$BI$13,MATCH(SCC_Chloride!$V5,'Tables - Part 2'!$AV$6:$AV$13,0),MATCH(SCC_Chloride!$Q5,'Tables - Part 2'!$AX$5:$BA$5,0))+INDEX('Tables - Part 2'!$AX$17:$BA$24,MATCH(SCC_Chloride!$V5,'Tables - Part 2'!$AV$6:$AV$13,0),MATCH(SCC_Chloride!$Q5,'Tables - Part 2'!$AX$5:$BA$5,0)))/2)/2)+((INDEX('Tables - Part 2'!$BF$6:$BI$13,MATCH(SCC_Chloride!$V5,'Tables - Part 2'!$AV$6:$AV$13,0),MATCH(SCC_Chloride!$Q5,'Tables - Part 2'!$AX$5:$BA$5,0))+INDEX('Tables - Part 2'!$AX$17:$BA$24,MATCH(SCC_Chloride!$V5,'Tables - Part 2'!$AV$6:$AV$13,0),MATCH(SCC_Chloride!$Q5,'Tables - Part 2'!$AX$5:$BA$5,0)))/2))/2,0)</f>
        <v>0</v>
      </c>
      <c r="AV5" s="248">
        <f>IF($P5=$AV$3,(INDEX('Tables - Part 2'!$BF$6:$BI$13,MATCH(SCC_Chloride!$V5,'Tables - Part 2'!$AV$6:$AV$13,0),MATCH(SCC_Chloride!$Q5,'Tables - Part 2'!$AX$5:$BA$5,0))+INDEX('Tables - Part 2'!$AX$17:$BA$24,MATCH(SCC_Chloride!$V5,'Tables - Part 2'!$AV$6:$AV$13,0),MATCH(SCC_Chloride!$Q5,'Tables - Part 2'!$AX$5:$BA$5,0)))/2,0)</f>
        <v>0</v>
      </c>
      <c r="AW5" s="248">
        <f>IF($P5=$AW$3,(((INDEX('Tables - Part 2'!$BF$6:$BI$13,MATCH(SCC_Chloride!$V5,'Tables - Part 2'!$AV$6:$AV$13,0),MATCH(SCC_Chloride!$Q5,'Tables - Part 2'!$AX$5:$BA$5,0))+INDEX('Tables - Part 2'!$AX$17:$BA$24,MATCH(SCC_Chloride!$V5,'Tables - Part 2'!$AV$6:$AV$13,0),MATCH(SCC_Chloride!$Q5,'Tables - Part 2'!$AX$5:$BA$5,0)))/2)+((((INDEX('Tables - Part 2'!$BF$6:$BI$13,MATCH(SCC_Chloride!$V5,'Tables - Part 2'!$AV$6:$AV$13,0),MATCH(SCC_Chloride!$Q5,'Tables - Part 2'!$AX$5:$BA$5,0))+INDEX('Tables - Part 2'!$AX$17:$BA$24,MATCH(SCC_Chloride!$V5,'Tables - Part 2'!$AV$6:$AV$13,0),MATCH(SCC_Chloride!$Q5,'Tables - Part 2'!$AX$5:$BA$5,0)))/2)+INDEX('Tables - Part 2'!$AX$17:$BA$24,MATCH(SCC_Chloride!$V5,'Tables - Part 2'!$AV$6:$AV$13,0),MATCH(SCC_Chloride!$Q5,'Tables - Part 2'!$AX$5:$BA$5,0)))/2))/2,0)</f>
        <v>0</v>
      </c>
      <c r="AX5" s="248">
        <f>IF($P5=$AX$3,(((INDEX('Tables - Part 2'!$BF$6:$BI$13,MATCH(SCC_Chloride!$V5,'Tables - Part 2'!$AV$6:$AV$13,0),MATCH(SCC_Chloride!$Q5,'Tables - Part 2'!$AX$5:$BA$5,0))+INDEX('Tables - Part 2'!$AX$17:$BA$24,MATCH(SCC_Chloride!$V5,'Tables - Part 2'!$AV$6:$AV$13,0),MATCH(SCC_Chloride!$Q5,'Tables - Part 2'!$AX$5:$BA$5,0)))/2)+INDEX('Tables - Part 2'!$AX$17:$BA$24,MATCH(SCC_Chloride!$V5,'Tables - Part 2'!$AV$6:$AV$13,0),MATCH(SCC_Chloride!$Q5,'Tables - Part 2'!$AX$5:$BA$5,0)))/2,0)</f>
        <v>0</v>
      </c>
      <c r="AY5" s="248">
        <f>IF($P5=$AY$3,(((((INDEX('Tables - Part 2'!$BF$6:$BI$13,MATCH(SCC_Chloride!$V5,'Tables - Part 2'!$AV$6:$AV$13,0),MATCH(SCC_Chloride!$Q5,'Tables - Part 2'!$AX$5:$BA$5,0))+INDEX('Tables - Part 2'!$AX$17:$BA$24,MATCH(SCC_Chloride!$V5,'Tables - Part 2'!$AV$6:$AV$13,0),MATCH(SCC_Chloride!$Q5,'Tables - Part 2'!$AX$5:$BA$5,0)))/2)+INDEX('Tables - Part 2'!$AX$17:$BA$24,MATCH(SCC_Chloride!$V5,'Tables - Part 2'!$AV$6:$AV$13,0),MATCH(SCC_Chloride!$Q5,'Tables - Part 2'!$AX$5:$BA$5,0)))/2)+(INDEX('Tables - Part 2'!$AX$17:$BA$24,MATCH(SCC_Chloride!$V5,'Tables - Part 2'!$AV$6:$AV$13,0),MATCH(SCC_Chloride!$Q5,'Tables - Part 2'!$AX$5:$BA$5,0))))/2,0)</f>
        <v>0</v>
      </c>
      <c r="AZ5" s="248">
        <f>IF($P5=$AZ$3,INDEX('Tables - Part 2'!$AX$17:$BA$24,MATCH(SCC_Chloride!$V5,'Tables - Part 2'!$AV$6:$AV$13,0),MATCH(SCC_Chloride!$Q5,'Tables - Part 2'!$AX$5:$BA$5,0)),0)</f>
        <v>0</v>
      </c>
      <c r="BA5" s="248">
        <f>IF($P5=$BA$3,((INDEX('Tables - Part 2'!$AX$17:$BA$24,MATCH(SCC_Chloride!$V5,'Tables - Part 2'!$AV$6:$AV$13,0),MATCH(SCC_Chloride!$Q5,'Tables - Part 2'!$AX$5:$BA$5,0)))+(((INDEX('Tables - Part 2'!$AX$17:$BA$24,MATCH(SCC_Chloride!$V5,'Tables - Part 2'!$AV$6:$AV$13,0),MATCH(SCC_Chloride!$Q5,'Tables - Part 2'!$AX$5:$BA$5,0)))+(INDEX('Tables - Part 2'!$AX$17:$BA$24,MATCH(SCC_Chloride!$V5,'Tables - Part 2'!$AV$6:$AV$13,0),MATCH(SCC_Chloride!$Q5,'Tables - Part 2'!$AX$5:$BA$5,0))+INDEX('Tables - Part 2'!$BB$17:$BE$24,MATCH(SCC_Chloride!$V5,'Tables - Part 2'!$AV$6:$AV$13,0),MATCH(SCC_Chloride!$Q5,'Tables - Part 2'!$AX$5:$BA$5,0)))/2)/2))/2,0)</f>
        <v>0</v>
      </c>
      <c r="BB5" s="248">
        <f>IF($P5=$BB$3,((INDEX('Tables - Part 2'!$AX$17:$BA$24,MATCH(SCC_Chloride!$V5,'Tables - Part 2'!$AV$6:$AV$13,0),MATCH(SCC_Chloride!$Q5,'Tables - Part 2'!$AX$5:$BA$5,0)))+(INDEX('Tables - Part 2'!$AX$17:$BA$24,MATCH(SCC_Chloride!$V5,'Tables - Part 2'!$AV$6:$AV$13,0),MATCH(SCC_Chloride!$Q5,'Tables - Part 2'!$AX$5:$BA$5,0))+INDEX('Tables - Part 2'!$BB$17:$BE$24,MATCH(SCC_Chloride!$V5,'Tables - Part 2'!$AV$6:$AV$13,0),MATCH(SCC_Chloride!$Q5,'Tables - Part 2'!$AX$5:$BA$5,0)))/2)/2,0)</f>
        <v>0</v>
      </c>
      <c r="BC5" s="248">
        <f>IF($P5=$BC$3,((((INDEX('Tables - Part 2'!$AX$17:$BA$24,MATCH(SCC_Chloride!$V5,'Tables - Part 2'!$AV$6:$AV$13,0),MATCH(SCC_Chloride!$Q5,'Tables - Part 2'!$AX$5:$BA$5,0)))+(INDEX('Tables - Part 2'!$AX$17:$BA$24,MATCH(SCC_Chloride!$V5,'Tables - Part 2'!$AV$6:$AV$13,0),MATCH(SCC_Chloride!$Q5,'Tables - Part 2'!$AX$5:$BA$5,0))+INDEX('Tables - Part 2'!$BB$17:$BE$24,MATCH(SCC_Chloride!$V5,'Tables - Part 2'!$AV$6:$AV$13,0),MATCH(SCC_Chloride!$Q5,'Tables - Part 2'!$AX$5:$BA$5,0)))/2)/2)+((INDEX('Tables - Part 2'!$AX$17:$BA$24,MATCH(SCC_Chloride!$V5,'Tables - Part 2'!$AV$6:$AV$13,0),MATCH(SCC_Chloride!$Q5,'Tables - Part 2'!$AX$5:$BA$5,0))+INDEX('Tables - Part 2'!$BB$17:$BE$24,MATCH(SCC_Chloride!$V5,'Tables - Part 2'!$AV$6:$AV$13,0),MATCH(SCC_Chloride!$Q5,'Tables - Part 2'!$AX$5:$BA$5,0)))/2))/2,0)</f>
        <v>0</v>
      </c>
      <c r="BD5" s="248">
        <f>IF($P5=$BD$3,(INDEX('Tables - Part 2'!$AX$17:$BA$24,MATCH(SCC_Chloride!$V5,'Tables - Part 2'!$AV$6:$AV$13,0),MATCH(SCC_Chloride!$Q5,'Tables - Part 2'!$AX$5:$BA$5,0))+INDEX('Tables - Part 2'!$BB$17:$BE$24,MATCH(SCC_Chloride!$V5,'Tables - Part 2'!$AV$6:$AV$13,0),MATCH(SCC_Chloride!$Q5,'Tables - Part 2'!$AX$5:$BA$5,0)))/2,0)</f>
        <v>0</v>
      </c>
      <c r="BE5" s="248">
        <f>IF($P5=$BE$3,(((INDEX('Tables - Part 2'!$AX$17:$BA$24,MATCH(SCC_Chloride!$V5,'Tables - Part 2'!$AV$6:$AV$13,0),MATCH(SCC_Chloride!$Q5,'Tables - Part 2'!$AX$5:$BA$5,0))+INDEX('Tables - Part 2'!$BB$17:$BE$24,MATCH(SCC_Chloride!$V5,'Tables - Part 2'!$AV$6:$AV$13,0),MATCH(SCC_Chloride!$Q5,'Tables - Part 2'!$AX$5:$BA$5,0)))/2)+((((INDEX('Tables - Part 2'!$AX$17:$BA$24,MATCH(SCC_Chloride!$V5,'Tables - Part 2'!$AV$6:$AV$13,0),MATCH(SCC_Chloride!$Q5,'Tables - Part 2'!$AX$5:$BA$5,0))+INDEX('Tables - Part 2'!$BB$17:$BE$24,MATCH(SCC_Chloride!$V5,'Tables - Part 2'!$AV$6:$AV$13,0),MATCH(SCC_Chloride!$Q5,'Tables - Part 2'!$AX$5:$BA$5,0)))/2)+INDEX('Tables - Part 2'!$BB$17:$BE$24,MATCH(SCC_Chloride!$V5,'Tables - Part 2'!$AV$6:$AV$13,0),MATCH(SCC_Chloride!$Q5,'Tables - Part 2'!$AX$5:$BA$5,0)))/2))/2,0)</f>
        <v>0</v>
      </c>
      <c r="BF5" s="248">
        <f>IF($P5=$BF$3,(((INDEX('Tables - Part 2'!$AX$17:$BA$24,MATCH(SCC_Chloride!$V5,'Tables - Part 2'!$AV$6:$AV$13,0),MATCH(SCC_Chloride!$Q5,'Tables - Part 2'!$AX$5:$BA$5,0))+INDEX('Tables - Part 2'!$BB$17:$BE$24,MATCH(SCC_Chloride!$V5,'Tables - Part 2'!$AV$6:$AV$13,0),MATCH(SCC_Chloride!$Q5,'Tables - Part 2'!$AX$5:$BA$5,0)))/2)+INDEX('Tables - Part 2'!$BB$17:$BE$24,MATCH(SCC_Chloride!$V5,'Tables - Part 2'!$AV$6:$AV$13,0),MATCH(SCC_Chloride!$Q5,'Tables - Part 2'!$AX$5:$BA$5,0)))/2,0)</f>
        <v>0</v>
      </c>
      <c r="BG5" s="248">
        <f>IF($P5=$BG$3,(((((INDEX('Tables - Part 2'!$AX$17:$BA$24,MATCH(SCC_Chloride!$V5,'Tables - Part 2'!$AV$6:$AV$13,0),MATCH(SCC_Chloride!$Q5,'Tables - Part 2'!$AX$5:$BA$5,0))+INDEX('Tables - Part 2'!$BB$17:$BE$24,MATCH(SCC_Chloride!$V5,'Tables - Part 2'!$AV$6:$AV$13,0),MATCH(SCC_Chloride!$Q5,'Tables - Part 2'!$AX$5:$BA$5,0)))/2)+INDEX('Tables - Part 2'!$BB$17:$BE$24,MATCH(SCC_Chloride!$V5,'Tables - Part 2'!$AV$6:$AV$13,0),MATCH(SCC_Chloride!$Q5,'Tables - Part 2'!$AX$5:$BA$5,0)))/2)+(INDEX('Tables - Part 2'!$BB$17:$BE$24,MATCH(SCC_Chloride!$V5,'Tables - Part 2'!$AV$6:$AV$13,0),MATCH(SCC_Chloride!$Q5,'Tables - Part 2'!$AX$5:$BA$5,0))))/2,0)</f>
        <v>0</v>
      </c>
      <c r="BH5" s="248">
        <f>IF($P5=$BH$3,INDEX('Tables - Part 2'!$BB$17:$BE$24,MATCH(SCC_Chloride!$V5,'Tables - Part 2'!$AV$6:$AV$13,0),MATCH(SCC_Chloride!$Q5,'Tables - Part 2'!$AX$5:$BA$5,0)),0)</f>
        <v>0</v>
      </c>
      <c r="BI5" s="248">
        <f>IF($P5=$BI$3,((INDEX('Tables - Part 2'!$BB$17:$BE$24,MATCH(SCC_Chloride!$V5,'Tables - Part 2'!$AV$6:$AV$13,0),MATCH(SCC_Chloride!$Q5,'Tables - Part 2'!$AX$5:$BA$5,0)))+(((INDEX('Tables - Part 2'!$BB$17:$BE$24,MATCH(SCC_Chloride!$V5,'Tables - Part 2'!$AV$6:$AV$13,0),MATCH(SCC_Chloride!$Q5,'Tables - Part 2'!$AX$5:$BA$5,0)))+(INDEX('Tables - Part 2'!$BB$17:$BE$24,MATCH(SCC_Chloride!$V5,'Tables - Part 2'!$AV$6:$AV$13,0),MATCH(SCC_Chloride!$Q5,'Tables - Part 2'!$AX$5:$BA$5,0))+INDEX('Tables - Part 2'!$BF$17:$BI$24,MATCH(SCC_Chloride!$V5,'Tables - Part 2'!$AV$6:$AV$13,0),MATCH(SCC_Chloride!$Q5,'Tables - Part 2'!$AX$5:$BA$5,0)))/2)/2))/2,0)</f>
        <v>0</v>
      </c>
      <c r="BJ5" s="248">
        <f>IF($P5=$BJ$3,((INDEX('Tables - Part 2'!$BB$17:$BE$24,MATCH(SCC_Chloride!$V5,'Tables - Part 2'!$AV$6:$AV$13,0),MATCH(SCC_Chloride!$Q5,'Tables - Part 2'!$AX$5:$BA$5,0)))+(INDEX('Tables - Part 2'!$BB$17:$BE$24,MATCH(SCC_Chloride!$V5,'Tables - Part 2'!$AV$6:$AV$13,0),MATCH(SCC_Chloride!$Q5,'Tables - Part 2'!$AX$5:$BA$5,0))+INDEX('Tables - Part 2'!$BF$17:$BI$24,MATCH(SCC_Chloride!$V5,'Tables - Part 2'!$AV$6:$AV$13,0),MATCH(SCC_Chloride!$Q5,'Tables - Part 2'!$AX$5:$BA$5,0)))/2)/2,0)</f>
        <v>0</v>
      </c>
      <c r="BK5" s="248">
        <f>IF($P5=$BK$3,((((INDEX('Tables - Part 2'!$BB$17:$BE$24,MATCH(SCC_Chloride!$V5,'Tables - Part 2'!$AV$6:$AV$13,0),MATCH(SCC_Chloride!$Q5,'Tables - Part 2'!$AX$5:$BA$5,0)))+(INDEX('Tables - Part 2'!$BB$17:$BE$24,MATCH(SCC_Chloride!$V5,'Tables - Part 2'!$AV$6:$AV$13,0),MATCH(SCC_Chloride!$Q5,'Tables - Part 2'!$AX$5:$BA$5,0))+INDEX('Tables - Part 2'!$BF$17:$BI$24,MATCH(SCC_Chloride!$V5,'Tables - Part 2'!$AV$6:$AV$13,0),MATCH(SCC_Chloride!$Q5,'Tables - Part 2'!$AX$5:$BA$5,0)))/2)/2)+((INDEX('Tables - Part 2'!$BB$17:$BE$24,MATCH(SCC_Chloride!$V5,'Tables - Part 2'!$AV$6:$AV$13,0),MATCH(SCC_Chloride!$Q5,'Tables - Part 2'!$AX$5:$BA$5,0))+INDEX('Tables - Part 2'!$BF$17:$BI$24,MATCH(SCC_Chloride!$V5,'Tables - Part 2'!$AV$6:$AV$13,0),MATCH(SCC_Chloride!$Q5,'Tables - Part 2'!$AX$5:$BA$5,0)))/2))/2,0)</f>
        <v>0</v>
      </c>
      <c r="BL5" s="248">
        <f>IF($P5=$BL$3,(INDEX('Tables - Part 2'!$BB$17:$BE$24,MATCH(SCC_Chloride!$V5,'Tables - Part 2'!$AV$6:$AV$13,0),MATCH(SCC_Chloride!$Q5,'Tables - Part 2'!$AX$5:$BA$5,0))+INDEX('Tables - Part 2'!$BF$17:$BI$24,MATCH(SCC_Chloride!$V5,'Tables - Part 2'!$AV$6:$AV$13,0),MATCH(SCC_Chloride!$Q5,'Tables - Part 2'!$AX$5:$BA$5,0)))/2,0)</f>
        <v>0</v>
      </c>
      <c r="BM5" s="248">
        <f>IF($P5=$BM$3,(((INDEX('Tables - Part 2'!$BB$17:$BE$24,MATCH(SCC_Chloride!$V5,'Tables - Part 2'!$AV$6:$AV$13,0),MATCH(SCC_Chloride!$Q5,'Tables - Part 2'!$AX$5:$BA$5,0))+INDEX('Tables - Part 2'!$BF$17:$BI$24,MATCH(SCC_Chloride!$V5,'Tables - Part 2'!$AV$6:$AV$13,0),MATCH(SCC_Chloride!$Q5,'Tables - Part 2'!$AX$5:$BA$5,0)))/2)+((((INDEX('Tables - Part 2'!$BB$17:$BE$24,MATCH(SCC_Chloride!$V5,'Tables - Part 2'!$AV$6:$AV$13,0),MATCH(SCC_Chloride!$Q5,'Tables - Part 2'!$AX$5:$BA$5,0))+INDEX('Tables - Part 2'!$BF$17:$BI$24,MATCH(SCC_Chloride!$V5,'Tables - Part 2'!$AV$6:$AV$13,0),MATCH(SCC_Chloride!$Q5,'Tables - Part 2'!$AX$5:$BA$5,0)))/2)+INDEX('Tables - Part 2'!$BF$17:$BI$24,MATCH(SCC_Chloride!$V5,'Tables - Part 2'!$AV$6:$AV$13,0),MATCH(SCC_Chloride!$Q5,'Tables - Part 2'!$AX$5:$BA$5,0)))/2))/2,0)</f>
        <v>0</v>
      </c>
      <c r="BN5" s="248">
        <f>IF($P5=$BN$3,(((INDEX('Tables - Part 2'!$BB$17:$BE$24,MATCH(SCC_Chloride!$V5,'Tables - Part 2'!$AV$6:$AV$13,0),MATCH(SCC_Chloride!$Q5,'Tables - Part 2'!$AX$5:$BA$5,0))+INDEX('Tables - Part 2'!$BF$17:$BI$24,MATCH(SCC_Chloride!$V5,'Tables - Part 2'!$AV$6:$AV$13,0),MATCH(SCC_Chloride!$Q5,'Tables - Part 2'!$AX$5:$BA$5,0)))/2)+INDEX('Tables - Part 2'!$BF$17:$BI$24,MATCH(SCC_Chloride!$V5,'Tables - Part 2'!$AV$6:$AV$13,0),MATCH(SCC_Chloride!$Q5,'Tables - Part 2'!$AX$5:$BA$5,0)))/2,0)</f>
        <v>0</v>
      </c>
      <c r="BO5" s="248">
        <f>IF($P5=$BO$3,(((((INDEX('Tables - Part 2'!$BB$17:$BE$24,MATCH(SCC_Chloride!$V5,'Tables - Part 2'!$AV$6:$AV$13,0),MATCH(SCC_Chloride!$Q5,'Tables - Part 2'!$AX$5:$BA$5,0))+INDEX('Tables - Part 2'!$BF$17:$BI$24,MATCH(SCC_Chloride!$V5,'Tables - Part 2'!$AV$6:$AV$13,0),MATCH(SCC_Chloride!$Q5,'Tables - Part 2'!$AX$5:$BA$5,0)))/2)+INDEX('Tables - Part 2'!$BF$17:$BI$24,MATCH(SCC_Chloride!$V5,'Tables - Part 2'!$AV$6:$AV$13,0),MATCH(SCC_Chloride!$Q5,'Tables - Part 2'!$AX$5:$BA$5,0)))/2)+(INDEX('Tables - Part 2'!$BF$17:$BI$24,MATCH(SCC_Chloride!$V5,'Tables - Part 2'!$AV$6:$AV$13,0),MATCH(SCC_Chloride!$Q5,'Tables - Part 2'!$AX$5:$BA$5,0))))/2,0)</f>
        <v>0</v>
      </c>
      <c r="BP5" s="248">
        <f>IF($P5=$BP$3,INDEX('Tables - Part 2'!$BF$17:$BI$24,MATCH(SCC_Chloride!$V5,'Tables - Part 2'!$AV$6:$AV$13,0),MATCH(SCC_Chloride!$Q5,'Tables - Part 2'!$AX$5:$BA$5,0)),0)</f>
        <v>0</v>
      </c>
      <c r="BQ5" s="248">
        <f t="shared" si="5"/>
        <v>0</v>
      </c>
      <c r="BR5" s="238">
        <f t="shared" ref="BR5:BR21" si="9">SUM(AB5:BQ5)</f>
        <v>14</v>
      </c>
      <c r="BS5" s="238">
        <f t="shared" si="6"/>
        <v>243.00556407701018</v>
      </c>
      <c r="BV5" s="237" t="s">
        <v>841</v>
      </c>
      <c r="BY5">
        <v>140</v>
      </c>
      <c r="CA5">
        <v>60</v>
      </c>
    </row>
    <row r="6" spans="2:84" x14ac:dyDescent="0.35">
      <c r="B6" s="161" t="str">
        <f>'Tratamento de Dados'!B14</f>
        <v>V-10</v>
      </c>
      <c r="C6" s="161" t="str">
        <f>'Tratamento de Dados'!D14</f>
        <v>Casco</v>
      </c>
      <c r="D6" s="209" t="s">
        <v>245</v>
      </c>
      <c r="E6" s="209" t="s">
        <v>61</v>
      </c>
      <c r="F6" s="209">
        <v>10</v>
      </c>
      <c r="G6" s="209" t="s">
        <v>1167</v>
      </c>
      <c r="H6" s="247">
        <f>'Tratamento de Dados'!S14</f>
        <v>2</v>
      </c>
      <c r="I6" s="210">
        <v>39092</v>
      </c>
      <c r="J6" s="209">
        <v>0</v>
      </c>
      <c r="K6" s="209">
        <v>1</v>
      </c>
      <c r="L6" s="209">
        <v>1</v>
      </c>
      <c r="M6" s="209">
        <v>4</v>
      </c>
      <c r="N6" s="253">
        <f>'Tratamento de Dados'!DA14</f>
        <v>0</v>
      </c>
      <c r="O6" s="253">
        <f>'Tratamento de Dados'!DB14</f>
        <v>0</v>
      </c>
      <c r="P6" s="256">
        <f t="shared" si="0"/>
        <v>2.5</v>
      </c>
      <c r="Q6" s="246" t="str">
        <f t="shared" si="1"/>
        <v>B</v>
      </c>
      <c r="R6" s="246" t="str">
        <f>IF(H6&lt;=38,'Tables - Part 2'!$DO$6,IF(H6&lt;=66,'Tables - Part 2'!$DO$7,IF(H6&lt;=93,'Tables - Part 2'!$DO$8,IF(H6&lt;=149,'Tables - Part 2'!$DO$9,'Tables - Part 2'!$DO$10))))</f>
        <v>≤38</v>
      </c>
      <c r="S6" s="246" t="str">
        <f>IF(H6&lt;=38,'Tables - Part 2'!$DO$14,IF(H6&lt;=93,'Tables - Part 2'!$DO$15,IF(H6&lt;=149,'Tables - Part 2'!$DO$16,'Tables - Part 2'!$DO$17)))</f>
        <v>≤38</v>
      </c>
      <c r="T6" s="246" t="str">
        <f t="shared" si="7"/>
        <v>≤38</v>
      </c>
      <c r="U6" s="467" t="str">
        <f>IF(D6=$BX$2,$BV$5,INDEX(IF(F6&gt;10,'Tables - Part 2'!$DP$14:$DS$17,'Tables - Part 2'!$DP$6:$DS$10),MATCH(T6,IF(F6&gt;10,'Tables - Part 2'!$DO$14:$DO$17,'Tables - Part 2'!$DO$6:$DO$10),0),MATCH(SCC_Chloride!G6,'Tables - Part 2'!$DP$5:$DS$5,0)))</f>
        <v>Low</v>
      </c>
      <c r="V6" s="238">
        <f>IF(AND(D6=$BX$2,E6&lt;&gt;$BX$2),"Fitness-For-Service",INDEX('Tables - Part 2'!$DV$4:$DV$7,MATCH(SCC_Chloride!U6,'Tables - Part 2'!$DU$4:$DU$7,0),))</f>
        <v>50</v>
      </c>
      <c r="W6" s="238">
        <f>IF(I6=0,(Thinning!G7-Thinning!F7)/365.25,(Thinning!G7-I6)/365.25)</f>
        <v>12.980150581793293</v>
      </c>
      <c r="X6" s="248">
        <f t="shared" si="2"/>
        <v>0</v>
      </c>
      <c r="Y6" s="248">
        <f t="shared" si="3"/>
        <v>2.5</v>
      </c>
      <c r="Z6" s="247">
        <f t="shared" si="8"/>
        <v>3</v>
      </c>
      <c r="AA6" s="247">
        <f t="shared" si="4"/>
        <v>4</v>
      </c>
      <c r="AB6" s="248">
        <f>IF($P6=$AB$3,INDEX('Tables - Part 2'!$AX$6:$BA$13,MATCH(SCC_Chloride!V6,'Tables - Part 2'!$AV$6:$AV$13,0),MATCH(SCC_Chloride!Q6,'Tables - Part 2'!$AX$5:$BA$5,0)),0)</f>
        <v>0</v>
      </c>
      <c r="AC6" s="248">
        <f>IF($P6=$AC$3,(INDEX('Tables - Part 2'!$AX$6:$BA$13,MATCH(SCC_Chloride!V6,'Tables - Part 2'!$AV$6:$AV$13,0),MATCH(SCC_Chloride!Q6,'Tables - Part 2'!$AX$5:$BA$5,0))+(INDEX('Tables - Part 2'!$AX$6:$BA$13,MATCH(SCC_Chloride!V6,'Tables - Part 2'!$AV$6:$AV$13,0),MATCH(SCC_Chloride!Q6,'Tables - Part 2'!$AX$5:$BA$5,0))+((INDEX('Tables - Part 2'!$AX$6:$BA$13,MATCH(SCC_Chloride!V6,'Tables - Part 2'!$AV$6:$AV$13,0),MATCH(SCC_Chloride!Q6,'Tables - Part 2'!$AX$5:$BA$5,0))+INDEX('Tables - Part 2'!$BB$6:$BE$13,MATCH(SCC_Chloride!$V6,'Tables - Part 2'!$AV$6:$AV$13,0),MATCH(SCC_Chloride!$Q6,'Tables - Part 2'!$AX$5:$BA$5,0)))/2))/2)/2,0)</f>
        <v>0</v>
      </c>
      <c r="AD6" s="248">
        <f>IF($P6=$AD$3,(INDEX('Tables - Part 2'!$AX$6:$BA$13,MATCH(SCC_Chloride!V6,'Tables - Part 2'!$AV$6:$AV$13,0),MATCH(SCC_Chloride!Q6,'Tables - Part 2'!$AX$5:$BA$5,0))+((INDEX('Tables - Part 2'!$AX$6:$BA$13,MATCH(SCC_Chloride!V6,'Tables - Part 2'!$AV$6:$AV$13,0),MATCH(SCC_Chloride!Q6,'Tables - Part 2'!$AX$5:$BA$5,0))+INDEX('Tables - Part 2'!$BB$6:$BE$13,MATCH(SCC_Chloride!$V6,'Tables - Part 2'!$AV$6:$AV$13,0),MATCH(SCC_Chloride!$Q6,'Tables - Part 2'!$AX$5:$BA$5,0)))/2))/2,0)</f>
        <v>0</v>
      </c>
      <c r="AE6" s="248">
        <f>IF($P6=$AE$3,(((INDEX('Tables - Part 2'!$AX$6:$BA$13,MATCH(SCC_Chloride!V6,'Tables - Part 2'!$AV$6:$AV$13,0),MATCH(SCC_Chloride!Q6,'Tables - Part 2'!$AX$5:$BA$5,0))+((INDEX('Tables - Part 2'!$AX$6:$BA$13,MATCH(SCC_Chloride!V6,'Tables - Part 2'!$AV$6:$AV$13,0),MATCH(SCC_Chloride!Q6,'Tables - Part 2'!$AX$5:$BA$5,0))+INDEX('Tables - Part 2'!$BB$6:$BE$13,MATCH(SCC_Chloride!$V6,'Tables - Part 2'!$AV$6:$AV$13,0),MATCH(SCC_Chloride!$Q6,'Tables - Part 2'!$AX$5:$BA$5,0)))/2))/2)+(INDEX('Tables - Part 2'!$AX$6:$BA$13,MATCH(SCC_Chloride!V6,'Tables - Part 2'!$AV$6:$AV$13,0),MATCH(SCC_Chloride!Q6,'Tables - Part 2'!$AX$5:$BA$5,0))+INDEX('Tables - Part 2'!$BB$6:$BE$13,MATCH(SCC_Chloride!$V6,'Tables - Part 2'!$AV$6:$AV$13,0),MATCH(SCC_Chloride!$Q6,'Tables - Part 2'!$AX$5:$BA$5,0)))/2)/2,0)</f>
        <v>0</v>
      </c>
      <c r="AF6" s="248">
        <f>IF($P6=$AF$3,(INDEX('Tables - Part 2'!$AX$6:$BA$13,MATCH(SCC_Chloride!V6,'Tables - Part 2'!$AV$6:$AV$13,0),MATCH(SCC_Chloride!Q6,'Tables - Part 2'!$AX$5:$BA$5,0))+INDEX('Tables - Part 2'!$BB$6:$BE$13,MATCH(SCC_Chloride!$V6,'Tables - Part 2'!$AV$6:$AV$13,0),MATCH(SCC_Chloride!$Q6,'Tables - Part 2'!$AX$5:$BA$5,0)))/2,0)</f>
        <v>0</v>
      </c>
      <c r="AG6" s="248">
        <f>IF($P6=$AG$3,(((INDEX('Tables - Part 2'!$AX$6:$BA$13,MATCH(SCC_Chloride!V6,'Tables - Part 2'!$AV$6:$AV$13,0),MATCH(SCC_Chloride!Q6,'Tables - Part 2'!$AX$5:$BA$5,0))+INDEX('Tables - Part 2'!$BB$6:$BE$13,MATCH(SCC_Chloride!$V6,'Tables - Part 2'!$AV$6:$AV$13,0),MATCH(SCC_Chloride!$Q6,'Tables - Part 2'!$AX$5:$BA$5,0)))/2)+(((INDEX('Tables - Part 2'!$AX$6:$BA$13,MATCH(SCC_Chloride!V6,'Tables - Part 2'!$AV$6:$AV$13,0),MATCH(SCC_Chloride!Q6,'Tables - Part 2'!$AX$5:$BA$5,0))+INDEX('Tables - Part 2'!$BB$6:$BE$13,MATCH(SCC_Chloride!$V6,'Tables - Part 2'!$AV$6:$AV$13,0),MATCH(SCC_Chloride!$Q6,'Tables - Part 2'!$AX$5:$BA$5,0)))/2)+INDEX('Tables - Part 2'!$BB$6:$BE$13,MATCH(SCC_Chloride!$V6,'Tables - Part 2'!$AV$6:$AV$13,0),MATCH(SCC_Chloride!$Q6,'Tables - Part 2'!$AX$5:$BA$5,0)))/2)/2,0)</f>
        <v>0</v>
      </c>
      <c r="AH6" s="248">
        <f>IF($P6=$AH$3,(((INDEX('Tables - Part 2'!$AX$6:$BA$13,MATCH(SCC_Chloride!V6,'Tables - Part 2'!$AV$6:$AV$13,0),MATCH(SCC_Chloride!Q6,'Tables - Part 2'!$AX$5:$BA$5,0))+INDEX('Tables - Part 2'!$BB$6:$BE$13,MATCH(SCC_Chloride!$V6,'Tables - Part 2'!$AV$6:$AV$13,0),MATCH(SCC_Chloride!$Q6,'Tables - Part 2'!$AX$5:$BA$5,0)))/2)+INDEX('Tables - Part 2'!$BB$6:$BE$13,MATCH(SCC_Chloride!$V6,'Tables - Part 2'!$AV$6:$AV$13,0),MATCH(SCC_Chloride!$Q6,'Tables - Part 2'!$AX$5:$BA$5,0)))/2,0)</f>
        <v>0</v>
      </c>
      <c r="AI6" s="248">
        <f>IF($P6=$AI$3,(((((INDEX('Tables - Part 2'!$AX$6:$BA$13,MATCH(SCC_Chloride!V6,'Tables - Part 2'!$AV$6:$AV$13,0),MATCH(SCC_Chloride!Q6,'Tables - Part 2'!$AX$5:$BA$5,0))+INDEX('Tables - Part 2'!$BB$6:$BE$13,MATCH(SCC_Chloride!$V6,'Tables - Part 2'!$AV$6:$AV$13,0),MATCH(SCC_Chloride!$Q6,'Tables - Part 2'!$AX$5:$BA$5,0)))/2)+INDEX('Tables - Part 2'!$BB$6:$BE$13,MATCH(SCC_Chloride!$V6,'Tables - Part 2'!$AV$6:$AV$13,0),MATCH(SCC_Chloride!$Q6,'Tables - Part 2'!$AX$5:$BA$5,0)))/2)+INDEX('Tables - Part 2'!$BB$6:$BE$13,MATCH(SCC_Chloride!$V6,'Tables - Part 2'!$AV$6:$AV$13,0),MATCH(SCC_Chloride!$Q6,'Tables - Part 2'!$AX$5:$BA$5,0)))/2,0)</f>
        <v>0</v>
      </c>
      <c r="AJ6" s="248">
        <f>IF($P6=$AJ$3,INDEX('Tables - Part 2'!$BB$6:$BE$13,MATCH(SCC_Chloride!$V6,'Tables - Part 2'!$AV$6:$AV$13,0),MATCH(SCC_Chloride!$Q6,'Tables - Part 2'!$AX$5:$BA$5,0)),0)</f>
        <v>0</v>
      </c>
      <c r="AK6" s="248">
        <f>IF($P6=$AK$3,((INDEX('Tables - Part 2'!$BB$6:$BE$13,MATCH(SCC_Chloride!$V6,'Tables - Part 2'!$AV$6:$AV$13,0),MATCH(SCC_Chloride!$Q6,'Tables - Part 2'!$AX$5:$BA$5,0)))+(INDEX('Tables - Part 2'!$BB$6:$BE$13,MATCH(SCC_Chloride!$V6,'Tables - Part 2'!$AV$6:$AV$13,0),MATCH(SCC_Chloride!$Q6,'Tables - Part 2'!$AX$5:$BA$5,0))+(INDEX('Tables - Part 2'!$BB$6:$BE$13,MATCH(SCC_Chloride!$V6,'Tables - Part 2'!$AV$6:$AV$13,0),MATCH(SCC_Chloride!$Q6,'Tables - Part 2'!$AX$5:$BA$5,0))+INDEX('Tables - Part 2'!$BF$6:$BI$13,MATCH(SCC_Chloride!$V6,'Tables - Part 2'!$AV$6:$AV$13,0),MATCH(SCC_Chloride!$Q6,'Tables - Part 2'!$AX$5:$BA$5,0)))/2)/2)/2,0)</f>
        <v>0</v>
      </c>
      <c r="AL6" s="248">
        <f>IF($P6=$AL$3,(INDEX('Tables - Part 2'!$BB$6:$BE$13,MATCH(SCC_Chloride!$V6,'Tables - Part 2'!$AV$6:$AV$13,0),MATCH(SCC_Chloride!$Q6,'Tables - Part 2'!$AX$5:$BA$5,0))+(INDEX('Tables - Part 2'!$BB$6:$BE$13,MATCH(SCC_Chloride!$V6,'Tables - Part 2'!$AV$6:$AV$13,0),MATCH(SCC_Chloride!$Q6,'Tables - Part 2'!$AX$5:$BA$5,0))+INDEX('Tables - Part 2'!$BF$6:$BI$13,MATCH(SCC_Chloride!$V6,'Tables - Part 2'!$AV$6:$AV$13,0),MATCH(SCC_Chloride!$Q6,'Tables - Part 2'!$AX$5:$BA$5,0)))/2)/2,0)</f>
        <v>0</v>
      </c>
      <c r="AM6" s="248">
        <f>IF($P6=$AM$3,(((INDEX('Tables - Part 2'!$BB$6:$BE$13,MATCH(SCC_Chloride!$V6,'Tables - Part 2'!$AV$6:$AV$13,0),MATCH(SCC_Chloride!$Q6,'Tables - Part 2'!$AX$5:$BA$5,0))+(INDEX('Tables - Part 2'!$BB$6:$BE$13,MATCH(SCC_Chloride!$V6,'Tables - Part 2'!$AV$6:$AV$13,0),MATCH(SCC_Chloride!$Q6,'Tables - Part 2'!$AX$5:$BA$5,0))+INDEX('Tables - Part 2'!$BF$6:$BI$13,MATCH(SCC_Chloride!$V6,'Tables - Part 2'!$AV$6:$AV$13,0),MATCH(SCC_Chloride!$Q6,'Tables - Part 2'!$AX$5:$BA$5,0)))/2)/2)+((INDEX('Tables - Part 2'!$BB$6:$BE$13,MATCH(SCC_Chloride!$V6,'Tables - Part 2'!$AV$6:$AV$13,0),MATCH(SCC_Chloride!$Q6,'Tables - Part 2'!$AX$5:$BA$5,0))+INDEX('Tables - Part 2'!$BF$6:$BI$13,MATCH(SCC_Chloride!$V6,'Tables - Part 2'!$AV$6:$AV$13,0),MATCH(SCC_Chloride!$Q6,'Tables - Part 2'!$AX$5:$BA$5,0)))/2))/2,0)</f>
        <v>0</v>
      </c>
      <c r="AN6" s="248">
        <f>IF($P6=$AN$3,(INDEX('Tables - Part 2'!$BB$6:$BE$13,MATCH(SCC_Chloride!$V6,'Tables - Part 2'!$AV$6:$AV$13,0),MATCH(SCC_Chloride!$Q6,'Tables - Part 2'!$AX$5:$BA$5,0))+INDEX('Tables - Part 2'!$BF$6:$BI$13,MATCH(SCC_Chloride!$V6,'Tables - Part 2'!$AV$6:$AV$13,0),MATCH(SCC_Chloride!$Q6,'Tables - Part 2'!$AX$5:$BA$5,0)))/2,0)</f>
        <v>1.5</v>
      </c>
      <c r="AO6" s="248">
        <f>IF($P6=$AO$3,(((INDEX('Tables - Part 2'!$BB$6:$BE$13,MATCH(SCC_Chloride!$V6,'Tables - Part 2'!$AV$6:$AV$13,0),MATCH(SCC_Chloride!$Q6,'Tables - Part 2'!$AX$5:$BA$5,0))+INDEX('Tables - Part 2'!$BF$6:$BI$13,MATCH(SCC_Chloride!$V6,'Tables - Part 2'!$AV$6:$AV$13,0),MATCH(SCC_Chloride!$Q6,'Tables - Part 2'!$AX$5:$BA$5,0)))/2)+((((INDEX('Tables - Part 2'!$BB$6:$BE$13,MATCH(SCC_Chloride!$V6,'Tables - Part 2'!$AV$6:$AV$13,0),MATCH(SCC_Chloride!$Q6,'Tables - Part 2'!$AX$5:$BA$5,0))+INDEX('Tables - Part 2'!$BF$6:$BI$13,MATCH(SCC_Chloride!$V6,'Tables - Part 2'!$AV$6:$AV$13,0),MATCH(SCC_Chloride!$Q6,'Tables - Part 2'!$AX$5:$BA$5,0)))/2)+INDEX('Tables - Part 2'!$BF$6:$BI$13,MATCH(SCC_Chloride!$V6,'Tables - Part 2'!$AV$6:$AV$13,0),MATCH(SCC_Chloride!$Q6,'Tables - Part 2'!$AX$5:$BA$5,0)))/2))/2,0)</f>
        <v>0</v>
      </c>
      <c r="AP6" s="248">
        <f>IF($P6=$AP$3,(((INDEX('Tables - Part 2'!$BB$6:$BE$13,MATCH(SCC_Chloride!$V6,'Tables - Part 2'!$AV$6:$AV$13,0),MATCH(SCC_Chloride!$Q6,'Tables - Part 2'!$AX$5:$BA$5,0))+INDEX('Tables - Part 2'!$BF$6:$BI$13,MATCH(SCC_Chloride!$V6,'Tables - Part 2'!$AV$6:$AV$13,0),MATCH(SCC_Chloride!$Q6,'Tables - Part 2'!$AX$5:$BA$5,0)))/2)+INDEX('Tables - Part 2'!$BF$6:$BI$13,MATCH(SCC_Chloride!$V6,'Tables - Part 2'!$AV$6:$AV$13,0),MATCH(SCC_Chloride!$Q6,'Tables - Part 2'!$AX$5:$BA$5,0)))/2,0)</f>
        <v>0</v>
      </c>
      <c r="AQ6" s="248">
        <f>IF($P6=$AQ$3,(((((INDEX('Tables - Part 2'!$BB$6:$BE$13,MATCH(SCC_Chloride!$V6,'Tables - Part 2'!$AV$6:$AV$13,0),MATCH(SCC_Chloride!$Q6,'Tables - Part 2'!$AX$5:$BA$5,0))+INDEX('Tables - Part 2'!$BF$6:$BI$13,MATCH(SCC_Chloride!$V6,'Tables - Part 2'!$AV$6:$AV$13,0),MATCH(SCC_Chloride!$Q6,'Tables - Part 2'!$AX$5:$BA$5,0)))/2)+INDEX('Tables - Part 2'!$BF$6:$BI$13,MATCH(SCC_Chloride!$V6,'Tables - Part 2'!$AV$6:$AV$13,0),MATCH(SCC_Chloride!$Q6,'Tables - Part 2'!$AX$5:$BA$5,0)))/2)+INDEX('Tables - Part 2'!$BF$6:$BI$13,MATCH(SCC_Chloride!$V6,'Tables - Part 2'!$AV$6:$AV$13,0),MATCH(SCC_Chloride!$Q6,'Tables - Part 2'!$AX$5:$BA$5,0)))/2,0)</f>
        <v>0</v>
      </c>
      <c r="AR6" s="248">
        <f>IF($P6=$AR$3,INDEX('Tables - Part 2'!$BF$6:$BI$13,MATCH(SCC_Chloride!$V6,'Tables - Part 2'!$AV$6:$AV$13,0),MATCH(SCC_Chloride!$Q6,'Tables - Part 2'!$AX$5:$BA$5,0)),0)</f>
        <v>0</v>
      </c>
      <c r="AS6" s="248">
        <f>IF($P6=$AS$3,(INDEX('Tables - Part 2'!$BF$6:$BI$13,MATCH(SCC_Chloride!$V6,'Tables - Part 2'!$AV$6:$AV$13,0),MATCH(SCC_Chloride!$Q6,'Tables - Part 2'!$AX$5:$BA$5,0))+((INDEX('Tables - Part 2'!$BF$6:$BI$13,MATCH(SCC_Chloride!$V6,'Tables - Part 2'!$AV$6:$AV$13,0),MATCH(SCC_Chloride!$Q6,'Tables - Part 2'!$AX$5:$BA$5,0))+(INDEX('Tables - Part 2'!$BF$6:$BI$13,MATCH(SCC_Chloride!$V6,'Tables - Part 2'!$AV$6:$AV$13,0),MATCH(SCC_Chloride!$Q6,'Tables - Part 2'!$AX$5:$BA$5,0))+INDEX('Tables - Part 2'!$AX$17:$BA$24,MATCH(SCC_Chloride!$V6,'Tables - Part 2'!$AV$6:$AV$13,0),MATCH(SCC_Chloride!$Q6,'Tables - Part 2'!$AX$5:$BA$5,0)))/2)/2))/2,0)</f>
        <v>0</v>
      </c>
      <c r="AT6" s="248">
        <f>IF($P6=$AT$3,(INDEX('Tables - Part 2'!$BF$6:$BI$13,MATCH(SCC_Chloride!$V6,'Tables - Part 2'!$AV$6:$AV$13,0),MATCH(SCC_Chloride!$Q6,'Tables - Part 2'!$AX$5:$BA$5,0))+(INDEX('Tables - Part 2'!$BF$6:$BI$13,MATCH(SCC_Chloride!$V6,'Tables - Part 2'!$AV$6:$AV$13,0),MATCH(SCC_Chloride!$Q6,'Tables - Part 2'!$AX$5:$BA$5,0))+INDEX('Tables - Part 2'!$AX$17:$BA$24,MATCH(SCC_Chloride!$V6,'Tables - Part 2'!$AV$6:$AV$13,0),MATCH(SCC_Chloride!$Q6,'Tables - Part 2'!$AX$5:$BA$5,0)))/2)/2,0)</f>
        <v>0</v>
      </c>
      <c r="AU6" s="248">
        <f>IF($P6=$AU$3,(((INDEX('Tables - Part 2'!$BF$6:$BI$13,MATCH(SCC_Chloride!$V6,'Tables - Part 2'!$AV$6:$AV$13,0),MATCH(SCC_Chloride!$Q6,'Tables - Part 2'!$AX$5:$BA$5,0))+(INDEX('Tables - Part 2'!$BF$6:$BI$13,MATCH(SCC_Chloride!$V6,'Tables - Part 2'!$AV$6:$AV$13,0),MATCH(SCC_Chloride!$Q6,'Tables - Part 2'!$AX$5:$BA$5,0))+INDEX('Tables - Part 2'!$AX$17:$BA$24,MATCH(SCC_Chloride!$V6,'Tables - Part 2'!$AV$6:$AV$13,0),MATCH(SCC_Chloride!$Q6,'Tables - Part 2'!$AX$5:$BA$5,0)))/2)/2)+((INDEX('Tables - Part 2'!$BF$6:$BI$13,MATCH(SCC_Chloride!$V6,'Tables - Part 2'!$AV$6:$AV$13,0),MATCH(SCC_Chloride!$Q6,'Tables - Part 2'!$AX$5:$BA$5,0))+INDEX('Tables - Part 2'!$AX$17:$BA$24,MATCH(SCC_Chloride!$V6,'Tables - Part 2'!$AV$6:$AV$13,0),MATCH(SCC_Chloride!$Q6,'Tables - Part 2'!$AX$5:$BA$5,0)))/2))/2,0)</f>
        <v>0</v>
      </c>
      <c r="AV6" s="248">
        <f>IF($P6=$AV$3,(INDEX('Tables - Part 2'!$BF$6:$BI$13,MATCH(SCC_Chloride!$V6,'Tables - Part 2'!$AV$6:$AV$13,0),MATCH(SCC_Chloride!$Q6,'Tables - Part 2'!$AX$5:$BA$5,0))+INDEX('Tables - Part 2'!$AX$17:$BA$24,MATCH(SCC_Chloride!$V6,'Tables - Part 2'!$AV$6:$AV$13,0),MATCH(SCC_Chloride!$Q6,'Tables - Part 2'!$AX$5:$BA$5,0)))/2,0)</f>
        <v>0</v>
      </c>
      <c r="AW6" s="248">
        <f>IF($P6=$AW$3,(((INDEX('Tables - Part 2'!$BF$6:$BI$13,MATCH(SCC_Chloride!$V6,'Tables - Part 2'!$AV$6:$AV$13,0),MATCH(SCC_Chloride!$Q6,'Tables - Part 2'!$AX$5:$BA$5,0))+INDEX('Tables - Part 2'!$AX$17:$BA$24,MATCH(SCC_Chloride!$V6,'Tables - Part 2'!$AV$6:$AV$13,0),MATCH(SCC_Chloride!$Q6,'Tables - Part 2'!$AX$5:$BA$5,0)))/2)+((((INDEX('Tables - Part 2'!$BF$6:$BI$13,MATCH(SCC_Chloride!$V6,'Tables - Part 2'!$AV$6:$AV$13,0),MATCH(SCC_Chloride!$Q6,'Tables - Part 2'!$AX$5:$BA$5,0))+INDEX('Tables - Part 2'!$AX$17:$BA$24,MATCH(SCC_Chloride!$V6,'Tables - Part 2'!$AV$6:$AV$13,0),MATCH(SCC_Chloride!$Q6,'Tables - Part 2'!$AX$5:$BA$5,0)))/2)+INDEX('Tables - Part 2'!$AX$17:$BA$24,MATCH(SCC_Chloride!$V6,'Tables - Part 2'!$AV$6:$AV$13,0),MATCH(SCC_Chloride!$Q6,'Tables - Part 2'!$AX$5:$BA$5,0)))/2))/2,0)</f>
        <v>0</v>
      </c>
      <c r="AX6" s="248">
        <f>IF($P6=$AX$3,(((INDEX('Tables - Part 2'!$BF$6:$BI$13,MATCH(SCC_Chloride!$V6,'Tables - Part 2'!$AV$6:$AV$13,0),MATCH(SCC_Chloride!$Q6,'Tables - Part 2'!$AX$5:$BA$5,0))+INDEX('Tables - Part 2'!$AX$17:$BA$24,MATCH(SCC_Chloride!$V6,'Tables - Part 2'!$AV$6:$AV$13,0),MATCH(SCC_Chloride!$Q6,'Tables - Part 2'!$AX$5:$BA$5,0)))/2)+INDEX('Tables - Part 2'!$AX$17:$BA$24,MATCH(SCC_Chloride!$V6,'Tables - Part 2'!$AV$6:$AV$13,0),MATCH(SCC_Chloride!$Q6,'Tables - Part 2'!$AX$5:$BA$5,0)))/2,0)</f>
        <v>0</v>
      </c>
      <c r="AY6" s="248">
        <f>IF($P6=$AY$3,(((((INDEX('Tables - Part 2'!$BF$6:$BI$13,MATCH(SCC_Chloride!$V6,'Tables - Part 2'!$AV$6:$AV$13,0),MATCH(SCC_Chloride!$Q6,'Tables - Part 2'!$AX$5:$BA$5,0))+INDEX('Tables - Part 2'!$AX$17:$BA$24,MATCH(SCC_Chloride!$V6,'Tables - Part 2'!$AV$6:$AV$13,0),MATCH(SCC_Chloride!$Q6,'Tables - Part 2'!$AX$5:$BA$5,0)))/2)+INDEX('Tables - Part 2'!$AX$17:$BA$24,MATCH(SCC_Chloride!$V6,'Tables - Part 2'!$AV$6:$AV$13,0),MATCH(SCC_Chloride!$Q6,'Tables - Part 2'!$AX$5:$BA$5,0)))/2)+(INDEX('Tables - Part 2'!$AX$17:$BA$24,MATCH(SCC_Chloride!$V6,'Tables - Part 2'!$AV$6:$AV$13,0),MATCH(SCC_Chloride!$Q6,'Tables - Part 2'!$AX$5:$BA$5,0))))/2,0)</f>
        <v>0</v>
      </c>
      <c r="AZ6" s="248">
        <f>IF($P6=$AZ$3,INDEX('Tables - Part 2'!$AX$17:$BA$24,MATCH(SCC_Chloride!$V6,'Tables - Part 2'!$AV$6:$AV$13,0),MATCH(SCC_Chloride!$Q6,'Tables - Part 2'!$AX$5:$BA$5,0)),0)</f>
        <v>0</v>
      </c>
      <c r="BA6" s="248">
        <f>IF($P6=$BA$3,((INDEX('Tables - Part 2'!$AX$17:$BA$24,MATCH(SCC_Chloride!$V6,'Tables - Part 2'!$AV$6:$AV$13,0),MATCH(SCC_Chloride!$Q6,'Tables - Part 2'!$AX$5:$BA$5,0)))+(((INDEX('Tables - Part 2'!$AX$17:$BA$24,MATCH(SCC_Chloride!$V6,'Tables - Part 2'!$AV$6:$AV$13,0),MATCH(SCC_Chloride!$Q6,'Tables - Part 2'!$AX$5:$BA$5,0)))+(INDEX('Tables - Part 2'!$AX$17:$BA$24,MATCH(SCC_Chloride!$V6,'Tables - Part 2'!$AV$6:$AV$13,0),MATCH(SCC_Chloride!$Q6,'Tables - Part 2'!$AX$5:$BA$5,0))+INDEX('Tables - Part 2'!$BB$17:$BE$24,MATCH(SCC_Chloride!$V6,'Tables - Part 2'!$AV$6:$AV$13,0),MATCH(SCC_Chloride!$Q6,'Tables - Part 2'!$AX$5:$BA$5,0)))/2)/2))/2,0)</f>
        <v>0</v>
      </c>
      <c r="BB6" s="248">
        <f>IF($P6=$BB$3,((INDEX('Tables - Part 2'!$AX$17:$BA$24,MATCH(SCC_Chloride!$V6,'Tables - Part 2'!$AV$6:$AV$13,0),MATCH(SCC_Chloride!$Q6,'Tables - Part 2'!$AX$5:$BA$5,0)))+(INDEX('Tables - Part 2'!$AX$17:$BA$24,MATCH(SCC_Chloride!$V6,'Tables - Part 2'!$AV$6:$AV$13,0),MATCH(SCC_Chloride!$Q6,'Tables - Part 2'!$AX$5:$BA$5,0))+INDEX('Tables - Part 2'!$BB$17:$BE$24,MATCH(SCC_Chloride!$V6,'Tables - Part 2'!$AV$6:$AV$13,0),MATCH(SCC_Chloride!$Q6,'Tables - Part 2'!$AX$5:$BA$5,0)))/2)/2,0)</f>
        <v>0</v>
      </c>
      <c r="BC6" s="248">
        <f>IF($P6=$BC$3,((((INDEX('Tables - Part 2'!$AX$17:$BA$24,MATCH(SCC_Chloride!$V6,'Tables - Part 2'!$AV$6:$AV$13,0),MATCH(SCC_Chloride!$Q6,'Tables - Part 2'!$AX$5:$BA$5,0)))+(INDEX('Tables - Part 2'!$AX$17:$BA$24,MATCH(SCC_Chloride!$V6,'Tables - Part 2'!$AV$6:$AV$13,0),MATCH(SCC_Chloride!$Q6,'Tables - Part 2'!$AX$5:$BA$5,0))+INDEX('Tables - Part 2'!$BB$17:$BE$24,MATCH(SCC_Chloride!$V6,'Tables - Part 2'!$AV$6:$AV$13,0),MATCH(SCC_Chloride!$Q6,'Tables - Part 2'!$AX$5:$BA$5,0)))/2)/2)+((INDEX('Tables - Part 2'!$AX$17:$BA$24,MATCH(SCC_Chloride!$V6,'Tables - Part 2'!$AV$6:$AV$13,0),MATCH(SCC_Chloride!$Q6,'Tables - Part 2'!$AX$5:$BA$5,0))+INDEX('Tables - Part 2'!$BB$17:$BE$24,MATCH(SCC_Chloride!$V6,'Tables - Part 2'!$AV$6:$AV$13,0),MATCH(SCC_Chloride!$Q6,'Tables - Part 2'!$AX$5:$BA$5,0)))/2))/2,0)</f>
        <v>0</v>
      </c>
      <c r="BD6" s="248">
        <f>IF($P6=$BD$3,(INDEX('Tables - Part 2'!$AX$17:$BA$24,MATCH(SCC_Chloride!$V6,'Tables - Part 2'!$AV$6:$AV$13,0),MATCH(SCC_Chloride!$Q6,'Tables - Part 2'!$AX$5:$BA$5,0))+INDEX('Tables - Part 2'!$BB$17:$BE$24,MATCH(SCC_Chloride!$V6,'Tables - Part 2'!$AV$6:$AV$13,0),MATCH(SCC_Chloride!$Q6,'Tables - Part 2'!$AX$5:$BA$5,0)))/2,0)</f>
        <v>0</v>
      </c>
      <c r="BE6" s="248">
        <f>IF($P6=$BE$3,(((INDEX('Tables - Part 2'!$AX$17:$BA$24,MATCH(SCC_Chloride!$V6,'Tables - Part 2'!$AV$6:$AV$13,0),MATCH(SCC_Chloride!$Q6,'Tables - Part 2'!$AX$5:$BA$5,0))+INDEX('Tables - Part 2'!$BB$17:$BE$24,MATCH(SCC_Chloride!$V6,'Tables - Part 2'!$AV$6:$AV$13,0),MATCH(SCC_Chloride!$Q6,'Tables - Part 2'!$AX$5:$BA$5,0)))/2)+((((INDEX('Tables - Part 2'!$AX$17:$BA$24,MATCH(SCC_Chloride!$V6,'Tables - Part 2'!$AV$6:$AV$13,0),MATCH(SCC_Chloride!$Q6,'Tables - Part 2'!$AX$5:$BA$5,0))+INDEX('Tables - Part 2'!$BB$17:$BE$24,MATCH(SCC_Chloride!$V6,'Tables - Part 2'!$AV$6:$AV$13,0),MATCH(SCC_Chloride!$Q6,'Tables - Part 2'!$AX$5:$BA$5,0)))/2)+INDEX('Tables - Part 2'!$BB$17:$BE$24,MATCH(SCC_Chloride!$V6,'Tables - Part 2'!$AV$6:$AV$13,0),MATCH(SCC_Chloride!$Q6,'Tables - Part 2'!$AX$5:$BA$5,0)))/2))/2,0)</f>
        <v>0</v>
      </c>
      <c r="BF6" s="248">
        <f>IF($P6=$BF$3,(((INDEX('Tables - Part 2'!$AX$17:$BA$24,MATCH(SCC_Chloride!$V6,'Tables - Part 2'!$AV$6:$AV$13,0),MATCH(SCC_Chloride!$Q6,'Tables - Part 2'!$AX$5:$BA$5,0))+INDEX('Tables - Part 2'!$BB$17:$BE$24,MATCH(SCC_Chloride!$V6,'Tables - Part 2'!$AV$6:$AV$13,0),MATCH(SCC_Chloride!$Q6,'Tables - Part 2'!$AX$5:$BA$5,0)))/2)+INDEX('Tables - Part 2'!$BB$17:$BE$24,MATCH(SCC_Chloride!$V6,'Tables - Part 2'!$AV$6:$AV$13,0),MATCH(SCC_Chloride!$Q6,'Tables - Part 2'!$AX$5:$BA$5,0)))/2,0)</f>
        <v>0</v>
      </c>
      <c r="BG6" s="248">
        <f>IF($P6=$BG$3,(((((INDEX('Tables - Part 2'!$AX$17:$BA$24,MATCH(SCC_Chloride!$V6,'Tables - Part 2'!$AV$6:$AV$13,0),MATCH(SCC_Chloride!$Q6,'Tables - Part 2'!$AX$5:$BA$5,0))+INDEX('Tables - Part 2'!$BB$17:$BE$24,MATCH(SCC_Chloride!$V6,'Tables - Part 2'!$AV$6:$AV$13,0),MATCH(SCC_Chloride!$Q6,'Tables - Part 2'!$AX$5:$BA$5,0)))/2)+INDEX('Tables - Part 2'!$BB$17:$BE$24,MATCH(SCC_Chloride!$V6,'Tables - Part 2'!$AV$6:$AV$13,0),MATCH(SCC_Chloride!$Q6,'Tables - Part 2'!$AX$5:$BA$5,0)))/2)+(INDEX('Tables - Part 2'!$BB$17:$BE$24,MATCH(SCC_Chloride!$V6,'Tables - Part 2'!$AV$6:$AV$13,0),MATCH(SCC_Chloride!$Q6,'Tables - Part 2'!$AX$5:$BA$5,0))))/2,0)</f>
        <v>0</v>
      </c>
      <c r="BH6" s="248">
        <f>IF($P6=$BH$3,INDEX('Tables - Part 2'!$BB$17:$BE$24,MATCH(SCC_Chloride!$V6,'Tables - Part 2'!$AV$6:$AV$13,0),MATCH(SCC_Chloride!$Q6,'Tables - Part 2'!$AX$5:$BA$5,0)),0)</f>
        <v>0</v>
      </c>
      <c r="BI6" s="248">
        <f>IF($P6=$BI$3,((INDEX('Tables - Part 2'!$BB$17:$BE$24,MATCH(SCC_Chloride!$V6,'Tables - Part 2'!$AV$6:$AV$13,0),MATCH(SCC_Chloride!$Q6,'Tables - Part 2'!$AX$5:$BA$5,0)))+(((INDEX('Tables - Part 2'!$BB$17:$BE$24,MATCH(SCC_Chloride!$V6,'Tables - Part 2'!$AV$6:$AV$13,0),MATCH(SCC_Chloride!$Q6,'Tables - Part 2'!$AX$5:$BA$5,0)))+(INDEX('Tables - Part 2'!$BB$17:$BE$24,MATCH(SCC_Chloride!$V6,'Tables - Part 2'!$AV$6:$AV$13,0),MATCH(SCC_Chloride!$Q6,'Tables - Part 2'!$AX$5:$BA$5,0))+INDEX('Tables - Part 2'!$BF$17:$BI$24,MATCH(SCC_Chloride!$V6,'Tables - Part 2'!$AV$6:$AV$13,0),MATCH(SCC_Chloride!$Q6,'Tables - Part 2'!$AX$5:$BA$5,0)))/2)/2))/2,0)</f>
        <v>0</v>
      </c>
      <c r="BJ6" s="248">
        <f>IF($P6=$BJ$3,((INDEX('Tables - Part 2'!$BB$17:$BE$24,MATCH(SCC_Chloride!$V6,'Tables - Part 2'!$AV$6:$AV$13,0),MATCH(SCC_Chloride!$Q6,'Tables - Part 2'!$AX$5:$BA$5,0)))+(INDEX('Tables - Part 2'!$BB$17:$BE$24,MATCH(SCC_Chloride!$V6,'Tables - Part 2'!$AV$6:$AV$13,0),MATCH(SCC_Chloride!$Q6,'Tables - Part 2'!$AX$5:$BA$5,0))+INDEX('Tables - Part 2'!$BF$17:$BI$24,MATCH(SCC_Chloride!$V6,'Tables - Part 2'!$AV$6:$AV$13,0),MATCH(SCC_Chloride!$Q6,'Tables - Part 2'!$AX$5:$BA$5,0)))/2)/2,0)</f>
        <v>0</v>
      </c>
      <c r="BK6" s="248">
        <f>IF($P6=$BK$3,((((INDEX('Tables - Part 2'!$BB$17:$BE$24,MATCH(SCC_Chloride!$V6,'Tables - Part 2'!$AV$6:$AV$13,0),MATCH(SCC_Chloride!$Q6,'Tables - Part 2'!$AX$5:$BA$5,0)))+(INDEX('Tables - Part 2'!$BB$17:$BE$24,MATCH(SCC_Chloride!$V6,'Tables - Part 2'!$AV$6:$AV$13,0),MATCH(SCC_Chloride!$Q6,'Tables - Part 2'!$AX$5:$BA$5,0))+INDEX('Tables - Part 2'!$BF$17:$BI$24,MATCH(SCC_Chloride!$V6,'Tables - Part 2'!$AV$6:$AV$13,0),MATCH(SCC_Chloride!$Q6,'Tables - Part 2'!$AX$5:$BA$5,0)))/2)/2)+((INDEX('Tables - Part 2'!$BB$17:$BE$24,MATCH(SCC_Chloride!$V6,'Tables - Part 2'!$AV$6:$AV$13,0),MATCH(SCC_Chloride!$Q6,'Tables - Part 2'!$AX$5:$BA$5,0))+INDEX('Tables - Part 2'!$BF$17:$BI$24,MATCH(SCC_Chloride!$V6,'Tables - Part 2'!$AV$6:$AV$13,0),MATCH(SCC_Chloride!$Q6,'Tables - Part 2'!$AX$5:$BA$5,0)))/2))/2,0)</f>
        <v>0</v>
      </c>
      <c r="BL6" s="248">
        <f>IF($P6=$BL$3,(INDEX('Tables - Part 2'!$BB$17:$BE$24,MATCH(SCC_Chloride!$V6,'Tables - Part 2'!$AV$6:$AV$13,0),MATCH(SCC_Chloride!$Q6,'Tables - Part 2'!$AX$5:$BA$5,0))+INDEX('Tables - Part 2'!$BF$17:$BI$24,MATCH(SCC_Chloride!$V6,'Tables - Part 2'!$AV$6:$AV$13,0),MATCH(SCC_Chloride!$Q6,'Tables - Part 2'!$AX$5:$BA$5,0)))/2,0)</f>
        <v>0</v>
      </c>
      <c r="BM6" s="248">
        <f>IF($P6=$BM$3,(((INDEX('Tables - Part 2'!$BB$17:$BE$24,MATCH(SCC_Chloride!$V6,'Tables - Part 2'!$AV$6:$AV$13,0),MATCH(SCC_Chloride!$Q6,'Tables - Part 2'!$AX$5:$BA$5,0))+INDEX('Tables - Part 2'!$BF$17:$BI$24,MATCH(SCC_Chloride!$V6,'Tables - Part 2'!$AV$6:$AV$13,0),MATCH(SCC_Chloride!$Q6,'Tables - Part 2'!$AX$5:$BA$5,0)))/2)+((((INDEX('Tables - Part 2'!$BB$17:$BE$24,MATCH(SCC_Chloride!$V6,'Tables - Part 2'!$AV$6:$AV$13,0),MATCH(SCC_Chloride!$Q6,'Tables - Part 2'!$AX$5:$BA$5,0))+INDEX('Tables - Part 2'!$BF$17:$BI$24,MATCH(SCC_Chloride!$V6,'Tables - Part 2'!$AV$6:$AV$13,0),MATCH(SCC_Chloride!$Q6,'Tables - Part 2'!$AX$5:$BA$5,0)))/2)+INDEX('Tables - Part 2'!$BF$17:$BI$24,MATCH(SCC_Chloride!$V6,'Tables - Part 2'!$AV$6:$AV$13,0),MATCH(SCC_Chloride!$Q6,'Tables - Part 2'!$AX$5:$BA$5,0)))/2))/2,0)</f>
        <v>0</v>
      </c>
      <c r="BN6" s="248">
        <f>IF($P6=$BN$3,(((INDEX('Tables - Part 2'!$BB$17:$BE$24,MATCH(SCC_Chloride!$V6,'Tables - Part 2'!$AV$6:$AV$13,0),MATCH(SCC_Chloride!$Q6,'Tables - Part 2'!$AX$5:$BA$5,0))+INDEX('Tables - Part 2'!$BF$17:$BI$24,MATCH(SCC_Chloride!$V6,'Tables - Part 2'!$AV$6:$AV$13,0),MATCH(SCC_Chloride!$Q6,'Tables - Part 2'!$AX$5:$BA$5,0)))/2)+INDEX('Tables - Part 2'!$BF$17:$BI$24,MATCH(SCC_Chloride!$V6,'Tables - Part 2'!$AV$6:$AV$13,0),MATCH(SCC_Chloride!$Q6,'Tables - Part 2'!$AX$5:$BA$5,0)))/2,0)</f>
        <v>0</v>
      </c>
      <c r="BO6" s="248">
        <f>IF($P6=$BO$3,(((((INDEX('Tables - Part 2'!$BB$17:$BE$24,MATCH(SCC_Chloride!$V6,'Tables - Part 2'!$AV$6:$AV$13,0),MATCH(SCC_Chloride!$Q6,'Tables - Part 2'!$AX$5:$BA$5,0))+INDEX('Tables - Part 2'!$BF$17:$BI$24,MATCH(SCC_Chloride!$V6,'Tables - Part 2'!$AV$6:$AV$13,0),MATCH(SCC_Chloride!$Q6,'Tables - Part 2'!$AX$5:$BA$5,0)))/2)+INDEX('Tables - Part 2'!$BF$17:$BI$24,MATCH(SCC_Chloride!$V6,'Tables - Part 2'!$AV$6:$AV$13,0),MATCH(SCC_Chloride!$Q6,'Tables - Part 2'!$AX$5:$BA$5,0)))/2)+(INDEX('Tables - Part 2'!$BF$17:$BI$24,MATCH(SCC_Chloride!$V6,'Tables - Part 2'!$AV$6:$AV$13,0),MATCH(SCC_Chloride!$Q6,'Tables - Part 2'!$AX$5:$BA$5,0))))/2,0)</f>
        <v>0</v>
      </c>
      <c r="BP6" s="248">
        <f>IF($P6=$BP$3,INDEX('Tables - Part 2'!$BF$17:$BI$24,MATCH(SCC_Chloride!$V6,'Tables - Part 2'!$AV$6:$AV$13,0),MATCH(SCC_Chloride!$Q6,'Tables - Part 2'!$AX$5:$BA$5,0)),0)</f>
        <v>0</v>
      </c>
      <c r="BQ6" s="248">
        <f t="shared" si="5"/>
        <v>0</v>
      </c>
      <c r="BR6" s="238">
        <f t="shared" si="9"/>
        <v>1.5</v>
      </c>
      <c r="BS6" s="238">
        <f t="shared" si="6"/>
        <v>25.159323702612586</v>
      </c>
    </row>
    <row r="7" spans="2:84" x14ac:dyDescent="0.35">
      <c r="B7" s="161" t="str">
        <f>'Tratamento de Dados'!B15</f>
        <v>V-11</v>
      </c>
      <c r="C7" s="161" t="str">
        <f>'Tratamento de Dados'!D15</f>
        <v>Casco</v>
      </c>
      <c r="D7" s="209" t="s">
        <v>245</v>
      </c>
      <c r="E7" s="209" t="s">
        <v>61</v>
      </c>
      <c r="F7" s="209">
        <v>10</v>
      </c>
      <c r="G7" s="209" t="s">
        <v>1167</v>
      </c>
      <c r="H7" s="247">
        <f>'Tratamento de Dados'!S15</f>
        <v>2</v>
      </c>
      <c r="I7" s="210">
        <v>39092</v>
      </c>
      <c r="J7" s="209">
        <v>0</v>
      </c>
      <c r="K7" s="209">
        <v>1</v>
      </c>
      <c r="L7" s="209">
        <v>1</v>
      </c>
      <c r="M7" s="209">
        <v>4</v>
      </c>
      <c r="N7" s="253">
        <f>'Tratamento de Dados'!DA15</f>
        <v>0</v>
      </c>
      <c r="O7" s="253">
        <f>'Tratamento de Dados'!DB15</f>
        <v>0</v>
      </c>
      <c r="P7" s="256">
        <f t="shared" si="0"/>
        <v>2.5</v>
      </c>
      <c r="Q7" s="246" t="str">
        <f t="shared" si="1"/>
        <v>B</v>
      </c>
      <c r="R7" s="246" t="str">
        <f>IF(H7&lt;=38,'Tables - Part 2'!$DO$6,IF(H7&lt;=66,'Tables - Part 2'!$DO$7,IF(H7&lt;=93,'Tables - Part 2'!$DO$8,IF(H7&lt;=149,'Tables - Part 2'!$DO$9,'Tables - Part 2'!$DO$10))))</f>
        <v>≤38</v>
      </c>
      <c r="S7" s="246" t="str">
        <f>IF(H7&lt;=38,'Tables - Part 2'!$DO$14,IF(H7&lt;=93,'Tables - Part 2'!$DO$15,IF(H7&lt;=149,'Tables - Part 2'!$DO$16,'Tables - Part 2'!$DO$17)))</f>
        <v>≤38</v>
      </c>
      <c r="T7" s="246" t="str">
        <f t="shared" si="7"/>
        <v>≤38</v>
      </c>
      <c r="U7" s="467" t="str">
        <f>IF(D7=$BX$2,$BV$5,INDEX(IF(F7&gt;10,'Tables - Part 2'!$DP$14:$DS$17,'Tables - Part 2'!$DP$6:$DS$10),MATCH(T7,IF(F7&gt;10,'Tables - Part 2'!$DO$14:$DO$17,'Tables - Part 2'!$DO$6:$DO$10),0),MATCH(SCC_Chloride!G7,'Tables - Part 2'!$DP$5:$DS$5,0)))</f>
        <v>Low</v>
      </c>
      <c r="V7" s="238">
        <f>IF(AND(D7=$BX$2,E7&lt;&gt;$BX$2),"Fitness-For-Service",INDEX('Tables - Part 2'!$DV$4:$DV$7,MATCH(SCC_Chloride!U7,'Tables - Part 2'!$DU$4:$DU$7,0),))</f>
        <v>50</v>
      </c>
      <c r="W7" s="238">
        <f>IF(I7=0,(Thinning!G8-Thinning!F8)/365.25,(Thinning!G8-I7)/365.25)</f>
        <v>12.980150581793293</v>
      </c>
      <c r="X7" s="248">
        <f t="shared" si="2"/>
        <v>0</v>
      </c>
      <c r="Y7" s="248">
        <f t="shared" si="3"/>
        <v>2.5</v>
      </c>
      <c r="Z7" s="247">
        <f t="shared" si="8"/>
        <v>3</v>
      </c>
      <c r="AA7" s="247">
        <f t="shared" si="4"/>
        <v>4</v>
      </c>
      <c r="AB7" s="248">
        <f>IF($P7=$AB$3,INDEX('Tables - Part 2'!$AX$6:$BA$13,MATCH(SCC_Chloride!V7,'Tables - Part 2'!$AV$6:$AV$13,0),MATCH(SCC_Chloride!Q7,'Tables - Part 2'!$AX$5:$BA$5,0)),0)</f>
        <v>0</v>
      </c>
      <c r="AC7" s="248">
        <f>IF($P7=$AC$3,(INDEX('Tables - Part 2'!$AX$6:$BA$13,MATCH(SCC_Chloride!V7,'Tables - Part 2'!$AV$6:$AV$13,0),MATCH(SCC_Chloride!Q7,'Tables - Part 2'!$AX$5:$BA$5,0))+(INDEX('Tables - Part 2'!$AX$6:$BA$13,MATCH(SCC_Chloride!V7,'Tables - Part 2'!$AV$6:$AV$13,0),MATCH(SCC_Chloride!Q7,'Tables - Part 2'!$AX$5:$BA$5,0))+((INDEX('Tables - Part 2'!$AX$6:$BA$13,MATCH(SCC_Chloride!V7,'Tables - Part 2'!$AV$6:$AV$13,0),MATCH(SCC_Chloride!Q7,'Tables - Part 2'!$AX$5:$BA$5,0))+INDEX('Tables - Part 2'!$BB$6:$BE$13,MATCH(SCC_Chloride!$V7,'Tables - Part 2'!$AV$6:$AV$13,0),MATCH(SCC_Chloride!$Q7,'Tables - Part 2'!$AX$5:$BA$5,0)))/2))/2)/2,0)</f>
        <v>0</v>
      </c>
      <c r="AD7" s="248">
        <f>IF($P7=$AD$3,(INDEX('Tables - Part 2'!$AX$6:$BA$13,MATCH(SCC_Chloride!V7,'Tables - Part 2'!$AV$6:$AV$13,0),MATCH(SCC_Chloride!Q7,'Tables - Part 2'!$AX$5:$BA$5,0))+((INDEX('Tables - Part 2'!$AX$6:$BA$13,MATCH(SCC_Chloride!V7,'Tables - Part 2'!$AV$6:$AV$13,0),MATCH(SCC_Chloride!Q7,'Tables - Part 2'!$AX$5:$BA$5,0))+INDEX('Tables - Part 2'!$BB$6:$BE$13,MATCH(SCC_Chloride!$V7,'Tables - Part 2'!$AV$6:$AV$13,0),MATCH(SCC_Chloride!$Q7,'Tables - Part 2'!$AX$5:$BA$5,0)))/2))/2,0)</f>
        <v>0</v>
      </c>
      <c r="AE7" s="248">
        <f>IF($P7=$AE$3,(((INDEX('Tables - Part 2'!$AX$6:$BA$13,MATCH(SCC_Chloride!V7,'Tables - Part 2'!$AV$6:$AV$13,0),MATCH(SCC_Chloride!Q7,'Tables - Part 2'!$AX$5:$BA$5,0))+((INDEX('Tables - Part 2'!$AX$6:$BA$13,MATCH(SCC_Chloride!V7,'Tables - Part 2'!$AV$6:$AV$13,0),MATCH(SCC_Chloride!Q7,'Tables - Part 2'!$AX$5:$BA$5,0))+INDEX('Tables - Part 2'!$BB$6:$BE$13,MATCH(SCC_Chloride!$V7,'Tables - Part 2'!$AV$6:$AV$13,0),MATCH(SCC_Chloride!$Q7,'Tables - Part 2'!$AX$5:$BA$5,0)))/2))/2)+(INDEX('Tables - Part 2'!$AX$6:$BA$13,MATCH(SCC_Chloride!V7,'Tables - Part 2'!$AV$6:$AV$13,0),MATCH(SCC_Chloride!Q7,'Tables - Part 2'!$AX$5:$BA$5,0))+INDEX('Tables - Part 2'!$BB$6:$BE$13,MATCH(SCC_Chloride!$V7,'Tables - Part 2'!$AV$6:$AV$13,0),MATCH(SCC_Chloride!$Q7,'Tables - Part 2'!$AX$5:$BA$5,0)))/2)/2,0)</f>
        <v>0</v>
      </c>
      <c r="AF7" s="248">
        <f>IF($P7=$AF$3,(INDEX('Tables - Part 2'!$AX$6:$BA$13,MATCH(SCC_Chloride!V7,'Tables - Part 2'!$AV$6:$AV$13,0),MATCH(SCC_Chloride!Q7,'Tables - Part 2'!$AX$5:$BA$5,0))+INDEX('Tables - Part 2'!$BB$6:$BE$13,MATCH(SCC_Chloride!$V7,'Tables - Part 2'!$AV$6:$AV$13,0),MATCH(SCC_Chloride!$Q7,'Tables - Part 2'!$AX$5:$BA$5,0)))/2,0)</f>
        <v>0</v>
      </c>
      <c r="AG7" s="248">
        <f>IF($P7=$AG$3,(((INDEX('Tables - Part 2'!$AX$6:$BA$13,MATCH(SCC_Chloride!V7,'Tables - Part 2'!$AV$6:$AV$13,0),MATCH(SCC_Chloride!Q7,'Tables - Part 2'!$AX$5:$BA$5,0))+INDEX('Tables - Part 2'!$BB$6:$BE$13,MATCH(SCC_Chloride!$V7,'Tables - Part 2'!$AV$6:$AV$13,0),MATCH(SCC_Chloride!$Q7,'Tables - Part 2'!$AX$5:$BA$5,0)))/2)+(((INDEX('Tables - Part 2'!$AX$6:$BA$13,MATCH(SCC_Chloride!V7,'Tables - Part 2'!$AV$6:$AV$13,0),MATCH(SCC_Chloride!Q7,'Tables - Part 2'!$AX$5:$BA$5,0))+INDEX('Tables - Part 2'!$BB$6:$BE$13,MATCH(SCC_Chloride!$V7,'Tables - Part 2'!$AV$6:$AV$13,0),MATCH(SCC_Chloride!$Q7,'Tables - Part 2'!$AX$5:$BA$5,0)))/2)+INDEX('Tables - Part 2'!$BB$6:$BE$13,MATCH(SCC_Chloride!$V7,'Tables - Part 2'!$AV$6:$AV$13,0),MATCH(SCC_Chloride!$Q7,'Tables - Part 2'!$AX$5:$BA$5,0)))/2)/2,0)</f>
        <v>0</v>
      </c>
      <c r="AH7" s="248">
        <f>IF($P7=$AH$3,(((INDEX('Tables - Part 2'!$AX$6:$BA$13,MATCH(SCC_Chloride!V7,'Tables - Part 2'!$AV$6:$AV$13,0),MATCH(SCC_Chloride!Q7,'Tables - Part 2'!$AX$5:$BA$5,0))+INDEX('Tables - Part 2'!$BB$6:$BE$13,MATCH(SCC_Chloride!$V7,'Tables - Part 2'!$AV$6:$AV$13,0),MATCH(SCC_Chloride!$Q7,'Tables - Part 2'!$AX$5:$BA$5,0)))/2)+INDEX('Tables - Part 2'!$BB$6:$BE$13,MATCH(SCC_Chloride!$V7,'Tables - Part 2'!$AV$6:$AV$13,0),MATCH(SCC_Chloride!$Q7,'Tables - Part 2'!$AX$5:$BA$5,0)))/2,0)</f>
        <v>0</v>
      </c>
      <c r="AI7" s="248">
        <f>IF($P7=$AI$3,(((((INDEX('Tables - Part 2'!$AX$6:$BA$13,MATCH(SCC_Chloride!V7,'Tables - Part 2'!$AV$6:$AV$13,0),MATCH(SCC_Chloride!Q7,'Tables - Part 2'!$AX$5:$BA$5,0))+INDEX('Tables - Part 2'!$BB$6:$BE$13,MATCH(SCC_Chloride!$V7,'Tables - Part 2'!$AV$6:$AV$13,0),MATCH(SCC_Chloride!$Q7,'Tables - Part 2'!$AX$5:$BA$5,0)))/2)+INDEX('Tables - Part 2'!$BB$6:$BE$13,MATCH(SCC_Chloride!$V7,'Tables - Part 2'!$AV$6:$AV$13,0),MATCH(SCC_Chloride!$Q7,'Tables - Part 2'!$AX$5:$BA$5,0)))/2)+INDEX('Tables - Part 2'!$BB$6:$BE$13,MATCH(SCC_Chloride!$V7,'Tables - Part 2'!$AV$6:$AV$13,0),MATCH(SCC_Chloride!$Q7,'Tables - Part 2'!$AX$5:$BA$5,0)))/2,0)</f>
        <v>0</v>
      </c>
      <c r="AJ7" s="248">
        <f>IF($P7=$AJ$3,INDEX('Tables - Part 2'!$BB$6:$BE$13,MATCH(SCC_Chloride!$V7,'Tables - Part 2'!$AV$6:$AV$13,0),MATCH(SCC_Chloride!$Q7,'Tables - Part 2'!$AX$5:$BA$5,0)),0)</f>
        <v>0</v>
      </c>
      <c r="AK7" s="248">
        <f>IF($P7=$AK$3,((INDEX('Tables - Part 2'!$BB$6:$BE$13,MATCH(SCC_Chloride!$V7,'Tables - Part 2'!$AV$6:$AV$13,0),MATCH(SCC_Chloride!$Q7,'Tables - Part 2'!$AX$5:$BA$5,0)))+(INDEX('Tables - Part 2'!$BB$6:$BE$13,MATCH(SCC_Chloride!$V7,'Tables - Part 2'!$AV$6:$AV$13,0),MATCH(SCC_Chloride!$Q7,'Tables - Part 2'!$AX$5:$BA$5,0))+(INDEX('Tables - Part 2'!$BB$6:$BE$13,MATCH(SCC_Chloride!$V7,'Tables - Part 2'!$AV$6:$AV$13,0),MATCH(SCC_Chloride!$Q7,'Tables - Part 2'!$AX$5:$BA$5,0))+INDEX('Tables - Part 2'!$BF$6:$BI$13,MATCH(SCC_Chloride!$V7,'Tables - Part 2'!$AV$6:$AV$13,0),MATCH(SCC_Chloride!$Q7,'Tables - Part 2'!$AX$5:$BA$5,0)))/2)/2)/2,0)</f>
        <v>0</v>
      </c>
      <c r="AL7" s="248">
        <f>IF($P7=$AL$3,(INDEX('Tables - Part 2'!$BB$6:$BE$13,MATCH(SCC_Chloride!$V7,'Tables - Part 2'!$AV$6:$AV$13,0),MATCH(SCC_Chloride!$Q7,'Tables - Part 2'!$AX$5:$BA$5,0))+(INDEX('Tables - Part 2'!$BB$6:$BE$13,MATCH(SCC_Chloride!$V7,'Tables - Part 2'!$AV$6:$AV$13,0),MATCH(SCC_Chloride!$Q7,'Tables - Part 2'!$AX$5:$BA$5,0))+INDEX('Tables - Part 2'!$BF$6:$BI$13,MATCH(SCC_Chloride!$V7,'Tables - Part 2'!$AV$6:$AV$13,0),MATCH(SCC_Chloride!$Q7,'Tables - Part 2'!$AX$5:$BA$5,0)))/2)/2,0)</f>
        <v>0</v>
      </c>
      <c r="AM7" s="248">
        <f>IF($P7=$AM$3,(((INDEX('Tables - Part 2'!$BB$6:$BE$13,MATCH(SCC_Chloride!$V7,'Tables - Part 2'!$AV$6:$AV$13,0),MATCH(SCC_Chloride!$Q7,'Tables - Part 2'!$AX$5:$BA$5,0))+(INDEX('Tables - Part 2'!$BB$6:$BE$13,MATCH(SCC_Chloride!$V7,'Tables - Part 2'!$AV$6:$AV$13,0),MATCH(SCC_Chloride!$Q7,'Tables - Part 2'!$AX$5:$BA$5,0))+INDEX('Tables - Part 2'!$BF$6:$BI$13,MATCH(SCC_Chloride!$V7,'Tables - Part 2'!$AV$6:$AV$13,0),MATCH(SCC_Chloride!$Q7,'Tables - Part 2'!$AX$5:$BA$5,0)))/2)/2)+((INDEX('Tables - Part 2'!$BB$6:$BE$13,MATCH(SCC_Chloride!$V7,'Tables - Part 2'!$AV$6:$AV$13,0),MATCH(SCC_Chloride!$Q7,'Tables - Part 2'!$AX$5:$BA$5,0))+INDEX('Tables - Part 2'!$BF$6:$BI$13,MATCH(SCC_Chloride!$V7,'Tables - Part 2'!$AV$6:$AV$13,0),MATCH(SCC_Chloride!$Q7,'Tables - Part 2'!$AX$5:$BA$5,0)))/2))/2,0)</f>
        <v>0</v>
      </c>
      <c r="AN7" s="248">
        <f>IF($P7=$AN$3,(INDEX('Tables - Part 2'!$BB$6:$BE$13,MATCH(SCC_Chloride!$V7,'Tables - Part 2'!$AV$6:$AV$13,0),MATCH(SCC_Chloride!$Q7,'Tables - Part 2'!$AX$5:$BA$5,0))+INDEX('Tables - Part 2'!$BF$6:$BI$13,MATCH(SCC_Chloride!$V7,'Tables - Part 2'!$AV$6:$AV$13,0),MATCH(SCC_Chloride!$Q7,'Tables - Part 2'!$AX$5:$BA$5,0)))/2,0)</f>
        <v>1.5</v>
      </c>
      <c r="AO7" s="248">
        <f>IF($P7=$AO$3,(((INDEX('Tables - Part 2'!$BB$6:$BE$13,MATCH(SCC_Chloride!$V7,'Tables - Part 2'!$AV$6:$AV$13,0),MATCH(SCC_Chloride!$Q7,'Tables - Part 2'!$AX$5:$BA$5,0))+INDEX('Tables - Part 2'!$BF$6:$BI$13,MATCH(SCC_Chloride!$V7,'Tables - Part 2'!$AV$6:$AV$13,0),MATCH(SCC_Chloride!$Q7,'Tables - Part 2'!$AX$5:$BA$5,0)))/2)+((((INDEX('Tables - Part 2'!$BB$6:$BE$13,MATCH(SCC_Chloride!$V7,'Tables - Part 2'!$AV$6:$AV$13,0),MATCH(SCC_Chloride!$Q7,'Tables - Part 2'!$AX$5:$BA$5,0))+INDEX('Tables - Part 2'!$BF$6:$BI$13,MATCH(SCC_Chloride!$V7,'Tables - Part 2'!$AV$6:$AV$13,0),MATCH(SCC_Chloride!$Q7,'Tables - Part 2'!$AX$5:$BA$5,0)))/2)+INDEX('Tables - Part 2'!$BF$6:$BI$13,MATCH(SCC_Chloride!$V7,'Tables - Part 2'!$AV$6:$AV$13,0),MATCH(SCC_Chloride!$Q7,'Tables - Part 2'!$AX$5:$BA$5,0)))/2))/2,0)</f>
        <v>0</v>
      </c>
      <c r="AP7" s="248">
        <f>IF($P7=$AP$3,(((INDEX('Tables - Part 2'!$BB$6:$BE$13,MATCH(SCC_Chloride!$V7,'Tables - Part 2'!$AV$6:$AV$13,0),MATCH(SCC_Chloride!$Q7,'Tables - Part 2'!$AX$5:$BA$5,0))+INDEX('Tables - Part 2'!$BF$6:$BI$13,MATCH(SCC_Chloride!$V7,'Tables - Part 2'!$AV$6:$AV$13,0),MATCH(SCC_Chloride!$Q7,'Tables - Part 2'!$AX$5:$BA$5,0)))/2)+INDEX('Tables - Part 2'!$BF$6:$BI$13,MATCH(SCC_Chloride!$V7,'Tables - Part 2'!$AV$6:$AV$13,0),MATCH(SCC_Chloride!$Q7,'Tables - Part 2'!$AX$5:$BA$5,0)))/2,0)</f>
        <v>0</v>
      </c>
      <c r="AQ7" s="248">
        <f>IF($P7=$AQ$3,(((((INDEX('Tables - Part 2'!$BB$6:$BE$13,MATCH(SCC_Chloride!$V7,'Tables - Part 2'!$AV$6:$AV$13,0),MATCH(SCC_Chloride!$Q7,'Tables - Part 2'!$AX$5:$BA$5,0))+INDEX('Tables - Part 2'!$BF$6:$BI$13,MATCH(SCC_Chloride!$V7,'Tables - Part 2'!$AV$6:$AV$13,0),MATCH(SCC_Chloride!$Q7,'Tables - Part 2'!$AX$5:$BA$5,0)))/2)+INDEX('Tables - Part 2'!$BF$6:$BI$13,MATCH(SCC_Chloride!$V7,'Tables - Part 2'!$AV$6:$AV$13,0),MATCH(SCC_Chloride!$Q7,'Tables - Part 2'!$AX$5:$BA$5,0)))/2)+INDEX('Tables - Part 2'!$BF$6:$BI$13,MATCH(SCC_Chloride!$V7,'Tables - Part 2'!$AV$6:$AV$13,0),MATCH(SCC_Chloride!$Q7,'Tables - Part 2'!$AX$5:$BA$5,0)))/2,0)</f>
        <v>0</v>
      </c>
      <c r="AR7" s="248">
        <f>IF($P7=$AR$3,INDEX('Tables - Part 2'!$BF$6:$BI$13,MATCH(SCC_Chloride!$V7,'Tables - Part 2'!$AV$6:$AV$13,0),MATCH(SCC_Chloride!$Q7,'Tables - Part 2'!$AX$5:$BA$5,0)),0)</f>
        <v>0</v>
      </c>
      <c r="AS7" s="248">
        <f>IF($P7=$AS$3,(INDEX('Tables - Part 2'!$BF$6:$BI$13,MATCH(SCC_Chloride!$V7,'Tables - Part 2'!$AV$6:$AV$13,0),MATCH(SCC_Chloride!$Q7,'Tables - Part 2'!$AX$5:$BA$5,0))+((INDEX('Tables - Part 2'!$BF$6:$BI$13,MATCH(SCC_Chloride!$V7,'Tables - Part 2'!$AV$6:$AV$13,0),MATCH(SCC_Chloride!$Q7,'Tables - Part 2'!$AX$5:$BA$5,0))+(INDEX('Tables - Part 2'!$BF$6:$BI$13,MATCH(SCC_Chloride!$V7,'Tables - Part 2'!$AV$6:$AV$13,0),MATCH(SCC_Chloride!$Q7,'Tables - Part 2'!$AX$5:$BA$5,0))+INDEX('Tables - Part 2'!$AX$17:$BA$24,MATCH(SCC_Chloride!$V7,'Tables - Part 2'!$AV$6:$AV$13,0),MATCH(SCC_Chloride!$Q7,'Tables - Part 2'!$AX$5:$BA$5,0)))/2)/2))/2,0)</f>
        <v>0</v>
      </c>
      <c r="AT7" s="248">
        <f>IF($P7=$AT$3,(INDEX('Tables - Part 2'!$BF$6:$BI$13,MATCH(SCC_Chloride!$V7,'Tables - Part 2'!$AV$6:$AV$13,0),MATCH(SCC_Chloride!$Q7,'Tables - Part 2'!$AX$5:$BA$5,0))+(INDEX('Tables - Part 2'!$BF$6:$BI$13,MATCH(SCC_Chloride!$V7,'Tables - Part 2'!$AV$6:$AV$13,0),MATCH(SCC_Chloride!$Q7,'Tables - Part 2'!$AX$5:$BA$5,0))+INDEX('Tables - Part 2'!$AX$17:$BA$24,MATCH(SCC_Chloride!$V7,'Tables - Part 2'!$AV$6:$AV$13,0),MATCH(SCC_Chloride!$Q7,'Tables - Part 2'!$AX$5:$BA$5,0)))/2)/2,0)</f>
        <v>0</v>
      </c>
      <c r="AU7" s="248">
        <f>IF($P7=$AU$3,(((INDEX('Tables - Part 2'!$BF$6:$BI$13,MATCH(SCC_Chloride!$V7,'Tables - Part 2'!$AV$6:$AV$13,0),MATCH(SCC_Chloride!$Q7,'Tables - Part 2'!$AX$5:$BA$5,0))+(INDEX('Tables - Part 2'!$BF$6:$BI$13,MATCH(SCC_Chloride!$V7,'Tables - Part 2'!$AV$6:$AV$13,0),MATCH(SCC_Chloride!$Q7,'Tables - Part 2'!$AX$5:$BA$5,0))+INDEX('Tables - Part 2'!$AX$17:$BA$24,MATCH(SCC_Chloride!$V7,'Tables - Part 2'!$AV$6:$AV$13,0),MATCH(SCC_Chloride!$Q7,'Tables - Part 2'!$AX$5:$BA$5,0)))/2)/2)+((INDEX('Tables - Part 2'!$BF$6:$BI$13,MATCH(SCC_Chloride!$V7,'Tables - Part 2'!$AV$6:$AV$13,0),MATCH(SCC_Chloride!$Q7,'Tables - Part 2'!$AX$5:$BA$5,0))+INDEX('Tables - Part 2'!$AX$17:$BA$24,MATCH(SCC_Chloride!$V7,'Tables - Part 2'!$AV$6:$AV$13,0),MATCH(SCC_Chloride!$Q7,'Tables - Part 2'!$AX$5:$BA$5,0)))/2))/2,0)</f>
        <v>0</v>
      </c>
      <c r="AV7" s="248">
        <f>IF($P7=$AV$3,(INDEX('Tables - Part 2'!$BF$6:$BI$13,MATCH(SCC_Chloride!$V7,'Tables - Part 2'!$AV$6:$AV$13,0),MATCH(SCC_Chloride!$Q7,'Tables - Part 2'!$AX$5:$BA$5,0))+INDEX('Tables - Part 2'!$AX$17:$BA$24,MATCH(SCC_Chloride!$V7,'Tables - Part 2'!$AV$6:$AV$13,0),MATCH(SCC_Chloride!$Q7,'Tables - Part 2'!$AX$5:$BA$5,0)))/2,0)</f>
        <v>0</v>
      </c>
      <c r="AW7" s="248">
        <f>IF($P7=$AW$3,(((INDEX('Tables - Part 2'!$BF$6:$BI$13,MATCH(SCC_Chloride!$V7,'Tables - Part 2'!$AV$6:$AV$13,0),MATCH(SCC_Chloride!$Q7,'Tables - Part 2'!$AX$5:$BA$5,0))+INDEX('Tables - Part 2'!$AX$17:$BA$24,MATCH(SCC_Chloride!$V7,'Tables - Part 2'!$AV$6:$AV$13,0),MATCH(SCC_Chloride!$Q7,'Tables - Part 2'!$AX$5:$BA$5,0)))/2)+((((INDEX('Tables - Part 2'!$BF$6:$BI$13,MATCH(SCC_Chloride!$V7,'Tables - Part 2'!$AV$6:$AV$13,0),MATCH(SCC_Chloride!$Q7,'Tables - Part 2'!$AX$5:$BA$5,0))+INDEX('Tables - Part 2'!$AX$17:$BA$24,MATCH(SCC_Chloride!$V7,'Tables - Part 2'!$AV$6:$AV$13,0),MATCH(SCC_Chloride!$Q7,'Tables - Part 2'!$AX$5:$BA$5,0)))/2)+INDEX('Tables - Part 2'!$AX$17:$BA$24,MATCH(SCC_Chloride!$V7,'Tables - Part 2'!$AV$6:$AV$13,0),MATCH(SCC_Chloride!$Q7,'Tables - Part 2'!$AX$5:$BA$5,0)))/2))/2,0)</f>
        <v>0</v>
      </c>
      <c r="AX7" s="248">
        <f>IF($P7=$AX$3,(((INDEX('Tables - Part 2'!$BF$6:$BI$13,MATCH(SCC_Chloride!$V7,'Tables - Part 2'!$AV$6:$AV$13,0),MATCH(SCC_Chloride!$Q7,'Tables - Part 2'!$AX$5:$BA$5,0))+INDEX('Tables - Part 2'!$AX$17:$BA$24,MATCH(SCC_Chloride!$V7,'Tables - Part 2'!$AV$6:$AV$13,0),MATCH(SCC_Chloride!$Q7,'Tables - Part 2'!$AX$5:$BA$5,0)))/2)+INDEX('Tables - Part 2'!$AX$17:$BA$24,MATCH(SCC_Chloride!$V7,'Tables - Part 2'!$AV$6:$AV$13,0),MATCH(SCC_Chloride!$Q7,'Tables - Part 2'!$AX$5:$BA$5,0)))/2,0)</f>
        <v>0</v>
      </c>
      <c r="AY7" s="248">
        <f>IF($P7=$AY$3,(((((INDEX('Tables - Part 2'!$BF$6:$BI$13,MATCH(SCC_Chloride!$V7,'Tables - Part 2'!$AV$6:$AV$13,0),MATCH(SCC_Chloride!$Q7,'Tables - Part 2'!$AX$5:$BA$5,0))+INDEX('Tables - Part 2'!$AX$17:$BA$24,MATCH(SCC_Chloride!$V7,'Tables - Part 2'!$AV$6:$AV$13,0),MATCH(SCC_Chloride!$Q7,'Tables - Part 2'!$AX$5:$BA$5,0)))/2)+INDEX('Tables - Part 2'!$AX$17:$BA$24,MATCH(SCC_Chloride!$V7,'Tables - Part 2'!$AV$6:$AV$13,0),MATCH(SCC_Chloride!$Q7,'Tables - Part 2'!$AX$5:$BA$5,0)))/2)+(INDEX('Tables - Part 2'!$AX$17:$BA$24,MATCH(SCC_Chloride!$V7,'Tables - Part 2'!$AV$6:$AV$13,0),MATCH(SCC_Chloride!$Q7,'Tables - Part 2'!$AX$5:$BA$5,0))))/2,0)</f>
        <v>0</v>
      </c>
      <c r="AZ7" s="248">
        <f>IF($P7=$AZ$3,INDEX('Tables - Part 2'!$AX$17:$BA$24,MATCH(SCC_Chloride!$V7,'Tables - Part 2'!$AV$6:$AV$13,0),MATCH(SCC_Chloride!$Q7,'Tables - Part 2'!$AX$5:$BA$5,0)),0)</f>
        <v>0</v>
      </c>
      <c r="BA7" s="248">
        <f>IF($P7=$BA$3,((INDEX('Tables - Part 2'!$AX$17:$BA$24,MATCH(SCC_Chloride!$V7,'Tables - Part 2'!$AV$6:$AV$13,0),MATCH(SCC_Chloride!$Q7,'Tables - Part 2'!$AX$5:$BA$5,0)))+(((INDEX('Tables - Part 2'!$AX$17:$BA$24,MATCH(SCC_Chloride!$V7,'Tables - Part 2'!$AV$6:$AV$13,0),MATCH(SCC_Chloride!$Q7,'Tables - Part 2'!$AX$5:$BA$5,0)))+(INDEX('Tables - Part 2'!$AX$17:$BA$24,MATCH(SCC_Chloride!$V7,'Tables - Part 2'!$AV$6:$AV$13,0),MATCH(SCC_Chloride!$Q7,'Tables - Part 2'!$AX$5:$BA$5,0))+INDEX('Tables - Part 2'!$BB$17:$BE$24,MATCH(SCC_Chloride!$V7,'Tables - Part 2'!$AV$6:$AV$13,0),MATCH(SCC_Chloride!$Q7,'Tables - Part 2'!$AX$5:$BA$5,0)))/2)/2))/2,0)</f>
        <v>0</v>
      </c>
      <c r="BB7" s="248">
        <f>IF($P7=$BB$3,((INDEX('Tables - Part 2'!$AX$17:$BA$24,MATCH(SCC_Chloride!$V7,'Tables - Part 2'!$AV$6:$AV$13,0),MATCH(SCC_Chloride!$Q7,'Tables - Part 2'!$AX$5:$BA$5,0)))+(INDEX('Tables - Part 2'!$AX$17:$BA$24,MATCH(SCC_Chloride!$V7,'Tables - Part 2'!$AV$6:$AV$13,0),MATCH(SCC_Chloride!$Q7,'Tables - Part 2'!$AX$5:$BA$5,0))+INDEX('Tables - Part 2'!$BB$17:$BE$24,MATCH(SCC_Chloride!$V7,'Tables - Part 2'!$AV$6:$AV$13,0),MATCH(SCC_Chloride!$Q7,'Tables - Part 2'!$AX$5:$BA$5,0)))/2)/2,0)</f>
        <v>0</v>
      </c>
      <c r="BC7" s="248">
        <f>IF($P7=$BC$3,((((INDEX('Tables - Part 2'!$AX$17:$BA$24,MATCH(SCC_Chloride!$V7,'Tables - Part 2'!$AV$6:$AV$13,0),MATCH(SCC_Chloride!$Q7,'Tables - Part 2'!$AX$5:$BA$5,0)))+(INDEX('Tables - Part 2'!$AX$17:$BA$24,MATCH(SCC_Chloride!$V7,'Tables - Part 2'!$AV$6:$AV$13,0),MATCH(SCC_Chloride!$Q7,'Tables - Part 2'!$AX$5:$BA$5,0))+INDEX('Tables - Part 2'!$BB$17:$BE$24,MATCH(SCC_Chloride!$V7,'Tables - Part 2'!$AV$6:$AV$13,0),MATCH(SCC_Chloride!$Q7,'Tables - Part 2'!$AX$5:$BA$5,0)))/2)/2)+((INDEX('Tables - Part 2'!$AX$17:$BA$24,MATCH(SCC_Chloride!$V7,'Tables - Part 2'!$AV$6:$AV$13,0),MATCH(SCC_Chloride!$Q7,'Tables - Part 2'!$AX$5:$BA$5,0))+INDEX('Tables - Part 2'!$BB$17:$BE$24,MATCH(SCC_Chloride!$V7,'Tables - Part 2'!$AV$6:$AV$13,0),MATCH(SCC_Chloride!$Q7,'Tables - Part 2'!$AX$5:$BA$5,0)))/2))/2,0)</f>
        <v>0</v>
      </c>
      <c r="BD7" s="248">
        <f>IF($P7=$BD$3,(INDEX('Tables - Part 2'!$AX$17:$BA$24,MATCH(SCC_Chloride!$V7,'Tables - Part 2'!$AV$6:$AV$13,0),MATCH(SCC_Chloride!$Q7,'Tables - Part 2'!$AX$5:$BA$5,0))+INDEX('Tables - Part 2'!$BB$17:$BE$24,MATCH(SCC_Chloride!$V7,'Tables - Part 2'!$AV$6:$AV$13,0),MATCH(SCC_Chloride!$Q7,'Tables - Part 2'!$AX$5:$BA$5,0)))/2,0)</f>
        <v>0</v>
      </c>
      <c r="BE7" s="248">
        <f>IF($P7=$BE$3,(((INDEX('Tables - Part 2'!$AX$17:$BA$24,MATCH(SCC_Chloride!$V7,'Tables - Part 2'!$AV$6:$AV$13,0),MATCH(SCC_Chloride!$Q7,'Tables - Part 2'!$AX$5:$BA$5,0))+INDEX('Tables - Part 2'!$BB$17:$BE$24,MATCH(SCC_Chloride!$V7,'Tables - Part 2'!$AV$6:$AV$13,0),MATCH(SCC_Chloride!$Q7,'Tables - Part 2'!$AX$5:$BA$5,0)))/2)+((((INDEX('Tables - Part 2'!$AX$17:$BA$24,MATCH(SCC_Chloride!$V7,'Tables - Part 2'!$AV$6:$AV$13,0),MATCH(SCC_Chloride!$Q7,'Tables - Part 2'!$AX$5:$BA$5,0))+INDEX('Tables - Part 2'!$BB$17:$BE$24,MATCH(SCC_Chloride!$V7,'Tables - Part 2'!$AV$6:$AV$13,0),MATCH(SCC_Chloride!$Q7,'Tables - Part 2'!$AX$5:$BA$5,0)))/2)+INDEX('Tables - Part 2'!$BB$17:$BE$24,MATCH(SCC_Chloride!$V7,'Tables - Part 2'!$AV$6:$AV$13,0),MATCH(SCC_Chloride!$Q7,'Tables - Part 2'!$AX$5:$BA$5,0)))/2))/2,0)</f>
        <v>0</v>
      </c>
      <c r="BF7" s="248">
        <f>IF($P7=$BF$3,(((INDEX('Tables - Part 2'!$AX$17:$BA$24,MATCH(SCC_Chloride!$V7,'Tables - Part 2'!$AV$6:$AV$13,0),MATCH(SCC_Chloride!$Q7,'Tables - Part 2'!$AX$5:$BA$5,0))+INDEX('Tables - Part 2'!$BB$17:$BE$24,MATCH(SCC_Chloride!$V7,'Tables - Part 2'!$AV$6:$AV$13,0),MATCH(SCC_Chloride!$Q7,'Tables - Part 2'!$AX$5:$BA$5,0)))/2)+INDEX('Tables - Part 2'!$BB$17:$BE$24,MATCH(SCC_Chloride!$V7,'Tables - Part 2'!$AV$6:$AV$13,0),MATCH(SCC_Chloride!$Q7,'Tables - Part 2'!$AX$5:$BA$5,0)))/2,0)</f>
        <v>0</v>
      </c>
      <c r="BG7" s="248">
        <f>IF($P7=$BG$3,(((((INDEX('Tables - Part 2'!$AX$17:$BA$24,MATCH(SCC_Chloride!$V7,'Tables - Part 2'!$AV$6:$AV$13,0),MATCH(SCC_Chloride!$Q7,'Tables - Part 2'!$AX$5:$BA$5,0))+INDEX('Tables - Part 2'!$BB$17:$BE$24,MATCH(SCC_Chloride!$V7,'Tables - Part 2'!$AV$6:$AV$13,0),MATCH(SCC_Chloride!$Q7,'Tables - Part 2'!$AX$5:$BA$5,0)))/2)+INDEX('Tables - Part 2'!$BB$17:$BE$24,MATCH(SCC_Chloride!$V7,'Tables - Part 2'!$AV$6:$AV$13,0),MATCH(SCC_Chloride!$Q7,'Tables - Part 2'!$AX$5:$BA$5,0)))/2)+(INDEX('Tables - Part 2'!$BB$17:$BE$24,MATCH(SCC_Chloride!$V7,'Tables - Part 2'!$AV$6:$AV$13,0),MATCH(SCC_Chloride!$Q7,'Tables - Part 2'!$AX$5:$BA$5,0))))/2,0)</f>
        <v>0</v>
      </c>
      <c r="BH7" s="248">
        <f>IF($P7=$BH$3,INDEX('Tables - Part 2'!$BB$17:$BE$24,MATCH(SCC_Chloride!$V7,'Tables - Part 2'!$AV$6:$AV$13,0),MATCH(SCC_Chloride!$Q7,'Tables - Part 2'!$AX$5:$BA$5,0)),0)</f>
        <v>0</v>
      </c>
      <c r="BI7" s="248">
        <f>IF($P7=$BI$3,((INDEX('Tables - Part 2'!$BB$17:$BE$24,MATCH(SCC_Chloride!$V7,'Tables - Part 2'!$AV$6:$AV$13,0),MATCH(SCC_Chloride!$Q7,'Tables - Part 2'!$AX$5:$BA$5,0)))+(((INDEX('Tables - Part 2'!$BB$17:$BE$24,MATCH(SCC_Chloride!$V7,'Tables - Part 2'!$AV$6:$AV$13,0),MATCH(SCC_Chloride!$Q7,'Tables - Part 2'!$AX$5:$BA$5,0)))+(INDEX('Tables - Part 2'!$BB$17:$BE$24,MATCH(SCC_Chloride!$V7,'Tables - Part 2'!$AV$6:$AV$13,0),MATCH(SCC_Chloride!$Q7,'Tables - Part 2'!$AX$5:$BA$5,0))+INDEX('Tables - Part 2'!$BF$17:$BI$24,MATCH(SCC_Chloride!$V7,'Tables - Part 2'!$AV$6:$AV$13,0),MATCH(SCC_Chloride!$Q7,'Tables - Part 2'!$AX$5:$BA$5,0)))/2)/2))/2,0)</f>
        <v>0</v>
      </c>
      <c r="BJ7" s="248">
        <f>IF($P7=$BJ$3,((INDEX('Tables - Part 2'!$BB$17:$BE$24,MATCH(SCC_Chloride!$V7,'Tables - Part 2'!$AV$6:$AV$13,0),MATCH(SCC_Chloride!$Q7,'Tables - Part 2'!$AX$5:$BA$5,0)))+(INDEX('Tables - Part 2'!$BB$17:$BE$24,MATCH(SCC_Chloride!$V7,'Tables - Part 2'!$AV$6:$AV$13,0),MATCH(SCC_Chloride!$Q7,'Tables - Part 2'!$AX$5:$BA$5,0))+INDEX('Tables - Part 2'!$BF$17:$BI$24,MATCH(SCC_Chloride!$V7,'Tables - Part 2'!$AV$6:$AV$13,0),MATCH(SCC_Chloride!$Q7,'Tables - Part 2'!$AX$5:$BA$5,0)))/2)/2,0)</f>
        <v>0</v>
      </c>
      <c r="BK7" s="248">
        <f>IF($P7=$BK$3,((((INDEX('Tables - Part 2'!$BB$17:$BE$24,MATCH(SCC_Chloride!$V7,'Tables - Part 2'!$AV$6:$AV$13,0),MATCH(SCC_Chloride!$Q7,'Tables - Part 2'!$AX$5:$BA$5,0)))+(INDEX('Tables - Part 2'!$BB$17:$BE$24,MATCH(SCC_Chloride!$V7,'Tables - Part 2'!$AV$6:$AV$13,0),MATCH(SCC_Chloride!$Q7,'Tables - Part 2'!$AX$5:$BA$5,0))+INDEX('Tables - Part 2'!$BF$17:$BI$24,MATCH(SCC_Chloride!$V7,'Tables - Part 2'!$AV$6:$AV$13,0),MATCH(SCC_Chloride!$Q7,'Tables - Part 2'!$AX$5:$BA$5,0)))/2)/2)+((INDEX('Tables - Part 2'!$BB$17:$BE$24,MATCH(SCC_Chloride!$V7,'Tables - Part 2'!$AV$6:$AV$13,0),MATCH(SCC_Chloride!$Q7,'Tables - Part 2'!$AX$5:$BA$5,0))+INDEX('Tables - Part 2'!$BF$17:$BI$24,MATCH(SCC_Chloride!$V7,'Tables - Part 2'!$AV$6:$AV$13,0),MATCH(SCC_Chloride!$Q7,'Tables - Part 2'!$AX$5:$BA$5,0)))/2))/2,0)</f>
        <v>0</v>
      </c>
      <c r="BL7" s="248">
        <f>IF($P7=$BL$3,(INDEX('Tables - Part 2'!$BB$17:$BE$24,MATCH(SCC_Chloride!$V7,'Tables - Part 2'!$AV$6:$AV$13,0),MATCH(SCC_Chloride!$Q7,'Tables - Part 2'!$AX$5:$BA$5,0))+INDEX('Tables - Part 2'!$BF$17:$BI$24,MATCH(SCC_Chloride!$V7,'Tables - Part 2'!$AV$6:$AV$13,0),MATCH(SCC_Chloride!$Q7,'Tables - Part 2'!$AX$5:$BA$5,0)))/2,0)</f>
        <v>0</v>
      </c>
      <c r="BM7" s="248">
        <f>IF($P7=$BM$3,(((INDEX('Tables - Part 2'!$BB$17:$BE$24,MATCH(SCC_Chloride!$V7,'Tables - Part 2'!$AV$6:$AV$13,0),MATCH(SCC_Chloride!$Q7,'Tables - Part 2'!$AX$5:$BA$5,0))+INDEX('Tables - Part 2'!$BF$17:$BI$24,MATCH(SCC_Chloride!$V7,'Tables - Part 2'!$AV$6:$AV$13,0),MATCH(SCC_Chloride!$Q7,'Tables - Part 2'!$AX$5:$BA$5,0)))/2)+((((INDEX('Tables - Part 2'!$BB$17:$BE$24,MATCH(SCC_Chloride!$V7,'Tables - Part 2'!$AV$6:$AV$13,0),MATCH(SCC_Chloride!$Q7,'Tables - Part 2'!$AX$5:$BA$5,0))+INDEX('Tables - Part 2'!$BF$17:$BI$24,MATCH(SCC_Chloride!$V7,'Tables - Part 2'!$AV$6:$AV$13,0),MATCH(SCC_Chloride!$Q7,'Tables - Part 2'!$AX$5:$BA$5,0)))/2)+INDEX('Tables - Part 2'!$BF$17:$BI$24,MATCH(SCC_Chloride!$V7,'Tables - Part 2'!$AV$6:$AV$13,0),MATCH(SCC_Chloride!$Q7,'Tables - Part 2'!$AX$5:$BA$5,0)))/2))/2,0)</f>
        <v>0</v>
      </c>
      <c r="BN7" s="248">
        <f>IF($P7=$BN$3,(((INDEX('Tables - Part 2'!$BB$17:$BE$24,MATCH(SCC_Chloride!$V7,'Tables - Part 2'!$AV$6:$AV$13,0),MATCH(SCC_Chloride!$Q7,'Tables - Part 2'!$AX$5:$BA$5,0))+INDEX('Tables - Part 2'!$BF$17:$BI$24,MATCH(SCC_Chloride!$V7,'Tables - Part 2'!$AV$6:$AV$13,0),MATCH(SCC_Chloride!$Q7,'Tables - Part 2'!$AX$5:$BA$5,0)))/2)+INDEX('Tables - Part 2'!$BF$17:$BI$24,MATCH(SCC_Chloride!$V7,'Tables - Part 2'!$AV$6:$AV$13,0),MATCH(SCC_Chloride!$Q7,'Tables - Part 2'!$AX$5:$BA$5,0)))/2,0)</f>
        <v>0</v>
      </c>
      <c r="BO7" s="248">
        <f>IF($P7=$BO$3,(((((INDEX('Tables - Part 2'!$BB$17:$BE$24,MATCH(SCC_Chloride!$V7,'Tables - Part 2'!$AV$6:$AV$13,0),MATCH(SCC_Chloride!$Q7,'Tables - Part 2'!$AX$5:$BA$5,0))+INDEX('Tables - Part 2'!$BF$17:$BI$24,MATCH(SCC_Chloride!$V7,'Tables - Part 2'!$AV$6:$AV$13,0),MATCH(SCC_Chloride!$Q7,'Tables - Part 2'!$AX$5:$BA$5,0)))/2)+INDEX('Tables - Part 2'!$BF$17:$BI$24,MATCH(SCC_Chloride!$V7,'Tables - Part 2'!$AV$6:$AV$13,0),MATCH(SCC_Chloride!$Q7,'Tables - Part 2'!$AX$5:$BA$5,0)))/2)+(INDEX('Tables - Part 2'!$BF$17:$BI$24,MATCH(SCC_Chloride!$V7,'Tables - Part 2'!$AV$6:$AV$13,0),MATCH(SCC_Chloride!$Q7,'Tables - Part 2'!$AX$5:$BA$5,0))))/2,0)</f>
        <v>0</v>
      </c>
      <c r="BP7" s="248">
        <f>IF($P7=$BP$3,INDEX('Tables - Part 2'!$BF$17:$BI$24,MATCH(SCC_Chloride!$V7,'Tables - Part 2'!$AV$6:$AV$13,0),MATCH(SCC_Chloride!$Q7,'Tables - Part 2'!$AX$5:$BA$5,0)),0)</f>
        <v>0</v>
      </c>
      <c r="BQ7" s="248">
        <f t="shared" si="5"/>
        <v>0</v>
      </c>
      <c r="BR7" s="238">
        <f t="shared" si="9"/>
        <v>1.5</v>
      </c>
      <c r="BS7" s="238">
        <f t="shared" si="6"/>
        <v>25.159323702612586</v>
      </c>
    </row>
    <row r="8" spans="2:84" x14ac:dyDescent="0.35">
      <c r="B8" s="161" t="str">
        <f>'Tratamento de Dados'!B16</f>
        <v>V-13</v>
      </c>
      <c r="C8" s="161" t="str">
        <f>'Tratamento de Dados'!D16</f>
        <v>Casco</v>
      </c>
      <c r="D8" s="209" t="s">
        <v>245</v>
      </c>
      <c r="E8" s="209" t="s">
        <v>61</v>
      </c>
      <c r="F8" s="209">
        <v>10</v>
      </c>
      <c r="G8" s="209" t="s">
        <v>1167</v>
      </c>
      <c r="H8" s="247">
        <f>'Tratamento de Dados'!S16</f>
        <v>2</v>
      </c>
      <c r="I8" s="210">
        <v>39092</v>
      </c>
      <c r="J8" s="209">
        <v>0</v>
      </c>
      <c r="K8" s="209">
        <v>1</v>
      </c>
      <c r="L8" s="209">
        <v>1</v>
      </c>
      <c r="M8" s="209">
        <v>4</v>
      </c>
      <c r="N8" s="253">
        <f>'Tratamento de Dados'!DA16</f>
        <v>0</v>
      </c>
      <c r="O8" s="253">
        <f>'Tratamento de Dados'!DB16</f>
        <v>0</v>
      </c>
      <c r="P8" s="256">
        <f t="shared" si="0"/>
        <v>2.5</v>
      </c>
      <c r="Q8" s="246" t="str">
        <f t="shared" si="1"/>
        <v>B</v>
      </c>
      <c r="R8" s="246" t="str">
        <f>IF(H8&lt;=38,'Tables - Part 2'!$DO$6,IF(H8&lt;=66,'Tables - Part 2'!$DO$7,IF(H8&lt;=93,'Tables - Part 2'!$DO$8,IF(H8&lt;=149,'Tables - Part 2'!$DO$9,'Tables - Part 2'!$DO$10))))</f>
        <v>≤38</v>
      </c>
      <c r="S8" s="246" t="str">
        <f>IF(H8&lt;=38,'Tables - Part 2'!$DO$14,IF(H8&lt;=93,'Tables - Part 2'!$DO$15,IF(H8&lt;=149,'Tables - Part 2'!$DO$16,'Tables - Part 2'!$DO$17)))</f>
        <v>≤38</v>
      </c>
      <c r="T8" s="246" t="str">
        <f t="shared" si="7"/>
        <v>≤38</v>
      </c>
      <c r="U8" s="467" t="str">
        <f>IF(D8=$BX$2,$BV$5,INDEX(IF(F8&gt;10,'Tables - Part 2'!$DP$14:$DS$17,'Tables - Part 2'!$DP$6:$DS$10),MATCH(T8,IF(F8&gt;10,'Tables - Part 2'!$DO$14:$DO$17,'Tables - Part 2'!$DO$6:$DO$10),0),MATCH(SCC_Chloride!G8,'Tables - Part 2'!$DP$5:$DS$5,0)))</f>
        <v>Low</v>
      </c>
      <c r="V8" s="238">
        <f>IF(AND(D8=$BX$2,E8&lt;&gt;$BX$2),"Fitness-For-Service",INDEX('Tables - Part 2'!$DV$4:$DV$7,MATCH(SCC_Chloride!U8,'Tables - Part 2'!$DU$4:$DU$7,0),))</f>
        <v>50</v>
      </c>
      <c r="W8" s="238">
        <f>IF(I8=0,(Thinning!G9-Thinning!F9)/365.25,(Thinning!G9-I8)/365.25)</f>
        <v>12.980150581793293</v>
      </c>
      <c r="X8" s="248">
        <f t="shared" si="2"/>
        <v>0</v>
      </c>
      <c r="Y8" s="248">
        <f t="shared" si="3"/>
        <v>2.5</v>
      </c>
      <c r="Z8" s="247">
        <f t="shared" si="8"/>
        <v>3</v>
      </c>
      <c r="AA8" s="247">
        <f t="shared" si="4"/>
        <v>4</v>
      </c>
      <c r="AB8" s="248">
        <f>IF($P8=$AB$3,INDEX('Tables - Part 2'!$AX$6:$BA$13,MATCH(SCC_Chloride!V8,'Tables - Part 2'!$AV$6:$AV$13,0),MATCH(SCC_Chloride!Q8,'Tables - Part 2'!$AX$5:$BA$5,0)),0)</f>
        <v>0</v>
      </c>
      <c r="AC8" s="248">
        <f>IF($P8=$AC$3,(INDEX('Tables - Part 2'!$AX$6:$BA$13,MATCH(SCC_Chloride!V8,'Tables - Part 2'!$AV$6:$AV$13,0),MATCH(SCC_Chloride!Q8,'Tables - Part 2'!$AX$5:$BA$5,0))+(INDEX('Tables - Part 2'!$AX$6:$BA$13,MATCH(SCC_Chloride!V8,'Tables - Part 2'!$AV$6:$AV$13,0),MATCH(SCC_Chloride!Q8,'Tables - Part 2'!$AX$5:$BA$5,0))+((INDEX('Tables - Part 2'!$AX$6:$BA$13,MATCH(SCC_Chloride!V8,'Tables - Part 2'!$AV$6:$AV$13,0),MATCH(SCC_Chloride!Q8,'Tables - Part 2'!$AX$5:$BA$5,0))+INDEX('Tables - Part 2'!$BB$6:$BE$13,MATCH(SCC_Chloride!$V8,'Tables - Part 2'!$AV$6:$AV$13,0),MATCH(SCC_Chloride!$Q8,'Tables - Part 2'!$AX$5:$BA$5,0)))/2))/2)/2,0)</f>
        <v>0</v>
      </c>
      <c r="AD8" s="248">
        <f>IF($P8=$AD$3,(INDEX('Tables - Part 2'!$AX$6:$BA$13,MATCH(SCC_Chloride!V8,'Tables - Part 2'!$AV$6:$AV$13,0),MATCH(SCC_Chloride!Q8,'Tables - Part 2'!$AX$5:$BA$5,0))+((INDEX('Tables - Part 2'!$AX$6:$BA$13,MATCH(SCC_Chloride!V8,'Tables - Part 2'!$AV$6:$AV$13,0),MATCH(SCC_Chloride!Q8,'Tables - Part 2'!$AX$5:$BA$5,0))+INDEX('Tables - Part 2'!$BB$6:$BE$13,MATCH(SCC_Chloride!$V8,'Tables - Part 2'!$AV$6:$AV$13,0),MATCH(SCC_Chloride!$Q8,'Tables - Part 2'!$AX$5:$BA$5,0)))/2))/2,0)</f>
        <v>0</v>
      </c>
      <c r="AE8" s="248">
        <f>IF($P8=$AE$3,(((INDEX('Tables - Part 2'!$AX$6:$BA$13,MATCH(SCC_Chloride!V8,'Tables - Part 2'!$AV$6:$AV$13,0),MATCH(SCC_Chloride!Q8,'Tables - Part 2'!$AX$5:$BA$5,0))+((INDEX('Tables - Part 2'!$AX$6:$BA$13,MATCH(SCC_Chloride!V8,'Tables - Part 2'!$AV$6:$AV$13,0),MATCH(SCC_Chloride!Q8,'Tables - Part 2'!$AX$5:$BA$5,0))+INDEX('Tables - Part 2'!$BB$6:$BE$13,MATCH(SCC_Chloride!$V8,'Tables - Part 2'!$AV$6:$AV$13,0),MATCH(SCC_Chloride!$Q8,'Tables - Part 2'!$AX$5:$BA$5,0)))/2))/2)+(INDEX('Tables - Part 2'!$AX$6:$BA$13,MATCH(SCC_Chloride!V8,'Tables - Part 2'!$AV$6:$AV$13,0),MATCH(SCC_Chloride!Q8,'Tables - Part 2'!$AX$5:$BA$5,0))+INDEX('Tables - Part 2'!$BB$6:$BE$13,MATCH(SCC_Chloride!$V8,'Tables - Part 2'!$AV$6:$AV$13,0),MATCH(SCC_Chloride!$Q8,'Tables - Part 2'!$AX$5:$BA$5,0)))/2)/2,0)</f>
        <v>0</v>
      </c>
      <c r="AF8" s="248">
        <f>IF($P8=$AF$3,(INDEX('Tables - Part 2'!$AX$6:$BA$13,MATCH(SCC_Chloride!V8,'Tables - Part 2'!$AV$6:$AV$13,0),MATCH(SCC_Chloride!Q8,'Tables - Part 2'!$AX$5:$BA$5,0))+INDEX('Tables - Part 2'!$BB$6:$BE$13,MATCH(SCC_Chloride!$V8,'Tables - Part 2'!$AV$6:$AV$13,0),MATCH(SCC_Chloride!$Q8,'Tables - Part 2'!$AX$5:$BA$5,0)))/2,0)</f>
        <v>0</v>
      </c>
      <c r="AG8" s="248">
        <f>IF($P8=$AG$3,(((INDEX('Tables - Part 2'!$AX$6:$BA$13,MATCH(SCC_Chloride!V8,'Tables - Part 2'!$AV$6:$AV$13,0),MATCH(SCC_Chloride!Q8,'Tables - Part 2'!$AX$5:$BA$5,0))+INDEX('Tables - Part 2'!$BB$6:$BE$13,MATCH(SCC_Chloride!$V8,'Tables - Part 2'!$AV$6:$AV$13,0),MATCH(SCC_Chloride!$Q8,'Tables - Part 2'!$AX$5:$BA$5,0)))/2)+(((INDEX('Tables - Part 2'!$AX$6:$BA$13,MATCH(SCC_Chloride!V8,'Tables - Part 2'!$AV$6:$AV$13,0),MATCH(SCC_Chloride!Q8,'Tables - Part 2'!$AX$5:$BA$5,0))+INDEX('Tables - Part 2'!$BB$6:$BE$13,MATCH(SCC_Chloride!$V8,'Tables - Part 2'!$AV$6:$AV$13,0),MATCH(SCC_Chloride!$Q8,'Tables - Part 2'!$AX$5:$BA$5,0)))/2)+INDEX('Tables - Part 2'!$BB$6:$BE$13,MATCH(SCC_Chloride!$V8,'Tables - Part 2'!$AV$6:$AV$13,0),MATCH(SCC_Chloride!$Q8,'Tables - Part 2'!$AX$5:$BA$5,0)))/2)/2,0)</f>
        <v>0</v>
      </c>
      <c r="AH8" s="248">
        <f>IF($P8=$AH$3,(((INDEX('Tables - Part 2'!$AX$6:$BA$13,MATCH(SCC_Chloride!V8,'Tables - Part 2'!$AV$6:$AV$13,0),MATCH(SCC_Chloride!Q8,'Tables - Part 2'!$AX$5:$BA$5,0))+INDEX('Tables - Part 2'!$BB$6:$BE$13,MATCH(SCC_Chloride!$V8,'Tables - Part 2'!$AV$6:$AV$13,0),MATCH(SCC_Chloride!$Q8,'Tables - Part 2'!$AX$5:$BA$5,0)))/2)+INDEX('Tables - Part 2'!$BB$6:$BE$13,MATCH(SCC_Chloride!$V8,'Tables - Part 2'!$AV$6:$AV$13,0),MATCH(SCC_Chloride!$Q8,'Tables - Part 2'!$AX$5:$BA$5,0)))/2,0)</f>
        <v>0</v>
      </c>
      <c r="AI8" s="248">
        <f>IF($P8=$AI$3,(((((INDEX('Tables - Part 2'!$AX$6:$BA$13,MATCH(SCC_Chloride!V8,'Tables - Part 2'!$AV$6:$AV$13,0),MATCH(SCC_Chloride!Q8,'Tables - Part 2'!$AX$5:$BA$5,0))+INDEX('Tables - Part 2'!$BB$6:$BE$13,MATCH(SCC_Chloride!$V8,'Tables - Part 2'!$AV$6:$AV$13,0),MATCH(SCC_Chloride!$Q8,'Tables - Part 2'!$AX$5:$BA$5,0)))/2)+INDEX('Tables - Part 2'!$BB$6:$BE$13,MATCH(SCC_Chloride!$V8,'Tables - Part 2'!$AV$6:$AV$13,0),MATCH(SCC_Chloride!$Q8,'Tables - Part 2'!$AX$5:$BA$5,0)))/2)+INDEX('Tables - Part 2'!$BB$6:$BE$13,MATCH(SCC_Chloride!$V8,'Tables - Part 2'!$AV$6:$AV$13,0),MATCH(SCC_Chloride!$Q8,'Tables - Part 2'!$AX$5:$BA$5,0)))/2,0)</f>
        <v>0</v>
      </c>
      <c r="AJ8" s="248">
        <f>IF($P8=$AJ$3,INDEX('Tables - Part 2'!$BB$6:$BE$13,MATCH(SCC_Chloride!$V8,'Tables - Part 2'!$AV$6:$AV$13,0),MATCH(SCC_Chloride!$Q8,'Tables - Part 2'!$AX$5:$BA$5,0)),0)</f>
        <v>0</v>
      </c>
      <c r="AK8" s="248">
        <f>IF($P8=$AK$3,((INDEX('Tables - Part 2'!$BB$6:$BE$13,MATCH(SCC_Chloride!$V8,'Tables - Part 2'!$AV$6:$AV$13,0),MATCH(SCC_Chloride!$Q8,'Tables - Part 2'!$AX$5:$BA$5,0)))+(INDEX('Tables - Part 2'!$BB$6:$BE$13,MATCH(SCC_Chloride!$V8,'Tables - Part 2'!$AV$6:$AV$13,0),MATCH(SCC_Chloride!$Q8,'Tables - Part 2'!$AX$5:$BA$5,0))+(INDEX('Tables - Part 2'!$BB$6:$BE$13,MATCH(SCC_Chloride!$V8,'Tables - Part 2'!$AV$6:$AV$13,0),MATCH(SCC_Chloride!$Q8,'Tables - Part 2'!$AX$5:$BA$5,0))+INDEX('Tables - Part 2'!$BF$6:$BI$13,MATCH(SCC_Chloride!$V8,'Tables - Part 2'!$AV$6:$AV$13,0),MATCH(SCC_Chloride!$Q8,'Tables - Part 2'!$AX$5:$BA$5,0)))/2)/2)/2,0)</f>
        <v>0</v>
      </c>
      <c r="AL8" s="248">
        <f>IF($P8=$AL$3,(INDEX('Tables - Part 2'!$BB$6:$BE$13,MATCH(SCC_Chloride!$V8,'Tables - Part 2'!$AV$6:$AV$13,0),MATCH(SCC_Chloride!$Q8,'Tables - Part 2'!$AX$5:$BA$5,0))+(INDEX('Tables - Part 2'!$BB$6:$BE$13,MATCH(SCC_Chloride!$V8,'Tables - Part 2'!$AV$6:$AV$13,0),MATCH(SCC_Chloride!$Q8,'Tables - Part 2'!$AX$5:$BA$5,0))+INDEX('Tables - Part 2'!$BF$6:$BI$13,MATCH(SCC_Chloride!$V8,'Tables - Part 2'!$AV$6:$AV$13,0),MATCH(SCC_Chloride!$Q8,'Tables - Part 2'!$AX$5:$BA$5,0)))/2)/2,0)</f>
        <v>0</v>
      </c>
      <c r="AM8" s="248">
        <f>IF($P8=$AM$3,(((INDEX('Tables - Part 2'!$BB$6:$BE$13,MATCH(SCC_Chloride!$V8,'Tables - Part 2'!$AV$6:$AV$13,0),MATCH(SCC_Chloride!$Q8,'Tables - Part 2'!$AX$5:$BA$5,0))+(INDEX('Tables - Part 2'!$BB$6:$BE$13,MATCH(SCC_Chloride!$V8,'Tables - Part 2'!$AV$6:$AV$13,0),MATCH(SCC_Chloride!$Q8,'Tables - Part 2'!$AX$5:$BA$5,0))+INDEX('Tables - Part 2'!$BF$6:$BI$13,MATCH(SCC_Chloride!$V8,'Tables - Part 2'!$AV$6:$AV$13,0),MATCH(SCC_Chloride!$Q8,'Tables - Part 2'!$AX$5:$BA$5,0)))/2)/2)+((INDEX('Tables - Part 2'!$BB$6:$BE$13,MATCH(SCC_Chloride!$V8,'Tables - Part 2'!$AV$6:$AV$13,0),MATCH(SCC_Chloride!$Q8,'Tables - Part 2'!$AX$5:$BA$5,0))+INDEX('Tables - Part 2'!$BF$6:$BI$13,MATCH(SCC_Chloride!$V8,'Tables - Part 2'!$AV$6:$AV$13,0),MATCH(SCC_Chloride!$Q8,'Tables - Part 2'!$AX$5:$BA$5,0)))/2))/2,0)</f>
        <v>0</v>
      </c>
      <c r="AN8" s="248">
        <f>IF($P8=$AN$3,(INDEX('Tables - Part 2'!$BB$6:$BE$13,MATCH(SCC_Chloride!$V8,'Tables - Part 2'!$AV$6:$AV$13,0),MATCH(SCC_Chloride!$Q8,'Tables - Part 2'!$AX$5:$BA$5,0))+INDEX('Tables - Part 2'!$BF$6:$BI$13,MATCH(SCC_Chloride!$V8,'Tables - Part 2'!$AV$6:$AV$13,0),MATCH(SCC_Chloride!$Q8,'Tables - Part 2'!$AX$5:$BA$5,0)))/2,0)</f>
        <v>1.5</v>
      </c>
      <c r="AO8" s="248">
        <f>IF($P8=$AO$3,(((INDEX('Tables - Part 2'!$BB$6:$BE$13,MATCH(SCC_Chloride!$V8,'Tables - Part 2'!$AV$6:$AV$13,0),MATCH(SCC_Chloride!$Q8,'Tables - Part 2'!$AX$5:$BA$5,0))+INDEX('Tables - Part 2'!$BF$6:$BI$13,MATCH(SCC_Chloride!$V8,'Tables - Part 2'!$AV$6:$AV$13,0),MATCH(SCC_Chloride!$Q8,'Tables - Part 2'!$AX$5:$BA$5,0)))/2)+((((INDEX('Tables - Part 2'!$BB$6:$BE$13,MATCH(SCC_Chloride!$V8,'Tables - Part 2'!$AV$6:$AV$13,0),MATCH(SCC_Chloride!$Q8,'Tables - Part 2'!$AX$5:$BA$5,0))+INDEX('Tables - Part 2'!$BF$6:$BI$13,MATCH(SCC_Chloride!$V8,'Tables - Part 2'!$AV$6:$AV$13,0),MATCH(SCC_Chloride!$Q8,'Tables - Part 2'!$AX$5:$BA$5,0)))/2)+INDEX('Tables - Part 2'!$BF$6:$BI$13,MATCH(SCC_Chloride!$V8,'Tables - Part 2'!$AV$6:$AV$13,0),MATCH(SCC_Chloride!$Q8,'Tables - Part 2'!$AX$5:$BA$5,0)))/2))/2,0)</f>
        <v>0</v>
      </c>
      <c r="AP8" s="248">
        <f>IF($P8=$AP$3,(((INDEX('Tables - Part 2'!$BB$6:$BE$13,MATCH(SCC_Chloride!$V8,'Tables - Part 2'!$AV$6:$AV$13,0),MATCH(SCC_Chloride!$Q8,'Tables - Part 2'!$AX$5:$BA$5,0))+INDEX('Tables - Part 2'!$BF$6:$BI$13,MATCH(SCC_Chloride!$V8,'Tables - Part 2'!$AV$6:$AV$13,0),MATCH(SCC_Chloride!$Q8,'Tables - Part 2'!$AX$5:$BA$5,0)))/2)+INDEX('Tables - Part 2'!$BF$6:$BI$13,MATCH(SCC_Chloride!$V8,'Tables - Part 2'!$AV$6:$AV$13,0),MATCH(SCC_Chloride!$Q8,'Tables - Part 2'!$AX$5:$BA$5,0)))/2,0)</f>
        <v>0</v>
      </c>
      <c r="AQ8" s="248">
        <f>IF($P8=$AQ$3,(((((INDEX('Tables - Part 2'!$BB$6:$BE$13,MATCH(SCC_Chloride!$V8,'Tables - Part 2'!$AV$6:$AV$13,0),MATCH(SCC_Chloride!$Q8,'Tables - Part 2'!$AX$5:$BA$5,0))+INDEX('Tables - Part 2'!$BF$6:$BI$13,MATCH(SCC_Chloride!$V8,'Tables - Part 2'!$AV$6:$AV$13,0),MATCH(SCC_Chloride!$Q8,'Tables - Part 2'!$AX$5:$BA$5,0)))/2)+INDEX('Tables - Part 2'!$BF$6:$BI$13,MATCH(SCC_Chloride!$V8,'Tables - Part 2'!$AV$6:$AV$13,0),MATCH(SCC_Chloride!$Q8,'Tables - Part 2'!$AX$5:$BA$5,0)))/2)+INDEX('Tables - Part 2'!$BF$6:$BI$13,MATCH(SCC_Chloride!$V8,'Tables - Part 2'!$AV$6:$AV$13,0),MATCH(SCC_Chloride!$Q8,'Tables - Part 2'!$AX$5:$BA$5,0)))/2,0)</f>
        <v>0</v>
      </c>
      <c r="AR8" s="248">
        <f>IF($P8=$AR$3,INDEX('Tables - Part 2'!$BF$6:$BI$13,MATCH(SCC_Chloride!$V8,'Tables - Part 2'!$AV$6:$AV$13,0),MATCH(SCC_Chloride!$Q8,'Tables - Part 2'!$AX$5:$BA$5,0)),0)</f>
        <v>0</v>
      </c>
      <c r="AS8" s="248">
        <f>IF($P8=$AS$3,(INDEX('Tables - Part 2'!$BF$6:$BI$13,MATCH(SCC_Chloride!$V8,'Tables - Part 2'!$AV$6:$AV$13,0),MATCH(SCC_Chloride!$Q8,'Tables - Part 2'!$AX$5:$BA$5,0))+((INDEX('Tables - Part 2'!$BF$6:$BI$13,MATCH(SCC_Chloride!$V8,'Tables - Part 2'!$AV$6:$AV$13,0),MATCH(SCC_Chloride!$Q8,'Tables - Part 2'!$AX$5:$BA$5,0))+(INDEX('Tables - Part 2'!$BF$6:$BI$13,MATCH(SCC_Chloride!$V8,'Tables - Part 2'!$AV$6:$AV$13,0),MATCH(SCC_Chloride!$Q8,'Tables - Part 2'!$AX$5:$BA$5,0))+INDEX('Tables - Part 2'!$AX$17:$BA$24,MATCH(SCC_Chloride!$V8,'Tables - Part 2'!$AV$6:$AV$13,0),MATCH(SCC_Chloride!$Q8,'Tables - Part 2'!$AX$5:$BA$5,0)))/2)/2))/2,0)</f>
        <v>0</v>
      </c>
      <c r="AT8" s="248">
        <f>IF($P8=$AT$3,(INDEX('Tables - Part 2'!$BF$6:$BI$13,MATCH(SCC_Chloride!$V8,'Tables - Part 2'!$AV$6:$AV$13,0),MATCH(SCC_Chloride!$Q8,'Tables - Part 2'!$AX$5:$BA$5,0))+(INDEX('Tables - Part 2'!$BF$6:$BI$13,MATCH(SCC_Chloride!$V8,'Tables - Part 2'!$AV$6:$AV$13,0),MATCH(SCC_Chloride!$Q8,'Tables - Part 2'!$AX$5:$BA$5,0))+INDEX('Tables - Part 2'!$AX$17:$BA$24,MATCH(SCC_Chloride!$V8,'Tables - Part 2'!$AV$6:$AV$13,0),MATCH(SCC_Chloride!$Q8,'Tables - Part 2'!$AX$5:$BA$5,0)))/2)/2,0)</f>
        <v>0</v>
      </c>
      <c r="AU8" s="248">
        <f>IF($P8=$AU$3,(((INDEX('Tables - Part 2'!$BF$6:$BI$13,MATCH(SCC_Chloride!$V8,'Tables - Part 2'!$AV$6:$AV$13,0),MATCH(SCC_Chloride!$Q8,'Tables - Part 2'!$AX$5:$BA$5,0))+(INDEX('Tables - Part 2'!$BF$6:$BI$13,MATCH(SCC_Chloride!$V8,'Tables - Part 2'!$AV$6:$AV$13,0),MATCH(SCC_Chloride!$Q8,'Tables - Part 2'!$AX$5:$BA$5,0))+INDEX('Tables - Part 2'!$AX$17:$BA$24,MATCH(SCC_Chloride!$V8,'Tables - Part 2'!$AV$6:$AV$13,0),MATCH(SCC_Chloride!$Q8,'Tables - Part 2'!$AX$5:$BA$5,0)))/2)/2)+((INDEX('Tables - Part 2'!$BF$6:$BI$13,MATCH(SCC_Chloride!$V8,'Tables - Part 2'!$AV$6:$AV$13,0),MATCH(SCC_Chloride!$Q8,'Tables - Part 2'!$AX$5:$BA$5,0))+INDEX('Tables - Part 2'!$AX$17:$BA$24,MATCH(SCC_Chloride!$V8,'Tables - Part 2'!$AV$6:$AV$13,0),MATCH(SCC_Chloride!$Q8,'Tables - Part 2'!$AX$5:$BA$5,0)))/2))/2,0)</f>
        <v>0</v>
      </c>
      <c r="AV8" s="248">
        <f>IF($P8=$AV$3,(INDEX('Tables - Part 2'!$BF$6:$BI$13,MATCH(SCC_Chloride!$V8,'Tables - Part 2'!$AV$6:$AV$13,0),MATCH(SCC_Chloride!$Q8,'Tables - Part 2'!$AX$5:$BA$5,0))+INDEX('Tables - Part 2'!$AX$17:$BA$24,MATCH(SCC_Chloride!$V8,'Tables - Part 2'!$AV$6:$AV$13,0),MATCH(SCC_Chloride!$Q8,'Tables - Part 2'!$AX$5:$BA$5,0)))/2,0)</f>
        <v>0</v>
      </c>
      <c r="AW8" s="248">
        <f>IF($P8=$AW$3,(((INDEX('Tables - Part 2'!$BF$6:$BI$13,MATCH(SCC_Chloride!$V8,'Tables - Part 2'!$AV$6:$AV$13,0),MATCH(SCC_Chloride!$Q8,'Tables - Part 2'!$AX$5:$BA$5,0))+INDEX('Tables - Part 2'!$AX$17:$BA$24,MATCH(SCC_Chloride!$V8,'Tables - Part 2'!$AV$6:$AV$13,0),MATCH(SCC_Chloride!$Q8,'Tables - Part 2'!$AX$5:$BA$5,0)))/2)+((((INDEX('Tables - Part 2'!$BF$6:$BI$13,MATCH(SCC_Chloride!$V8,'Tables - Part 2'!$AV$6:$AV$13,0),MATCH(SCC_Chloride!$Q8,'Tables - Part 2'!$AX$5:$BA$5,0))+INDEX('Tables - Part 2'!$AX$17:$BA$24,MATCH(SCC_Chloride!$V8,'Tables - Part 2'!$AV$6:$AV$13,0),MATCH(SCC_Chloride!$Q8,'Tables - Part 2'!$AX$5:$BA$5,0)))/2)+INDEX('Tables - Part 2'!$AX$17:$BA$24,MATCH(SCC_Chloride!$V8,'Tables - Part 2'!$AV$6:$AV$13,0),MATCH(SCC_Chloride!$Q8,'Tables - Part 2'!$AX$5:$BA$5,0)))/2))/2,0)</f>
        <v>0</v>
      </c>
      <c r="AX8" s="248">
        <f>IF($P8=$AX$3,(((INDEX('Tables - Part 2'!$BF$6:$BI$13,MATCH(SCC_Chloride!$V8,'Tables - Part 2'!$AV$6:$AV$13,0),MATCH(SCC_Chloride!$Q8,'Tables - Part 2'!$AX$5:$BA$5,0))+INDEX('Tables - Part 2'!$AX$17:$BA$24,MATCH(SCC_Chloride!$V8,'Tables - Part 2'!$AV$6:$AV$13,0),MATCH(SCC_Chloride!$Q8,'Tables - Part 2'!$AX$5:$BA$5,0)))/2)+INDEX('Tables - Part 2'!$AX$17:$BA$24,MATCH(SCC_Chloride!$V8,'Tables - Part 2'!$AV$6:$AV$13,0),MATCH(SCC_Chloride!$Q8,'Tables - Part 2'!$AX$5:$BA$5,0)))/2,0)</f>
        <v>0</v>
      </c>
      <c r="AY8" s="248">
        <f>IF($P8=$AY$3,(((((INDEX('Tables - Part 2'!$BF$6:$BI$13,MATCH(SCC_Chloride!$V8,'Tables - Part 2'!$AV$6:$AV$13,0),MATCH(SCC_Chloride!$Q8,'Tables - Part 2'!$AX$5:$BA$5,0))+INDEX('Tables - Part 2'!$AX$17:$BA$24,MATCH(SCC_Chloride!$V8,'Tables - Part 2'!$AV$6:$AV$13,0),MATCH(SCC_Chloride!$Q8,'Tables - Part 2'!$AX$5:$BA$5,0)))/2)+INDEX('Tables - Part 2'!$AX$17:$BA$24,MATCH(SCC_Chloride!$V8,'Tables - Part 2'!$AV$6:$AV$13,0),MATCH(SCC_Chloride!$Q8,'Tables - Part 2'!$AX$5:$BA$5,0)))/2)+(INDEX('Tables - Part 2'!$AX$17:$BA$24,MATCH(SCC_Chloride!$V8,'Tables - Part 2'!$AV$6:$AV$13,0),MATCH(SCC_Chloride!$Q8,'Tables - Part 2'!$AX$5:$BA$5,0))))/2,0)</f>
        <v>0</v>
      </c>
      <c r="AZ8" s="248">
        <f>IF($P8=$AZ$3,INDEX('Tables - Part 2'!$AX$17:$BA$24,MATCH(SCC_Chloride!$V8,'Tables - Part 2'!$AV$6:$AV$13,0),MATCH(SCC_Chloride!$Q8,'Tables - Part 2'!$AX$5:$BA$5,0)),0)</f>
        <v>0</v>
      </c>
      <c r="BA8" s="248">
        <f>IF($P8=$BA$3,((INDEX('Tables - Part 2'!$AX$17:$BA$24,MATCH(SCC_Chloride!$V8,'Tables - Part 2'!$AV$6:$AV$13,0),MATCH(SCC_Chloride!$Q8,'Tables - Part 2'!$AX$5:$BA$5,0)))+(((INDEX('Tables - Part 2'!$AX$17:$BA$24,MATCH(SCC_Chloride!$V8,'Tables - Part 2'!$AV$6:$AV$13,0),MATCH(SCC_Chloride!$Q8,'Tables - Part 2'!$AX$5:$BA$5,0)))+(INDEX('Tables - Part 2'!$AX$17:$BA$24,MATCH(SCC_Chloride!$V8,'Tables - Part 2'!$AV$6:$AV$13,0),MATCH(SCC_Chloride!$Q8,'Tables - Part 2'!$AX$5:$BA$5,0))+INDEX('Tables - Part 2'!$BB$17:$BE$24,MATCH(SCC_Chloride!$V8,'Tables - Part 2'!$AV$6:$AV$13,0),MATCH(SCC_Chloride!$Q8,'Tables - Part 2'!$AX$5:$BA$5,0)))/2)/2))/2,0)</f>
        <v>0</v>
      </c>
      <c r="BB8" s="248">
        <f>IF($P8=$BB$3,((INDEX('Tables - Part 2'!$AX$17:$BA$24,MATCH(SCC_Chloride!$V8,'Tables - Part 2'!$AV$6:$AV$13,0),MATCH(SCC_Chloride!$Q8,'Tables - Part 2'!$AX$5:$BA$5,0)))+(INDEX('Tables - Part 2'!$AX$17:$BA$24,MATCH(SCC_Chloride!$V8,'Tables - Part 2'!$AV$6:$AV$13,0),MATCH(SCC_Chloride!$Q8,'Tables - Part 2'!$AX$5:$BA$5,0))+INDEX('Tables - Part 2'!$BB$17:$BE$24,MATCH(SCC_Chloride!$V8,'Tables - Part 2'!$AV$6:$AV$13,0),MATCH(SCC_Chloride!$Q8,'Tables - Part 2'!$AX$5:$BA$5,0)))/2)/2,0)</f>
        <v>0</v>
      </c>
      <c r="BC8" s="248">
        <f>IF($P8=$BC$3,((((INDEX('Tables - Part 2'!$AX$17:$BA$24,MATCH(SCC_Chloride!$V8,'Tables - Part 2'!$AV$6:$AV$13,0),MATCH(SCC_Chloride!$Q8,'Tables - Part 2'!$AX$5:$BA$5,0)))+(INDEX('Tables - Part 2'!$AX$17:$BA$24,MATCH(SCC_Chloride!$V8,'Tables - Part 2'!$AV$6:$AV$13,0),MATCH(SCC_Chloride!$Q8,'Tables - Part 2'!$AX$5:$BA$5,0))+INDEX('Tables - Part 2'!$BB$17:$BE$24,MATCH(SCC_Chloride!$V8,'Tables - Part 2'!$AV$6:$AV$13,0),MATCH(SCC_Chloride!$Q8,'Tables - Part 2'!$AX$5:$BA$5,0)))/2)/2)+((INDEX('Tables - Part 2'!$AX$17:$BA$24,MATCH(SCC_Chloride!$V8,'Tables - Part 2'!$AV$6:$AV$13,0),MATCH(SCC_Chloride!$Q8,'Tables - Part 2'!$AX$5:$BA$5,0))+INDEX('Tables - Part 2'!$BB$17:$BE$24,MATCH(SCC_Chloride!$V8,'Tables - Part 2'!$AV$6:$AV$13,0),MATCH(SCC_Chloride!$Q8,'Tables - Part 2'!$AX$5:$BA$5,0)))/2))/2,0)</f>
        <v>0</v>
      </c>
      <c r="BD8" s="248">
        <f>IF($P8=$BD$3,(INDEX('Tables - Part 2'!$AX$17:$BA$24,MATCH(SCC_Chloride!$V8,'Tables - Part 2'!$AV$6:$AV$13,0),MATCH(SCC_Chloride!$Q8,'Tables - Part 2'!$AX$5:$BA$5,0))+INDEX('Tables - Part 2'!$BB$17:$BE$24,MATCH(SCC_Chloride!$V8,'Tables - Part 2'!$AV$6:$AV$13,0),MATCH(SCC_Chloride!$Q8,'Tables - Part 2'!$AX$5:$BA$5,0)))/2,0)</f>
        <v>0</v>
      </c>
      <c r="BE8" s="248">
        <f>IF($P8=$BE$3,(((INDEX('Tables - Part 2'!$AX$17:$BA$24,MATCH(SCC_Chloride!$V8,'Tables - Part 2'!$AV$6:$AV$13,0),MATCH(SCC_Chloride!$Q8,'Tables - Part 2'!$AX$5:$BA$5,0))+INDEX('Tables - Part 2'!$BB$17:$BE$24,MATCH(SCC_Chloride!$V8,'Tables - Part 2'!$AV$6:$AV$13,0),MATCH(SCC_Chloride!$Q8,'Tables - Part 2'!$AX$5:$BA$5,0)))/2)+((((INDEX('Tables - Part 2'!$AX$17:$BA$24,MATCH(SCC_Chloride!$V8,'Tables - Part 2'!$AV$6:$AV$13,0),MATCH(SCC_Chloride!$Q8,'Tables - Part 2'!$AX$5:$BA$5,0))+INDEX('Tables - Part 2'!$BB$17:$BE$24,MATCH(SCC_Chloride!$V8,'Tables - Part 2'!$AV$6:$AV$13,0),MATCH(SCC_Chloride!$Q8,'Tables - Part 2'!$AX$5:$BA$5,0)))/2)+INDEX('Tables - Part 2'!$BB$17:$BE$24,MATCH(SCC_Chloride!$V8,'Tables - Part 2'!$AV$6:$AV$13,0),MATCH(SCC_Chloride!$Q8,'Tables - Part 2'!$AX$5:$BA$5,0)))/2))/2,0)</f>
        <v>0</v>
      </c>
      <c r="BF8" s="248">
        <f>IF($P8=$BF$3,(((INDEX('Tables - Part 2'!$AX$17:$BA$24,MATCH(SCC_Chloride!$V8,'Tables - Part 2'!$AV$6:$AV$13,0),MATCH(SCC_Chloride!$Q8,'Tables - Part 2'!$AX$5:$BA$5,0))+INDEX('Tables - Part 2'!$BB$17:$BE$24,MATCH(SCC_Chloride!$V8,'Tables - Part 2'!$AV$6:$AV$13,0),MATCH(SCC_Chloride!$Q8,'Tables - Part 2'!$AX$5:$BA$5,0)))/2)+INDEX('Tables - Part 2'!$BB$17:$BE$24,MATCH(SCC_Chloride!$V8,'Tables - Part 2'!$AV$6:$AV$13,0),MATCH(SCC_Chloride!$Q8,'Tables - Part 2'!$AX$5:$BA$5,0)))/2,0)</f>
        <v>0</v>
      </c>
      <c r="BG8" s="248">
        <f>IF($P8=$BG$3,(((((INDEX('Tables - Part 2'!$AX$17:$BA$24,MATCH(SCC_Chloride!$V8,'Tables - Part 2'!$AV$6:$AV$13,0),MATCH(SCC_Chloride!$Q8,'Tables - Part 2'!$AX$5:$BA$5,0))+INDEX('Tables - Part 2'!$BB$17:$BE$24,MATCH(SCC_Chloride!$V8,'Tables - Part 2'!$AV$6:$AV$13,0),MATCH(SCC_Chloride!$Q8,'Tables - Part 2'!$AX$5:$BA$5,0)))/2)+INDEX('Tables - Part 2'!$BB$17:$BE$24,MATCH(SCC_Chloride!$V8,'Tables - Part 2'!$AV$6:$AV$13,0),MATCH(SCC_Chloride!$Q8,'Tables - Part 2'!$AX$5:$BA$5,0)))/2)+(INDEX('Tables - Part 2'!$BB$17:$BE$24,MATCH(SCC_Chloride!$V8,'Tables - Part 2'!$AV$6:$AV$13,0),MATCH(SCC_Chloride!$Q8,'Tables - Part 2'!$AX$5:$BA$5,0))))/2,0)</f>
        <v>0</v>
      </c>
      <c r="BH8" s="248">
        <f>IF($P8=$BH$3,INDEX('Tables - Part 2'!$BB$17:$BE$24,MATCH(SCC_Chloride!$V8,'Tables - Part 2'!$AV$6:$AV$13,0),MATCH(SCC_Chloride!$Q8,'Tables - Part 2'!$AX$5:$BA$5,0)),0)</f>
        <v>0</v>
      </c>
      <c r="BI8" s="248">
        <f>IF($P8=$BI$3,((INDEX('Tables - Part 2'!$BB$17:$BE$24,MATCH(SCC_Chloride!$V8,'Tables - Part 2'!$AV$6:$AV$13,0),MATCH(SCC_Chloride!$Q8,'Tables - Part 2'!$AX$5:$BA$5,0)))+(((INDEX('Tables - Part 2'!$BB$17:$BE$24,MATCH(SCC_Chloride!$V8,'Tables - Part 2'!$AV$6:$AV$13,0),MATCH(SCC_Chloride!$Q8,'Tables - Part 2'!$AX$5:$BA$5,0)))+(INDEX('Tables - Part 2'!$BB$17:$BE$24,MATCH(SCC_Chloride!$V8,'Tables - Part 2'!$AV$6:$AV$13,0),MATCH(SCC_Chloride!$Q8,'Tables - Part 2'!$AX$5:$BA$5,0))+INDEX('Tables - Part 2'!$BF$17:$BI$24,MATCH(SCC_Chloride!$V8,'Tables - Part 2'!$AV$6:$AV$13,0),MATCH(SCC_Chloride!$Q8,'Tables - Part 2'!$AX$5:$BA$5,0)))/2)/2))/2,0)</f>
        <v>0</v>
      </c>
      <c r="BJ8" s="248">
        <f>IF($P8=$BJ$3,((INDEX('Tables - Part 2'!$BB$17:$BE$24,MATCH(SCC_Chloride!$V8,'Tables - Part 2'!$AV$6:$AV$13,0),MATCH(SCC_Chloride!$Q8,'Tables - Part 2'!$AX$5:$BA$5,0)))+(INDEX('Tables - Part 2'!$BB$17:$BE$24,MATCH(SCC_Chloride!$V8,'Tables - Part 2'!$AV$6:$AV$13,0),MATCH(SCC_Chloride!$Q8,'Tables - Part 2'!$AX$5:$BA$5,0))+INDEX('Tables - Part 2'!$BF$17:$BI$24,MATCH(SCC_Chloride!$V8,'Tables - Part 2'!$AV$6:$AV$13,0),MATCH(SCC_Chloride!$Q8,'Tables - Part 2'!$AX$5:$BA$5,0)))/2)/2,0)</f>
        <v>0</v>
      </c>
      <c r="BK8" s="248">
        <f>IF($P8=$BK$3,((((INDEX('Tables - Part 2'!$BB$17:$BE$24,MATCH(SCC_Chloride!$V8,'Tables - Part 2'!$AV$6:$AV$13,0),MATCH(SCC_Chloride!$Q8,'Tables - Part 2'!$AX$5:$BA$5,0)))+(INDEX('Tables - Part 2'!$BB$17:$BE$24,MATCH(SCC_Chloride!$V8,'Tables - Part 2'!$AV$6:$AV$13,0),MATCH(SCC_Chloride!$Q8,'Tables - Part 2'!$AX$5:$BA$5,0))+INDEX('Tables - Part 2'!$BF$17:$BI$24,MATCH(SCC_Chloride!$V8,'Tables - Part 2'!$AV$6:$AV$13,0),MATCH(SCC_Chloride!$Q8,'Tables - Part 2'!$AX$5:$BA$5,0)))/2)/2)+((INDEX('Tables - Part 2'!$BB$17:$BE$24,MATCH(SCC_Chloride!$V8,'Tables - Part 2'!$AV$6:$AV$13,0),MATCH(SCC_Chloride!$Q8,'Tables - Part 2'!$AX$5:$BA$5,0))+INDEX('Tables - Part 2'!$BF$17:$BI$24,MATCH(SCC_Chloride!$V8,'Tables - Part 2'!$AV$6:$AV$13,0),MATCH(SCC_Chloride!$Q8,'Tables - Part 2'!$AX$5:$BA$5,0)))/2))/2,0)</f>
        <v>0</v>
      </c>
      <c r="BL8" s="248">
        <f>IF($P8=$BL$3,(INDEX('Tables - Part 2'!$BB$17:$BE$24,MATCH(SCC_Chloride!$V8,'Tables - Part 2'!$AV$6:$AV$13,0),MATCH(SCC_Chloride!$Q8,'Tables - Part 2'!$AX$5:$BA$5,0))+INDEX('Tables - Part 2'!$BF$17:$BI$24,MATCH(SCC_Chloride!$V8,'Tables - Part 2'!$AV$6:$AV$13,0),MATCH(SCC_Chloride!$Q8,'Tables - Part 2'!$AX$5:$BA$5,0)))/2,0)</f>
        <v>0</v>
      </c>
      <c r="BM8" s="248">
        <f>IF($P8=$BM$3,(((INDEX('Tables - Part 2'!$BB$17:$BE$24,MATCH(SCC_Chloride!$V8,'Tables - Part 2'!$AV$6:$AV$13,0),MATCH(SCC_Chloride!$Q8,'Tables - Part 2'!$AX$5:$BA$5,0))+INDEX('Tables - Part 2'!$BF$17:$BI$24,MATCH(SCC_Chloride!$V8,'Tables - Part 2'!$AV$6:$AV$13,0),MATCH(SCC_Chloride!$Q8,'Tables - Part 2'!$AX$5:$BA$5,0)))/2)+((((INDEX('Tables - Part 2'!$BB$17:$BE$24,MATCH(SCC_Chloride!$V8,'Tables - Part 2'!$AV$6:$AV$13,0),MATCH(SCC_Chloride!$Q8,'Tables - Part 2'!$AX$5:$BA$5,0))+INDEX('Tables - Part 2'!$BF$17:$BI$24,MATCH(SCC_Chloride!$V8,'Tables - Part 2'!$AV$6:$AV$13,0),MATCH(SCC_Chloride!$Q8,'Tables - Part 2'!$AX$5:$BA$5,0)))/2)+INDEX('Tables - Part 2'!$BF$17:$BI$24,MATCH(SCC_Chloride!$V8,'Tables - Part 2'!$AV$6:$AV$13,0),MATCH(SCC_Chloride!$Q8,'Tables - Part 2'!$AX$5:$BA$5,0)))/2))/2,0)</f>
        <v>0</v>
      </c>
      <c r="BN8" s="248">
        <f>IF($P8=$BN$3,(((INDEX('Tables - Part 2'!$BB$17:$BE$24,MATCH(SCC_Chloride!$V8,'Tables - Part 2'!$AV$6:$AV$13,0),MATCH(SCC_Chloride!$Q8,'Tables - Part 2'!$AX$5:$BA$5,0))+INDEX('Tables - Part 2'!$BF$17:$BI$24,MATCH(SCC_Chloride!$V8,'Tables - Part 2'!$AV$6:$AV$13,0),MATCH(SCC_Chloride!$Q8,'Tables - Part 2'!$AX$5:$BA$5,0)))/2)+INDEX('Tables - Part 2'!$BF$17:$BI$24,MATCH(SCC_Chloride!$V8,'Tables - Part 2'!$AV$6:$AV$13,0),MATCH(SCC_Chloride!$Q8,'Tables - Part 2'!$AX$5:$BA$5,0)))/2,0)</f>
        <v>0</v>
      </c>
      <c r="BO8" s="248">
        <f>IF($P8=$BO$3,(((((INDEX('Tables - Part 2'!$BB$17:$BE$24,MATCH(SCC_Chloride!$V8,'Tables - Part 2'!$AV$6:$AV$13,0),MATCH(SCC_Chloride!$Q8,'Tables - Part 2'!$AX$5:$BA$5,0))+INDEX('Tables - Part 2'!$BF$17:$BI$24,MATCH(SCC_Chloride!$V8,'Tables - Part 2'!$AV$6:$AV$13,0),MATCH(SCC_Chloride!$Q8,'Tables - Part 2'!$AX$5:$BA$5,0)))/2)+INDEX('Tables - Part 2'!$BF$17:$BI$24,MATCH(SCC_Chloride!$V8,'Tables - Part 2'!$AV$6:$AV$13,0),MATCH(SCC_Chloride!$Q8,'Tables - Part 2'!$AX$5:$BA$5,0)))/2)+(INDEX('Tables - Part 2'!$BF$17:$BI$24,MATCH(SCC_Chloride!$V8,'Tables - Part 2'!$AV$6:$AV$13,0),MATCH(SCC_Chloride!$Q8,'Tables - Part 2'!$AX$5:$BA$5,0))))/2,0)</f>
        <v>0</v>
      </c>
      <c r="BP8" s="248">
        <f>IF($P8=$BP$3,INDEX('Tables - Part 2'!$BF$17:$BI$24,MATCH(SCC_Chloride!$V8,'Tables - Part 2'!$AV$6:$AV$13,0),MATCH(SCC_Chloride!$Q8,'Tables - Part 2'!$AX$5:$BA$5,0)),0)</f>
        <v>0</v>
      </c>
      <c r="BQ8" s="248">
        <f t="shared" si="5"/>
        <v>0</v>
      </c>
      <c r="BR8" s="238">
        <f t="shared" si="9"/>
        <v>1.5</v>
      </c>
      <c r="BS8" s="238">
        <f t="shared" si="6"/>
        <v>25.159323702612586</v>
      </c>
    </row>
    <row r="9" spans="2:84" x14ac:dyDescent="0.35">
      <c r="B9" s="161" t="str">
        <f>'Tratamento de Dados'!B17</f>
        <v>V-14</v>
      </c>
      <c r="C9" s="161" t="str">
        <f>'Tratamento de Dados'!D17</f>
        <v>Casco</v>
      </c>
      <c r="D9" s="209" t="s">
        <v>245</v>
      </c>
      <c r="E9" s="209" t="s">
        <v>61</v>
      </c>
      <c r="F9" s="209">
        <v>10</v>
      </c>
      <c r="G9" s="209" t="s">
        <v>1167</v>
      </c>
      <c r="H9" s="247">
        <f>'Tratamento de Dados'!S17</f>
        <v>2</v>
      </c>
      <c r="I9" s="210">
        <v>39092</v>
      </c>
      <c r="J9" s="209">
        <v>0</v>
      </c>
      <c r="K9" s="209">
        <v>1</v>
      </c>
      <c r="L9" s="209">
        <v>1</v>
      </c>
      <c r="M9" s="209">
        <v>4</v>
      </c>
      <c r="N9" s="253">
        <f>'Tratamento de Dados'!DA17</f>
        <v>0</v>
      </c>
      <c r="O9" s="253">
        <f>'Tratamento de Dados'!DB17</f>
        <v>0</v>
      </c>
      <c r="P9" s="256">
        <f t="shared" si="0"/>
        <v>2.5</v>
      </c>
      <c r="Q9" s="246" t="str">
        <f t="shared" si="1"/>
        <v>B</v>
      </c>
      <c r="R9" s="246" t="str">
        <f>IF(H9&lt;=38,'Tables - Part 2'!$DO$6,IF(H9&lt;=66,'Tables - Part 2'!$DO$7,IF(H9&lt;=93,'Tables - Part 2'!$DO$8,IF(H9&lt;=149,'Tables - Part 2'!$DO$9,'Tables - Part 2'!$DO$10))))</f>
        <v>≤38</v>
      </c>
      <c r="S9" s="246" t="str">
        <f>IF(H9&lt;=38,'Tables - Part 2'!$DO$14,IF(H9&lt;=93,'Tables - Part 2'!$DO$15,IF(H9&lt;=149,'Tables - Part 2'!$DO$16,'Tables - Part 2'!$DO$17)))</f>
        <v>≤38</v>
      </c>
      <c r="T9" s="246" t="str">
        <f t="shared" si="7"/>
        <v>≤38</v>
      </c>
      <c r="U9" s="467" t="str">
        <f>IF(D9=$BX$2,$BV$5,INDEX(IF(F9&gt;10,'Tables - Part 2'!$DP$14:$DS$17,'Tables - Part 2'!$DP$6:$DS$10),MATCH(T9,IF(F9&gt;10,'Tables - Part 2'!$DO$14:$DO$17,'Tables - Part 2'!$DO$6:$DO$10),0),MATCH(SCC_Chloride!G9,'Tables - Part 2'!$DP$5:$DS$5,0)))</f>
        <v>Low</v>
      </c>
      <c r="V9" s="238">
        <f>IF(AND(D9=$BX$2,E9&lt;&gt;$BX$2),"Fitness-For-Service",INDEX('Tables - Part 2'!$DV$4:$DV$7,MATCH(SCC_Chloride!U9,'Tables - Part 2'!$DU$4:$DU$7,0),))</f>
        <v>50</v>
      </c>
      <c r="W9" s="238">
        <f>IF(I9=0,(Thinning!G10-Thinning!F10)/365.25,(Thinning!G10-I9)/365.25)</f>
        <v>12.980150581793293</v>
      </c>
      <c r="X9" s="248">
        <f t="shared" si="2"/>
        <v>0</v>
      </c>
      <c r="Y9" s="248">
        <f t="shared" si="3"/>
        <v>2.5</v>
      </c>
      <c r="Z9" s="247">
        <f t="shared" si="8"/>
        <v>3</v>
      </c>
      <c r="AA9" s="247">
        <f t="shared" si="4"/>
        <v>4</v>
      </c>
      <c r="AB9" s="248">
        <f>IF($P9=$AB$3,INDEX('Tables - Part 2'!$AX$6:$BA$13,MATCH(SCC_Chloride!V9,'Tables - Part 2'!$AV$6:$AV$13,0),MATCH(SCC_Chloride!Q9,'Tables - Part 2'!$AX$5:$BA$5,0)),0)</f>
        <v>0</v>
      </c>
      <c r="AC9" s="248">
        <f>IF($P9=$AC$3,(INDEX('Tables - Part 2'!$AX$6:$BA$13,MATCH(SCC_Chloride!V9,'Tables - Part 2'!$AV$6:$AV$13,0),MATCH(SCC_Chloride!Q9,'Tables - Part 2'!$AX$5:$BA$5,0))+(INDEX('Tables - Part 2'!$AX$6:$BA$13,MATCH(SCC_Chloride!V9,'Tables - Part 2'!$AV$6:$AV$13,0),MATCH(SCC_Chloride!Q9,'Tables - Part 2'!$AX$5:$BA$5,0))+((INDEX('Tables - Part 2'!$AX$6:$BA$13,MATCH(SCC_Chloride!V9,'Tables - Part 2'!$AV$6:$AV$13,0),MATCH(SCC_Chloride!Q9,'Tables - Part 2'!$AX$5:$BA$5,0))+INDEX('Tables - Part 2'!$BB$6:$BE$13,MATCH(SCC_Chloride!$V9,'Tables - Part 2'!$AV$6:$AV$13,0),MATCH(SCC_Chloride!$Q9,'Tables - Part 2'!$AX$5:$BA$5,0)))/2))/2)/2,0)</f>
        <v>0</v>
      </c>
      <c r="AD9" s="248">
        <f>IF($P9=$AD$3,(INDEX('Tables - Part 2'!$AX$6:$BA$13,MATCH(SCC_Chloride!V9,'Tables - Part 2'!$AV$6:$AV$13,0),MATCH(SCC_Chloride!Q9,'Tables - Part 2'!$AX$5:$BA$5,0))+((INDEX('Tables - Part 2'!$AX$6:$BA$13,MATCH(SCC_Chloride!V9,'Tables - Part 2'!$AV$6:$AV$13,0),MATCH(SCC_Chloride!Q9,'Tables - Part 2'!$AX$5:$BA$5,0))+INDEX('Tables - Part 2'!$BB$6:$BE$13,MATCH(SCC_Chloride!$V9,'Tables - Part 2'!$AV$6:$AV$13,0),MATCH(SCC_Chloride!$Q9,'Tables - Part 2'!$AX$5:$BA$5,0)))/2))/2,0)</f>
        <v>0</v>
      </c>
      <c r="AE9" s="248">
        <f>IF($P9=$AE$3,(((INDEX('Tables - Part 2'!$AX$6:$BA$13,MATCH(SCC_Chloride!V9,'Tables - Part 2'!$AV$6:$AV$13,0),MATCH(SCC_Chloride!Q9,'Tables - Part 2'!$AX$5:$BA$5,0))+((INDEX('Tables - Part 2'!$AX$6:$BA$13,MATCH(SCC_Chloride!V9,'Tables - Part 2'!$AV$6:$AV$13,0),MATCH(SCC_Chloride!Q9,'Tables - Part 2'!$AX$5:$BA$5,0))+INDEX('Tables - Part 2'!$BB$6:$BE$13,MATCH(SCC_Chloride!$V9,'Tables - Part 2'!$AV$6:$AV$13,0),MATCH(SCC_Chloride!$Q9,'Tables - Part 2'!$AX$5:$BA$5,0)))/2))/2)+(INDEX('Tables - Part 2'!$AX$6:$BA$13,MATCH(SCC_Chloride!V9,'Tables - Part 2'!$AV$6:$AV$13,0),MATCH(SCC_Chloride!Q9,'Tables - Part 2'!$AX$5:$BA$5,0))+INDEX('Tables - Part 2'!$BB$6:$BE$13,MATCH(SCC_Chloride!$V9,'Tables - Part 2'!$AV$6:$AV$13,0),MATCH(SCC_Chloride!$Q9,'Tables - Part 2'!$AX$5:$BA$5,0)))/2)/2,0)</f>
        <v>0</v>
      </c>
      <c r="AF9" s="248">
        <f>IF($P9=$AF$3,(INDEX('Tables - Part 2'!$AX$6:$BA$13,MATCH(SCC_Chloride!V9,'Tables - Part 2'!$AV$6:$AV$13,0),MATCH(SCC_Chloride!Q9,'Tables - Part 2'!$AX$5:$BA$5,0))+INDEX('Tables - Part 2'!$BB$6:$BE$13,MATCH(SCC_Chloride!$V9,'Tables - Part 2'!$AV$6:$AV$13,0),MATCH(SCC_Chloride!$Q9,'Tables - Part 2'!$AX$5:$BA$5,0)))/2,0)</f>
        <v>0</v>
      </c>
      <c r="AG9" s="248">
        <f>IF($P9=$AG$3,(((INDEX('Tables - Part 2'!$AX$6:$BA$13,MATCH(SCC_Chloride!V9,'Tables - Part 2'!$AV$6:$AV$13,0),MATCH(SCC_Chloride!Q9,'Tables - Part 2'!$AX$5:$BA$5,0))+INDEX('Tables - Part 2'!$BB$6:$BE$13,MATCH(SCC_Chloride!$V9,'Tables - Part 2'!$AV$6:$AV$13,0),MATCH(SCC_Chloride!$Q9,'Tables - Part 2'!$AX$5:$BA$5,0)))/2)+(((INDEX('Tables - Part 2'!$AX$6:$BA$13,MATCH(SCC_Chloride!V9,'Tables - Part 2'!$AV$6:$AV$13,0),MATCH(SCC_Chloride!Q9,'Tables - Part 2'!$AX$5:$BA$5,0))+INDEX('Tables - Part 2'!$BB$6:$BE$13,MATCH(SCC_Chloride!$V9,'Tables - Part 2'!$AV$6:$AV$13,0),MATCH(SCC_Chloride!$Q9,'Tables - Part 2'!$AX$5:$BA$5,0)))/2)+INDEX('Tables - Part 2'!$BB$6:$BE$13,MATCH(SCC_Chloride!$V9,'Tables - Part 2'!$AV$6:$AV$13,0),MATCH(SCC_Chloride!$Q9,'Tables - Part 2'!$AX$5:$BA$5,0)))/2)/2,0)</f>
        <v>0</v>
      </c>
      <c r="AH9" s="248">
        <f>IF($P9=$AH$3,(((INDEX('Tables - Part 2'!$AX$6:$BA$13,MATCH(SCC_Chloride!V9,'Tables - Part 2'!$AV$6:$AV$13,0),MATCH(SCC_Chloride!Q9,'Tables - Part 2'!$AX$5:$BA$5,0))+INDEX('Tables - Part 2'!$BB$6:$BE$13,MATCH(SCC_Chloride!$V9,'Tables - Part 2'!$AV$6:$AV$13,0),MATCH(SCC_Chloride!$Q9,'Tables - Part 2'!$AX$5:$BA$5,0)))/2)+INDEX('Tables - Part 2'!$BB$6:$BE$13,MATCH(SCC_Chloride!$V9,'Tables - Part 2'!$AV$6:$AV$13,0),MATCH(SCC_Chloride!$Q9,'Tables - Part 2'!$AX$5:$BA$5,0)))/2,0)</f>
        <v>0</v>
      </c>
      <c r="AI9" s="248">
        <f>IF($P9=$AI$3,(((((INDEX('Tables - Part 2'!$AX$6:$BA$13,MATCH(SCC_Chloride!V9,'Tables - Part 2'!$AV$6:$AV$13,0),MATCH(SCC_Chloride!Q9,'Tables - Part 2'!$AX$5:$BA$5,0))+INDEX('Tables - Part 2'!$BB$6:$BE$13,MATCH(SCC_Chloride!$V9,'Tables - Part 2'!$AV$6:$AV$13,0),MATCH(SCC_Chloride!$Q9,'Tables - Part 2'!$AX$5:$BA$5,0)))/2)+INDEX('Tables - Part 2'!$BB$6:$BE$13,MATCH(SCC_Chloride!$V9,'Tables - Part 2'!$AV$6:$AV$13,0),MATCH(SCC_Chloride!$Q9,'Tables - Part 2'!$AX$5:$BA$5,0)))/2)+INDEX('Tables - Part 2'!$BB$6:$BE$13,MATCH(SCC_Chloride!$V9,'Tables - Part 2'!$AV$6:$AV$13,0),MATCH(SCC_Chloride!$Q9,'Tables - Part 2'!$AX$5:$BA$5,0)))/2,0)</f>
        <v>0</v>
      </c>
      <c r="AJ9" s="248">
        <f>IF($P9=$AJ$3,INDEX('Tables - Part 2'!$BB$6:$BE$13,MATCH(SCC_Chloride!$V9,'Tables - Part 2'!$AV$6:$AV$13,0),MATCH(SCC_Chloride!$Q9,'Tables - Part 2'!$AX$5:$BA$5,0)),0)</f>
        <v>0</v>
      </c>
      <c r="AK9" s="248">
        <f>IF($P9=$AK$3,((INDEX('Tables - Part 2'!$BB$6:$BE$13,MATCH(SCC_Chloride!$V9,'Tables - Part 2'!$AV$6:$AV$13,0),MATCH(SCC_Chloride!$Q9,'Tables - Part 2'!$AX$5:$BA$5,0)))+(INDEX('Tables - Part 2'!$BB$6:$BE$13,MATCH(SCC_Chloride!$V9,'Tables - Part 2'!$AV$6:$AV$13,0),MATCH(SCC_Chloride!$Q9,'Tables - Part 2'!$AX$5:$BA$5,0))+(INDEX('Tables - Part 2'!$BB$6:$BE$13,MATCH(SCC_Chloride!$V9,'Tables - Part 2'!$AV$6:$AV$13,0),MATCH(SCC_Chloride!$Q9,'Tables - Part 2'!$AX$5:$BA$5,0))+INDEX('Tables - Part 2'!$BF$6:$BI$13,MATCH(SCC_Chloride!$V9,'Tables - Part 2'!$AV$6:$AV$13,0),MATCH(SCC_Chloride!$Q9,'Tables - Part 2'!$AX$5:$BA$5,0)))/2)/2)/2,0)</f>
        <v>0</v>
      </c>
      <c r="AL9" s="248">
        <f>IF($P9=$AL$3,(INDEX('Tables - Part 2'!$BB$6:$BE$13,MATCH(SCC_Chloride!$V9,'Tables - Part 2'!$AV$6:$AV$13,0),MATCH(SCC_Chloride!$Q9,'Tables - Part 2'!$AX$5:$BA$5,0))+(INDEX('Tables - Part 2'!$BB$6:$BE$13,MATCH(SCC_Chloride!$V9,'Tables - Part 2'!$AV$6:$AV$13,0),MATCH(SCC_Chloride!$Q9,'Tables - Part 2'!$AX$5:$BA$5,0))+INDEX('Tables - Part 2'!$BF$6:$BI$13,MATCH(SCC_Chloride!$V9,'Tables - Part 2'!$AV$6:$AV$13,0),MATCH(SCC_Chloride!$Q9,'Tables - Part 2'!$AX$5:$BA$5,0)))/2)/2,0)</f>
        <v>0</v>
      </c>
      <c r="AM9" s="248">
        <f>IF($P9=$AM$3,(((INDEX('Tables - Part 2'!$BB$6:$BE$13,MATCH(SCC_Chloride!$V9,'Tables - Part 2'!$AV$6:$AV$13,0),MATCH(SCC_Chloride!$Q9,'Tables - Part 2'!$AX$5:$BA$5,0))+(INDEX('Tables - Part 2'!$BB$6:$BE$13,MATCH(SCC_Chloride!$V9,'Tables - Part 2'!$AV$6:$AV$13,0),MATCH(SCC_Chloride!$Q9,'Tables - Part 2'!$AX$5:$BA$5,0))+INDEX('Tables - Part 2'!$BF$6:$BI$13,MATCH(SCC_Chloride!$V9,'Tables - Part 2'!$AV$6:$AV$13,0),MATCH(SCC_Chloride!$Q9,'Tables - Part 2'!$AX$5:$BA$5,0)))/2)/2)+((INDEX('Tables - Part 2'!$BB$6:$BE$13,MATCH(SCC_Chloride!$V9,'Tables - Part 2'!$AV$6:$AV$13,0),MATCH(SCC_Chloride!$Q9,'Tables - Part 2'!$AX$5:$BA$5,0))+INDEX('Tables - Part 2'!$BF$6:$BI$13,MATCH(SCC_Chloride!$V9,'Tables - Part 2'!$AV$6:$AV$13,0),MATCH(SCC_Chloride!$Q9,'Tables - Part 2'!$AX$5:$BA$5,0)))/2))/2,0)</f>
        <v>0</v>
      </c>
      <c r="AN9" s="248">
        <f>IF($P9=$AN$3,(INDEX('Tables - Part 2'!$BB$6:$BE$13,MATCH(SCC_Chloride!$V9,'Tables - Part 2'!$AV$6:$AV$13,0),MATCH(SCC_Chloride!$Q9,'Tables - Part 2'!$AX$5:$BA$5,0))+INDEX('Tables - Part 2'!$BF$6:$BI$13,MATCH(SCC_Chloride!$V9,'Tables - Part 2'!$AV$6:$AV$13,0),MATCH(SCC_Chloride!$Q9,'Tables - Part 2'!$AX$5:$BA$5,0)))/2,0)</f>
        <v>1.5</v>
      </c>
      <c r="AO9" s="248">
        <f>IF($P9=$AO$3,(((INDEX('Tables - Part 2'!$BB$6:$BE$13,MATCH(SCC_Chloride!$V9,'Tables - Part 2'!$AV$6:$AV$13,0),MATCH(SCC_Chloride!$Q9,'Tables - Part 2'!$AX$5:$BA$5,0))+INDEX('Tables - Part 2'!$BF$6:$BI$13,MATCH(SCC_Chloride!$V9,'Tables - Part 2'!$AV$6:$AV$13,0),MATCH(SCC_Chloride!$Q9,'Tables - Part 2'!$AX$5:$BA$5,0)))/2)+((((INDEX('Tables - Part 2'!$BB$6:$BE$13,MATCH(SCC_Chloride!$V9,'Tables - Part 2'!$AV$6:$AV$13,0),MATCH(SCC_Chloride!$Q9,'Tables - Part 2'!$AX$5:$BA$5,0))+INDEX('Tables - Part 2'!$BF$6:$BI$13,MATCH(SCC_Chloride!$V9,'Tables - Part 2'!$AV$6:$AV$13,0),MATCH(SCC_Chloride!$Q9,'Tables - Part 2'!$AX$5:$BA$5,0)))/2)+INDEX('Tables - Part 2'!$BF$6:$BI$13,MATCH(SCC_Chloride!$V9,'Tables - Part 2'!$AV$6:$AV$13,0),MATCH(SCC_Chloride!$Q9,'Tables - Part 2'!$AX$5:$BA$5,0)))/2))/2,0)</f>
        <v>0</v>
      </c>
      <c r="AP9" s="248">
        <f>IF($P9=$AP$3,(((INDEX('Tables - Part 2'!$BB$6:$BE$13,MATCH(SCC_Chloride!$V9,'Tables - Part 2'!$AV$6:$AV$13,0),MATCH(SCC_Chloride!$Q9,'Tables - Part 2'!$AX$5:$BA$5,0))+INDEX('Tables - Part 2'!$BF$6:$BI$13,MATCH(SCC_Chloride!$V9,'Tables - Part 2'!$AV$6:$AV$13,0),MATCH(SCC_Chloride!$Q9,'Tables - Part 2'!$AX$5:$BA$5,0)))/2)+INDEX('Tables - Part 2'!$BF$6:$BI$13,MATCH(SCC_Chloride!$V9,'Tables - Part 2'!$AV$6:$AV$13,0),MATCH(SCC_Chloride!$Q9,'Tables - Part 2'!$AX$5:$BA$5,0)))/2,0)</f>
        <v>0</v>
      </c>
      <c r="AQ9" s="248">
        <f>IF($P9=$AQ$3,(((((INDEX('Tables - Part 2'!$BB$6:$BE$13,MATCH(SCC_Chloride!$V9,'Tables - Part 2'!$AV$6:$AV$13,0),MATCH(SCC_Chloride!$Q9,'Tables - Part 2'!$AX$5:$BA$5,0))+INDEX('Tables - Part 2'!$BF$6:$BI$13,MATCH(SCC_Chloride!$V9,'Tables - Part 2'!$AV$6:$AV$13,0),MATCH(SCC_Chloride!$Q9,'Tables - Part 2'!$AX$5:$BA$5,0)))/2)+INDEX('Tables - Part 2'!$BF$6:$BI$13,MATCH(SCC_Chloride!$V9,'Tables - Part 2'!$AV$6:$AV$13,0),MATCH(SCC_Chloride!$Q9,'Tables - Part 2'!$AX$5:$BA$5,0)))/2)+INDEX('Tables - Part 2'!$BF$6:$BI$13,MATCH(SCC_Chloride!$V9,'Tables - Part 2'!$AV$6:$AV$13,0),MATCH(SCC_Chloride!$Q9,'Tables - Part 2'!$AX$5:$BA$5,0)))/2,0)</f>
        <v>0</v>
      </c>
      <c r="AR9" s="248">
        <f>IF($P9=$AR$3,INDEX('Tables - Part 2'!$BF$6:$BI$13,MATCH(SCC_Chloride!$V9,'Tables - Part 2'!$AV$6:$AV$13,0),MATCH(SCC_Chloride!$Q9,'Tables - Part 2'!$AX$5:$BA$5,0)),0)</f>
        <v>0</v>
      </c>
      <c r="AS9" s="248">
        <f>IF($P9=$AS$3,(INDEX('Tables - Part 2'!$BF$6:$BI$13,MATCH(SCC_Chloride!$V9,'Tables - Part 2'!$AV$6:$AV$13,0),MATCH(SCC_Chloride!$Q9,'Tables - Part 2'!$AX$5:$BA$5,0))+((INDEX('Tables - Part 2'!$BF$6:$BI$13,MATCH(SCC_Chloride!$V9,'Tables - Part 2'!$AV$6:$AV$13,0),MATCH(SCC_Chloride!$Q9,'Tables - Part 2'!$AX$5:$BA$5,0))+(INDEX('Tables - Part 2'!$BF$6:$BI$13,MATCH(SCC_Chloride!$V9,'Tables - Part 2'!$AV$6:$AV$13,0),MATCH(SCC_Chloride!$Q9,'Tables - Part 2'!$AX$5:$BA$5,0))+INDEX('Tables - Part 2'!$AX$17:$BA$24,MATCH(SCC_Chloride!$V9,'Tables - Part 2'!$AV$6:$AV$13,0),MATCH(SCC_Chloride!$Q9,'Tables - Part 2'!$AX$5:$BA$5,0)))/2)/2))/2,0)</f>
        <v>0</v>
      </c>
      <c r="AT9" s="248">
        <f>IF($P9=$AT$3,(INDEX('Tables - Part 2'!$BF$6:$BI$13,MATCH(SCC_Chloride!$V9,'Tables - Part 2'!$AV$6:$AV$13,0),MATCH(SCC_Chloride!$Q9,'Tables - Part 2'!$AX$5:$BA$5,0))+(INDEX('Tables - Part 2'!$BF$6:$BI$13,MATCH(SCC_Chloride!$V9,'Tables - Part 2'!$AV$6:$AV$13,0),MATCH(SCC_Chloride!$Q9,'Tables - Part 2'!$AX$5:$BA$5,0))+INDEX('Tables - Part 2'!$AX$17:$BA$24,MATCH(SCC_Chloride!$V9,'Tables - Part 2'!$AV$6:$AV$13,0),MATCH(SCC_Chloride!$Q9,'Tables - Part 2'!$AX$5:$BA$5,0)))/2)/2,0)</f>
        <v>0</v>
      </c>
      <c r="AU9" s="248">
        <f>IF($P9=$AU$3,(((INDEX('Tables - Part 2'!$BF$6:$BI$13,MATCH(SCC_Chloride!$V9,'Tables - Part 2'!$AV$6:$AV$13,0),MATCH(SCC_Chloride!$Q9,'Tables - Part 2'!$AX$5:$BA$5,0))+(INDEX('Tables - Part 2'!$BF$6:$BI$13,MATCH(SCC_Chloride!$V9,'Tables - Part 2'!$AV$6:$AV$13,0),MATCH(SCC_Chloride!$Q9,'Tables - Part 2'!$AX$5:$BA$5,0))+INDEX('Tables - Part 2'!$AX$17:$BA$24,MATCH(SCC_Chloride!$V9,'Tables - Part 2'!$AV$6:$AV$13,0),MATCH(SCC_Chloride!$Q9,'Tables - Part 2'!$AX$5:$BA$5,0)))/2)/2)+((INDEX('Tables - Part 2'!$BF$6:$BI$13,MATCH(SCC_Chloride!$V9,'Tables - Part 2'!$AV$6:$AV$13,0),MATCH(SCC_Chloride!$Q9,'Tables - Part 2'!$AX$5:$BA$5,0))+INDEX('Tables - Part 2'!$AX$17:$BA$24,MATCH(SCC_Chloride!$V9,'Tables - Part 2'!$AV$6:$AV$13,0),MATCH(SCC_Chloride!$Q9,'Tables - Part 2'!$AX$5:$BA$5,0)))/2))/2,0)</f>
        <v>0</v>
      </c>
      <c r="AV9" s="248">
        <f>IF($P9=$AV$3,(INDEX('Tables - Part 2'!$BF$6:$BI$13,MATCH(SCC_Chloride!$V9,'Tables - Part 2'!$AV$6:$AV$13,0),MATCH(SCC_Chloride!$Q9,'Tables - Part 2'!$AX$5:$BA$5,0))+INDEX('Tables - Part 2'!$AX$17:$BA$24,MATCH(SCC_Chloride!$V9,'Tables - Part 2'!$AV$6:$AV$13,0),MATCH(SCC_Chloride!$Q9,'Tables - Part 2'!$AX$5:$BA$5,0)))/2,0)</f>
        <v>0</v>
      </c>
      <c r="AW9" s="248">
        <f>IF($P9=$AW$3,(((INDEX('Tables - Part 2'!$BF$6:$BI$13,MATCH(SCC_Chloride!$V9,'Tables - Part 2'!$AV$6:$AV$13,0),MATCH(SCC_Chloride!$Q9,'Tables - Part 2'!$AX$5:$BA$5,0))+INDEX('Tables - Part 2'!$AX$17:$BA$24,MATCH(SCC_Chloride!$V9,'Tables - Part 2'!$AV$6:$AV$13,0),MATCH(SCC_Chloride!$Q9,'Tables - Part 2'!$AX$5:$BA$5,0)))/2)+((((INDEX('Tables - Part 2'!$BF$6:$BI$13,MATCH(SCC_Chloride!$V9,'Tables - Part 2'!$AV$6:$AV$13,0),MATCH(SCC_Chloride!$Q9,'Tables - Part 2'!$AX$5:$BA$5,0))+INDEX('Tables - Part 2'!$AX$17:$BA$24,MATCH(SCC_Chloride!$V9,'Tables - Part 2'!$AV$6:$AV$13,0),MATCH(SCC_Chloride!$Q9,'Tables - Part 2'!$AX$5:$BA$5,0)))/2)+INDEX('Tables - Part 2'!$AX$17:$BA$24,MATCH(SCC_Chloride!$V9,'Tables - Part 2'!$AV$6:$AV$13,0),MATCH(SCC_Chloride!$Q9,'Tables - Part 2'!$AX$5:$BA$5,0)))/2))/2,0)</f>
        <v>0</v>
      </c>
      <c r="AX9" s="248">
        <f>IF($P9=$AX$3,(((INDEX('Tables - Part 2'!$BF$6:$BI$13,MATCH(SCC_Chloride!$V9,'Tables - Part 2'!$AV$6:$AV$13,0),MATCH(SCC_Chloride!$Q9,'Tables - Part 2'!$AX$5:$BA$5,0))+INDEX('Tables - Part 2'!$AX$17:$BA$24,MATCH(SCC_Chloride!$V9,'Tables - Part 2'!$AV$6:$AV$13,0),MATCH(SCC_Chloride!$Q9,'Tables - Part 2'!$AX$5:$BA$5,0)))/2)+INDEX('Tables - Part 2'!$AX$17:$BA$24,MATCH(SCC_Chloride!$V9,'Tables - Part 2'!$AV$6:$AV$13,0),MATCH(SCC_Chloride!$Q9,'Tables - Part 2'!$AX$5:$BA$5,0)))/2,0)</f>
        <v>0</v>
      </c>
      <c r="AY9" s="248">
        <f>IF($P9=$AY$3,(((((INDEX('Tables - Part 2'!$BF$6:$BI$13,MATCH(SCC_Chloride!$V9,'Tables - Part 2'!$AV$6:$AV$13,0),MATCH(SCC_Chloride!$Q9,'Tables - Part 2'!$AX$5:$BA$5,0))+INDEX('Tables - Part 2'!$AX$17:$BA$24,MATCH(SCC_Chloride!$V9,'Tables - Part 2'!$AV$6:$AV$13,0),MATCH(SCC_Chloride!$Q9,'Tables - Part 2'!$AX$5:$BA$5,0)))/2)+INDEX('Tables - Part 2'!$AX$17:$BA$24,MATCH(SCC_Chloride!$V9,'Tables - Part 2'!$AV$6:$AV$13,0),MATCH(SCC_Chloride!$Q9,'Tables - Part 2'!$AX$5:$BA$5,0)))/2)+(INDEX('Tables - Part 2'!$AX$17:$BA$24,MATCH(SCC_Chloride!$V9,'Tables - Part 2'!$AV$6:$AV$13,0),MATCH(SCC_Chloride!$Q9,'Tables - Part 2'!$AX$5:$BA$5,0))))/2,0)</f>
        <v>0</v>
      </c>
      <c r="AZ9" s="248">
        <f>IF($P9=$AZ$3,INDEX('Tables - Part 2'!$AX$17:$BA$24,MATCH(SCC_Chloride!$V9,'Tables - Part 2'!$AV$6:$AV$13,0),MATCH(SCC_Chloride!$Q9,'Tables - Part 2'!$AX$5:$BA$5,0)),0)</f>
        <v>0</v>
      </c>
      <c r="BA9" s="248">
        <f>IF($P9=$BA$3,((INDEX('Tables - Part 2'!$AX$17:$BA$24,MATCH(SCC_Chloride!$V9,'Tables - Part 2'!$AV$6:$AV$13,0),MATCH(SCC_Chloride!$Q9,'Tables - Part 2'!$AX$5:$BA$5,0)))+(((INDEX('Tables - Part 2'!$AX$17:$BA$24,MATCH(SCC_Chloride!$V9,'Tables - Part 2'!$AV$6:$AV$13,0),MATCH(SCC_Chloride!$Q9,'Tables - Part 2'!$AX$5:$BA$5,0)))+(INDEX('Tables - Part 2'!$AX$17:$BA$24,MATCH(SCC_Chloride!$V9,'Tables - Part 2'!$AV$6:$AV$13,0),MATCH(SCC_Chloride!$Q9,'Tables - Part 2'!$AX$5:$BA$5,0))+INDEX('Tables - Part 2'!$BB$17:$BE$24,MATCH(SCC_Chloride!$V9,'Tables - Part 2'!$AV$6:$AV$13,0),MATCH(SCC_Chloride!$Q9,'Tables - Part 2'!$AX$5:$BA$5,0)))/2)/2))/2,0)</f>
        <v>0</v>
      </c>
      <c r="BB9" s="248">
        <f>IF($P9=$BB$3,((INDEX('Tables - Part 2'!$AX$17:$BA$24,MATCH(SCC_Chloride!$V9,'Tables - Part 2'!$AV$6:$AV$13,0),MATCH(SCC_Chloride!$Q9,'Tables - Part 2'!$AX$5:$BA$5,0)))+(INDEX('Tables - Part 2'!$AX$17:$BA$24,MATCH(SCC_Chloride!$V9,'Tables - Part 2'!$AV$6:$AV$13,0),MATCH(SCC_Chloride!$Q9,'Tables - Part 2'!$AX$5:$BA$5,0))+INDEX('Tables - Part 2'!$BB$17:$BE$24,MATCH(SCC_Chloride!$V9,'Tables - Part 2'!$AV$6:$AV$13,0),MATCH(SCC_Chloride!$Q9,'Tables - Part 2'!$AX$5:$BA$5,0)))/2)/2,0)</f>
        <v>0</v>
      </c>
      <c r="BC9" s="248">
        <f>IF($P9=$BC$3,((((INDEX('Tables - Part 2'!$AX$17:$BA$24,MATCH(SCC_Chloride!$V9,'Tables - Part 2'!$AV$6:$AV$13,0),MATCH(SCC_Chloride!$Q9,'Tables - Part 2'!$AX$5:$BA$5,0)))+(INDEX('Tables - Part 2'!$AX$17:$BA$24,MATCH(SCC_Chloride!$V9,'Tables - Part 2'!$AV$6:$AV$13,0),MATCH(SCC_Chloride!$Q9,'Tables - Part 2'!$AX$5:$BA$5,0))+INDEX('Tables - Part 2'!$BB$17:$BE$24,MATCH(SCC_Chloride!$V9,'Tables - Part 2'!$AV$6:$AV$13,0),MATCH(SCC_Chloride!$Q9,'Tables - Part 2'!$AX$5:$BA$5,0)))/2)/2)+((INDEX('Tables - Part 2'!$AX$17:$BA$24,MATCH(SCC_Chloride!$V9,'Tables - Part 2'!$AV$6:$AV$13,0),MATCH(SCC_Chloride!$Q9,'Tables - Part 2'!$AX$5:$BA$5,0))+INDEX('Tables - Part 2'!$BB$17:$BE$24,MATCH(SCC_Chloride!$V9,'Tables - Part 2'!$AV$6:$AV$13,0),MATCH(SCC_Chloride!$Q9,'Tables - Part 2'!$AX$5:$BA$5,0)))/2))/2,0)</f>
        <v>0</v>
      </c>
      <c r="BD9" s="248">
        <f>IF($P9=$BD$3,(INDEX('Tables - Part 2'!$AX$17:$BA$24,MATCH(SCC_Chloride!$V9,'Tables - Part 2'!$AV$6:$AV$13,0),MATCH(SCC_Chloride!$Q9,'Tables - Part 2'!$AX$5:$BA$5,0))+INDEX('Tables - Part 2'!$BB$17:$BE$24,MATCH(SCC_Chloride!$V9,'Tables - Part 2'!$AV$6:$AV$13,0),MATCH(SCC_Chloride!$Q9,'Tables - Part 2'!$AX$5:$BA$5,0)))/2,0)</f>
        <v>0</v>
      </c>
      <c r="BE9" s="248">
        <f>IF($P9=$BE$3,(((INDEX('Tables - Part 2'!$AX$17:$BA$24,MATCH(SCC_Chloride!$V9,'Tables - Part 2'!$AV$6:$AV$13,0),MATCH(SCC_Chloride!$Q9,'Tables - Part 2'!$AX$5:$BA$5,0))+INDEX('Tables - Part 2'!$BB$17:$BE$24,MATCH(SCC_Chloride!$V9,'Tables - Part 2'!$AV$6:$AV$13,0),MATCH(SCC_Chloride!$Q9,'Tables - Part 2'!$AX$5:$BA$5,0)))/2)+((((INDEX('Tables - Part 2'!$AX$17:$BA$24,MATCH(SCC_Chloride!$V9,'Tables - Part 2'!$AV$6:$AV$13,0),MATCH(SCC_Chloride!$Q9,'Tables - Part 2'!$AX$5:$BA$5,0))+INDEX('Tables - Part 2'!$BB$17:$BE$24,MATCH(SCC_Chloride!$V9,'Tables - Part 2'!$AV$6:$AV$13,0),MATCH(SCC_Chloride!$Q9,'Tables - Part 2'!$AX$5:$BA$5,0)))/2)+INDEX('Tables - Part 2'!$BB$17:$BE$24,MATCH(SCC_Chloride!$V9,'Tables - Part 2'!$AV$6:$AV$13,0),MATCH(SCC_Chloride!$Q9,'Tables - Part 2'!$AX$5:$BA$5,0)))/2))/2,0)</f>
        <v>0</v>
      </c>
      <c r="BF9" s="248">
        <f>IF($P9=$BF$3,(((INDEX('Tables - Part 2'!$AX$17:$BA$24,MATCH(SCC_Chloride!$V9,'Tables - Part 2'!$AV$6:$AV$13,0),MATCH(SCC_Chloride!$Q9,'Tables - Part 2'!$AX$5:$BA$5,0))+INDEX('Tables - Part 2'!$BB$17:$BE$24,MATCH(SCC_Chloride!$V9,'Tables - Part 2'!$AV$6:$AV$13,0),MATCH(SCC_Chloride!$Q9,'Tables - Part 2'!$AX$5:$BA$5,0)))/2)+INDEX('Tables - Part 2'!$BB$17:$BE$24,MATCH(SCC_Chloride!$V9,'Tables - Part 2'!$AV$6:$AV$13,0),MATCH(SCC_Chloride!$Q9,'Tables - Part 2'!$AX$5:$BA$5,0)))/2,0)</f>
        <v>0</v>
      </c>
      <c r="BG9" s="248">
        <f>IF($P9=$BG$3,(((((INDEX('Tables - Part 2'!$AX$17:$BA$24,MATCH(SCC_Chloride!$V9,'Tables - Part 2'!$AV$6:$AV$13,0),MATCH(SCC_Chloride!$Q9,'Tables - Part 2'!$AX$5:$BA$5,0))+INDEX('Tables - Part 2'!$BB$17:$BE$24,MATCH(SCC_Chloride!$V9,'Tables - Part 2'!$AV$6:$AV$13,0),MATCH(SCC_Chloride!$Q9,'Tables - Part 2'!$AX$5:$BA$5,0)))/2)+INDEX('Tables - Part 2'!$BB$17:$BE$24,MATCH(SCC_Chloride!$V9,'Tables - Part 2'!$AV$6:$AV$13,0),MATCH(SCC_Chloride!$Q9,'Tables - Part 2'!$AX$5:$BA$5,0)))/2)+(INDEX('Tables - Part 2'!$BB$17:$BE$24,MATCH(SCC_Chloride!$V9,'Tables - Part 2'!$AV$6:$AV$13,0),MATCH(SCC_Chloride!$Q9,'Tables - Part 2'!$AX$5:$BA$5,0))))/2,0)</f>
        <v>0</v>
      </c>
      <c r="BH9" s="248">
        <f>IF($P9=$BH$3,INDEX('Tables - Part 2'!$BB$17:$BE$24,MATCH(SCC_Chloride!$V9,'Tables - Part 2'!$AV$6:$AV$13,0),MATCH(SCC_Chloride!$Q9,'Tables - Part 2'!$AX$5:$BA$5,0)),0)</f>
        <v>0</v>
      </c>
      <c r="BI9" s="248">
        <f>IF($P9=$BI$3,((INDEX('Tables - Part 2'!$BB$17:$BE$24,MATCH(SCC_Chloride!$V9,'Tables - Part 2'!$AV$6:$AV$13,0),MATCH(SCC_Chloride!$Q9,'Tables - Part 2'!$AX$5:$BA$5,0)))+(((INDEX('Tables - Part 2'!$BB$17:$BE$24,MATCH(SCC_Chloride!$V9,'Tables - Part 2'!$AV$6:$AV$13,0),MATCH(SCC_Chloride!$Q9,'Tables - Part 2'!$AX$5:$BA$5,0)))+(INDEX('Tables - Part 2'!$BB$17:$BE$24,MATCH(SCC_Chloride!$V9,'Tables - Part 2'!$AV$6:$AV$13,0),MATCH(SCC_Chloride!$Q9,'Tables - Part 2'!$AX$5:$BA$5,0))+INDEX('Tables - Part 2'!$BF$17:$BI$24,MATCH(SCC_Chloride!$V9,'Tables - Part 2'!$AV$6:$AV$13,0),MATCH(SCC_Chloride!$Q9,'Tables - Part 2'!$AX$5:$BA$5,0)))/2)/2))/2,0)</f>
        <v>0</v>
      </c>
      <c r="BJ9" s="248">
        <f>IF($P9=$BJ$3,((INDEX('Tables - Part 2'!$BB$17:$BE$24,MATCH(SCC_Chloride!$V9,'Tables - Part 2'!$AV$6:$AV$13,0),MATCH(SCC_Chloride!$Q9,'Tables - Part 2'!$AX$5:$BA$5,0)))+(INDEX('Tables - Part 2'!$BB$17:$BE$24,MATCH(SCC_Chloride!$V9,'Tables - Part 2'!$AV$6:$AV$13,0),MATCH(SCC_Chloride!$Q9,'Tables - Part 2'!$AX$5:$BA$5,0))+INDEX('Tables - Part 2'!$BF$17:$BI$24,MATCH(SCC_Chloride!$V9,'Tables - Part 2'!$AV$6:$AV$13,0),MATCH(SCC_Chloride!$Q9,'Tables - Part 2'!$AX$5:$BA$5,0)))/2)/2,0)</f>
        <v>0</v>
      </c>
      <c r="BK9" s="248">
        <f>IF($P9=$BK$3,((((INDEX('Tables - Part 2'!$BB$17:$BE$24,MATCH(SCC_Chloride!$V9,'Tables - Part 2'!$AV$6:$AV$13,0),MATCH(SCC_Chloride!$Q9,'Tables - Part 2'!$AX$5:$BA$5,0)))+(INDEX('Tables - Part 2'!$BB$17:$BE$24,MATCH(SCC_Chloride!$V9,'Tables - Part 2'!$AV$6:$AV$13,0),MATCH(SCC_Chloride!$Q9,'Tables - Part 2'!$AX$5:$BA$5,0))+INDEX('Tables - Part 2'!$BF$17:$BI$24,MATCH(SCC_Chloride!$V9,'Tables - Part 2'!$AV$6:$AV$13,0),MATCH(SCC_Chloride!$Q9,'Tables - Part 2'!$AX$5:$BA$5,0)))/2)/2)+((INDEX('Tables - Part 2'!$BB$17:$BE$24,MATCH(SCC_Chloride!$V9,'Tables - Part 2'!$AV$6:$AV$13,0),MATCH(SCC_Chloride!$Q9,'Tables - Part 2'!$AX$5:$BA$5,0))+INDEX('Tables - Part 2'!$BF$17:$BI$24,MATCH(SCC_Chloride!$V9,'Tables - Part 2'!$AV$6:$AV$13,0),MATCH(SCC_Chloride!$Q9,'Tables - Part 2'!$AX$5:$BA$5,0)))/2))/2,0)</f>
        <v>0</v>
      </c>
      <c r="BL9" s="248">
        <f>IF($P9=$BL$3,(INDEX('Tables - Part 2'!$BB$17:$BE$24,MATCH(SCC_Chloride!$V9,'Tables - Part 2'!$AV$6:$AV$13,0),MATCH(SCC_Chloride!$Q9,'Tables - Part 2'!$AX$5:$BA$5,0))+INDEX('Tables - Part 2'!$BF$17:$BI$24,MATCH(SCC_Chloride!$V9,'Tables - Part 2'!$AV$6:$AV$13,0),MATCH(SCC_Chloride!$Q9,'Tables - Part 2'!$AX$5:$BA$5,0)))/2,0)</f>
        <v>0</v>
      </c>
      <c r="BM9" s="248">
        <f>IF($P9=$BM$3,(((INDEX('Tables - Part 2'!$BB$17:$BE$24,MATCH(SCC_Chloride!$V9,'Tables - Part 2'!$AV$6:$AV$13,0),MATCH(SCC_Chloride!$Q9,'Tables - Part 2'!$AX$5:$BA$5,0))+INDEX('Tables - Part 2'!$BF$17:$BI$24,MATCH(SCC_Chloride!$V9,'Tables - Part 2'!$AV$6:$AV$13,0),MATCH(SCC_Chloride!$Q9,'Tables - Part 2'!$AX$5:$BA$5,0)))/2)+((((INDEX('Tables - Part 2'!$BB$17:$BE$24,MATCH(SCC_Chloride!$V9,'Tables - Part 2'!$AV$6:$AV$13,0),MATCH(SCC_Chloride!$Q9,'Tables - Part 2'!$AX$5:$BA$5,0))+INDEX('Tables - Part 2'!$BF$17:$BI$24,MATCH(SCC_Chloride!$V9,'Tables - Part 2'!$AV$6:$AV$13,0),MATCH(SCC_Chloride!$Q9,'Tables - Part 2'!$AX$5:$BA$5,0)))/2)+INDEX('Tables - Part 2'!$BF$17:$BI$24,MATCH(SCC_Chloride!$V9,'Tables - Part 2'!$AV$6:$AV$13,0),MATCH(SCC_Chloride!$Q9,'Tables - Part 2'!$AX$5:$BA$5,0)))/2))/2,0)</f>
        <v>0</v>
      </c>
      <c r="BN9" s="248">
        <f>IF($P9=$BN$3,(((INDEX('Tables - Part 2'!$BB$17:$BE$24,MATCH(SCC_Chloride!$V9,'Tables - Part 2'!$AV$6:$AV$13,0),MATCH(SCC_Chloride!$Q9,'Tables - Part 2'!$AX$5:$BA$5,0))+INDEX('Tables - Part 2'!$BF$17:$BI$24,MATCH(SCC_Chloride!$V9,'Tables - Part 2'!$AV$6:$AV$13,0),MATCH(SCC_Chloride!$Q9,'Tables - Part 2'!$AX$5:$BA$5,0)))/2)+INDEX('Tables - Part 2'!$BF$17:$BI$24,MATCH(SCC_Chloride!$V9,'Tables - Part 2'!$AV$6:$AV$13,0),MATCH(SCC_Chloride!$Q9,'Tables - Part 2'!$AX$5:$BA$5,0)))/2,0)</f>
        <v>0</v>
      </c>
      <c r="BO9" s="248">
        <f>IF($P9=$BO$3,(((((INDEX('Tables - Part 2'!$BB$17:$BE$24,MATCH(SCC_Chloride!$V9,'Tables - Part 2'!$AV$6:$AV$13,0),MATCH(SCC_Chloride!$Q9,'Tables - Part 2'!$AX$5:$BA$5,0))+INDEX('Tables - Part 2'!$BF$17:$BI$24,MATCH(SCC_Chloride!$V9,'Tables - Part 2'!$AV$6:$AV$13,0),MATCH(SCC_Chloride!$Q9,'Tables - Part 2'!$AX$5:$BA$5,0)))/2)+INDEX('Tables - Part 2'!$BF$17:$BI$24,MATCH(SCC_Chloride!$V9,'Tables - Part 2'!$AV$6:$AV$13,0),MATCH(SCC_Chloride!$Q9,'Tables - Part 2'!$AX$5:$BA$5,0)))/2)+(INDEX('Tables - Part 2'!$BF$17:$BI$24,MATCH(SCC_Chloride!$V9,'Tables - Part 2'!$AV$6:$AV$13,0),MATCH(SCC_Chloride!$Q9,'Tables - Part 2'!$AX$5:$BA$5,0))))/2,0)</f>
        <v>0</v>
      </c>
      <c r="BP9" s="248">
        <f>IF($P9=$BP$3,INDEX('Tables - Part 2'!$BF$17:$BI$24,MATCH(SCC_Chloride!$V9,'Tables - Part 2'!$AV$6:$AV$13,0),MATCH(SCC_Chloride!$Q9,'Tables - Part 2'!$AX$5:$BA$5,0)),0)</f>
        <v>0</v>
      </c>
      <c r="BQ9" s="248">
        <f t="shared" si="5"/>
        <v>0</v>
      </c>
      <c r="BR9" s="238">
        <f t="shared" si="9"/>
        <v>1.5</v>
      </c>
      <c r="BS9" s="238">
        <f t="shared" si="6"/>
        <v>25.159323702612586</v>
      </c>
    </row>
    <row r="10" spans="2:84" x14ac:dyDescent="0.35">
      <c r="B10" s="161" t="str">
        <f>'Tratamento de Dados'!B18</f>
        <v>V-1</v>
      </c>
      <c r="C10" s="161" t="str">
        <f>'Tratamento de Dados'!D18</f>
        <v>Casco</v>
      </c>
      <c r="D10" s="209" t="s">
        <v>245</v>
      </c>
      <c r="E10" s="209" t="s">
        <v>61</v>
      </c>
      <c r="F10" s="209">
        <v>10</v>
      </c>
      <c r="G10" s="209" t="s">
        <v>1167</v>
      </c>
      <c r="H10" s="247">
        <f>'Tratamento de Dados'!S18</f>
        <v>2</v>
      </c>
      <c r="I10" s="210">
        <v>39092</v>
      </c>
      <c r="J10" s="209">
        <v>0</v>
      </c>
      <c r="K10" s="209">
        <v>1</v>
      </c>
      <c r="L10" s="209">
        <v>1</v>
      </c>
      <c r="M10" s="209">
        <v>4</v>
      </c>
      <c r="N10" s="253">
        <f>'Tratamento de Dados'!DA18</f>
        <v>0</v>
      </c>
      <c r="O10" s="253">
        <f>'Tratamento de Dados'!DB18</f>
        <v>0</v>
      </c>
      <c r="P10" s="256">
        <f t="shared" si="0"/>
        <v>2.5</v>
      </c>
      <c r="Q10" s="246" t="str">
        <f t="shared" si="1"/>
        <v>B</v>
      </c>
      <c r="R10" s="246" t="str">
        <f>IF(H10&lt;=38,'Tables - Part 2'!$DO$6,IF(H10&lt;=66,'Tables - Part 2'!$DO$7,IF(H10&lt;=93,'Tables - Part 2'!$DO$8,IF(H10&lt;=149,'Tables - Part 2'!$DO$9,'Tables - Part 2'!$DO$10))))</f>
        <v>≤38</v>
      </c>
      <c r="S10" s="246" t="str">
        <f>IF(H10&lt;=38,'Tables - Part 2'!$DO$14,IF(H10&lt;=93,'Tables - Part 2'!$DO$15,IF(H10&lt;=149,'Tables - Part 2'!$DO$16,'Tables - Part 2'!$DO$17)))</f>
        <v>≤38</v>
      </c>
      <c r="T10" s="246" t="str">
        <f t="shared" si="7"/>
        <v>≤38</v>
      </c>
      <c r="U10" s="467" t="str">
        <f>IF(D10=$BX$2,$BV$5,INDEX(IF(F10&gt;10,'Tables - Part 2'!$DP$14:$DS$17,'Tables - Part 2'!$DP$6:$DS$10),MATCH(T10,IF(F10&gt;10,'Tables - Part 2'!$DO$14:$DO$17,'Tables - Part 2'!$DO$6:$DO$10),0),MATCH(SCC_Chloride!G10,'Tables - Part 2'!$DP$5:$DS$5,0)))</f>
        <v>Low</v>
      </c>
      <c r="V10" s="238">
        <f>IF(AND(D10=$BX$2,E10&lt;&gt;$BX$2),"Fitness-For-Service",INDEX('Tables - Part 2'!$DV$4:$DV$7,MATCH(SCC_Chloride!U10,'Tables - Part 2'!$DU$4:$DU$7,0),))</f>
        <v>50</v>
      </c>
      <c r="W10" s="238">
        <f>IF(I10=0,(Thinning!G11-Thinning!F11)/365.25,(Thinning!G11-I10)/365.25)</f>
        <v>12.980150581793293</v>
      </c>
      <c r="X10" s="248">
        <f t="shared" si="2"/>
        <v>0</v>
      </c>
      <c r="Y10" s="248">
        <f t="shared" si="3"/>
        <v>2.5</v>
      </c>
      <c r="Z10" s="247">
        <f t="shared" si="8"/>
        <v>3</v>
      </c>
      <c r="AA10" s="247">
        <f t="shared" si="4"/>
        <v>4</v>
      </c>
      <c r="AB10" s="248">
        <f>IF($P10=$AB$3,INDEX('Tables - Part 2'!$AX$6:$BA$13,MATCH(SCC_Chloride!V10,'Tables - Part 2'!$AV$6:$AV$13,0),MATCH(SCC_Chloride!Q10,'Tables - Part 2'!$AX$5:$BA$5,0)),0)</f>
        <v>0</v>
      </c>
      <c r="AC10" s="248">
        <f>IF($P10=$AC$3,(INDEX('Tables - Part 2'!$AX$6:$BA$13,MATCH(SCC_Chloride!V10,'Tables - Part 2'!$AV$6:$AV$13,0),MATCH(SCC_Chloride!Q10,'Tables - Part 2'!$AX$5:$BA$5,0))+(INDEX('Tables - Part 2'!$AX$6:$BA$13,MATCH(SCC_Chloride!V10,'Tables - Part 2'!$AV$6:$AV$13,0),MATCH(SCC_Chloride!Q10,'Tables - Part 2'!$AX$5:$BA$5,0))+((INDEX('Tables - Part 2'!$AX$6:$BA$13,MATCH(SCC_Chloride!V10,'Tables - Part 2'!$AV$6:$AV$13,0),MATCH(SCC_Chloride!Q10,'Tables - Part 2'!$AX$5:$BA$5,0))+INDEX('Tables - Part 2'!$BB$6:$BE$13,MATCH(SCC_Chloride!$V10,'Tables - Part 2'!$AV$6:$AV$13,0),MATCH(SCC_Chloride!$Q10,'Tables - Part 2'!$AX$5:$BA$5,0)))/2))/2)/2,0)</f>
        <v>0</v>
      </c>
      <c r="AD10" s="248">
        <f>IF($P10=$AD$3,(INDEX('Tables - Part 2'!$AX$6:$BA$13,MATCH(SCC_Chloride!V10,'Tables - Part 2'!$AV$6:$AV$13,0),MATCH(SCC_Chloride!Q10,'Tables - Part 2'!$AX$5:$BA$5,0))+((INDEX('Tables - Part 2'!$AX$6:$BA$13,MATCH(SCC_Chloride!V10,'Tables - Part 2'!$AV$6:$AV$13,0),MATCH(SCC_Chloride!Q10,'Tables - Part 2'!$AX$5:$BA$5,0))+INDEX('Tables - Part 2'!$BB$6:$BE$13,MATCH(SCC_Chloride!$V10,'Tables - Part 2'!$AV$6:$AV$13,0),MATCH(SCC_Chloride!$Q10,'Tables - Part 2'!$AX$5:$BA$5,0)))/2))/2,0)</f>
        <v>0</v>
      </c>
      <c r="AE10" s="248">
        <f>IF($P10=$AE$3,(((INDEX('Tables - Part 2'!$AX$6:$BA$13,MATCH(SCC_Chloride!V10,'Tables - Part 2'!$AV$6:$AV$13,0),MATCH(SCC_Chloride!Q10,'Tables - Part 2'!$AX$5:$BA$5,0))+((INDEX('Tables - Part 2'!$AX$6:$BA$13,MATCH(SCC_Chloride!V10,'Tables - Part 2'!$AV$6:$AV$13,0),MATCH(SCC_Chloride!Q10,'Tables - Part 2'!$AX$5:$BA$5,0))+INDEX('Tables - Part 2'!$BB$6:$BE$13,MATCH(SCC_Chloride!$V10,'Tables - Part 2'!$AV$6:$AV$13,0),MATCH(SCC_Chloride!$Q10,'Tables - Part 2'!$AX$5:$BA$5,0)))/2))/2)+(INDEX('Tables - Part 2'!$AX$6:$BA$13,MATCH(SCC_Chloride!V10,'Tables - Part 2'!$AV$6:$AV$13,0),MATCH(SCC_Chloride!Q10,'Tables - Part 2'!$AX$5:$BA$5,0))+INDEX('Tables - Part 2'!$BB$6:$BE$13,MATCH(SCC_Chloride!$V10,'Tables - Part 2'!$AV$6:$AV$13,0),MATCH(SCC_Chloride!$Q10,'Tables - Part 2'!$AX$5:$BA$5,0)))/2)/2,0)</f>
        <v>0</v>
      </c>
      <c r="AF10" s="248">
        <f>IF($P10=$AF$3,(INDEX('Tables - Part 2'!$AX$6:$BA$13,MATCH(SCC_Chloride!V10,'Tables - Part 2'!$AV$6:$AV$13,0),MATCH(SCC_Chloride!Q10,'Tables - Part 2'!$AX$5:$BA$5,0))+INDEX('Tables - Part 2'!$BB$6:$BE$13,MATCH(SCC_Chloride!$V10,'Tables - Part 2'!$AV$6:$AV$13,0),MATCH(SCC_Chloride!$Q10,'Tables - Part 2'!$AX$5:$BA$5,0)))/2,0)</f>
        <v>0</v>
      </c>
      <c r="AG10" s="248">
        <f>IF($P10=$AG$3,(((INDEX('Tables - Part 2'!$AX$6:$BA$13,MATCH(SCC_Chloride!V10,'Tables - Part 2'!$AV$6:$AV$13,0),MATCH(SCC_Chloride!Q10,'Tables - Part 2'!$AX$5:$BA$5,0))+INDEX('Tables - Part 2'!$BB$6:$BE$13,MATCH(SCC_Chloride!$V10,'Tables - Part 2'!$AV$6:$AV$13,0),MATCH(SCC_Chloride!$Q10,'Tables - Part 2'!$AX$5:$BA$5,0)))/2)+(((INDEX('Tables - Part 2'!$AX$6:$BA$13,MATCH(SCC_Chloride!V10,'Tables - Part 2'!$AV$6:$AV$13,0),MATCH(SCC_Chloride!Q10,'Tables - Part 2'!$AX$5:$BA$5,0))+INDEX('Tables - Part 2'!$BB$6:$BE$13,MATCH(SCC_Chloride!$V10,'Tables - Part 2'!$AV$6:$AV$13,0),MATCH(SCC_Chloride!$Q10,'Tables - Part 2'!$AX$5:$BA$5,0)))/2)+INDEX('Tables - Part 2'!$BB$6:$BE$13,MATCH(SCC_Chloride!$V10,'Tables - Part 2'!$AV$6:$AV$13,0),MATCH(SCC_Chloride!$Q10,'Tables - Part 2'!$AX$5:$BA$5,0)))/2)/2,0)</f>
        <v>0</v>
      </c>
      <c r="AH10" s="248">
        <f>IF($P10=$AH$3,(((INDEX('Tables - Part 2'!$AX$6:$BA$13,MATCH(SCC_Chloride!V10,'Tables - Part 2'!$AV$6:$AV$13,0),MATCH(SCC_Chloride!Q10,'Tables - Part 2'!$AX$5:$BA$5,0))+INDEX('Tables - Part 2'!$BB$6:$BE$13,MATCH(SCC_Chloride!$V10,'Tables - Part 2'!$AV$6:$AV$13,0),MATCH(SCC_Chloride!$Q10,'Tables - Part 2'!$AX$5:$BA$5,0)))/2)+INDEX('Tables - Part 2'!$BB$6:$BE$13,MATCH(SCC_Chloride!$V10,'Tables - Part 2'!$AV$6:$AV$13,0),MATCH(SCC_Chloride!$Q10,'Tables - Part 2'!$AX$5:$BA$5,0)))/2,0)</f>
        <v>0</v>
      </c>
      <c r="AI10" s="248">
        <f>IF($P10=$AI$3,(((((INDEX('Tables - Part 2'!$AX$6:$BA$13,MATCH(SCC_Chloride!V10,'Tables - Part 2'!$AV$6:$AV$13,0),MATCH(SCC_Chloride!Q10,'Tables - Part 2'!$AX$5:$BA$5,0))+INDEX('Tables - Part 2'!$BB$6:$BE$13,MATCH(SCC_Chloride!$V10,'Tables - Part 2'!$AV$6:$AV$13,0),MATCH(SCC_Chloride!$Q10,'Tables - Part 2'!$AX$5:$BA$5,0)))/2)+INDEX('Tables - Part 2'!$BB$6:$BE$13,MATCH(SCC_Chloride!$V10,'Tables - Part 2'!$AV$6:$AV$13,0),MATCH(SCC_Chloride!$Q10,'Tables - Part 2'!$AX$5:$BA$5,0)))/2)+INDEX('Tables - Part 2'!$BB$6:$BE$13,MATCH(SCC_Chloride!$V10,'Tables - Part 2'!$AV$6:$AV$13,0),MATCH(SCC_Chloride!$Q10,'Tables - Part 2'!$AX$5:$BA$5,0)))/2,0)</f>
        <v>0</v>
      </c>
      <c r="AJ10" s="248">
        <f>IF($P10=$AJ$3,INDEX('Tables - Part 2'!$BB$6:$BE$13,MATCH(SCC_Chloride!$V10,'Tables - Part 2'!$AV$6:$AV$13,0),MATCH(SCC_Chloride!$Q10,'Tables - Part 2'!$AX$5:$BA$5,0)),0)</f>
        <v>0</v>
      </c>
      <c r="AK10" s="248">
        <f>IF($P10=$AK$3,((INDEX('Tables - Part 2'!$BB$6:$BE$13,MATCH(SCC_Chloride!$V10,'Tables - Part 2'!$AV$6:$AV$13,0),MATCH(SCC_Chloride!$Q10,'Tables - Part 2'!$AX$5:$BA$5,0)))+(INDEX('Tables - Part 2'!$BB$6:$BE$13,MATCH(SCC_Chloride!$V10,'Tables - Part 2'!$AV$6:$AV$13,0),MATCH(SCC_Chloride!$Q10,'Tables - Part 2'!$AX$5:$BA$5,0))+(INDEX('Tables - Part 2'!$BB$6:$BE$13,MATCH(SCC_Chloride!$V10,'Tables - Part 2'!$AV$6:$AV$13,0),MATCH(SCC_Chloride!$Q10,'Tables - Part 2'!$AX$5:$BA$5,0))+INDEX('Tables - Part 2'!$BF$6:$BI$13,MATCH(SCC_Chloride!$V10,'Tables - Part 2'!$AV$6:$AV$13,0),MATCH(SCC_Chloride!$Q10,'Tables - Part 2'!$AX$5:$BA$5,0)))/2)/2)/2,0)</f>
        <v>0</v>
      </c>
      <c r="AL10" s="248">
        <f>IF($P10=$AL$3,(INDEX('Tables - Part 2'!$BB$6:$BE$13,MATCH(SCC_Chloride!$V10,'Tables - Part 2'!$AV$6:$AV$13,0),MATCH(SCC_Chloride!$Q10,'Tables - Part 2'!$AX$5:$BA$5,0))+(INDEX('Tables - Part 2'!$BB$6:$BE$13,MATCH(SCC_Chloride!$V10,'Tables - Part 2'!$AV$6:$AV$13,0),MATCH(SCC_Chloride!$Q10,'Tables - Part 2'!$AX$5:$BA$5,0))+INDEX('Tables - Part 2'!$BF$6:$BI$13,MATCH(SCC_Chloride!$V10,'Tables - Part 2'!$AV$6:$AV$13,0),MATCH(SCC_Chloride!$Q10,'Tables - Part 2'!$AX$5:$BA$5,0)))/2)/2,0)</f>
        <v>0</v>
      </c>
      <c r="AM10" s="248">
        <f>IF($P10=$AM$3,(((INDEX('Tables - Part 2'!$BB$6:$BE$13,MATCH(SCC_Chloride!$V10,'Tables - Part 2'!$AV$6:$AV$13,0),MATCH(SCC_Chloride!$Q10,'Tables - Part 2'!$AX$5:$BA$5,0))+(INDEX('Tables - Part 2'!$BB$6:$BE$13,MATCH(SCC_Chloride!$V10,'Tables - Part 2'!$AV$6:$AV$13,0),MATCH(SCC_Chloride!$Q10,'Tables - Part 2'!$AX$5:$BA$5,0))+INDEX('Tables - Part 2'!$BF$6:$BI$13,MATCH(SCC_Chloride!$V10,'Tables - Part 2'!$AV$6:$AV$13,0),MATCH(SCC_Chloride!$Q10,'Tables - Part 2'!$AX$5:$BA$5,0)))/2)/2)+((INDEX('Tables - Part 2'!$BB$6:$BE$13,MATCH(SCC_Chloride!$V10,'Tables - Part 2'!$AV$6:$AV$13,0),MATCH(SCC_Chloride!$Q10,'Tables - Part 2'!$AX$5:$BA$5,0))+INDEX('Tables - Part 2'!$BF$6:$BI$13,MATCH(SCC_Chloride!$V10,'Tables - Part 2'!$AV$6:$AV$13,0),MATCH(SCC_Chloride!$Q10,'Tables - Part 2'!$AX$5:$BA$5,0)))/2))/2,0)</f>
        <v>0</v>
      </c>
      <c r="AN10" s="248">
        <f>IF($P10=$AN$3,(INDEX('Tables - Part 2'!$BB$6:$BE$13,MATCH(SCC_Chloride!$V10,'Tables - Part 2'!$AV$6:$AV$13,0),MATCH(SCC_Chloride!$Q10,'Tables - Part 2'!$AX$5:$BA$5,0))+INDEX('Tables - Part 2'!$BF$6:$BI$13,MATCH(SCC_Chloride!$V10,'Tables - Part 2'!$AV$6:$AV$13,0),MATCH(SCC_Chloride!$Q10,'Tables - Part 2'!$AX$5:$BA$5,0)))/2,0)</f>
        <v>1.5</v>
      </c>
      <c r="AO10" s="248">
        <f>IF($P10=$AO$3,(((INDEX('Tables - Part 2'!$BB$6:$BE$13,MATCH(SCC_Chloride!$V10,'Tables - Part 2'!$AV$6:$AV$13,0),MATCH(SCC_Chloride!$Q10,'Tables - Part 2'!$AX$5:$BA$5,0))+INDEX('Tables - Part 2'!$BF$6:$BI$13,MATCH(SCC_Chloride!$V10,'Tables - Part 2'!$AV$6:$AV$13,0),MATCH(SCC_Chloride!$Q10,'Tables - Part 2'!$AX$5:$BA$5,0)))/2)+((((INDEX('Tables - Part 2'!$BB$6:$BE$13,MATCH(SCC_Chloride!$V10,'Tables - Part 2'!$AV$6:$AV$13,0),MATCH(SCC_Chloride!$Q10,'Tables - Part 2'!$AX$5:$BA$5,0))+INDEX('Tables - Part 2'!$BF$6:$BI$13,MATCH(SCC_Chloride!$V10,'Tables - Part 2'!$AV$6:$AV$13,0),MATCH(SCC_Chloride!$Q10,'Tables - Part 2'!$AX$5:$BA$5,0)))/2)+INDEX('Tables - Part 2'!$BF$6:$BI$13,MATCH(SCC_Chloride!$V10,'Tables - Part 2'!$AV$6:$AV$13,0),MATCH(SCC_Chloride!$Q10,'Tables - Part 2'!$AX$5:$BA$5,0)))/2))/2,0)</f>
        <v>0</v>
      </c>
      <c r="AP10" s="248">
        <f>IF($P10=$AP$3,(((INDEX('Tables - Part 2'!$BB$6:$BE$13,MATCH(SCC_Chloride!$V10,'Tables - Part 2'!$AV$6:$AV$13,0),MATCH(SCC_Chloride!$Q10,'Tables - Part 2'!$AX$5:$BA$5,0))+INDEX('Tables - Part 2'!$BF$6:$BI$13,MATCH(SCC_Chloride!$V10,'Tables - Part 2'!$AV$6:$AV$13,0),MATCH(SCC_Chloride!$Q10,'Tables - Part 2'!$AX$5:$BA$5,0)))/2)+INDEX('Tables - Part 2'!$BF$6:$BI$13,MATCH(SCC_Chloride!$V10,'Tables - Part 2'!$AV$6:$AV$13,0),MATCH(SCC_Chloride!$Q10,'Tables - Part 2'!$AX$5:$BA$5,0)))/2,0)</f>
        <v>0</v>
      </c>
      <c r="AQ10" s="248">
        <f>IF($P10=$AQ$3,(((((INDEX('Tables - Part 2'!$BB$6:$BE$13,MATCH(SCC_Chloride!$V10,'Tables - Part 2'!$AV$6:$AV$13,0),MATCH(SCC_Chloride!$Q10,'Tables - Part 2'!$AX$5:$BA$5,0))+INDEX('Tables - Part 2'!$BF$6:$BI$13,MATCH(SCC_Chloride!$V10,'Tables - Part 2'!$AV$6:$AV$13,0),MATCH(SCC_Chloride!$Q10,'Tables - Part 2'!$AX$5:$BA$5,0)))/2)+INDEX('Tables - Part 2'!$BF$6:$BI$13,MATCH(SCC_Chloride!$V10,'Tables - Part 2'!$AV$6:$AV$13,0),MATCH(SCC_Chloride!$Q10,'Tables - Part 2'!$AX$5:$BA$5,0)))/2)+INDEX('Tables - Part 2'!$BF$6:$BI$13,MATCH(SCC_Chloride!$V10,'Tables - Part 2'!$AV$6:$AV$13,0),MATCH(SCC_Chloride!$Q10,'Tables - Part 2'!$AX$5:$BA$5,0)))/2,0)</f>
        <v>0</v>
      </c>
      <c r="AR10" s="248">
        <f>IF($P10=$AR$3,INDEX('Tables - Part 2'!$BF$6:$BI$13,MATCH(SCC_Chloride!$V10,'Tables - Part 2'!$AV$6:$AV$13,0),MATCH(SCC_Chloride!$Q10,'Tables - Part 2'!$AX$5:$BA$5,0)),0)</f>
        <v>0</v>
      </c>
      <c r="AS10" s="248">
        <f>IF($P10=$AS$3,(INDEX('Tables - Part 2'!$BF$6:$BI$13,MATCH(SCC_Chloride!$V10,'Tables - Part 2'!$AV$6:$AV$13,0),MATCH(SCC_Chloride!$Q10,'Tables - Part 2'!$AX$5:$BA$5,0))+((INDEX('Tables - Part 2'!$BF$6:$BI$13,MATCH(SCC_Chloride!$V10,'Tables - Part 2'!$AV$6:$AV$13,0),MATCH(SCC_Chloride!$Q10,'Tables - Part 2'!$AX$5:$BA$5,0))+(INDEX('Tables - Part 2'!$BF$6:$BI$13,MATCH(SCC_Chloride!$V10,'Tables - Part 2'!$AV$6:$AV$13,0),MATCH(SCC_Chloride!$Q10,'Tables - Part 2'!$AX$5:$BA$5,0))+INDEX('Tables - Part 2'!$AX$17:$BA$24,MATCH(SCC_Chloride!$V10,'Tables - Part 2'!$AV$6:$AV$13,0),MATCH(SCC_Chloride!$Q10,'Tables - Part 2'!$AX$5:$BA$5,0)))/2)/2))/2,0)</f>
        <v>0</v>
      </c>
      <c r="AT10" s="248">
        <f>IF($P10=$AT$3,(INDEX('Tables - Part 2'!$BF$6:$BI$13,MATCH(SCC_Chloride!$V10,'Tables - Part 2'!$AV$6:$AV$13,0),MATCH(SCC_Chloride!$Q10,'Tables - Part 2'!$AX$5:$BA$5,0))+(INDEX('Tables - Part 2'!$BF$6:$BI$13,MATCH(SCC_Chloride!$V10,'Tables - Part 2'!$AV$6:$AV$13,0),MATCH(SCC_Chloride!$Q10,'Tables - Part 2'!$AX$5:$BA$5,0))+INDEX('Tables - Part 2'!$AX$17:$BA$24,MATCH(SCC_Chloride!$V10,'Tables - Part 2'!$AV$6:$AV$13,0),MATCH(SCC_Chloride!$Q10,'Tables - Part 2'!$AX$5:$BA$5,0)))/2)/2,0)</f>
        <v>0</v>
      </c>
      <c r="AU10" s="248">
        <f>IF($P10=$AU$3,(((INDEX('Tables - Part 2'!$BF$6:$BI$13,MATCH(SCC_Chloride!$V10,'Tables - Part 2'!$AV$6:$AV$13,0),MATCH(SCC_Chloride!$Q10,'Tables - Part 2'!$AX$5:$BA$5,0))+(INDEX('Tables - Part 2'!$BF$6:$BI$13,MATCH(SCC_Chloride!$V10,'Tables - Part 2'!$AV$6:$AV$13,0),MATCH(SCC_Chloride!$Q10,'Tables - Part 2'!$AX$5:$BA$5,0))+INDEX('Tables - Part 2'!$AX$17:$BA$24,MATCH(SCC_Chloride!$V10,'Tables - Part 2'!$AV$6:$AV$13,0),MATCH(SCC_Chloride!$Q10,'Tables - Part 2'!$AX$5:$BA$5,0)))/2)/2)+((INDEX('Tables - Part 2'!$BF$6:$BI$13,MATCH(SCC_Chloride!$V10,'Tables - Part 2'!$AV$6:$AV$13,0),MATCH(SCC_Chloride!$Q10,'Tables - Part 2'!$AX$5:$BA$5,0))+INDEX('Tables - Part 2'!$AX$17:$BA$24,MATCH(SCC_Chloride!$V10,'Tables - Part 2'!$AV$6:$AV$13,0),MATCH(SCC_Chloride!$Q10,'Tables - Part 2'!$AX$5:$BA$5,0)))/2))/2,0)</f>
        <v>0</v>
      </c>
      <c r="AV10" s="248">
        <f>IF($P10=$AV$3,(INDEX('Tables - Part 2'!$BF$6:$BI$13,MATCH(SCC_Chloride!$V10,'Tables - Part 2'!$AV$6:$AV$13,0),MATCH(SCC_Chloride!$Q10,'Tables - Part 2'!$AX$5:$BA$5,0))+INDEX('Tables - Part 2'!$AX$17:$BA$24,MATCH(SCC_Chloride!$V10,'Tables - Part 2'!$AV$6:$AV$13,0),MATCH(SCC_Chloride!$Q10,'Tables - Part 2'!$AX$5:$BA$5,0)))/2,0)</f>
        <v>0</v>
      </c>
      <c r="AW10" s="248">
        <f>IF($P10=$AW$3,(((INDEX('Tables - Part 2'!$BF$6:$BI$13,MATCH(SCC_Chloride!$V10,'Tables - Part 2'!$AV$6:$AV$13,0),MATCH(SCC_Chloride!$Q10,'Tables - Part 2'!$AX$5:$BA$5,0))+INDEX('Tables - Part 2'!$AX$17:$BA$24,MATCH(SCC_Chloride!$V10,'Tables - Part 2'!$AV$6:$AV$13,0),MATCH(SCC_Chloride!$Q10,'Tables - Part 2'!$AX$5:$BA$5,0)))/2)+((((INDEX('Tables - Part 2'!$BF$6:$BI$13,MATCH(SCC_Chloride!$V10,'Tables - Part 2'!$AV$6:$AV$13,0),MATCH(SCC_Chloride!$Q10,'Tables - Part 2'!$AX$5:$BA$5,0))+INDEX('Tables - Part 2'!$AX$17:$BA$24,MATCH(SCC_Chloride!$V10,'Tables - Part 2'!$AV$6:$AV$13,0),MATCH(SCC_Chloride!$Q10,'Tables - Part 2'!$AX$5:$BA$5,0)))/2)+INDEX('Tables - Part 2'!$AX$17:$BA$24,MATCH(SCC_Chloride!$V10,'Tables - Part 2'!$AV$6:$AV$13,0),MATCH(SCC_Chloride!$Q10,'Tables - Part 2'!$AX$5:$BA$5,0)))/2))/2,0)</f>
        <v>0</v>
      </c>
      <c r="AX10" s="248">
        <f>IF($P10=$AX$3,(((INDEX('Tables - Part 2'!$BF$6:$BI$13,MATCH(SCC_Chloride!$V10,'Tables - Part 2'!$AV$6:$AV$13,0),MATCH(SCC_Chloride!$Q10,'Tables - Part 2'!$AX$5:$BA$5,0))+INDEX('Tables - Part 2'!$AX$17:$BA$24,MATCH(SCC_Chloride!$V10,'Tables - Part 2'!$AV$6:$AV$13,0),MATCH(SCC_Chloride!$Q10,'Tables - Part 2'!$AX$5:$BA$5,0)))/2)+INDEX('Tables - Part 2'!$AX$17:$BA$24,MATCH(SCC_Chloride!$V10,'Tables - Part 2'!$AV$6:$AV$13,0),MATCH(SCC_Chloride!$Q10,'Tables - Part 2'!$AX$5:$BA$5,0)))/2,0)</f>
        <v>0</v>
      </c>
      <c r="AY10" s="248">
        <f>IF($P10=$AY$3,(((((INDEX('Tables - Part 2'!$BF$6:$BI$13,MATCH(SCC_Chloride!$V10,'Tables - Part 2'!$AV$6:$AV$13,0),MATCH(SCC_Chloride!$Q10,'Tables - Part 2'!$AX$5:$BA$5,0))+INDEX('Tables - Part 2'!$AX$17:$BA$24,MATCH(SCC_Chloride!$V10,'Tables - Part 2'!$AV$6:$AV$13,0),MATCH(SCC_Chloride!$Q10,'Tables - Part 2'!$AX$5:$BA$5,0)))/2)+INDEX('Tables - Part 2'!$AX$17:$BA$24,MATCH(SCC_Chloride!$V10,'Tables - Part 2'!$AV$6:$AV$13,0),MATCH(SCC_Chloride!$Q10,'Tables - Part 2'!$AX$5:$BA$5,0)))/2)+(INDEX('Tables - Part 2'!$AX$17:$BA$24,MATCH(SCC_Chloride!$V10,'Tables - Part 2'!$AV$6:$AV$13,0),MATCH(SCC_Chloride!$Q10,'Tables - Part 2'!$AX$5:$BA$5,0))))/2,0)</f>
        <v>0</v>
      </c>
      <c r="AZ10" s="248">
        <f>IF($P10=$AZ$3,INDEX('Tables - Part 2'!$AX$17:$BA$24,MATCH(SCC_Chloride!$V10,'Tables - Part 2'!$AV$6:$AV$13,0),MATCH(SCC_Chloride!$Q10,'Tables - Part 2'!$AX$5:$BA$5,0)),0)</f>
        <v>0</v>
      </c>
      <c r="BA10" s="248">
        <f>IF($P10=$BA$3,((INDEX('Tables - Part 2'!$AX$17:$BA$24,MATCH(SCC_Chloride!$V10,'Tables - Part 2'!$AV$6:$AV$13,0),MATCH(SCC_Chloride!$Q10,'Tables - Part 2'!$AX$5:$BA$5,0)))+(((INDEX('Tables - Part 2'!$AX$17:$BA$24,MATCH(SCC_Chloride!$V10,'Tables - Part 2'!$AV$6:$AV$13,0),MATCH(SCC_Chloride!$Q10,'Tables - Part 2'!$AX$5:$BA$5,0)))+(INDEX('Tables - Part 2'!$AX$17:$BA$24,MATCH(SCC_Chloride!$V10,'Tables - Part 2'!$AV$6:$AV$13,0),MATCH(SCC_Chloride!$Q10,'Tables - Part 2'!$AX$5:$BA$5,0))+INDEX('Tables - Part 2'!$BB$17:$BE$24,MATCH(SCC_Chloride!$V10,'Tables - Part 2'!$AV$6:$AV$13,0),MATCH(SCC_Chloride!$Q10,'Tables - Part 2'!$AX$5:$BA$5,0)))/2)/2))/2,0)</f>
        <v>0</v>
      </c>
      <c r="BB10" s="248">
        <f>IF($P10=$BB$3,((INDEX('Tables - Part 2'!$AX$17:$BA$24,MATCH(SCC_Chloride!$V10,'Tables - Part 2'!$AV$6:$AV$13,0),MATCH(SCC_Chloride!$Q10,'Tables - Part 2'!$AX$5:$BA$5,0)))+(INDEX('Tables - Part 2'!$AX$17:$BA$24,MATCH(SCC_Chloride!$V10,'Tables - Part 2'!$AV$6:$AV$13,0),MATCH(SCC_Chloride!$Q10,'Tables - Part 2'!$AX$5:$BA$5,0))+INDEX('Tables - Part 2'!$BB$17:$BE$24,MATCH(SCC_Chloride!$V10,'Tables - Part 2'!$AV$6:$AV$13,0),MATCH(SCC_Chloride!$Q10,'Tables - Part 2'!$AX$5:$BA$5,0)))/2)/2,0)</f>
        <v>0</v>
      </c>
      <c r="BC10" s="248">
        <f>IF($P10=$BC$3,((((INDEX('Tables - Part 2'!$AX$17:$BA$24,MATCH(SCC_Chloride!$V10,'Tables - Part 2'!$AV$6:$AV$13,0),MATCH(SCC_Chloride!$Q10,'Tables - Part 2'!$AX$5:$BA$5,0)))+(INDEX('Tables - Part 2'!$AX$17:$BA$24,MATCH(SCC_Chloride!$V10,'Tables - Part 2'!$AV$6:$AV$13,0),MATCH(SCC_Chloride!$Q10,'Tables - Part 2'!$AX$5:$BA$5,0))+INDEX('Tables - Part 2'!$BB$17:$BE$24,MATCH(SCC_Chloride!$V10,'Tables - Part 2'!$AV$6:$AV$13,0),MATCH(SCC_Chloride!$Q10,'Tables - Part 2'!$AX$5:$BA$5,0)))/2)/2)+((INDEX('Tables - Part 2'!$AX$17:$BA$24,MATCH(SCC_Chloride!$V10,'Tables - Part 2'!$AV$6:$AV$13,0),MATCH(SCC_Chloride!$Q10,'Tables - Part 2'!$AX$5:$BA$5,0))+INDEX('Tables - Part 2'!$BB$17:$BE$24,MATCH(SCC_Chloride!$V10,'Tables - Part 2'!$AV$6:$AV$13,0),MATCH(SCC_Chloride!$Q10,'Tables - Part 2'!$AX$5:$BA$5,0)))/2))/2,0)</f>
        <v>0</v>
      </c>
      <c r="BD10" s="248">
        <f>IF($P10=$BD$3,(INDEX('Tables - Part 2'!$AX$17:$BA$24,MATCH(SCC_Chloride!$V10,'Tables - Part 2'!$AV$6:$AV$13,0),MATCH(SCC_Chloride!$Q10,'Tables - Part 2'!$AX$5:$BA$5,0))+INDEX('Tables - Part 2'!$BB$17:$BE$24,MATCH(SCC_Chloride!$V10,'Tables - Part 2'!$AV$6:$AV$13,0),MATCH(SCC_Chloride!$Q10,'Tables - Part 2'!$AX$5:$BA$5,0)))/2,0)</f>
        <v>0</v>
      </c>
      <c r="BE10" s="248">
        <f>IF($P10=$BE$3,(((INDEX('Tables - Part 2'!$AX$17:$BA$24,MATCH(SCC_Chloride!$V10,'Tables - Part 2'!$AV$6:$AV$13,0),MATCH(SCC_Chloride!$Q10,'Tables - Part 2'!$AX$5:$BA$5,0))+INDEX('Tables - Part 2'!$BB$17:$BE$24,MATCH(SCC_Chloride!$V10,'Tables - Part 2'!$AV$6:$AV$13,0),MATCH(SCC_Chloride!$Q10,'Tables - Part 2'!$AX$5:$BA$5,0)))/2)+((((INDEX('Tables - Part 2'!$AX$17:$BA$24,MATCH(SCC_Chloride!$V10,'Tables - Part 2'!$AV$6:$AV$13,0),MATCH(SCC_Chloride!$Q10,'Tables - Part 2'!$AX$5:$BA$5,0))+INDEX('Tables - Part 2'!$BB$17:$BE$24,MATCH(SCC_Chloride!$V10,'Tables - Part 2'!$AV$6:$AV$13,0),MATCH(SCC_Chloride!$Q10,'Tables - Part 2'!$AX$5:$BA$5,0)))/2)+INDEX('Tables - Part 2'!$BB$17:$BE$24,MATCH(SCC_Chloride!$V10,'Tables - Part 2'!$AV$6:$AV$13,0),MATCH(SCC_Chloride!$Q10,'Tables - Part 2'!$AX$5:$BA$5,0)))/2))/2,0)</f>
        <v>0</v>
      </c>
      <c r="BF10" s="248">
        <f>IF($P10=$BF$3,(((INDEX('Tables - Part 2'!$AX$17:$BA$24,MATCH(SCC_Chloride!$V10,'Tables - Part 2'!$AV$6:$AV$13,0),MATCH(SCC_Chloride!$Q10,'Tables - Part 2'!$AX$5:$BA$5,0))+INDEX('Tables - Part 2'!$BB$17:$BE$24,MATCH(SCC_Chloride!$V10,'Tables - Part 2'!$AV$6:$AV$13,0),MATCH(SCC_Chloride!$Q10,'Tables - Part 2'!$AX$5:$BA$5,0)))/2)+INDEX('Tables - Part 2'!$BB$17:$BE$24,MATCH(SCC_Chloride!$V10,'Tables - Part 2'!$AV$6:$AV$13,0),MATCH(SCC_Chloride!$Q10,'Tables - Part 2'!$AX$5:$BA$5,0)))/2,0)</f>
        <v>0</v>
      </c>
      <c r="BG10" s="248">
        <f>IF($P10=$BG$3,(((((INDEX('Tables - Part 2'!$AX$17:$BA$24,MATCH(SCC_Chloride!$V10,'Tables - Part 2'!$AV$6:$AV$13,0),MATCH(SCC_Chloride!$Q10,'Tables - Part 2'!$AX$5:$BA$5,0))+INDEX('Tables - Part 2'!$BB$17:$BE$24,MATCH(SCC_Chloride!$V10,'Tables - Part 2'!$AV$6:$AV$13,0),MATCH(SCC_Chloride!$Q10,'Tables - Part 2'!$AX$5:$BA$5,0)))/2)+INDEX('Tables - Part 2'!$BB$17:$BE$24,MATCH(SCC_Chloride!$V10,'Tables - Part 2'!$AV$6:$AV$13,0),MATCH(SCC_Chloride!$Q10,'Tables - Part 2'!$AX$5:$BA$5,0)))/2)+(INDEX('Tables - Part 2'!$BB$17:$BE$24,MATCH(SCC_Chloride!$V10,'Tables - Part 2'!$AV$6:$AV$13,0),MATCH(SCC_Chloride!$Q10,'Tables - Part 2'!$AX$5:$BA$5,0))))/2,0)</f>
        <v>0</v>
      </c>
      <c r="BH10" s="248">
        <f>IF($P10=$BH$3,INDEX('Tables - Part 2'!$BB$17:$BE$24,MATCH(SCC_Chloride!$V10,'Tables - Part 2'!$AV$6:$AV$13,0),MATCH(SCC_Chloride!$Q10,'Tables - Part 2'!$AX$5:$BA$5,0)),0)</f>
        <v>0</v>
      </c>
      <c r="BI10" s="248">
        <f>IF($P10=$BI$3,((INDEX('Tables - Part 2'!$BB$17:$BE$24,MATCH(SCC_Chloride!$V10,'Tables - Part 2'!$AV$6:$AV$13,0),MATCH(SCC_Chloride!$Q10,'Tables - Part 2'!$AX$5:$BA$5,0)))+(((INDEX('Tables - Part 2'!$BB$17:$BE$24,MATCH(SCC_Chloride!$V10,'Tables - Part 2'!$AV$6:$AV$13,0),MATCH(SCC_Chloride!$Q10,'Tables - Part 2'!$AX$5:$BA$5,0)))+(INDEX('Tables - Part 2'!$BB$17:$BE$24,MATCH(SCC_Chloride!$V10,'Tables - Part 2'!$AV$6:$AV$13,0),MATCH(SCC_Chloride!$Q10,'Tables - Part 2'!$AX$5:$BA$5,0))+INDEX('Tables - Part 2'!$BF$17:$BI$24,MATCH(SCC_Chloride!$V10,'Tables - Part 2'!$AV$6:$AV$13,0),MATCH(SCC_Chloride!$Q10,'Tables - Part 2'!$AX$5:$BA$5,0)))/2)/2))/2,0)</f>
        <v>0</v>
      </c>
      <c r="BJ10" s="248">
        <f>IF($P10=$BJ$3,((INDEX('Tables - Part 2'!$BB$17:$BE$24,MATCH(SCC_Chloride!$V10,'Tables - Part 2'!$AV$6:$AV$13,0),MATCH(SCC_Chloride!$Q10,'Tables - Part 2'!$AX$5:$BA$5,0)))+(INDEX('Tables - Part 2'!$BB$17:$BE$24,MATCH(SCC_Chloride!$V10,'Tables - Part 2'!$AV$6:$AV$13,0),MATCH(SCC_Chloride!$Q10,'Tables - Part 2'!$AX$5:$BA$5,0))+INDEX('Tables - Part 2'!$BF$17:$BI$24,MATCH(SCC_Chloride!$V10,'Tables - Part 2'!$AV$6:$AV$13,0),MATCH(SCC_Chloride!$Q10,'Tables - Part 2'!$AX$5:$BA$5,0)))/2)/2,0)</f>
        <v>0</v>
      </c>
      <c r="BK10" s="248">
        <f>IF($P10=$BK$3,((((INDEX('Tables - Part 2'!$BB$17:$BE$24,MATCH(SCC_Chloride!$V10,'Tables - Part 2'!$AV$6:$AV$13,0),MATCH(SCC_Chloride!$Q10,'Tables - Part 2'!$AX$5:$BA$5,0)))+(INDEX('Tables - Part 2'!$BB$17:$BE$24,MATCH(SCC_Chloride!$V10,'Tables - Part 2'!$AV$6:$AV$13,0),MATCH(SCC_Chloride!$Q10,'Tables - Part 2'!$AX$5:$BA$5,0))+INDEX('Tables - Part 2'!$BF$17:$BI$24,MATCH(SCC_Chloride!$V10,'Tables - Part 2'!$AV$6:$AV$13,0),MATCH(SCC_Chloride!$Q10,'Tables - Part 2'!$AX$5:$BA$5,0)))/2)/2)+((INDEX('Tables - Part 2'!$BB$17:$BE$24,MATCH(SCC_Chloride!$V10,'Tables - Part 2'!$AV$6:$AV$13,0),MATCH(SCC_Chloride!$Q10,'Tables - Part 2'!$AX$5:$BA$5,0))+INDEX('Tables - Part 2'!$BF$17:$BI$24,MATCH(SCC_Chloride!$V10,'Tables - Part 2'!$AV$6:$AV$13,0),MATCH(SCC_Chloride!$Q10,'Tables - Part 2'!$AX$5:$BA$5,0)))/2))/2,0)</f>
        <v>0</v>
      </c>
      <c r="BL10" s="248">
        <f>IF($P10=$BL$3,(INDEX('Tables - Part 2'!$BB$17:$BE$24,MATCH(SCC_Chloride!$V10,'Tables - Part 2'!$AV$6:$AV$13,0),MATCH(SCC_Chloride!$Q10,'Tables - Part 2'!$AX$5:$BA$5,0))+INDEX('Tables - Part 2'!$BF$17:$BI$24,MATCH(SCC_Chloride!$V10,'Tables - Part 2'!$AV$6:$AV$13,0),MATCH(SCC_Chloride!$Q10,'Tables - Part 2'!$AX$5:$BA$5,0)))/2,0)</f>
        <v>0</v>
      </c>
      <c r="BM10" s="248">
        <f>IF($P10=$BM$3,(((INDEX('Tables - Part 2'!$BB$17:$BE$24,MATCH(SCC_Chloride!$V10,'Tables - Part 2'!$AV$6:$AV$13,0),MATCH(SCC_Chloride!$Q10,'Tables - Part 2'!$AX$5:$BA$5,0))+INDEX('Tables - Part 2'!$BF$17:$BI$24,MATCH(SCC_Chloride!$V10,'Tables - Part 2'!$AV$6:$AV$13,0),MATCH(SCC_Chloride!$Q10,'Tables - Part 2'!$AX$5:$BA$5,0)))/2)+((((INDEX('Tables - Part 2'!$BB$17:$BE$24,MATCH(SCC_Chloride!$V10,'Tables - Part 2'!$AV$6:$AV$13,0),MATCH(SCC_Chloride!$Q10,'Tables - Part 2'!$AX$5:$BA$5,0))+INDEX('Tables - Part 2'!$BF$17:$BI$24,MATCH(SCC_Chloride!$V10,'Tables - Part 2'!$AV$6:$AV$13,0),MATCH(SCC_Chloride!$Q10,'Tables - Part 2'!$AX$5:$BA$5,0)))/2)+INDEX('Tables - Part 2'!$BF$17:$BI$24,MATCH(SCC_Chloride!$V10,'Tables - Part 2'!$AV$6:$AV$13,0),MATCH(SCC_Chloride!$Q10,'Tables - Part 2'!$AX$5:$BA$5,0)))/2))/2,0)</f>
        <v>0</v>
      </c>
      <c r="BN10" s="248">
        <f>IF($P10=$BN$3,(((INDEX('Tables - Part 2'!$BB$17:$BE$24,MATCH(SCC_Chloride!$V10,'Tables - Part 2'!$AV$6:$AV$13,0),MATCH(SCC_Chloride!$Q10,'Tables - Part 2'!$AX$5:$BA$5,0))+INDEX('Tables - Part 2'!$BF$17:$BI$24,MATCH(SCC_Chloride!$V10,'Tables - Part 2'!$AV$6:$AV$13,0),MATCH(SCC_Chloride!$Q10,'Tables - Part 2'!$AX$5:$BA$5,0)))/2)+INDEX('Tables - Part 2'!$BF$17:$BI$24,MATCH(SCC_Chloride!$V10,'Tables - Part 2'!$AV$6:$AV$13,0),MATCH(SCC_Chloride!$Q10,'Tables - Part 2'!$AX$5:$BA$5,0)))/2,0)</f>
        <v>0</v>
      </c>
      <c r="BO10" s="248">
        <f>IF($P10=$BO$3,(((((INDEX('Tables - Part 2'!$BB$17:$BE$24,MATCH(SCC_Chloride!$V10,'Tables - Part 2'!$AV$6:$AV$13,0),MATCH(SCC_Chloride!$Q10,'Tables - Part 2'!$AX$5:$BA$5,0))+INDEX('Tables - Part 2'!$BF$17:$BI$24,MATCH(SCC_Chloride!$V10,'Tables - Part 2'!$AV$6:$AV$13,0),MATCH(SCC_Chloride!$Q10,'Tables - Part 2'!$AX$5:$BA$5,0)))/2)+INDEX('Tables - Part 2'!$BF$17:$BI$24,MATCH(SCC_Chloride!$V10,'Tables - Part 2'!$AV$6:$AV$13,0),MATCH(SCC_Chloride!$Q10,'Tables - Part 2'!$AX$5:$BA$5,0)))/2)+(INDEX('Tables - Part 2'!$BF$17:$BI$24,MATCH(SCC_Chloride!$V10,'Tables - Part 2'!$AV$6:$AV$13,0),MATCH(SCC_Chloride!$Q10,'Tables - Part 2'!$AX$5:$BA$5,0))))/2,0)</f>
        <v>0</v>
      </c>
      <c r="BP10" s="248">
        <f>IF($P10=$BP$3,INDEX('Tables - Part 2'!$BF$17:$BI$24,MATCH(SCC_Chloride!$V10,'Tables - Part 2'!$AV$6:$AV$13,0),MATCH(SCC_Chloride!$Q10,'Tables - Part 2'!$AX$5:$BA$5,0)),0)</f>
        <v>0</v>
      </c>
      <c r="BQ10" s="248">
        <f t="shared" si="5"/>
        <v>0</v>
      </c>
      <c r="BR10" s="238">
        <f t="shared" si="9"/>
        <v>1.5</v>
      </c>
      <c r="BS10" s="238">
        <f t="shared" si="6"/>
        <v>25.159323702612586</v>
      </c>
    </row>
    <row r="11" spans="2:84" x14ac:dyDescent="0.35">
      <c r="B11" s="161" t="str">
        <f>'Tratamento de Dados'!B19</f>
        <v>V-2</v>
      </c>
      <c r="C11" s="161" t="str">
        <f>'Tratamento de Dados'!D19</f>
        <v>Casco</v>
      </c>
      <c r="D11" s="209" t="s">
        <v>245</v>
      </c>
      <c r="E11" s="209" t="s">
        <v>61</v>
      </c>
      <c r="F11" s="209">
        <v>10</v>
      </c>
      <c r="G11" s="209" t="s">
        <v>1167</v>
      </c>
      <c r="H11" s="247">
        <f>'Tratamento de Dados'!S19</f>
        <v>2</v>
      </c>
      <c r="I11" s="210">
        <v>39092</v>
      </c>
      <c r="J11" s="209">
        <v>0</v>
      </c>
      <c r="K11" s="209">
        <v>1</v>
      </c>
      <c r="L11" s="209">
        <v>1</v>
      </c>
      <c r="M11" s="209">
        <v>4</v>
      </c>
      <c r="N11" s="253">
        <f>'Tratamento de Dados'!DA19</f>
        <v>0</v>
      </c>
      <c r="O11" s="253">
        <f>'Tratamento de Dados'!DB19</f>
        <v>0</v>
      </c>
      <c r="P11" s="256">
        <f t="shared" si="0"/>
        <v>2.5</v>
      </c>
      <c r="Q11" s="246" t="str">
        <f t="shared" si="1"/>
        <v>B</v>
      </c>
      <c r="R11" s="246" t="str">
        <f>IF(H11&lt;=38,'Tables - Part 2'!$DO$6,IF(H11&lt;=66,'Tables - Part 2'!$DO$7,IF(H11&lt;=93,'Tables - Part 2'!$DO$8,IF(H11&lt;=149,'Tables - Part 2'!$DO$9,'Tables - Part 2'!$DO$10))))</f>
        <v>≤38</v>
      </c>
      <c r="S11" s="246" t="str">
        <f>IF(H11&lt;=38,'Tables - Part 2'!$DO$14,IF(H11&lt;=93,'Tables - Part 2'!$DO$15,IF(H11&lt;=149,'Tables - Part 2'!$DO$16,'Tables - Part 2'!$DO$17)))</f>
        <v>≤38</v>
      </c>
      <c r="T11" s="246" t="str">
        <f t="shared" si="7"/>
        <v>≤38</v>
      </c>
      <c r="U11" s="467" t="str">
        <f>IF(D11=$BX$2,$BV$5,INDEX(IF(F11&gt;10,'Tables - Part 2'!$DP$14:$DS$17,'Tables - Part 2'!$DP$6:$DS$10),MATCH(T11,IF(F11&gt;10,'Tables - Part 2'!$DO$14:$DO$17,'Tables - Part 2'!$DO$6:$DO$10),0),MATCH(SCC_Chloride!G11,'Tables - Part 2'!$DP$5:$DS$5,0)))</f>
        <v>Low</v>
      </c>
      <c r="V11" s="238">
        <f>IF(AND(D11=$BX$2,E11&lt;&gt;$BX$2),"Fitness-For-Service",INDEX('Tables - Part 2'!$DV$4:$DV$7,MATCH(SCC_Chloride!U11,'Tables - Part 2'!$DU$4:$DU$7,0),))</f>
        <v>50</v>
      </c>
      <c r="W11" s="238">
        <f>IF(I11=0,(Thinning!G12-Thinning!F12)/365.25,(Thinning!G12-I11)/365.25)</f>
        <v>12.980150581793293</v>
      </c>
      <c r="X11" s="248">
        <f t="shared" si="2"/>
        <v>0</v>
      </c>
      <c r="Y11" s="248">
        <f t="shared" si="3"/>
        <v>2.5</v>
      </c>
      <c r="Z11" s="247">
        <f t="shared" si="8"/>
        <v>3</v>
      </c>
      <c r="AA11" s="247">
        <f t="shared" si="4"/>
        <v>4</v>
      </c>
      <c r="AB11" s="248">
        <f>IF($P11=$AB$3,INDEX('Tables - Part 2'!$AX$6:$BA$13,MATCH(SCC_Chloride!V11,'Tables - Part 2'!$AV$6:$AV$13,0),MATCH(SCC_Chloride!Q11,'Tables - Part 2'!$AX$5:$BA$5,0)),0)</f>
        <v>0</v>
      </c>
      <c r="AC11" s="248">
        <f>IF($P11=$AC$3,(INDEX('Tables - Part 2'!$AX$6:$BA$13,MATCH(SCC_Chloride!V11,'Tables - Part 2'!$AV$6:$AV$13,0),MATCH(SCC_Chloride!Q11,'Tables - Part 2'!$AX$5:$BA$5,0))+(INDEX('Tables - Part 2'!$AX$6:$BA$13,MATCH(SCC_Chloride!V11,'Tables - Part 2'!$AV$6:$AV$13,0),MATCH(SCC_Chloride!Q11,'Tables - Part 2'!$AX$5:$BA$5,0))+((INDEX('Tables - Part 2'!$AX$6:$BA$13,MATCH(SCC_Chloride!V11,'Tables - Part 2'!$AV$6:$AV$13,0),MATCH(SCC_Chloride!Q11,'Tables - Part 2'!$AX$5:$BA$5,0))+INDEX('Tables - Part 2'!$BB$6:$BE$13,MATCH(SCC_Chloride!$V11,'Tables - Part 2'!$AV$6:$AV$13,0),MATCH(SCC_Chloride!$Q11,'Tables - Part 2'!$AX$5:$BA$5,0)))/2))/2)/2,0)</f>
        <v>0</v>
      </c>
      <c r="AD11" s="248">
        <f>IF($P11=$AD$3,(INDEX('Tables - Part 2'!$AX$6:$BA$13,MATCH(SCC_Chloride!V11,'Tables - Part 2'!$AV$6:$AV$13,0),MATCH(SCC_Chloride!Q11,'Tables - Part 2'!$AX$5:$BA$5,0))+((INDEX('Tables - Part 2'!$AX$6:$BA$13,MATCH(SCC_Chloride!V11,'Tables - Part 2'!$AV$6:$AV$13,0),MATCH(SCC_Chloride!Q11,'Tables - Part 2'!$AX$5:$BA$5,0))+INDEX('Tables - Part 2'!$BB$6:$BE$13,MATCH(SCC_Chloride!$V11,'Tables - Part 2'!$AV$6:$AV$13,0),MATCH(SCC_Chloride!$Q11,'Tables - Part 2'!$AX$5:$BA$5,0)))/2))/2,0)</f>
        <v>0</v>
      </c>
      <c r="AE11" s="248">
        <f>IF($P11=$AE$3,(((INDEX('Tables - Part 2'!$AX$6:$BA$13,MATCH(SCC_Chloride!V11,'Tables - Part 2'!$AV$6:$AV$13,0),MATCH(SCC_Chloride!Q11,'Tables - Part 2'!$AX$5:$BA$5,0))+((INDEX('Tables - Part 2'!$AX$6:$BA$13,MATCH(SCC_Chloride!V11,'Tables - Part 2'!$AV$6:$AV$13,0),MATCH(SCC_Chloride!Q11,'Tables - Part 2'!$AX$5:$BA$5,0))+INDEX('Tables - Part 2'!$BB$6:$BE$13,MATCH(SCC_Chloride!$V11,'Tables - Part 2'!$AV$6:$AV$13,0),MATCH(SCC_Chloride!$Q11,'Tables - Part 2'!$AX$5:$BA$5,0)))/2))/2)+(INDEX('Tables - Part 2'!$AX$6:$BA$13,MATCH(SCC_Chloride!V11,'Tables - Part 2'!$AV$6:$AV$13,0),MATCH(SCC_Chloride!Q11,'Tables - Part 2'!$AX$5:$BA$5,0))+INDEX('Tables - Part 2'!$BB$6:$BE$13,MATCH(SCC_Chloride!$V11,'Tables - Part 2'!$AV$6:$AV$13,0),MATCH(SCC_Chloride!$Q11,'Tables - Part 2'!$AX$5:$BA$5,0)))/2)/2,0)</f>
        <v>0</v>
      </c>
      <c r="AF11" s="248">
        <f>IF($P11=$AF$3,(INDEX('Tables - Part 2'!$AX$6:$BA$13,MATCH(SCC_Chloride!V11,'Tables - Part 2'!$AV$6:$AV$13,0),MATCH(SCC_Chloride!Q11,'Tables - Part 2'!$AX$5:$BA$5,0))+INDEX('Tables - Part 2'!$BB$6:$BE$13,MATCH(SCC_Chloride!$V11,'Tables - Part 2'!$AV$6:$AV$13,0),MATCH(SCC_Chloride!$Q11,'Tables - Part 2'!$AX$5:$BA$5,0)))/2,0)</f>
        <v>0</v>
      </c>
      <c r="AG11" s="248">
        <f>IF($P11=$AG$3,(((INDEX('Tables - Part 2'!$AX$6:$BA$13,MATCH(SCC_Chloride!V11,'Tables - Part 2'!$AV$6:$AV$13,0),MATCH(SCC_Chloride!Q11,'Tables - Part 2'!$AX$5:$BA$5,0))+INDEX('Tables - Part 2'!$BB$6:$BE$13,MATCH(SCC_Chloride!$V11,'Tables - Part 2'!$AV$6:$AV$13,0),MATCH(SCC_Chloride!$Q11,'Tables - Part 2'!$AX$5:$BA$5,0)))/2)+(((INDEX('Tables - Part 2'!$AX$6:$BA$13,MATCH(SCC_Chloride!V11,'Tables - Part 2'!$AV$6:$AV$13,0),MATCH(SCC_Chloride!Q11,'Tables - Part 2'!$AX$5:$BA$5,0))+INDEX('Tables - Part 2'!$BB$6:$BE$13,MATCH(SCC_Chloride!$V11,'Tables - Part 2'!$AV$6:$AV$13,0),MATCH(SCC_Chloride!$Q11,'Tables - Part 2'!$AX$5:$BA$5,0)))/2)+INDEX('Tables - Part 2'!$BB$6:$BE$13,MATCH(SCC_Chloride!$V11,'Tables - Part 2'!$AV$6:$AV$13,0),MATCH(SCC_Chloride!$Q11,'Tables - Part 2'!$AX$5:$BA$5,0)))/2)/2,0)</f>
        <v>0</v>
      </c>
      <c r="AH11" s="248">
        <f>IF($P11=$AH$3,(((INDEX('Tables - Part 2'!$AX$6:$BA$13,MATCH(SCC_Chloride!V11,'Tables - Part 2'!$AV$6:$AV$13,0),MATCH(SCC_Chloride!Q11,'Tables - Part 2'!$AX$5:$BA$5,0))+INDEX('Tables - Part 2'!$BB$6:$BE$13,MATCH(SCC_Chloride!$V11,'Tables - Part 2'!$AV$6:$AV$13,0),MATCH(SCC_Chloride!$Q11,'Tables - Part 2'!$AX$5:$BA$5,0)))/2)+INDEX('Tables - Part 2'!$BB$6:$BE$13,MATCH(SCC_Chloride!$V11,'Tables - Part 2'!$AV$6:$AV$13,0),MATCH(SCC_Chloride!$Q11,'Tables - Part 2'!$AX$5:$BA$5,0)))/2,0)</f>
        <v>0</v>
      </c>
      <c r="AI11" s="248">
        <f>IF($P11=$AI$3,(((((INDEX('Tables - Part 2'!$AX$6:$BA$13,MATCH(SCC_Chloride!V11,'Tables - Part 2'!$AV$6:$AV$13,0),MATCH(SCC_Chloride!Q11,'Tables - Part 2'!$AX$5:$BA$5,0))+INDEX('Tables - Part 2'!$BB$6:$BE$13,MATCH(SCC_Chloride!$V11,'Tables - Part 2'!$AV$6:$AV$13,0),MATCH(SCC_Chloride!$Q11,'Tables - Part 2'!$AX$5:$BA$5,0)))/2)+INDEX('Tables - Part 2'!$BB$6:$BE$13,MATCH(SCC_Chloride!$V11,'Tables - Part 2'!$AV$6:$AV$13,0),MATCH(SCC_Chloride!$Q11,'Tables - Part 2'!$AX$5:$BA$5,0)))/2)+INDEX('Tables - Part 2'!$BB$6:$BE$13,MATCH(SCC_Chloride!$V11,'Tables - Part 2'!$AV$6:$AV$13,0),MATCH(SCC_Chloride!$Q11,'Tables - Part 2'!$AX$5:$BA$5,0)))/2,0)</f>
        <v>0</v>
      </c>
      <c r="AJ11" s="248">
        <f>IF($P11=$AJ$3,INDEX('Tables - Part 2'!$BB$6:$BE$13,MATCH(SCC_Chloride!$V11,'Tables - Part 2'!$AV$6:$AV$13,0),MATCH(SCC_Chloride!$Q11,'Tables - Part 2'!$AX$5:$BA$5,0)),0)</f>
        <v>0</v>
      </c>
      <c r="AK11" s="248">
        <f>IF($P11=$AK$3,((INDEX('Tables - Part 2'!$BB$6:$BE$13,MATCH(SCC_Chloride!$V11,'Tables - Part 2'!$AV$6:$AV$13,0),MATCH(SCC_Chloride!$Q11,'Tables - Part 2'!$AX$5:$BA$5,0)))+(INDEX('Tables - Part 2'!$BB$6:$BE$13,MATCH(SCC_Chloride!$V11,'Tables - Part 2'!$AV$6:$AV$13,0),MATCH(SCC_Chloride!$Q11,'Tables - Part 2'!$AX$5:$BA$5,0))+(INDEX('Tables - Part 2'!$BB$6:$BE$13,MATCH(SCC_Chloride!$V11,'Tables - Part 2'!$AV$6:$AV$13,0),MATCH(SCC_Chloride!$Q11,'Tables - Part 2'!$AX$5:$BA$5,0))+INDEX('Tables - Part 2'!$BF$6:$BI$13,MATCH(SCC_Chloride!$V11,'Tables - Part 2'!$AV$6:$AV$13,0),MATCH(SCC_Chloride!$Q11,'Tables - Part 2'!$AX$5:$BA$5,0)))/2)/2)/2,0)</f>
        <v>0</v>
      </c>
      <c r="AL11" s="248">
        <f>IF($P11=$AL$3,(INDEX('Tables - Part 2'!$BB$6:$BE$13,MATCH(SCC_Chloride!$V11,'Tables - Part 2'!$AV$6:$AV$13,0),MATCH(SCC_Chloride!$Q11,'Tables - Part 2'!$AX$5:$BA$5,0))+(INDEX('Tables - Part 2'!$BB$6:$BE$13,MATCH(SCC_Chloride!$V11,'Tables - Part 2'!$AV$6:$AV$13,0),MATCH(SCC_Chloride!$Q11,'Tables - Part 2'!$AX$5:$BA$5,0))+INDEX('Tables - Part 2'!$BF$6:$BI$13,MATCH(SCC_Chloride!$V11,'Tables - Part 2'!$AV$6:$AV$13,0),MATCH(SCC_Chloride!$Q11,'Tables - Part 2'!$AX$5:$BA$5,0)))/2)/2,0)</f>
        <v>0</v>
      </c>
      <c r="AM11" s="248">
        <f>IF($P11=$AM$3,(((INDEX('Tables - Part 2'!$BB$6:$BE$13,MATCH(SCC_Chloride!$V11,'Tables - Part 2'!$AV$6:$AV$13,0),MATCH(SCC_Chloride!$Q11,'Tables - Part 2'!$AX$5:$BA$5,0))+(INDEX('Tables - Part 2'!$BB$6:$BE$13,MATCH(SCC_Chloride!$V11,'Tables - Part 2'!$AV$6:$AV$13,0),MATCH(SCC_Chloride!$Q11,'Tables - Part 2'!$AX$5:$BA$5,0))+INDEX('Tables - Part 2'!$BF$6:$BI$13,MATCH(SCC_Chloride!$V11,'Tables - Part 2'!$AV$6:$AV$13,0),MATCH(SCC_Chloride!$Q11,'Tables - Part 2'!$AX$5:$BA$5,0)))/2)/2)+((INDEX('Tables - Part 2'!$BB$6:$BE$13,MATCH(SCC_Chloride!$V11,'Tables - Part 2'!$AV$6:$AV$13,0),MATCH(SCC_Chloride!$Q11,'Tables - Part 2'!$AX$5:$BA$5,0))+INDEX('Tables - Part 2'!$BF$6:$BI$13,MATCH(SCC_Chloride!$V11,'Tables - Part 2'!$AV$6:$AV$13,0),MATCH(SCC_Chloride!$Q11,'Tables - Part 2'!$AX$5:$BA$5,0)))/2))/2,0)</f>
        <v>0</v>
      </c>
      <c r="AN11" s="248">
        <f>IF($P11=$AN$3,(INDEX('Tables - Part 2'!$BB$6:$BE$13,MATCH(SCC_Chloride!$V11,'Tables - Part 2'!$AV$6:$AV$13,0),MATCH(SCC_Chloride!$Q11,'Tables - Part 2'!$AX$5:$BA$5,0))+INDEX('Tables - Part 2'!$BF$6:$BI$13,MATCH(SCC_Chloride!$V11,'Tables - Part 2'!$AV$6:$AV$13,0),MATCH(SCC_Chloride!$Q11,'Tables - Part 2'!$AX$5:$BA$5,0)))/2,0)</f>
        <v>1.5</v>
      </c>
      <c r="AO11" s="248">
        <f>IF($P11=$AO$3,(((INDEX('Tables - Part 2'!$BB$6:$BE$13,MATCH(SCC_Chloride!$V11,'Tables - Part 2'!$AV$6:$AV$13,0),MATCH(SCC_Chloride!$Q11,'Tables - Part 2'!$AX$5:$BA$5,0))+INDEX('Tables - Part 2'!$BF$6:$BI$13,MATCH(SCC_Chloride!$V11,'Tables - Part 2'!$AV$6:$AV$13,0),MATCH(SCC_Chloride!$Q11,'Tables - Part 2'!$AX$5:$BA$5,0)))/2)+((((INDEX('Tables - Part 2'!$BB$6:$BE$13,MATCH(SCC_Chloride!$V11,'Tables - Part 2'!$AV$6:$AV$13,0),MATCH(SCC_Chloride!$Q11,'Tables - Part 2'!$AX$5:$BA$5,0))+INDEX('Tables - Part 2'!$BF$6:$BI$13,MATCH(SCC_Chloride!$V11,'Tables - Part 2'!$AV$6:$AV$13,0),MATCH(SCC_Chloride!$Q11,'Tables - Part 2'!$AX$5:$BA$5,0)))/2)+INDEX('Tables - Part 2'!$BF$6:$BI$13,MATCH(SCC_Chloride!$V11,'Tables - Part 2'!$AV$6:$AV$13,0),MATCH(SCC_Chloride!$Q11,'Tables - Part 2'!$AX$5:$BA$5,0)))/2))/2,0)</f>
        <v>0</v>
      </c>
      <c r="AP11" s="248">
        <f>IF($P11=$AP$3,(((INDEX('Tables - Part 2'!$BB$6:$BE$13,MATCH(SCC_Chloride!$V11,'Tables - Part 2'!$AV$6:$AV$13,0),MATCH(SCC_Chloride!$Q11,'Tables - Part 2'!$AX$5:$BA$5,0))+INDEX('Tables - Part 2'!$BF$6:$BI$13,MATCH(SCC_Chloride!$V11,'Tables - Part 2'!$AV$6:$AV$13,0),MATCH(SCC_Chloride!$Q11,'Tables - Part 2'!$AX$5:$BA$5,0)))/2)+INDEX('Tables - Part 2'!$BF$6:$BI$13,MATCH(SCC_Chloride!$V11,'Tables - Part 2'!$AV$6:$AV$13,0),MATCH(SCC_Chloride!$Q11,'Tables - Part 2'!$AX$5:$BA$5,0)))/2,0)</f>
        <v>0</v>
      </c>
      <c r="AQ11" s="248">
        <f>IF($P11=$AQ$3,(((((INDEX('Tables - Part 2'!$BB$6:$BE$13,MATCH(SCC_Chloride!$V11,'Tables - Part 2'!$AV$6:$AV$13,0),MATCH(SCC_Chloride!$Q11,'Tables - Part 2'!$AX$5:$BA$5,0))+INDEX('Tables - Part 2'!$BF$6:$BI$13,MATCH(SCC_Chloride!$V11,'Tables - Part 2'!$AV$6:$AV$13,0),MATCH(SCC_Chloride!$Q11,'Tables - Part 2'!$AX$5:$BA$5,0)))/2)+INDEX('Tables - Part 2'!$BF$6:$BI$13,MATCH(SCC_Chloride!$V11,'Tables - Part 2'!$AV$6:$AV$13,0),MATCH(SCC_Chloride!$Q11,'Tables - Part 2'!$AX$5:$BA$5,0)))/2)+INDEX('Tables - Part 2'!$BF$6:$BI$13,MATCH(SCC_Chloride!$V11,'Tables - Part 2'!$AV$6:$AV$13,0),MATCH(SCC_Chloride!$Q11,'Tables - Part 2'!$AX$5:$BA$5,0)))/2,0)</f>
        <v>0</v>
      </c>
      <c r="AR11" s="248">
        <f>IF($P11=$AR$3,INDEX('Tables - Part 2'!$BF$6:$BI$13,MATCH(SCC_Chloride!$V11,'Tables - Part 2'!$AV$6:$AV$13,0),MATCH(SCC_Chloride!$Q11,'Tables - Part 2'!$AX$5:$BA$5,0)),0)</f>
        <v>0</v>
      </c>
      <c r="AS11" s="248">
        <f>IF($P11=$AS$3,(INDEX('Tables - Part 2'!$BF$6:$BI$13,MATCH(SCC_Chloride!$V11,'Tables - Part 2'!$AV$6:$AV$13,0),MATCH(SCC_Chloride!$Q11,'Tables - Part 2'!$AX$5:$BA$5,0))+((INDEX('Tables - Part 2'!$BF$6:$BI$13,MATCH(SCC_Chloride!$V11,'Tables - Part 2'!$AV$6:$AV$13,0),MATCH(SCC_Chloride!$Q11,'Tables - Part 2'!$AX$5:$BA$5,0))+(INDEX('Tables - Part 2'!$BF$6:$BI$13,MATCH(SCC_Chloride!$V11,'Tables - Part 2'!$AV$6:$AV$13,0),MATCH(SCC_Chloride!$Q11,'Tables - Part 2'!$AX$5:$BA$5,0))+INDEX('Tables - Part 2'!$AX$17:$BA$24,MATCH(SCC_Chloride!$V11,'Tables - Part 2'!$AV$6:$AV$13,0),MATCH(SCC_Chloride!$Q11,'Tables - Part 2'!$AX$5:$BA$5,0)))/2)/2))/2,0)</f>
        <v>0</v>
      </c>
      <c r="AT11" s="248">
        <f>IF($P11=$AT$3,(INDEX('Tables - Part 2'!$BF$6:$BI$13,MATCH(SCC_Chloride!$V11,'Tables - Part 2'!$AV$6:$AV$13,0),MATCH(SCC_Chloride!$Q11,'Tables - Part 2'!$AX$5:$BA$5,0))+(INDEX('Tables - Part 2'!$BF$6:$BI$13,MATCH(SCC_Chloride!$V11,'Tables - Part 2'!$AV$6:$AV$13,0),MATCH(SCC_Chloride!$Q11,'Tables - Part 2'!$AX$5:$BA$5,0))+INDEX('Tables - Part 2'!$AX$17:$BA$24,MATCH(SCC_Chloride!$V11,'Tables - Part 2'!$AV$6:$AV$13,0),MATCH(SCC_Chloride!$Q11,'Tables - Part 2'!$AX$5:$BA$5,0)))/2)/2,0)</f>
        <v>0</v>
      </c>
      <c r="AU11" s="248">
        <f>IF($P11=$AU$3,(((INDEX('Tables - Part 2'!$BF$6:$BI$13,MATCH(SCC_Chloride!$V11,'Tables - Part 2'!$AV$6:$AV$13,0),MATCH(SCC_Chloride!$Q11,'Tables - Part 2'!$AX$5:$BA$5,0))+(INDEX('Tables - Part 2'!$BF$6:$BI$13,MATCH(SCC_Chloride!$V11,'Tables - Part 2'!$AV$6:$AV$13,0),MATCH(SCC_Chloride!$Q11,'Tables - Part 2'!$AX$5:$BA$5,0))+INDEX('Tables - Part 2'!$AX$17:$BA$24,MATCH(SCC_Chloride!$V11,'Tables - Part 2'!$AV$6:$AV$13,0),MATCH(SCC_Chloride!$Q11,'Tables - Part 2'!$AX$5:$BA$5,0)))/2)/2)+((INDEX('Tables - Part 2'!$BF$6:$BI$13,MATCH(SCC_Chloride!$V11,'Tables - Part 2'!$AV$6:$AV$13,0),MATCH(SCC_Chloride!$Q11,'Tables - Part 2'!$AX$5:$BA$5,0))+INDEX('Tables - Part 2'!$AX$17:$BA$24,MATCH(SCC_Chloride!$V11,'Tables - Part 2'!$AV$6:$AV$13,0),MATCH(SCC_Chloride!$Q11,'Tables - Part 2'!$AX$5:$BA$5,0)))/2))/2,0)</f>
        <v>0</v>
      </c>
      <c r="AV11" s="248">
        <f>IF($P11=$AV$3,(INDEX('Tables - Part 2'!$BF$6:$BI$13,MATCH(SCC_Chloride!$V11,'Tables - Part 2'!$AV$6:$AV$13,0),MATCH(SCC_Chloride!$Q11,'Tables - Part 2'!$AX$5:$BA$5,0))+INDEX('Tables - Part 2'!$AX$17:$BA$24,MATCH(SCC_Chloride!$V11,'Tables - Part 2'!$AV$6:$AV$13,0),MATCH(SCC_Chloride!$Q11,'Tables - Part 2'!$AX$5:$BA$5,0)))/2,0)</f>
        <v>0</v>
      </c>
      <c r="AW11" s="248">
        <f>IF($P11=$AW$3,(((INDEX('Tables - Part 2'!$BF$6:$BI$13,MATCH(SCC_Chloride!$V11,'Tables - Part 2'!$AV$6:$AV$13,0),MATCH(SCC_Chloride!$Q11,'Tables - Part 2'!$AX$5:$BA$5,0))+INDEX('Tables - Part 2'!$AX$17:$BA$24,MATCH(SCC_Chloride!$V11,'Tables - Part 2'!$AV$6:$AV$13,0),MATCH(SCC_Chloride!$Q11,'Tables - Part 2'!$AX$5:$BA$5,0)))/2)+((((INDEX('Tables - Part 2'!$BF$6:$BI$13,MATCH(SCC_Chloride!$V11,'Tables - Part 2'!$AV$6:$AV$13,0),MATCH(SCC_Chloride!$Q11,'Tables - Part 2'!$AX$5:$BA$5,0))+INDEX('Tables - Part 2'!$AX$17:$BA$24,MATCH(SCC_Chloride!$V11,'Tables - Part 2'!$AV$6:$AV$13,0),MATCH(SCC_Chloride!$Q11,'Tables - Part 2'!$AX$5:$BA$5,0)))/2)+INDEX('Tables - Part 2'!$AX$17:$BA$24,MATCH(SCC_Chloride!$V11,'Tables - Part 2'!$AV$6:$AV$13,0),MATCH(SCC_Chloride!$Q11,'Tables - Part 2'!$AX$5:$BA$5,0)))/2))/2,0)</f>
        <v>0</v>
      </c>
      <c r="AX11" s="248">
        <f>IF($P11=$AX$3,(((INDEX('Tables - Part 2'!$BF$6:$BI$13,MATCH(SCC_Chloride!$V11,'Tables - Part 2'!$AV$6:$AV$13,0),MATCH(SCC_Chloride!$Q11,'Tables - Part 2'!$AX$5:$BA$5,0))+INDEX('Tables - Part 2'!$AX$17:$BA$24,MATCH(SCC_Chloride!$V11,'Tables - Part 2'!$AV$6:$AV$13,0),MATCH(SCC_Chloride!$Q11,'Tables - Part 2'!$AX$5:$BA$5,0)))/2)+INDEX('Tables - Part 2'!$AX$17:$BA$24,MATCH(SCC_Chloride!$V11,'Tables - Part 2'!$AV$6:$AV$13,0),MATCH(SCC_Chloride!$Q11,'Tables - Part 2'!$AX$5:$BA$5,0)))/2,0)</f>
        <v>0</v>
      </c>
      <c r="AY11" s="248">
        <f>IF($P11=$AY$3,(((((INDEX('Tables - Part 2'!$BF$6:$BI$13,MATCH(SCC_Chloride!$V11,'Tables - Part 2'!$AV$6:$AV$13,0),MATCH(SCC_Chloride!$Q11,'Tables - Part 2'!$AX$5:$BA$5,0))+INDEX('Tables - Part 2'!$AX$17:$BA$24,MATCH(SCC_Chloride!$V11,'Tables - Part 2'!$AV$6:$AV$13,0),MATCH(SCC_Chloride!$Q11,'Tables - Part 2'!$AX$5:$BA$5,0)))/2)+INDEX('Tables - Part 2'!$AX$17:$BA$24,MATCH(SCC_Chloride!$V11,'Tables - Part 2'!$AV$6:$AV$13,0),MATCH(SCC_Chloride!$Q11,'Tables - Part 2'!$AX$5:$BA$5,0)))/2)+(INDEX('Tables - Part 2'!$AX$17:$BA$24,MATCH(SCC_Chloride!$V11,'Tables - Part 2'!$AV$6:$AV$13,0),MATCH(SCC_Chloride!$Q11,'Tables - Part 2'!$AX$5:$BA$5,0))))/2,0)</f>
        <v>0</v>
      </c>
      <c r="AZ11" s="248">
        <f>IF($P11=$AZ$3,INDEX('Tables - Part 2'!$AX$17:$BA$24,MATCH(SCC_Chloride!$V11,'Tables - Part 2'!$AV$6:$AV$13,0),MATCH(SCC_Chloride!$Q11,'Tables - Part 2'!$AX$5:$BA$5,0)),0)</f>
        <v>0</v>
      </c>
      <c r="BA11" s="248">
        <f>IF($P11=$BA$3,((INDEX('Tables - Part 2'!$AX$17:$BA$24,MATCH(SCC_Chloride!$V11,'Tables - Part 2'!$AV$6:$AV$13,0),MATCH(SCC_Chloride!$Q11,'Tables - Part 2'!$AX$5:$BA$5,0)))+(((INDEX('Tables - Part 2'!$AX$17:$BA$24,MATCH(SCC_Chloride!$V11,'Tables - Part 2'!$AV$6:$AV$13,0),MATCH(SCC_Chloride!$Q11,'Tables - Part 2'!$AX$5:$BA$5,0)))+(INDEX('Tables - Part 2'!$AX$17:$BA$24,MATCH(SCC_Chloride!$V11,'Tables - Part 2'!$AV$6:$AV$13,0),MATCH(SCC_Chloride!$Q11,'Tables - Part 2'!$AX$5:$BA$5,0))+INDEX('Tables - Part 2'!$BB$17:$BE$24,MATCH(SCC_Chloride!$V11,'Tables - Part 2'!$AV$6:$AV$13,0),MATCH(SCC_Chloride!$Q11,'Tables - Part 2'!$AX$5:$BA$5,0)))/2)/2))/2,0)</f>
        <v>0</v>
      </c>
      <c r="BB11" s="248">
        <f>IF($P11=$BB$3,((INDEX('Tables - Part 2'!$AX$17:$BA$24,MATCH(SCC_Chloride!$V11,'Tables - Part 2'!$AV$6:$AV$13,0),MATCH(SCC_Chloride!$Q11,'Tables - Part 2'!$AX$5:$BA$5,0)))+(INDEX('Tables - Part 2'!$AX$17:$BA$24,MATCH(SCC_Chloride!$V11,'Tables - Part 2'!$AV$6:$AV$13,0),MATCH(SCC_Chloride!$Q11,'Tables - Part 2'!$AX$5:$BA$5,0))+INDEX('Tables - Part 2'!$BB$17:$BE$24,MATCH(SCC_Chloride!$V11,'Tables - Part 2'!$AV$6:$AV$13,0),MATCH(SCC_Chloride!$Q11,'Tables - Part 2'!$AX$5:$BA$5,0)))/2)/2,0)</f>
        <v>0</v>
      </c>
      <c r="BC11" s="248">
        <f>IF($P11=$BC$3,((((INDEX('Tables - Part 2'!$AX$17:$BA$24,MATCH(SCC_Chloride!$V11,'Tables - Part 2'!$AV$6:$AV$13,0),MATCH(SCC_Chloride!$Q11,'Tables - Part 2'!$AX$5:$BA$5,0)))+(INDEX('Tables - Part 2'!$AX$17:$BA$24,MATCH(SCC_Chloride!$V11,'Tables - Part 2'!$AV$6:$AV$13,0),MATCH(SCC_Chloride!$Q11,'Tables - Part 2'!$AX$5:$BA$5,0))+INDEX('Tables - Part 2'!$BB$17:$BE$24,MATCH(SCC_Chloride!$V11,'Tables - Part 2'!$AV$6:$AV$13,0),MATCH(SCC_Chloride!$Q11,'Tables - Part 2'!$AX$5:$BA$5,0)))/2)/2)+((INDEX('Tables - Part 2'!$AX$17:$BA$24,MATCH(SCC_Chloride!$V11,'Tables - Part 2'!$AV$6:$AV$13,0),MATCH(SCC_Chloride!$Q11,'Tables - Part 2'!$AX$5:$BA$5,0))+INDEX('Tables - Part 2'!$BB$17:$BE$24,MATCH(SCC_Chloride!$V11,'Tables - Part 2'!$AV$6:$AV$13,0),MATCH(SCC_Chloride!$Q11,'Tables - Part 2'!$AX$5:$BA$5,0)))/2))/2,0)</f>
        <v>0</v>
      </c>
      <c r="BD11" s="248">
        <f>IF($P11=$BD$3,(INDEX('Tables - Part 2'!$AX$17:$BA$24,MATCH(SCC_Chloride!$V11,'Tables - Part 2'!$AV$6:$AV$13,0),MATCH(SCC_Chloride!$Q11,'Tables - Part 2'!$AX$5:$BA$5,0))+INDEX('Tables - Part 2'!$BB$17:$BE$24,MATCH(SCC_Chloride!$V11,'Tables - Part 2'!$AV$6:$AV$13,0),MATCH(SCC_Chloride!$Q11,'Tables - Part 2'!$AX$5:$BA$5,0)))/2,0)</f>
        <v>0</v>
      </c>
      <c r="BE11" s="248">
        <f>IF($P11=$BE$3,(((INDEX('Tables - Part 2'!$AX$17:$BA$24,MATCH(SCC_Chloride!$V11,'Tables - Part 2'!$AV$6:$AV$13,0),MATCH(SCC_Chloride!$Q11,'Tables - Part 2'!$AX$5:$BA$5,0))+INDEX('Tables - Part 2'!$BB$17:$BE$24,MATCH(SCC_Chloride!$V11,'Tables - Part 2'!$AV$6:$AV$13,0),MATCH(SCC_Chloride!$Q11,'Tables - Part 2'!$AX$5:$BA$5,0)))/2)+((((INDEX('Tables - Part 2'!$AX$17:$BA$24,MATCH(SCC_Chloride!$V11,'Tables - Part 2'!$AV$6:$AV$13,0),MATCH(SCC_Chloride!$Q11,'Tables - Part 2'!$AX$5:$BA$5,0))+INDEX('Tables - Part 2'!$BB$17:$BE$24,MATCH(SCC_Chloride!$V11,'Tables - Part 2'!$AV$6:$AV$13,0),MATCH(SCC_Chloride!$Q11,'Tables - Part 2'!$AX$5:$BA$5,0)))/2)+INDEX('Tables - Part 2'!$BB$17:$BE$24,MATCH(SCC_Chloride!$V11,'Tables - Part 2'!$AV$6:$AV$13,0),MATCH(SCC_Chloride!$Q11,'Tables - Part 2'!$AX$5:$BA$5,0)))/2))/2,0)</f>
        <v>0</v>
      </c>
      <c r="BF11" s="248">
        <f>IF($P11=$BF$3,(((INDEX('Tables - Part 2'!$AX$17:$BA$24,MATCH(SCC_Chloride!$V11,'Tables - Part 2'!$AV$6:$AV$13,0),MATCH(SCC_Chloride!$Q11,'Tables - Part 2'!$AX$5:$BA$5,0))+INDEX('Tables - Part 2'!$BB$17:$BE$24,MATCH(SCC_Chloride!$V11,'Tables - Part 2'!$AV$6:$AV$13,0),MATCH(SCC_Chloride!$Q11,'Tables - Part 2'!$AX$5:$BA$5,0)))/2)+INDEX('Tables - Part 2'!$BB$17:$BE$24,MATCH(SCC_Chloride!$V11,'Tables - Part 2'!$AV$6:$AV$13,0),MATCH(SCC_Chloride!$Q11,'Tables - Part 2'!$AX$5:$BA$5,0)))/2,0)</f>
        <v>0</v>
      </c>
      <c r="BG11" s="248">
        <f>IF($P11=$BG$3,(((((INDEX('Tables - Part 2'!$AX$17:$BA$24,MATCH(SCC_Chloride!$V11,'Tables - Part 2'!$AV$6:$AV$13,0),MATCH(SCC_Chloride!$Q11,'Tables - Part 2'!$AX$5:$BA$5,0))+INDEX('Tables - Part 2'!$BB$17:$BE$24,MATCH(SCC_Chloride!$V11,'Tables - Part 2'!$AV$6:$AV$13,0),MATCH(SCC_Chloride!$Q11,'Tables - Part 2'!$AX$5:$BA$5,0)))/2)+INDEX('Tables - Part 2'!$BB$17:$BE$24,MATCH(SCC_Chloride!$V11,'Tables - Part 2'!$AV$6:$AV$13,0),MATCH(SCC_Chloride!$Q11,'Tables - Part 2'!$AX$5:$BA$5,0)))/2)+(INDEX('Tables - Part 2'!$BB$17:$BE$24,MATCH(SCC_Chloride!$V11,'Tables - Part 2'!$AV$6:$AV$13,0),MATCH(SCC_Chloride!$Q11,'Tables - Part 2'!$AX$5:$BA$5,0))))/2,0)</f>
        <v>0</v>
      </c>
      <c r="BH11" s="248">
        <f>IF($P11=$BH$3,INDEX('Tables - Part 2'!$BB$17:$BE$24,MATCH(SCC_Chloride!$V11,'Tables - Part 2'!$AV$6:$AV$13,0),MATCH(SCC_Chloride!$Q11,'Tables - Part 2'!$AX$5:$BA$5,0)),0)</f>
        <v>0</v>
      </c>
      <c r="BI11" s="248">
        <f>IF($P11=$BI$3,((INDEX('Tables - Part 2'!$BB$17:$BE$24,MATCH(SCC_Chloride!$V11,'Tables - Part 2'!$AV$6:$AV$13,0),MATCH(SCC_Chloride!$Q11,'Tables - Part 2'!$AX$5:$BA$5,0)))+(((INDEX('Tables - Part 2'!$BB$17:$BE$24,MATCH(SCC_Chloride!$V11,'Tables - Part 2'!$AV$6:$AV$13,0),MATCH(SCC_Chloride!$Q11,'Tables - Part 2'!$AX$5:$BA$5,0)))+(INDEX('Tables - Part 2'!$BB$17:$BE$24,MATCH(SCC_Chloride!$V11,'Tables - Part 2'!$AV$6:$AV$13,0),MATCH(SCC_Chloride!$Q11,'Tables - Part 2'!$AX$5:$BA$5,0))+INDEX('Tables - Part 2'!$BF$17:$BI$24,MATCH(SCC_Chloride!$V11,'Tables - Part 2'!$AV$6:$AV$13,0),MATCH(SCC_Chloride!$Q11,'Tables - Part 2'!$AX$5:$BA$5,0)))/2)/2))/2,0)</f>
        <v>0</v>
      </c>
      <c r="BJ11" s="248">
        <f>IF($P11=$BJ$3,((INDEX('Tables - Part 2'!$BB$17:$BE$24,MATCH(SCC_Chloride!$V11,'Tables - Part 2'!$AV$6:$AV$13,0),MATCH(SCC_Chloride!$Q11,'Tables - Part 2'!$AX$5:$BA$5,0)))+(INDEX('Tables - Part 2'!$BB$17:$BE$24,MATCH(SCC_Chloride!$V11,'Tables - Part 2'!$AV$6:$AV$13,0),MATCH(SCC_Chloride!$Q11,'Tables - Part 2'!$AX$5:$BA$5,0))+INDEX('Tables - Part 2'!$BF$17:$BI$24,MATCH(SCC_Chloride!$V11,'Tables - Part 2'!$AV$6:$AV$13,0),MATCH(SCC_Chloride!$Q11,'Tables - Part 2'!$AX$5:$BA$5,0)))/2)/2,0)</f>
        <v>0</v>
      </c>
      <c r="BK11" s="248">
        <f>IF($P11=$BK$3,((((INDEX('Tables - Part 2'!$BB$17:$BE$24,MATCH(SCC_Chloride!$V11,'Tables - Part 2'!$AV$6:$AV$13,0),MATCH(SCC_Chloride!$Q11,'Tables - Part 2'!$AX$5:$BA$5,0)))+(INDEX('Tables - Part 2'!$BB$17:$BE$24,MATCH(SCC_Chloride!$V11,'Tables - Part 2'!$AV$6:$AV$13,0),MATCH(SCC_Chloride!$Q11,'Tables - Part 2'!$AX$5:$BA$5,0))+INDEX('Tables - Part 2'!$BF$17:$BI$24,MATCH(SCC_Chloride!$V11,'Tables - Part 2'!$AV$6:$AV$13,0),MATCH(SCC_Chloride!$Q11,'Tables - Part 2'!$AX$5:$BA$5,0)))/2)/2)+((INDEX('Tables - Part 2'!$BB$17:$BE$24,MATCH(SCC_Chloride!$V11,'Tables - Part 2'!$AV$6:$AV$13,0),MATCH(SCC_Chloride!$Q11,'Tables - Part 2'!$AX$5:$BA$5,0))+INDEX('Tables - Part 2'!$BF$17:$BI$24,MATCH(SCC_Chloride!$V11,'Tables - Part 2'!$AV$6:$AV$13,0),MATCH(SCC_Chloride!$Q11,'Tables - Part 2'!$AX$5:$BA$5,0)))/2))/2,0)</f>
        <v>0</v>
      </c>
      <c r="BL11" s="248">
        <f>IF($P11=$BL$3,(INDEX('Tables - Part 2'!$BB$17:$BE$24,MATCH(SCC_Chloride!$V11,'Tables - Part 2'!$AV$6:$AV$13,0),MATCH(SCC_Chloride!$Q11,'Tables - Part 2'!$AX$5:$BA$5,0))+INDEX('Tables - Part 2'!$BF$17:$BI$24,MATCH(SCC_Chloride!$V11,'Tables - Part 2'!$AV$6:$AV$13,0),MATCH(SCC_Chloride!$Q11,'Tables - Part 2'!$AX$5:$BA$5,0)))/2,0)</f>
        <v>0</v>
      </c>
      <c r="BM11" s="248">
        <f>IF($P11=$BM$3,(((INDEX('Tables - Part 2'!$BB$17:$BE$24,MATCH(SCC_Chloride!$V11,'Tables - Part 2'!$AV$6:$AV$13,0),MATCH(SCC_Chloride!$Q11,'Tables - Part 2'!$AX$5:$BA$5,0))+INDEX('Tables - Part 2'!$BF$17:$BI$24,MATCH(SCC_Chloride!$V11,'Tables - Part 2'!$AV$6:$AV$13,0),MATCH(SCC_Chloride!$Q11,'Tables - Part 2'!$AX$5:$BA$5,0)))/2)+((((INDEX('Tables - Part 2'!$BB$17:$BE$24,MATCH(SCC_Chloride!$V11,'Tables - Part 2'!$AV$6:$AV$13,0),MATCH(SCC_Chloride!$Q11,'Tables - Part 2'!$AX$5:$BA$5,0))+INDEX('Tables - Part 2'!$BF$17:$BI$24,MATCH(SCC_Chloride!$V11,'Tables - Part 2'!$AV$6:$AV$13,0),MATCH(SCC_Chloride!$Q11,'Tables - Part 2'!$AX$5:$BA$5,0)))/2)+INDEX('Tables - Part 2'!$BF$17:$BI$24,MATCH(SCC_Chloride!$V11,'Tables - Part 2'!$AV$6:$AV$13,0),MATCH(SCC_Chloride!$Q11,'Tables - Part 2'!$AX$5:$BA$5,0)))/2))/2,0)</f>
        <v>0</v>
      </c>
      <c r="BN11" s="248">
        <f>IF($P11=$BN$3,(((INDEX('Tables - Part 2'!$BB$17:$BE$24,MATCH(SCC_Chloride!$V11,'Tables - Part 2'!$AV$6:$AV$13,0),MATCH(SCC_Chloride!$Q11,'Tables - Part 2'!$AX$5:$BA$5,0))+INDEX('Tables - Part 2'!$BF$17:$BI$24,MATCH(SCC_Chloride!$V11,'Tables - Part 2'!$AV$6:$AV$13,0),MATCH(SCC_Chloride!$Q11,'Tables - Part 2'!$AX$5:$BA$5,0)))/2)+INDEX('Tables - Part 2'!$BF$17:$BI$24,MATCH(SCC_Chloride!$V11,'Tables - Part 2'!$AV$6:$AV$13,0),MATCH(SCC_Chloride!$Q11,'Tables - Part 2'!$AX$5:$BA$5,0)))/2,0)</f>
        <v>0</v>
      </c>
      <c r="BO11" s="248">
        <f>IF($P11=$BO$3,(((((INDEX('Tables - Part 2'!$BB$17:$BE$24,MATCH(SCC_Chloride!$V11,'Tables - Part 2'!$AV$6:$AV$13,0),MATCH(SCC_Chloride!$Q11,'Tables - Part 2'!$AX$5:$BA$5,0))+INDEX('Tables - Part 2'!$BF$17:$BI$24,MATCH(SCC_Chloride!$V11,'Tables - Part 2'!$AV$6:$AV$13,0),MATCH(SCC_Chloride!$Q11,'Tables - Part 2'!$AX$5:$BA$5,0)))/2)+INDEX('Tables - Part 2'!$BF$17:$BI$24,MATCH(SCC_Chloride!$V11,'Tables - Part 2'!$AV$6:$AV$13,0),MATCH(SCC_Chloride!$Q11,'Tables - Part 2'!$AX$5:$BA$5,0)))/2)+(INDEX('Tables - Part 2'!$BF$17:$BI$24,MATCH(SCC_Chloride!$V11,'Tables - Part 2'!$AV$6:$AV$13,0),MATCH(SCC_Chloride!$Q11,'Tables - Part 2'!$AX$5:$BA$5,0))))/2,0)</f>
        <v>0</v>
      </c>
      <c r="BP11" s="248">
        <f>IF($P11=$BP$3,INDEX('Tables - Part 2'!$BF$17:$BI$24,MATCH(SCC_Chloride!$V11,'Tables - Part 2'!$AV$6:$AV$13,0),MATCH(SCC_Chloride!$Q11,'Tables - Part 2'!$AX$5:$BA$5,0)),0)</f>
        <v>0</v>
      </c>
      <c r="BQ11" s="248">
        <f t="shared" si="5"/>
        <v>0</v>
      </c>
      <c r="BR11" s="238">
        <f t="shared" si="9"/>
        <v>1.5</v>
      </c>
      <c r="BS11" s="238">
        <f t="shared" si="6"/>
        <v>25.159323702612586</v>
      </c>
    </row>
    <row r="12" spans="2:84" x14ac:dyDescent="0.35">
      <c r="B12" s="161" t="str">
        <f>'Tratamento de Dados'!B20</f>
        <v>V-3</v>
      </c>
      <c r="C12" s="161" t="str">
        <f>'Tratamento de Dados'!D20</f>
        <v>Casco</v>
      </c>
      <c r="D12" s="209" t="s">
        <v>245</v>
      </c>
      <c r="E12" s="209" t="s">
        <v>61</v>
      </c>
      <c r="F12" s="209">
        <v>10</v>
      </c>
      <c r="G12" s="209" t="s">
        <v>1167</v>
      </c>
      <c r="H12" s="247">
        <f>'Tratamento de Dados'!S20</f>
        <v>2</v>
      </c>
      <c r="I12" s="210">
        <v>39092</v>
      </c>
      <c r="J12" s="209">
        <v>0</v>
      </c>
      <c r="K12" s="209">
        <v>1</v>
      </c>
      <c r="L12" s="209">
        <v>1</v>
      </c>
      <c r="M12" s="209">
        <v>4</v>
      </c>
      <c r="N12" s="253">
        <f>'Tratamento de Dados'!DA20</f>
        <v>0</v>
      </c>
      <c r="O12" s="253">
        <f>'Tratamento de Dados'!DB20</f>
        <v>0</v>
      </c>
      <c r="P12" s="256">
        <f t="shared" si="0"/>
        <v>2.5</v>
      </c>
      <c r="Q12" s="246" t="str">
        <f t="shared" si="1"/>
        <v>B</v>
      </c>
      <c r="R12" s="246" t="str">
        <f>IF(H12&lt;=38,'Tables - Part 2'!$DO$6,IF(H12&lt;=66,'Tables - Part 2'!$DO$7,IF(H12&lt;=93,'Tables - Part 2'!$DO$8,IF(H12&lt;=149,'Tables - Part 2'!$DO$9,'Tables - Part 2'!$DO$10))))</f>
        <v>≤38</v>
      </c>
      <c r="S12" s="246" t="str">
        <f>IF(H12&lt;=38,'Tables - Part 2'!$DO$14,IF(H12&lt;=93,'Tables - Part 2'!$DO$15,IF(H12&lt;=149,'Tables - Part 2'!$DO$16,'Tables - Part 2'!$DO$17)))</f>
        <v>≤38</v>
      </c>
      <c r="T12" s="246" t="str">
        <f t="shared" si="7"/>
        <v>≤38</v>
      </c>
      <c r="U12" s="467" t="str">
        <f>IF(D12=$BX$2,$BV$5,INDEX(IF(F12&gt;10,'Tables - Part 2'!$DP$14:$DS$17,'Tables - Part 2'!$DP$6:$DS$10),MATCH(T12,IF(F12&gt;10,'Tables - Part 2'!$DO$14:$DO$17,'Tables - Part 2'!$DO$6:$DO$10),0),MATCH(SCC_Chloride!G12,'Tables - Part 2'!$DP$5:$DS$5,0)))</f>
        <v>Low</v>
      </c>
      <c r="V12" s="238">
        <f>IF(AND(D12=$BX$2,E12&lt;&gt;$BX$2),"Fitness-For-Service",INDEX('Tables - Part 2'!$DV$4:$DV$7,MATCH(SCC_Chloride!U12,'Tables - Part 2'!$DU$4:$DU$7,0),))</f>
        <v>50</v>
      </c>
      <c r="W12" s="238">
        <f>IF(I12=0,(Thinning!G13-Thinning!F13)/365.25,(Thinning!G13-I12)/365.25)</f>
        <v>12.980150581793293</v>
      </c>
      <c r="X12" s="248">
        <f t="shared" si="2"/>
        <v>0</v>
      </c>
      <c r="Y12" s="248">
        <f t="shared" si="3"/>
        <v>2.5</v>
      </c>
      <c r="Z12" s="247">
        <f t="shared" si="8"/>
        <v>3</v>
      </c>
      <c r="AA12" s="247">
        <f t="shared" si="4"/>
        <v>4</v>
      </c>
      <c r="AB12" s="248">
        <f>IF($P12=$AB$3,INDEX('Tables - Part 2'!$AX$6:$BA$13,MATCH(SCC_Chloride!V12,'Tables - Part 2'!$AV$6:$AV$13,0),MATCH(SCC_Chloride!Q12,'Tables - Part 2'!$AX$5:$BA$5,0)),0)</f>
        <v>0</v>
      </c>
      <c r="AC12" s="248">
        <f>IF($P12=$AC$3,(INDEX('Tables - Part 2'!$AX$6:$BA$13,MATCH(SCC_Chloride!V12,'Tables - Part 2'!$AV$6:$AV$13,0),MATCH(SCC_Chloride!Q12,'Tables - Part 2'!$AX$5:$BA$5,0))+(INDEX('Tables - Part 2'!$AX$6:$BA$13,MATCH(SCC_Chloride!V12,'Tables - Part 2'!$AV$6:$AV$13,0),MATCH(SCC_Chloride!Q12,'Tables - Part 2'!$AX$5:$BA$5,0))+((INDEX('Tables - Part 2'!$AX$6:$BA$13,MATCH(SCC_Chloride!V12,'Tables - Part 2'!$AV$6:$AV$13,0),MATCH(SCC_Chloride!Q12,'Tables - Part 2'!$AX$5:$BA$5,0))+INDEX('Tables - Part 2'!$BB$6:$BE$13,MATCH(SCC_Chloride!$V12,'Tables - Part 2'!$AV$6:$AV$13,0),MATCH(SCC_Chloride!$Q12,'Tables - Part 2'!$AX$5:$BA$5,0)))/2))/2)/2,0)</f>
        <v>0</v>
      </c>
      <c r="AD12" s="248">
        <f>IF($P12=$AD$3,(INDEX('Tables - Part 2'!$AX$6:$BA$13,MATCH(SCC_Chloride!V12,'Tables - Part 2'!$AV$6:$AV$13,0),MATCH(SCC_Chloride!Q12,'Tables - Part 2'!$AX$5:$BA$5,0))+((INDEX('Tables - Part 2'!$AX$6:$BA$13,MATCH(SCC_Chloride!V12,'Tables - Part 2'!$AV$6:$AV$13,0),MATCH(SCC_Chloride!Q12,'Tables - Part 2'!$AX$5:$BA$5,0))+INDEX('Tables - Part 2'!$BB$6:$BE$13,MATCH(SCC_Chloride!$V12,'Tables - Part 2'!$AV$6:$AV$13,0),MATCH(SCC_Chloride!$Q12,'Tables - Part 2'!$AX$5:$BA$5,0)))/2))/2,0)</f>
        <v>0</v>
      </c>
      <c r="AE12" s="248">
        <f>IF($P12=$AE$3,(((INDEX('Tables - Part 2'!$AX$6:$BA$13,MATCH(SCC_Chloride!V12,'Tables - Part 2'!$AV$6:$AV$13,0),MATCH(SCC_Chloride!Q12,'Tables - Part 2'!$AX$5:$BA$5,0))+((INDEX('Tables - Part 2'!$AX$6:$BA$13,MATCH(SCC_Chloride!V12,'Tables - Part 2'!$AV$6:$AV$13,0),MATCH(SCC_Chloride!Q12,'Tables - Part 2'!$AX$5:$BA$5,0))+INDEX('Tables - Part 2'!$BB$6:$BE$13,MATCH(SCC_Chloride!$V12,'Tables - Part 2'!$AV$6:$AV$13,0),MATCH(SCC_Chloride!$Q12,'Tables - Part 2'!$AX$5:$BA$5,0)))/2))/2)+(INDEX('Tables - Part 2'!$AX$6:$BA$13,MATCH(SCC_Chloride!V12,'Tables - Part 2'!$AV$6:$AV$13,0),MATCH(SCC_Chloride!Q12,'Tables - Part 2'!$AX$5:$BA$5,0))+INDEX('Tables - Part 2'!$BB$6:$BE$13,MATCH(SCC_Chloride!$V12,'Tables - Part 2'!$AV$6:$AV$13,0),MATCH(SCC_Chloride!$Q12,'Tables - Part 2'!$AX$5:$BA$5,0)))/2)/2,0)</f>
        <v>0</v>
      </c>
      <c r="AF12" s="248">
        <f>IF($P12=$AF$3,(INDEX('Tables - Part 2'!$AX$6:$BA$13,MATCH(SCC_Chloride!V12,'Tables - Part 2'!$AV$6:$AV$13,0),MATCH(SCC_Chloride!Q12,'Tables - Part 2'!$AX$5:$BA$5,0))+INDEX('Tables - Part 2'!$BB$6:$BE$13,MATCH(SCC_Chloride!$V12,'Tables - Part 2'!$AV$6:$AV$13,0),MATCH(SCC_Chloride!$Q12,'Tables - Part 2'!$AX$5:$BA$5,0)))/2,0)</f>
        <v>0</v>
      </c>
      <c r="AG12" s="248">
        <f>IF($P12=$AG$3,(((INDEX('Tables - Part 2'!$AX$6:$BA$13,MATCH(SCC_Chloride!V12,'Tables - Part 2'!$AV$6:$AV$13,0),MATCH(SCC_Chloride!Q12,'Tables - Part 2'!$AX$5:$BA$5,0))+INDEX('Tables - Part 2'!$BB$6:$BE$13,MATCH(SCC_Chloride!$V12,'Tables - Part 2'!$AV$6:$AV$13,0),MATCH(SCC_Chloride!$Q12,'Tables - Part 2'!$AX$5:$BA$5,0)))/2)+(((INDEX('Tables - Part 2'!$AX$6:$BA$13,MATCH(SCC_Chloride!V12,'Tables - Part 2'!$AV$6:$AV$13,0),MATCH(SCC_Chloride!Q12,'Tables - Part 2'!$AX$5:$BA$5,0))+INDEX('Tables - Part 2'!$BB$6:$BE$13,MATCH(SCC_Chloride!$V12,'Tables - Part 2'!$AV$6:$AV$13,0),MATCH(SCC_Chloride!$Q12,'Tables - Part 2'!$AX$5:$BA$5,0)))/2)+INDEX('Tables - Part 2'!$BB$6:$BE$13,MATCH(SCC_Chloride!$V12,'Tables - Part 2'!$AV$6:$AV$13,0),MATCH(SCC_Chloride!$Q12,'Tables - Part 2'!$AX$5:$BA$5,0)))/2)/2,0)</f>
        <v>0</v>
      </c>
      <c r="AH12" s="248">
        <f>IF($P12=$AH$3,(((INDEX('Tables - Part 2'!$AX$6:$BA$13,MATCH(SCC_Chloride!V12,'Tables - Part 2'!$AV$6:$AV$13,0),MATCH(SCC_Chloride!Q12,'Tables - Part 2'!$AX$5:$BA$5,0))+INDEX('Tables - Part 2'!$BB$6:$BE$13,MATCH(SCC_Chloride!$V12,'Tables - Part 2'!$AV$6:$AV$13,0),MATCH(SCC_Chloride!$Q12,'Tables - Part 2'!$AX$5:$BA$5,0)))/2)+INDEX('Tables - Part 2'!$BB$6:$BE$13,MATCH(SCC_Chloride!$V12,'Tables - Part 2'!$AV$6:$AV$13,0),MATCH(SCC_Chloride!$Q12,'Tables - Part 2'!$AX$5:$BA$5,0)))/2,0)</f>
        <v>0</v>
      </c>
      <c r="AI12" s="248">
        <f>IF($P12=$AI$3,(((((INDEX('Tables - Part 2'!$AX$6:$BA$13,MATCH(SCC_Chloride!V12,'Tables - Part 2'!$AV$6:$AV$13,0),MATCH(SCC_Chloride!Q12,'Tables - Part 2'!$AX$5:$BA$5,0))+INDEX('Tables - Part 2'!$BB$6:$BE$13,MATCH(SCC_Chloride!$V12,'Tables - Part 2'!$AV$6:$AV$13,0),MATCH(SCC_Chloride!$Q12,'Tables - Part 2'!$AX$5:$BA$5,0)))/2)+INDEX('Tables - Part 2'!$BB$6:$BE$13,MATCH(SCC_Chloride!$V12,'Tables - Part 2'!$AV$6:$AV$13,0),MATCH(SCC_Chloride!$Q12,'Tables - Part 2'!$AX$5:$BA$5,0)))/2)+INDEX('Tables - Part 2'!$BB$6:$BE$13,MATCH(SCC_Chloride!$V12,'Tables - Part 2'!$AV$6:$AV$13,0),MATCH(SCC_Chloride!$Q12,'Tables - Part 2'!$AX$5:$BA$5,0)))/2,0)</f>
        <v>0</v>
      </c>
      <c r="AJ12" s="248">
        <f>IF($P12=$AJ$3,INDEX('Tables - Part 2'!$BB$6:$BE$13,MATCH(SCC_Chloride!$V12,'Tables - Part 2'!$AV$6:$AV$13,0),MATCH(SCC_Chloride!$Q12,'Tables - Part 2'!$AX$5:$BA$5,0)),0)</f>
        <v>0</v>
      </c>
      <c r="AK12" s="248">
        <f>IF($P12=$AK$3,((INDEX('Tables - Part 2'!$BB$6:$BE$13,MATCH(SCC_Chloride!$V12,'Tables - Part 2'!$AV$6:$AV$13,0),MATCH(SCC_Chloride!$Q12,'Tables - Part 2'!$AX$5:$BA$5,0)))+(INDEX('Tables - Part 2'!$BB$6:$BE$13,MATCH(SCC_Chloride!$V12,'Tables - Part 2'!$AV$6:$AV$13,0),MATCH(SCC_Chloride!$Q12,'Tables - Part 2'!$AX$5:$BA$5,0))+(INDEX('Tables - Part 2'!$BB$6:$BE$13,MATCH(SCC_Chloride!$V12,'Tables - Part 2'!$AV$6:$AV$13,0),MATCH(SCC_Chloride!$Q12,'Tables - Part 2'!$AX$5:$BA$5,0))+INDEX('Tables - Part 2'!$BF$6:$BI$13,MATCH(SCC_Chloride!$V12,'Tables - Part 2'!$AV$6:$AV$13,0),MATCH(SCC_Chloride!$Q12,'Tables - Part 2'!$AX$5:$BA$5,0)))/2)/2)/2,0)</f>
        <v>0</v>
      </c>
      <c r="AL12" s="248">
        <f>IF($P12=$AL$3,(INDEX('Tables - Part 2'!$BB$6:$BE$13,MATCH(SCC_Chloride!$V12,'Tables - Part 2'!$AV$6:$AV$13,0),MATCH(SCC_Chloride!$Q12,'Tables - Part 2'!$AX$5:$BA$5,0))+(INDEX('Tables - Part 2'!$BB$6:$BE$13,MATCH(SCC_Chloride!$V12,'Tables - Part 2'!$AV$6:$AV$13,0),MATCH(SCC_Chloride!$Q12,'Tables - Part 2'!$AX$5:$BA$5,0))+INDEX('Tables - Part 2'!$BF$6:$BI$13,MATCH(SCC_Chloride!$V12,'Tables - Part 2'!$AV$6:$AV$13,0),MATCH(SCC_Chloride!$Q12,'Tables - Part 2'!$AX$5:$BA$5,0)))/2)/2,0)</f>
        <v>0</v>
      </c>
      <c r="AM12" s="248">
        <f>IF($P12=$AM$3,(((INDEX('Tables - Part 2'!$BB$6:$BE$13,MATCH(SCC_Chloride!$V12,'Tables - Part 2'!$AV$6:$AV$13,0),MATCH(SCC_Chloride!$Q12,'Tables - Part 2'!$AX$5:$BA$5,0))+(INDEX('Tables - Part 2'!$BB$6:$BE$13,MATCH(SCC_Chloride!$V12,'Tables - Part 2'!$AV$6:$AV$13,0),MATCH(SCC_Chloride!$Q12,'Tables - Part 2'!$AX$5:$BA$5,0))+INDEX('Tables - Part 2'!$BF$6:$BI$13,MATCH(SCC_Chloride!$V12,'Tables - Part 2'!$AV$6:$AV$13,0),MATCH(SCC_Chloride!$Q12,'Tables - Part 2'!$AX$5:$BA$5,0)))/2)/2)+((INDEX('Tables - Part 2'!$BB$6:$BE$13,MATCH(SCC_Chloride!$V12,'Tables - Part 2'!$AV$6:$AV$13,0),MATCH(SCC_Chloride!$Q12,'Tables - Part 2'!$AX$5:$BA$5,0))+INDEX('Tables - Part 2'!$BF$6:$BI$13,MATCH(SCC_Chloride!$V12,'Tables - Part 2'!$AV$6:$AV$13,0),MATCH(SCC_Chloride!$Q12,'Tables - Part 2'!$AX$5:$BA$5,0)))/2))/2,0)</f>
        <v>0</v>
      </c>
      <c r="AN12" s="248">
        <f>IF($P12=$AN$3,(INDEX('Tables - Part 2'!$BB$6:$BE$13,MATCH(SCC_Chloride!$V12,'Tables - Part 2'!$AV$6:$AV$13,0),MATCH(SCC_Chloride!$Q12,'Tables - Part 2'!$AX$5:$BA$5,0))+INDEX('Tables - Part 2'!$BF$6:$BI$13,MATCH(SCC_Chloride!$V12,'Tables - Part 2'!$AV$6:$AV$13,0),MATCH(SCC_Chloride!$Q12,'Tables - Part 2'!$AX$5:$BA$5,0)))/2,0)</f>
        <v>1.5</v>
      </c>
      <c r="AO12" s="248">
        <f>IF($P12=$AO$3,(((INDEX('Tables - Part 2'!$BB$6:$BE$13,MATCH(SCC_Chloride!$V12,'Tables - Part 2'!$AV$6:$AV$13,0),MATCH(SCC_Chloride!$Q12,'Tables - Part 2'!$AX$5:$BA$5,0))+INDEX('Tables - Part 2'!$BF$6:$BI$13,MATCH(SCC_Chloride!$V12,'Tables - Part 2'!$AV$6:$AV$13,0),MATCH(SCC_Chloride!$Q12,'Tables - Part 2'!$AX$5:$BA$5,0)))/2)+((((INDEX('Tables - Part 2'!$BB$6:$BE$13,MATCH(SCC_Chloride!$V12,'Tables - Part 2'!$AV$6:$AV$13,0),MATCH(SCC_Chloride!$Q12,'Tables - Part 2'!$AX$5:$BA$5,0))+INDEX('Tables - Part 2'!$BF$6:$BI$13,MATCH(SCC_Chloride!$V12,'Tables - Part 2'!$AV$6:$AV$13,0),MATCH(SCC_Chloride!$Q12,'Tables - Part 2'!$AX$5:$BA$5,0)))/2)+INDEX('Tables - Part 2'!$BF$6:$BI$13,MATCH(SCC_Chloride!$V12,'Tables - Part 2'!$AV$6:$AV$13,0),MATCH(SCC_Chloride!$Q12,'Tables - Part 2'!$AX$5:$BA$5,0)))/2))/2,0)</f>
        <v>0</v>
      </c>
      <c r="AP12" s="248">
        <f>IF($P12=$AP$3,(((INDEX('Tables - Part 2'!$BB$6:$BE$13,MATCH(SCC_Chloride!$V12,'Tables - Part 2'!$AV$6:$AV$13,0),MATCH(SCC_Chloride!$Q12,'Tables - Part 2'!$AX$5:$BA$5,0))+INDEX('Tables - Part 2'!$BF$6:$BI$13,MATCH(SCC_Chloride!$V12,'Tables - Part 2'!$AV$6:$AV$13,0),MATCH(SCC_Chloride!$Q12,'Tables - Part 2'!$AX$5:$BA$5,0)))/2)+INDEX('Tables - Part 2'!$BF$6:$BI$13,MATCH(SCC_Chloride!$V12,'Tables - Part 2'!$AV$6:$AV$13,0),MATCH(SCC_Chloride!$Q12,'Tables - Part 2'!$AX$5:$BA$5,0)))/2,0)</f>
        <v>0</v>
      </c>
      <c r="AQ12" s="248">
        <f>IF($P12=$AQ$3,(((((INDEX('Tables - Part 2'!$BB$6:$BE$13,MATCH(SCC_Chloride!$V12,'Tables - Part 2'!$AV$6:$AV$13,0),MATCH(SCC_Chloride!$Q12,'Tables - Part 2'!$AX$5:$BA$5,0))+INDEX('Tables - Part 2'!$BF$6:$BI$13,MATCH(SCC_Chloride!$V12,'Tables - Part 2'!$AV$6:$AV$13,0),MATCH(SCC_Chloride!$Q12,'Tables - Part 2'!$AX$5:$BA$5,0)))/2)+INDEX('Tables - Part 2'!$BF$6:$BI$13,MATCH(SCC_Chloride!$V12,'Tables - Part 2'!$AV$6:$AV$13,0),MATCH(SCC_Chloride!$Q12,'Tables - Part 2'!$AX$5:$BA$5,0)))/2)+INDEX('Tables - Part 2'!$BF$6:$BI$13,MATCH(SCC_Chloride!$V12,'Tables - Part 2'!$AV$6:$AV$13,0),MATCH(SCC_Chloride!$Q12,'Tables - Part 2'!$AX$5:$BA$5,0)))/2,0)</f>
        <v>0</v>
      </c>
      <c r="AR12" s="248">
        <f>IF($P12=$AR$3,INDEX('Tables - Part 2'!$BF$6:$BI$13,MATCH(SCC_Chloride!$V12,'Tables - Part 2'!$AV$6:$AV$13,0),MATCH(SCC_Chloride!$Q12,'Tables - Part 2'!$AX$5:$BA$5,0)),0)</f>
        <v>0</v>
      </c>
      <c r="AS12" s="248">
        <f>IF($P12=$AS$3,(INDEX('Tables - Part 2'!$BF$6:$BI$13,MATCH(SCC_Chloride!$V12,'Tables - Part 2'!$AV$6:$AV$13,0),MATCH(SCC_Chloride!$Q12,'Tables - Part 2'!$AX$5:$BA$5,0))+((INDEX('Tables - Part 2'!$BF$6:$BI$13,MATCH(SCC_Chloride!$V12,'Tables - Part 2'!$AV$6:$AV$13,0),MATCH(SCC_Chloride!$Q12,'Tables - Part 2'!$AX$5:$BA$5,0))+(INDEX('Tables - Part 2'!$BF$6:$BI$13,MATCH(SCC_Chloride!$V12,'Tables - Part 2'!$AV$6:$AV$13,0),MATCH(SCC_Chloride!$Q12,'Tables - Part 2'!$AX$5:$BA$5,0))+INDEX('Tables - Part 2'!$AX$17:$BA$24,MATCH(SCC_Chloride!$V12,'Tables - Part 2'!$AV$6:$AV$13,0),MATCH(SCC_Chloride!$Q12,'Tables - Part 2'!$AX$5:$BA$5,0)))/2)/2))/2,0)</f>
        <v>0</v>
      </c>
      <c r="AT12" s="248">
        <f>IF($P12=$AT$3,(INDEX('Tables - Part 2'!$BF$6:$BI$13,MATCH(SCC_Chloride!$V12,'Tables - Part 2'!$AV$6:$AV$13,0),MATCH(SCC_Chloride!$Q12,'Tables - Part 2'!$AX$5:$BA$5,0))+(INDEX('Tables - Part 2'!$BF$6:$BI$13,MATCH(SCC_Chloride!$V12,'Tables - Part 2'!$AV$6:$AV$13,0),MATCH(SCC_Chloride!$Q12,'Tables - Part 2'!$AX$5:$BA$5,0))+INDEX('Tables - Part 2'!$AX$17:$BA$24,MATCH(SCC_Chloride!$V12,'Tables - Part 2'!$AV$6:$AV$13,0),MATCH(SCC_Chloride!$Q12,'Tables - Part 2'!$AX$5:$BA$5,0)))/2)/2,0)</f>
        <v>0</v>
      </c>
      <c r="AU12" s="248">
        <f>IF($P12=$AU$3,(((INDEX('Tables - Part 2'!$BF$6:$BI$13,MATCH(SCC_Chloride!$V12,'Tables - Part 2'!$AV$6:$AV$13,0),MATCH(SCC_Chloride!$Q12,'Tables - Part 2'!$AX$5:$BA$5,0))+(INDEX('Tables - Part 2'!$BF$6:$BI$13,MATCH(SCC_Chloride!$V12,'Tables - Part 2'!$AV$6:$AV$13,0),MATCH(SCC_Chloride!$Q12,'Tables - Part 2'!$AX$5:$BA$5,0))+INDEX('Tables - Part 2'!$AX$17:$BA$24,MATCH(SCC_Chloride!$V12,'Tables - Part 2'!$AV$6:$AV$13,0),MATCH(SCC_Chloride!$Q12,'Tables - Part 2'!$AX$5:$BA$5,0)))/2)/2)+((INDEX('Tables - Part 2'!$BF$6:$BI$13,MATCH(SCC_Chloride!$V12,'Tables - Part 2'!$AV$6:$AV$13,0),MATCH(SCC_Chloride!$Q12,'Tables - Part 2'!$AX$5:$BA$5,0))+INDEX('Tables - Part 2'!$AX$17:$BA$24,MATCH(SCC_Chloride!$V12,'Tables - Part 2'!$AV$6:$AV$13,0),MATCH(SCC_Chloride!$Q12,'Tables - Part 2'!$AX$5:$BA$5,0)))/2))/2,0)</f>
        <v>0</v>
      </c>
      <c r="AV12" s="248">
        <f>IF($P12=$AV$3,(INDEX('Tables - Part 2'!$BF$6:$BI$13,MATCH(SCC_Chloride!$V12,'Tables - Part 2'!$AV$6:$AV$13,0),MATCH(SCC_Chloride!$Q12,'Tables - Part 2'!$AX$5:$BA$5,0))+INDEX('Tables - Part 2'!$AX$17:$BA$24,MATCH(SCC_Chloride!$V12,'Tables - Part 2'!$AV$6:$AV$13,0),MATCH(SCC_Chloride!$Q12,'Tables - Part 2'!$AX$5:$BA$5,0)))/2,0)</f>
        <v>0</v>
      </c>
      <c r="AW12" s="248">
        <f>IF($P12=$AW$3,(((INDEX('Tables - Part 2'!$BF$6:$BI$13,MATCH(SCC_Chloride!$V12,'Tables - Part 2'!$AV$6:$AV$13,0),MATCH(SCC_Chloride!$Q12,'Tables - Part 2'!$AX$5:$BA$5,0))+INDEX('Tables - Part 2'!$AX$17:$BA$24,MATCH(SCC_Chloride!$V12,'Tables - Part 2'!$AV$6:$AV$13,0),MATCH(SCC_Chloride!$Q12,'Tables - Part 2'!$AX$5:$BA$5,0)))/2)+((((INDEX('Tables - Part 2'!$BF$6:$BI$13,MATCH(SCC_Chloride!$V12,'Tables - Part 2'!$AV$6:$AV$13,0),MATCH(SCC_Chloride!$Q12,'Tables - Part 2'!$AX$5:$BA$5,0))+INDEX('Tables - Part 2'!$AX$17:$BA$24,MATCH(SCC_Chloride!$V12,'Tables - Part 2'!$AV$6:$AV$13,0),MATCH(SCC_Chloride!$Q12,'Tables - Part 2'!$AX$5:$BA$5,0)))/2)+INDEX('Tables - Part 2'!$AX$17:$BA$24,MATCH(SCC_Chloride!$V12,'Tables - Part 2'!$AV$6:$AV$13,0),MATCH(SCC_Chloride!$Q12,'Tables - Part 2'!$AX$5:$BA$5,0)))/2))/2,0)</f>
        <v>0</v>
      </c>
      <c r="AX12" s="248">
        <f>IF($P12=$AX$3,(((INDEX('Tables - Part 2'!$BF$6:$BI$13,MATCH(SCC_Chloride!$V12,'Tables - Part 2'!$AV$6:$AV$13,0),MATCH(SCC_Chloride!$Q12,'Tables - Part 2'!$AX$5:$BA$5,0))+INDEX('Tables - Part 2'!$AX$17:$BA$24,MATCH(SCC_Chloride!$V12,'Tables - Part 2'!$AV$6:$AV$13,0),MATCH(SCC_Chloride!$Q12,'Tables - Part 2'!$AX$5:$BA$5,0)))/2)+INDEX('Tables - Part 2'!$AX$17:$BA$24,MATCH(SCC_Chloride!$V12,'Tables - Part 2'!$AV$6:$AV$13,0),MATCH(SCC_Chloride!$Q12,'Tables - Part 2'!$AX$5:$BA$5,0)))/2,0)</f>
        <v>0</v>
      </c>
      <c r="AY12" s="248">
        <f>IF($P12=$AY$3,(((((INDEX('Tables - Part 2'!$BF$6:$BI$13,MATCH(SCC_Chloride!$V12,'Tables - Part 2'!$AV$6:$AV$13,0),MATCH(SCC_Chloride!$Q12,'Tables - Part 2'!$AX$5:$BA$5,0))+INDEX('Tables - Part 2'!$AX$17:$BA$24,MATCH(SCC_Chloride!$V12,'Tables - Part 2'!$AV$6:$AV$13,0),MATCH(SCC_Chloride!$Q12,'Tables - Part 2'!$AX$5:$BA$5,0)))/2)+INDEX('Tables - Part 2'!$AX$17:$BA$24,MATCH(SCC_Chloride!$V12,'Tables - Part 2'!$AV$6:$AV$13,0),MATCH(SCC_Chloride!$Q12,'Tables - Part 2'!$AX$5:$BA$5,0)))/2)+(INDEX('Tables - Part 2'!$AX$17:$BA$24,MATCH(SCC_Chloride!$V12,'Tables - Part 2'!$AV$6:$AV$13,0),MATCH(SCC_Chloride!$Q12,'Tables - Part 2'!$AX$5:$BA$5,0))))/2,0)</f>
        <v>0</v>
      </c>
      <c r="AZ12" s="248">
        <f>IF($P12=$AZ$3,INDEX('Tables - Part 2'!$AX$17:$BA$24,MATCH(SCC_Chloride!$V12,'Tables - Part 2'!$AV$6:$AV$13,0),MATCH(SCC_Chloride!$Q12,'Tables - Part 2'!$AX$5:$BA$5,0)),0)</f>
        <v>0</v>
      </c>
      <c r="BA12" s="248">
        <f>IF($P12=$BA$3,((INDEX('Tables - Part 2'!$AX$17:$BA$24,MATCH(SCC_Chloride!$V12,'Tables - Part 2'!$AV$6:$AV$13,0),MATCH(SCC_Chloride!$Q12,'Tables - Part 2'!$AX$5:$BA$5,0)))+(((INDEX('Tables - Part 2'!$AX$17:$BA$24,MATCH(SCC_Chloride!$V12,'Tables - Part 2'!$AV$6:$AV$13,0),MATCH(SCC_Chloride!$Q12,'Tables - Part 2'!$AX$5:$BA$5,0)))+(INDEX('Tables - Part 2'!$AX$17:$BA$24,MATCH(SCC_Chloride!$V12,'Tables - Part 2'!$AV$6:$AV$13,0),MATCH(SCC_Chloride!$Q12,'Tables - Part 2'!$AX$5:$BA$5,0))+INDEX('Tables - Part 2'!$BB$17:$BE$24,MATCH(SCC_Chloride!$V12,'Tables - Part 2'!$AV$6:$AV$13,0),MATCH(SCC_Chloride!$Q12,'Tables - Part 2'!$AX$5:$BA$5,0)))/2)/2))/2,0)</f>
        <v>0</v>
      </c>
      <c r="BB12" s="248">
        <f>IF($P12=$BB$3,((INDEX('Tables - Part 2'!$AX$17:$BA$24,MATCH(SCC_Chloride!$V12,'Tables - Part 2'!$AV$6:$AV$13,0),MATCH(SCC_Chloride!$Q12,'Tables - Part 2'!$AX$5:$BA$5,0)))+(INDEX('Tables - Part 2'!$AX$17:$BA$24,MATCH(SCC_Chloride!$V12,'Tables - Part 2'!$AV$6:$AV$13,0),MATCH(SCC_Chloride!$Q12,'Tables - Part 2'!$AX$5:$BA$5,0))+INDEX('Tables - Part 2'!$BB$17:$BE$24,MATCH(SCC_Chloride!$V12,'Tables - Part 2'!$AV$6:$AV$13,0),MATCH(SCC_Chloride!$Q12,'Tables - Part 2'!$AX$5:$BA$5,0)))/2)/2,0)</f>
        <v>0</v>
      </c>
      <c r="BC12" s="248">
        <f>IF($P12=$BC$3,((((INDEX('Tables - Part 2'!$AX$17:$BA$24,MATCH(SCC_Chloride!$V12,'Tables - Part 2'!$AV$6:$AV$13,0),MATCH(SCC_Chloride!$Q12,'Tables - Part 2'!$AX$5:$BA$5,0)))+(INDEX('Tables - Part 2'!$AX$17:$BA$24,MATCH(SCC_Chloride!$V12,'Tables - Part 2'!$AV$6:$AV$13,0),MATCH(SCC_Chloride!$Q12,'Tables - Part 2'!$AX$5:$BA$5,0))+INDEX('Tables - Part 2'!$BB$17:$BE$24,MATCH(SCC_Chloride!$V12,'Tables - Part 2'!$AV$6:$AV$13,0),MATCH(SCC_Chloride!$Q12,'Tables - Part 2'!$AX$5:$BA$5,0)))/2)/2)+((INDEX('Tables - Part 2'!$AX$17:$BA$24,MATCH(SCC_Chloride!$V12,'Tables - Part 2'!$AV$6:$AV$13,0),MATCH(SCC_Chloride!$Q12,'Tables - Part 2'!$AX$5:$BA$5,0))+INDEX('Tables - Part 2'!$BB$17:$BE$24,MATCH(SCC_Chloride!$V12,'Tables - Part 2'!$AV$6:$AV$13,0),MATCH(SCC_Chloride!$Q12,'Tables - Part 2'!$AX$5:$BA$5,0)))/2))/2,0)</f>
        <v>0</v>
      </c>
      <c r="BD12" s="248">
        <f>IF($P12=$BD$3,(INDEX('Tables - Part 2'!$AX$17:$BA$24,MATCH(SCC_Chloride!$V12,'Tables - Part 2'!$AV$6:$AV$13,0),MATCH(SCC_Chloride!$Q12,'Tables - Part 2'!$AX$5:$BA$5,0))+INDEX('Tables - Part 2'!$BB$17:$BE$24,MATCH(SCC_Chloride!$V12,'Tables - Part 2'!$AV$6:$AV$13,0),MATCH(SCC_Chloride!$Q12,'Tables - Part 2'!$AX$5:$BA$5,0)))/2,0)</f>
        <v>0</v>
      </c>
      <c r="BE12" s="248">
        <f>IF($P12=$BE$3,(((INDEX('Tables - Part 2'!$AX$17:$BA$24,MATCH(SCC_Chloride!$V12,'Tables - Part 2'!$AV$6:$AV$13,0),MATCH(SCC_Chloride!$Q12,'Tables - Part 2'!$AX$5:$BA$5,0))+INDEX('Tables - Part 2'!$BB$17:$BE$24,MATCH(SCC_Chloride!$V12,'Tables - Part 2'!$AV$6:$AV$13,0),MATCH(SCC_Chloride!$Q12,'Tables - Part 2'!$AX$5:$BA$5,0)))/2)+((((INDEX('Tables - Part 2'!$AX$17:$BA$24,MATCH(SCC_Chloride!$V12,'Tables - Part 2'!$AV$6:$AV$13,0),MATCH(SCC_Chloride!$Q12,'Tables - Part 2'!$AX$5:$BA$5,0))+INDEX('Tables - Part 2'!$BB$17:$BE$24,MATCH(SCC_Chloride!$V12,'Tables - Part 2'!$AV$6:$AV$13,0),MATCH(SCC_Chloride!$Q12,'Tables - Part 2'!$AX$5:$BA$5,0)))/2)+INDEX('Tables - Part 2'!$BB$17:$BE$24,MATCH(SCC_Chloride!$V12,'Tables - Part 2'!$AV$6:$AV$13,0),MATCH(SCC_Chloride!$Q12,'Tables - Part 2'!$AX$5:$BA$5,0)))/2))/2,0)</f>
        <v>0</v>
      </c>
      <c r="BF12" s="248">
        <f>IF($P12=$BF$3,(((INDEX('Tables - Part 2'!$AX$17:$BA$24,MATCH(SCC_Chloride!$V12,'Tables - Part 2'!$AV$6:$AV$13,0),MATCH(SCC_Chloride!$Q12,'Tables - Part 2'!$AX$5:$BA$5,0))+INDEX('Tables - Part 2'!$BB$17:$BE$24,MATCH(SCC_Chloride!$V12,'Tables - Part 2'!$AV$6:$AV$13,0),MATCH(SCC_Chloride!$Q12,'Tables - Part 2'!$AX$5:$BA$5,0)))/2)+INDEX('Tables - Part 2'!$BB$17:$BE$24,MATCH(SCC_Chloride!$V12,'Tables - Part 2'!$AV$6:$AV$13,0),MATCH(SCC_Chloride!$Q12,'Tables - Part 2'!$AX$5:$BA$5,0)))/2,0)</f>
        <v>0</v>
      </c>
      <c r="BG12" s="248">
        <f>IF($P12=$BG$3,(((((INDEX('Tables - Part 2'!$AX$17:$BA$24,MATCH(SCC_Chloride!$V12,'Tables - Part 2'!$AV$6:$AV$13,0),MATCH(SCC_Chloride!$Q12,'Tables - Part 2'!$AX$5:$BA$5,0))+INDEX('Tables - Part 2'!$BB$17:$BE$24,MATCH(SCC_Chloride!$V12,'Tables - Part 2'!$AV$6:$AV$13,0),MATCH(SCC_Chloride!$Q12,'Tables - Part 2'!$AX$5:$BA$5,0)))/2)+INDEX('Tables - Part 2'!$BB$17:$BE$24,MATCH(SCC_Chloride!$V12,'Tables - Part 2'!$AV$6:$AV$13,0),MATCH(SCC_Chloride!$Q12,'Tables - Part 2'!$AX$5:$BA$5,0)))/2)+(INDEX('Tables - Part 2'!$BB$17:$BE$24,MATCH(SCC_Chloride!$V12,'Tables - Part 2'!$AV$6:$AV$13,0),MATCH(SCC_Chloride!$Q12,'Tables - Part 2'!$AX$5:$BA$5,0))))/2,0)</f>
        <v>0</v>
      </c>
      <c r="BH12" s="248">
        <f>IF($P12=$BH$3,INDEX('Tables - Part 2'!$BB$17:$BE$24,MATCH(SCC_Chloride!$V12,'Tables - Part 2'!$AV$6:$AV$13,0),MATCH(SCC_Chloride!$Q12,'Tables - Part 2'!$AX$5:$BA$5,0)),0)</f>
        <v>0</v>
      </c>
      <c r="BI12" s="248">
        <f>IF($P12=$BI$3,((INDEX('Tables - Part 2'!$BB$17:$BE$24,MATCH(SCC_Chloride!$V12,'Tables - Part 2'!$AV$6:$AV$13,0),MATCH(SCC_Chloride!$Q12,'Tables - Part 2'!$AX$5:$BA$5,0)))+(((INDEX('Tables - Part 2'!$BB$17:$BE$24,MATCH(SCC_Chloride!$V12,'Tables - Part 2'!$AV$6:$AV$13,0),MATCH(SCC_Chloride!$Q12,'Tables - Part 2'!$AX$5:$BA$5,0)))+(INDEX('Tables - Part 2'!$BB$17:$BE$24,MATCH(SCC_Chloride!$V12,'Tables - Part 2'!$AV$6:$AV$13,0),MATCH(SCC_Chloride!$Q12,'Tables - Part 2'!$AX$5:$BA$5,0))+INDEX('Tables - Part 2'!$BF$17:$BI$24,MATCH(SCC_Chloride!$V12,'Tables - Part 2'!$AV$6:$AV$13,0),MATCH(SCC_Chloride!$Q12,'Tables - Part 2'!$AX$5:$BA$5,0)))/2)/2))/2,0)</f>
        <v>0</v>
      </c>
      <c r="BJ12" s="248">
        <f>IF($P12=$BJ$3,((INDEX('Tables - Part 2'!$BB$17:$BE$24,MATCH(SCC_Chloride!$V12,'Tables - Part 2'!$AV$6:$AV$13,0),MATCH(SCC_Chloride!$Q12,'Tables - Part 2'!$AX$5:$BA$5,0)))+(INDEX('Tables - Part 2'!$BB$17:$BE$24,MATCH(SCC_Chloride!$V12,'Tables - Part 2'!$AV$6:$AV$13,0),MATCH(SCC_Chloride!$Q12,'Tables - Part 2'!$AX$5:$BA$5,0))+INDEX('Tables - Part 2'!$BF$17:$BI$24,MATCH(SCC_Chloride!$V12,'Tables - Part 2'!$AV$6:$AV$13,0),MATCH(SCC_Chloride!$Q12,'Tables - Part 2'!$AX$5:$BA$5,0)))/2)/2,0)</f>
        <v>0</v>
      </c>
      <c r="BK12" s="248">
        <f>IF($P12=$BK$3,((((INDEX('Tables - Part 2'!$BB$17:$BE$24,MATCH(SCC_Chloride!$V12,'Tables - Part 2'!$AV$6:$AV$13,0),MATCH(SCC_Chloride!$Q12,'Tables - Part 2'!$AX$5:$BA$5,0)))+(INDEX('Tables - Part 2'!$BB$17:$BE$24,MATCH(SCC_Chloride!$V12,'Tables - Part 2'!$AV$6:$AV$13,0),MATCH(SCC_Chloride!$Q12,'Tables - Part 2'!$AX$5:$BA$5,0))+INDEX('Tables - Part 2'!$BF$17:$BI$24,MATCH(SCC_Chloride!$V12,'Tables - Part 2'!$AV$6:$AV$13,0),MATCH(SCC_Chloride!$Q12,'Tables - Part 2'!$AX$5:$BA$5,0)))/2)/2)+((INDEX('Tables - Part 2'!$BB$17:$BE$24,MATCH(SCC_Chloride!$V12,'Tables - Part 2'!$AV$6:$AV$13,0),MATCH(SCC_Chloride!$Q12,'Tables - Part 2'!$AX$5:$BA$5,0))+INDEX('Tables - Part 2'!$BF$17:$BI$24,MATCH(SCC_Chloride!$V12,'Tables - Part 2'!$AV$6:$AV$13,0),MATCH(SCC_Chloride!$Q12,'Tables - Part 2'!$AX$5:$BA$5,0)))/2))/2,0)</f>
        <v>0</v>
      </c>
      <c r="BL12" s="248">
        <f>IF($P12=$BL$3,(INDEX('Tables - Part 2'!$BB$17:$BE$24,MATCH(SCC_Chloride!$V12,'Tables - Part 2'!$AV$6:$AV$13,0),MATCH(SCC_Chloride!$Q12,'Tables - Part 2'!$AX$5:$BA$5,0))+INDEX('Tables - Part 2'!$BF$17:$BI$24,MATCH(SCC_Chloride!$V12,'Tables - Part 2'!$AV$6:$AV$13,0),MATCH(SCC_Chloride!$Q12,'Tables - Part 2'!$AX$5:$BA$5,0)))/2,0)</f>
        <v>0</v>
      </c>
      <c r="BM12" s="248">
        <f>IF($P12=$BM$3,(((INDEX('Tables - Part 2'!$BB$17:$BE$24,MATCH(SCC_Chloride!$V12,'Tables - Part 2'!$AV$6:$AV$13,0),MATCH(SCC_Chloride!$Q12,'Tables - Part 2'!$AX$5:$BA$5,0))+INDEX('Tables - Part 2'!$BF$17:$BI$24,MATCH(SCC_Chloride!$V12,'Tables - Part 2'!$AV$6:$AV$13,0),MATCH(SCC_Chloride!$Q12,'Tables - Part 2'!$AX$5:$BA$5,0)))/2)+((((INDEX('Tables - Part 2'!$BB$17:$BE$24,MATCH(SCC_Chloride!$V12,'Tables - Part 2'!$AV$6:$AV$13,0),MATCH(SCC_Chloride!$Q12,'Tables - Part 2'!$AX$5:$BA$5,0))+INDEX('Tables - Part 2'!$BF$17:$BI$24,MATCH(SCC_Chloride!$V12,'Tables - Part 2'!$AV$6:$AV$13,0),MATCH(SCC_Chloride!$Q12,'Tables - Part 2'!$AX$5:$BA$5,0)))/2)+INDEX('Tables - Part 2'!$BF$17:$BI$24,MATCH(SCC_Chloride!$V12,'Tables - Part 2'!$AV$6:$AV$13,0),MATCH(SCC_Chloride!$Q12,'Tables - Part 2'!$AX$5:$BA$5,0)))/2))/2,0)</f>
        <v>0</v>
      </c>
      <c r="BN12" s="248">
        <f>IF($P12=$BN$3,(((INDEX('Tables - Part 2'!$BB$17:$BE$24,MATCH(SCC_Chloride!$V12,'Tables - Part 2'!$AV$6:$AV$13,0),MATCH(SCC_Chloride!$Q12,'Tables - Part 2'!$AX$5:$BA$5,0))+INDEX('Tables - Part 2'!$BF$17:$BI$24,MATCH(SCC_Chloride!$V12,'Tables - Part 2'!$AV$6:$AV$13,0),MATCH(SCC_Chloride!$Q12,'Tables - Part 2'!$AX$5:$BA$5,0)))/2)+INDEX('Tables - Part 2'!$BF$17:$BI$24,MATCH(SCC_Chloride!$V12,'Tables - Part 2'!$AV$6:$AV$13,0),MATCH(SCC_Chloride!$Q12,'Tables - Part 2'!$AX$5:$BA$5,0)))/2,0)</f>
        <v>0</v>
      </c>
      <c r="BO12" s="248">
        <f>IF($P12=$BO$3,(((((INDEX('Tables - Part 2'!$BB$17:$BE$24,MATCH(SCC_Chloride!$V12,'Tables - Part 2'!$AV$6:$AV$13,0),MATCH(SCC_Chloride!$Q12,'Tables - Part 2'!$AX$5:$BA$5,0))+INDEX('Tables - Part 2'!$BF$17:$BI$24,MATCH(SCC_Chloride!$V12,'Tables - Part 2'!$AV$6:$AV$13,0),MATCH(SCC_Chloride!$Q12,'Tables - Part 2'!$AX$5:$BA$5,0)))/2)+INDEX('Tables - Part 2'!$BF$17:$BI$24,MATCH(SCC_Chloride!$V12,'Tables - Part 2'!$AV$6:$AV$13,0),MATCH(SCC_Chloride!$Q12,'Tables - Part 2'!$AX$5:$BA$5,0)))/2)+(INDEX('Tables - Part 2'!$BF$17:$BI$24,MATCH(SCC_Chloride!$V12,'Tables - Part 2'!$AV$6:$AV$13,0),MATCH(SCC_Chloride!$Q12,'Tables - Part 2'!$AX$5:$BA$5,0))))/2,0)</f>
        <v>0</v>
      </c>
      <c r="BP12" s="248">
        <f>IF($P12=$BP$3,INDEX('Tables - Part 2'!$BF$17:$BI$24,MATCH(SCC_Chloride!$V12,'Tables - Part 2'!$AV$6:$AV$13,0),MATCH(SCC_Chloride!$Q12,'Tables - Part 2'!$AX$5:$BA$5,0)),0)</f>
        <v>0</v>
      </c>
      <c r="BQ12" s="248">
        <f t="shared" si="5"/>
        <v>0</v>
      </c>
      <c r="BR12" s="238">
        <f t="shared" si="9"/>
        <v>1.5</v>
      </c>
      <c r="BS12" s="238">
        <f t="shared" si="6"/>
        <v>25.159323702612586</v>
      </c>
    </row>
    <row r="13" spans="2:84" x14ac:dyDescent="0.35">
      <c r="B13" s="161" t="str">
        <f>'Tratamento de Dados'!B21</f>
        <v>V-4</v>
      </c>
      <c r="C13" s="161" t="str">
        <f>'Tratamento de Dados'!D21</f>
        <v>Casco</v>
      </c>
      <c r="D13" s="209" t="s">
        <v>245</v>
      </c>
      <c r="E13" s="209" t="s">
        <v>61</v>
      </c>
      <c r="F13" s="209">
        <v>10</v>
      </c>
      <c r="G13" s="209" t="s">
        <v>1167</v>
      </c>
      <c r="H13" s="247">
        <f>'Tratamento de Dados'!S21</f>
        <v>2</v>
      </c>
      <c r="I13" s="210">
        <v>39092</v>
      </c>
      <c r="J13" s="209">
        <v>0</v>
      </c>
      <c r="K13" s="209">
        <v>1</v>
      </c>
      <c r="L13" s="209">
        <v>1</v>
      </c>
      <c r="M13" s="209">
        <v>4</v>
      </c>
      <c r="N13" s="253">
        <f>'Tratamento de Dados'!DA21</f>
        <v>0</v>
      </c>
      <c r="O13" s="253">
        <f>'Tratamento de Dados'!DB21</f>
        <v>0</v>
      </c>
      <c r="P13" s="256">
        <f t="shared" si="0"/>
        <v>2.5</v>
      </c>
      <c r="Q13" s="246" t="str">
        <f t="shared" si="1"/>
        <v>B</v>
      </c>
      <c r="R13" s="246" t="str">
        <f>IF(H13&lt;=38,'Tables - Part 2'!$DO$6,IF(H13&lt;=66,'Tables - Part 2'!$DO$7,IF(H13&lt;=93,'Tables - Part 2'!$DO$8,IF(H13&lt;=149,'Tables - Part 2'!$DO$9,'Tables - Part 2'!$DO$10))))</f>
        <v>≤38</v>
      </c>
      <c r="S13" s="246" t="str">
        <f>IF(H13&lt;=38,'Tables - Part 2'!$DO$14,IF(H13&lt;=93,'Tables - Part 2'!$DO$15,IF(H13&lt;=149,'Tables - Part 2'!$DO$16,'Tables - Part 2'!$DO$17)))</f>
        <v>≤38</v>
      </c>
      <c r="T13" s="246" t="str">
        <f t="shared" si="7"/>
        <v>≤38</v>
      </c>
      <c r="U13" s="467" t="str">
        <f>IF(D13=$BX$2,$BV$5,INDEX(IF(F13&gt;10,'Tables - Part 2'!$DP$14:$DS$17,'Tables - Part 2'!$DP$6:$DS$10),MATCH(T13,IF(F13&gt;10,'Tables - Part 2'!$DO$14:$DO$17,'Tables - Part 2'!$DO$6:$DO$10),0),MATCH(SCC_Chloride!G13,'Tables - Part 2'!$DP$5:$DS$5,0)))</f>
        <v>Low</v>
      </c>
      <c r="V13" s="238">
        <f>IF(AND(D13=$BX$2,E13&lt;&gt;$BX$2),"Fitness-For-Service",INDEX('Tables - Part 2'!$DV$4:$DV$7,MATCH(SCC_Chloride!U13,'Tables - Part 2'!$DU$4:$DU$7,0),))</f>
        <v>50</v>
      </c>
      <c r="W13" s="238">
        <f>IF(I13=0,(Thinning!G14-Thinning!F14)/365.25,(Thinning!G14-I13)/365.25)</f>
        <v>12.980150581793293</v>
      </c>
      <c r="X13" s="248">
        <f t="shared" si="2"/>
        <v>0</v>
      </c>
      <c r="Y13" s="248">
        <f t="shared" si="3"/>
        <v>2.5</v>
      </c>
      <c r="Z13" s="247">
        <f t="shared" si="8"/>
        <v>3</v>
      </c>
      <c r="AA13" s="247">
        <f t="shared" si="4"/>
        <v>4</v>
      </c>
      <c r="AB13" s="248">
        <f>IF($P13=$AB$3,INDEX('Tables - Part 2'!$AX$6:$BA$13,MATCH(SCC_Chloride!V13,'Tables - Part 2'!$AV$6:$AV$13,0),MATCH(SCC_Chloride!Q13,'Tables - Part 2'!$AX$5:$BA$5,0)),0)</f>
        <v>0</v>
      </c>
      <c r="AC13" s="248">
        <f>IF($P13=$AC$3,(INDEX('Tables - Part 2'!$AX$6:$BA$13,MATCH(SCC_Chloride!V13,'Tables - Part 2'!$AV$6:$AV$13,0),MATCH(SCC_Chloride!Q13,'Tables - Part 2'!$AX$5:$BA$5,0))+(INDEX('Tables - Part 2'!$AX$6:$BA$13,MATCH(SCC_Chloride!V13,'Tables - Part 2'!$AV$6:$AV$13,0),MATCH(SCC_Chloride!Q13,'Tables - Part 2'!$AX$5:$BA$5,0))+((INDEX('Tables - Part 2'!$AX$6:$BA$13,MATCH(SCC_Chloride!V13,'Tables - Part 2'!$AV$6:$AV$13,0),MATCH(SCC_Chloride!Q13,'Tables - Part 2'!$AX$5:$BA$5,0))+INDEX('Tables - Part 2'!$BB$6:$BE$13,MATCH(SCC_Chloride!$V13,'Tables - Part 2'!$AV$6:$AV$13,0),MATCH(SCC_Chloride!$Q13,'Tables - Part 2'!$AX$5:$BA$5,0)))/2))/2)/2,0)</f>
        <v>0</v>
      </c>
      <c r="AD13" s="248">
        <f>IF($P13=$AD$3,(INDEX('Tables - Part 2'!$AX$6:$BA$13,MATCH(SCC_Chloride!V13,'Tables - Part 2'!$AV$6:$AV$13,0),MATCH(SCC_Chloride!Q13,'Tables - Part 2'!$AX$5:$BA$5,0))+((INDEX('Tables - Part 2'!$AX$6:$BA$13,MATCH(SCC_Chloride!V13,'Tables - Part 2'!$AV$6:$AV$13,0),MATCH(SCC_Chloride!Q13,'Tables - Part 2'!$AX$5:$BA$5,0))+INDEX('Tables - Part 2'!$BB$6:$BE$13,MATCH(SCC_Chloride!$V13,'Tables - Part 2'!$AV$6:$AV$13,0),MATCH(SCC_Chloride!$Q13,'Tables - Part 2'!$AX$5:$BA$5,0)))/2))/2,0)</f>
        <v>0</v>
      </c>
      <c r="AE13" s="248">
        <f>IF($P13=$AE$3,(((INDEX('Tables - Part 2'!$AX$6:$BA$13,MATCH(SCC_Chloride!V13,'Tables - Part 2'!$AV$6:$AV$13,0),MATCH(SCC_Chloride!Q13,'Tables - Part 2'!$AX$5:$BA$5,0))+((INDEX('Tables - Part 2'!$AX$6:$BA$13,MATCH(SCC_Chloride!V13,'Tables - Part 2'!$AV$6:$AV$13,0),MATCH(SCC_Chloride!Q13,'Tables - Part 2'!$AX$5:$BA$5,0))+INDEX('Tables - Part 2'!$BB$6:$BE$13,MATCH(SCC_Chloride!$V13,'Tables - Part 2'!$AV$6:$AV$13,0),MATCH(SCC_Chloride!$Q13,'Tables - Part 2'!$AX$5:$BA$5,0)))/2))/2)+(INDEX('Tables - Part 2'!$AX$6:$BA$13,MATCH(SCC_Chloride!V13,'Tables - Part 2'!$AV$6:$AV$13,0),MATCH(SCC_Chloride!Q13,'Tables - Part 2'!$AX$5:$BA$5,0))+INDEX('Tables - Part 2'!$BB$6:$BE$13,MATCH(SCC_Chloride!$V13,'Tables - Part 2'!$AV$6:$AV$13,0),MATCH(SCC_Chloride!$Q13,'Tables - Part 2'!$AX$5:$BA$5,0)))/2)/2,0)</f>
        <v>0</v>
      </c>
      <c r="AF13" s="248">
        <f>IF($P13=$AF$3,(INDEX('Tables - Part 2'!$AX$6:$BA$13,MATCH(SCC_Chloride!V13,'Tables - Part 2'!$AV$6:$AV$13,0),MATCH(SCC_Chloride!Q13,'Tables - Part 2'!$AX$5:$BA$5,0))+INDEX('Tables - Part 2'!$BB$6:$BE$13,MATCH(SCC_Chloride!$V13,'Tables - Part 2'!$AV$6:$AV$13,0),MATCH(SCC_Chloride!$Q13,'Tables - Part 2'!$AX$5:$BA$5,0)))/2,0)</f>
        <v>0</v>
      </c>
      <c r="AG13" s="248">
        <f>IF($P13=$AG$3,(((INDEX('Tables - Part 2'!$AX$6:$BA$13,MATCH(SCC_Chloride!V13,'Tables - Part 2'!$AV$6:$AV$13,0),MATCH(SCC_Chloride!Q13,'Tables - Part 2'!$AX$5:$BA$5,0))+INDEX('Tables - Part 2'!$BB$6:$BE$13,MATCH(SCC_Chloride!$V13,'Tables - Part 2'!$AV$6:$AV$13,0),MATCH(SCC_Chloride!$Q13,'Tables - Part 2'!$AX$5:$BA$5,0)))/2)+(((INDEX('Tables - Part 2'!$AX$6:$BA$13,MATCH(SCC_Chloride!V13,'Tables - Part 2'!$AV$6:$AV$13,0),MATCH(SCC_Chloride!Q13,'Tables - Part 2'!$AX$5:$BA$5,0))+INDEX('Tables - Part 2'!$BB$6:$BE$13,MATCH(SCC_Chloride!$V13,'Tables - Part 2'!$AV$6:$AV$13,0),MATCH(SCC_Chloride!$Q13,'Tables - Part 2'!$AX$5:$BA$5,0)))/2)+INDEX('Tables - Part 2'!$BB$6:$BE$13,MATCH(SCC_Chloride!$V13,'Tables - Part 2'!$AV$6:$AV$13,0),MATCH(SCC_Chloride!$Q13,'Tables - Part 2'!$AX$5:$BA$5,0)))/2)/2,0)</f>
        <v>0</v>
      </c>
      <c r="AH13" s="248">
        <f>IF($P13=$AH$3,(((INDEX('Tables - Part 2'!$AX$6:$BA$13,MATCH(SCC_Chloride!V13,'Tables - Part 2'!$AV$6:$AV$13,0),MATCH(SCC_Chloride!Q13,'Tables - Part 2'!$AX$5:$BA$5,0))+INDEX('Tables - Part 2'!$BB$6:$BE$13,MATCH(SCC_Chloride!$V13,'Tables - Part 2'!$AV$6:$AV$13,0),MATCH(SCC_Chloride!$Q13,'Tables - Part 2'!$AX$5:$BA$5,0)))/2)+INDEX('Tables - Part 2'!$BB$6:$BE$13,MATCH(SCC_Chloride!$V13,'Tables - Part 2'!$AV$6:$AV$13,0),MATCH(SCC_Chloride!$Q13,'Tables - Part 2'!$AX$5:$BA$5,0)))/2,0)</f>
        <v>0</v>
      </c>
      <c r="AI13" s="248">
        <f>IF($P13=$AI$3,(((((INDEX('Tables - Part 2'!$AX$6:$BA$13,MATCH(SCC_Chloride!V13,'Tables - Part 2'!$AV$6:$AV$13,0),MATCH(SCC_Chloride!Q13,'Tables - Part 2'!$AX$5:$BA$5,0))+INDEX('Tables - Part 2'!$BB$6:$BE$13,MATCH(SCC_Chloride!$V13,'Tables - Part 2'!$AV$6:$AV$13,0),MATCH(SCC_Chloride!$Q13,'Tables - Part 2'!$AX$5:$BA$5,0)))/2)+INDEX('Tables - Part 2'!$BB$6:$BE$13,MATCH(SCC_Chloride!$V13,'Tables - Part 2'!$AV$6:$AV$13,0),MATCH(SCC_Chloride!$Q13,'Tables - Part 2'!$AX$5:$BA$5,0)))/2)+INDEX('Tables - Part 2'!$BB$6:$BE$13,MATCH(SCC_Chloride!$V13,'Tables - Part 2'!$AV$6:$AV$13,0),MATCH(SCC_Chloride!$Q13,'Tables - Part 2'!$AX$5:$BA$5,0)))/2,0)</f>
        <v>0</v>
      </c>
      <c r="AJ13" s="248">
        <f>IF($P13=$AJ$3,INDEX('Tables - Part 2'!$BB$6:$BE$13,MATCH(SCC_Chloride!$V13,'Tables - Part 2'!$AV$6:$AV$13,0),MATCH(SCC_Chloride!$Q13,'Tables - Part 2'!$AX$5:$BA$5,0)),0)</f>
        <v>0</v>
      </c>
      <c r="AK13" s="248">
        <f>IF($P13=$AK$3,((INDEX('Tables - Part 2'!$BB$6:$BE$13,MATCH(SCC_Chloride!$V13,'Tables - Part 2'!$AV$6:$AV$13,0),MATCH(SCC_Chloride!$Q13,'Tables - Part 2'!$AX$5:$BA$5,0)))+(INDEX('Tables - Part 2'!$BB$6:$BE$13,MATCH(SCC_Chloride!$V13,'Tables - Part 2'!$AV$6:$AV$13,0),MATCH(SCC_Chloride!$Q13,'Tables - Part 2'!$AX$5:$BA$5,0))+(INDEX('Tables - Part 2'!$BB$6:$BE$13,MATCH(SCC_Chloride!$V13,'Tables - Part 2'!$AV$6:$AV$13,0),MATCH(SCC_Chloride!$Q13,'Tables - Part 2'!$AX$5:$BA$5,0))+INDEX('Tables - Part 2'!$BF$6:$BI$13,MATCH(SCC_Chloride!$V13,'Tables - Part 2'!$AV$6:$AV$13,0),MATCH(SCC_Chloride!$Q13,'Tables - Part 2'!$AX$5:$BA$5,0)))/2)/2)/2,0)</f>
        <v>0</v>
      </c>
      <c r="AL13" s="248">
        <f>IF($P13=$AL$3,(INDEX('Tables - Part 2'!$BB$6:$BE$13,MATCH(SCC_Chloride!$V13,'Tables - Part 2'!$AV$6:$AV$13,0),MATCH(SCC_Chloride!$Q13,'Tables - Part 2'!$AX$5:$BA$5,0))+(INDEX('Tables - Part 2'!$BB$6:$BE$13,MATCH(SCC_Chloride!$V13,'Tables - Part 2'!$AV$6:$AV$13,0),MATCH(SCC_Chloride!$Q13,'Tables - Part 2'!$AX$5:$BA$5,0))+INDEX('Tables - Part 2'!$BF$6:$BI$13,MATCH(SCC_Chloride!$V13,'Tables - Part 2'!$AV$6:$AV$13,0),MATCH(SCC_Chloride!$Q13,'Tables - Part 2'!$AX$5:$BA$5,0)))/2)/2,0)</f>
        <v>0</v>
      </c>
      <c r="AM13" s="248">
        <f>IF($P13=$AM$3,(((INDEX('Tables - Part 2'!$BB$6:$BE$13,MATCH(SCC_Chloride!$V13,'Tables - Part 2'!$AV$6:$AV$13,0),MATCH(SCC_Chloride!$Q13,'Tables - Part 2'!$AX$5:$BA$5,0))+(INDEX('Tables - Part 2'!$BB$6:$BE$13,MATCH(SCC_Chloride!$V13,'Tables - Part 2'!$AV$6:$AV$13,0),MATCH(SCC_Chloride!$Q13,'Tables - Part 2'!$AX$5:$BA$5,0))+INDEX('Tables - Part 2'!$BF$6:$BI$13,MATCH(SCC_Chloride!$V13,'Tables - Part 2'!$AV$6:$AV$13,0),MATCH(SCC_Chloride!$Q13,'Tables - Part 2'!$AX$5:$BA$5,0)))/2)/2)+((INDEX('Tables - Part 2'!$BB$6:$BE$13,MATCH(SCC_Chloride!$V13,'Tables - Part 2'!$AV$6:$AV$13,0),MATCH(SCC_Chloride!$Q13,'Tables - Part 2'!$AX$5:$BA$5,0))+INDEX('Tables - Part 2'!$BF$6:$BI$13,MATCH(SCC_Chloride!$V13,'Tables - Part 2'!$AV$6:$AV$13,0),MATCH(SCC_Chloride!$Q13,'Tables - Part 2'!$AX$5:$BA$5,0)))/2))/2,0)</f>
        <v>0</v>
      </c>
      <c r="AN13" s="248">
        <f>IF($P13=$AN$3,(INDEX('Tables - Part 2'!$BB$6:$BE$13,MATCH(SCC_Chloride!$V13,'Tables - Part 2'!$AV$6:$AV$13,0),MATCH(SCC_Chloride!$Q13,'Tables - Part 2'!$AX$5:$BA$5,0))+INDEX('Tables - Part 2'!$BF$6:$BI$13,MATCH(SCC_Chloride!$V13,'Tables - Part 2'!$AV$6:$AV$13,0),MATCH(SCC_Chloride!$Q13,'Tables - Part 2'!$AX$5:$BA$5,0)))/2,0)</f>
        <v>1.5</v>
      </c>
      <c r="AO13" s="248">
        <f>IF($P13=$AO$3,(((INDEX('Tables - Part 2'!$BB$6:$BE$13,MATCH(SCC_Chloride!$V13,'Tables - Part 2'!$AV$6:$AV$13,0),MATCH(SCC_Chloride!$Q13,'Tables - Part 2'!$AX$5:$BA$5,0))+INDEX('Tables - Part 2'!$BF$6:$BI$13,MATCH(SCC_Chloride!$V13,'Tables - Part 2'!$AV$6:$AV$13,0),MATCH(SCC_Chloride!$Q13,'Tables - Part 2'!$AX$5:$BA$5,0)))/2)+((((INDEX('Tables - Part 2'!$BB$6:$BE$13,MATCH(SCC_Chloride!$V13,'Tables - Part 2'!$AV$6:$AV$13,0),MATCH(SCC_Chloride!$Q13,'Tables - Part 2'!$AX$5:$BA$5,0))+INDEX('Tables - Part 2'!$BF$6:$BI$13,MATCH(SCC_Chloride!$V13,'Tables - Part 2'!$AV$6:$AV$13,0),MATCH(SCC_Chloride!$Q13,'Tables - Part 2'!$AX$5:$BA$5,0)))/2)+INDEX('Tables - Part 2'!$BF$6:$BI$13,MATCH(SCC_Chloride!$V13,'Tables - Part 2'!$AV$6:$AV$13,0),MATCH(SCC_Chloride!$Q13,'Tables - Part 2'!$AX$5:$BA$5,0)))/2))/2,0)</f>
        <v>0</v>
      </c>
      <c r="AP13" s="248">
        <f>IF($P13=$AP$3,(((INDEX('Tables - Part 2'!$BB$6:$BE$13,MATCH(SCC_Chloride!$V13,'Tables - Part 2'!$AV$6:$AV$13,0),MATCH(SCC_Chloride!$Q13,'Tables - Part 2'!$AX$5:$BA$5,0))+INDEX('Tables - Part 2'!$BF$6:$BI$13,MATCH(SCC_Chloride!$V13,'Tables - Part 2'!$AV$6:$AV$13,0),MATCH(SCC_Chloride!$Q13,'Tables - Part 2'!$AX$5:$BA$5,0)))/2)+INDEX('Tables - Part 2'!$BF$6:$BI$13,MATCH(SCC_Chloride!$V13,'Tables - Part 2'!$AV$6:$AV$13,0),MATCH(SCC_Chloride!$Q13,'Tables - Part 2'!$AX$5:$BA$5,0)))/2,0)</f>
        <v>0</v>
      </c>
      <c r="AQ13" s="248">
        <f>IF($P13=$AQ$3,(((((INDEX('Tables - Part 2'!$BB$6:$BE$13,MATCH(SCC_Chloride!$V13,'Tables - Part 2'!$AV$6:$AV$13,0),MATCH(SCC_Chloride!$Q13,'Tables - Part 2'!$AX$5:$BA$5,0))+INDEX('Tables - Part 2'!$BF$6:$BI$13,MATCH(SCC_Chloride!$V13,'Tables - Part 2'!$AV$6:$AV$13,0),MATCH(SCC_Chloride!$Q13,'Tables - Part 2'!$AX$5:$BA$5,0)))/2)+INDEX('Tables - Part 2'!$BF$6:$BI$13,MATCH(SCC_Chloride!$V13,'Tables - Part 2'!$AV$6:$AV$13,0),MATCH(SCC_Chloride!$Q13,'Tables - Part 2'!$AX$5:$BA$5,0)))/2)+INDEX('Tables - Part 2'!$BF$6:$BI$13,MATCH(SCC_Chloride!$V13,'Tables - Part 2'!$AV$6:$AV$13,0),MATCH(SCC_Chloride!$Q13,'Tables - Part 2'!$AX$5:$BA$5,0)))/2,0)</f>
        <v>0</v>
      </c>
      <c r="AR13" s="248">
        <f>IF($P13=$AR$3,INDEX('Tables - Part 2'!$BF$6:$BI$13,MATCH(SCC_Chloride!$V13,'Tables - Part 2'!$AV$6:$AV$13,0),MATCH(SCC_Chloride!$Q13,'Tables - Part 2'!$AX$5:$BA$5,0)),0)</f>
        <v>0</v>
      </c>
      <c r="AS13" s="248">
        <f>IF($P13=$AS$3,(INDEX('Tables - Part 2'!$BF$6:$BI$13,MATCH(SCC_Chloride!$V13,'Tables - Part 2'!$AV$6:$AV$13,0),MATCH(SCC_Chloride!$Q13,'Tables - Part 2'!$AX$5:$BA$5,0))+((INDEX('Tables - Part 2'!$BF$6:$BI$13,MATCH(SCC_Chloride!$V13,'Tables - Part 2'!$AV$6:$AV$13,0),MATCH(SCC_Chloride!$Q13,'Tables - Part 2'!$AX$5:$BA$5,0))+(INDEX('Tables - Part 2'!$BF$6:$BI$13,MATCH(SCC_Chloride!$V13,'Tables - Part 2'!$AV$6:$AV$13,0),MATCH(SCC_Chloride!$Q13,'Tables - Part 2'!$AX$5:$BA$5,0))+INDEX('Tables - Part 2'!$AX$17:$BA$24,MATCH(SCC_Chloride!$V13,'Tables - Part 2'!$AV$6:$AV$13,0),MATCH(SCC_Chloride!$Q13,'Tables - Part 2'!$AX$5:$BA$5,0)))/2)/2))/2,0)</f>
        <v>0</v>
      </c>
      <c r="AT13" s="248">
        <f>IF($P13=$AT$3,(INDEX('Tables - Part 2'!$BF$6:$BI$13,MATCH(SCC_Chloride!$V13,'Tables - Part 2'!$AV$6:$AV$13,0),MATCH(SCC_Chloride!$Q13,'Tables - Part 2'!$AX$5:$BA$5,0))+(INDEX('Tables - Part 2'!$BF$6:$BI$13,MATCH(SCC_Chloride!$V13,'Tables - Part 2'!$AV$6:$AV$13,0),MATCH(SCC_Chloride!$Q13,'Tables - Part 2'!$AX$5:$BA$5,0))+INDEX('Tables - Part 2'!$AX$17:$BA$24,MATCH(SCC_Chloride!$V13,'Tables - Part 2'!$AV$6:$AV$13,0),MATCH(SCC_Chloride!$Q13,'Tables - Part 2'!$AX$5:$BA$5,0)))/2)/2,0)</f>
        <v>0</v>
      </c>
      <c r="AU13" s="248">
        <f>IF($P13=$AU$3,(((INDEX('Tables - Part 2'!$BF$6:$BI$13,MATCH(SCC_Chloride!$V13,'Tables - Part 2'!$AV$6:$AV$13,0),MATCH(SCC_Chloride!$Q13,'Tables - Part 2'!$AX$5:$BA$5,0))+(INDEX('Tables - Part 2'!$BF$6:$BI$13,MATCH(SCC_Chloride!$V13,'Tables - Part 2'!$AV$6:$AV$13,0),MATCH(SCC_Chloride!$Q13,'Tables - Part 2'!$AX$5:$BA$5,0))+INDEX('Tables - Part 2'!$AX$17:$BA$24,MATCH(SCC_Chloride!$V13,'Tables - Part 2'!$AV$6:$AV$13,0),MATCH(SCC_Chloride!$Q13,'Tables - Part 2'!$AX$5:$BA$5,0)))/2)/2)+((INDEX('Tables - Part 2'!$BF$6:$BI$13,MATCH(SCC_Chloride!$V13,'Tables - Part 2'!$AV$6:$AV$13,0),MATCH(SCC_Chloride!$Q13,'Tables - Part 2'!$AX$5:$BA$5,0))+INDEX('Tables - Part 2'!$AX$17:$BA$24,MATCH(SCC_Chloride!$V13,'Tables - Part 2'!$AV$6:$AV$13,0),MATCH(SCC_Chloride!$Q13,'Tables - Part 2'!$AX$5:$BA$5,0)))/2))/2,0)</f>
        <v>0</v>
      </c>
      <c r="AV13" s="248">
        <f>IF($P13=$AV$3,(INDEX('Tables - Part 2'!$BF$6:$BI$13,MATCH(SCC_Chloride!$V13,'Tables - Part 2'!$AV$6:$AV$13,0),MATCH(SCC_Chloride!$Q13,'Tables - Part 2'!$AX$5:$BA$5,0))+INDEX('Tables - Part 2'!$AX$17:$BA$24,MATCH(SCC_Chloride!$V13,'Tables - Part 2'!$AV$6:$AV$13,0),MATCH(SCC_Chloride!$Q13,'Tables - Part 2'!$AX$5:$BA$5,0)))/2,0)</f>
        <v>0</v>
      </c>
      <c r="AW13" s="248">
        <f>IF($P13=$AW$3,(((INDEX('Tables - Part 2'!$BF$6:$BI$13,MATCH(SCC_Chloride!$V13,'Tables - Part 2'!$AV$6:$AV$13,0),MATCH(SCC_Chloride!$Q13,'Tables - Part 2'!$AX$5:$BA$5,0))+INDEX('Tables - Part 2'!$AX$17:$BA$24,MATCH(SCC_Chloride!$V13,'Tables - Part 2'!$AV$6:$AV$13,0),MATCH(SCC_Chloride!$Q13,'Tables - Part 2'!$AX$5:$BA$5,0)))/2)+((((INDEX('Tables - Part 2'!$BF$6:$BI$13,MATCH(SCC_Chloride!$V13,'Tables - Part 2'!$AV$6:$AV$13,0),MATCH(SCC_Chloride!$Q13,'Tables - Part 2'!$AX$5:$BA$5,0))+INDEX('Tables - Part 2'!$AX$17:$BA$24,MATCH(SCC_Chloride!$V13,'Tables - Part 2'!$AV$6:$AV$13,0),MATCH(SCC_Chloride!$Q13,'Tables - Part 2'!$AX$5:$BA$5,0)))/2)+INDEX('Tables - Part 2'!$AX$17:$BA$24,MATCH(SCC_Chloride!$V13,'Tables - Part 2'!$AV$6:$AV$13,0),MATCH(SCC_Chloride!$Q13,'Tables - Part 2'!$AX$5:$BA$5,0)))/2))/2,0)</f>
        <v>0</v>
      </c>
      <c r="AX13" s="248">
        <f>IF($P13=$AX$3,(((INDEX('Tables - Part 2'!$BF$6:$BI$13,MATCH(SCC_Chloride!$V13,'Tables - Part 2'!$AV$6:$AV$13,0),MATCH(SCC_Chloride!$Q13,'Tables - Part 2'!$AX$5:$BA$5,0))+INDEX('Tables - Part 2'!$AX$17:$BA$24,MATCH(SCC_Chloride!$V13,'Tables - Part 2'!$AV$6:$AV$13,0),MATCH(SCC_Chloride!$Q13,'Tables - Part 2'!$AX$5:$BA$5,0)))/2)+INDEX('Tables - Part 2'!$AX$17:$BA$24,MATCH(SCC_Chloride!$V13,'Tables - Part 2'!$AV$6:$AV$13,0),MATCH(SCC_Chloride!$Q13,'Tables - Part 2'!$AX$5:$BA$5,0)))/2,0)</f>
        <v>0</v>
      </c>
      <c r="AY13" s="248">
        <f>IF($P13=$AY$3,(((((INDEX('Tables - Part 2'!$BF$6:$BI$13,MATCH(SCC_Chloride!$V13,'Tables - Part 2'!$AV$6:$AV$13,0),MATCH(SCC_Chloride!$Q13,'Tables - Part 2'!$AX$5:$BA$5,0))+INDEX('Tables - Part 2'!$AX$17:$BA$24,MATCH(SCC_Chloride!$V13,'Tables - Part 2'!$AV$6:$AV$13,0),MATCH(SCC_Chloride!$Q13,'Tables - Part 2'!$AX$5:$BA$5,0)))/2)+INDEX('Tables - Part 2'!$AX$17:$BA$24,MATCH(SCC_Chloride!$V13,'Tables - Part 2'!$AV$6:$AV$13,0),MATCH(SCC_Chloride!$Q13,'Tables - Part 2'!$AX$5:$BA$5,0)))/2)+(INDEX('Tables - Part 2'!$AX$17:$BA$24,MATCH(SCC_Chloride!$V13,'Tables - Part 2'!$AV$6:$AV$13,0),MATCH(SCC_Chloride!$Q13,'Tables - Part 2'!$AX$5:$BA$5,0))))/2,0)</f>
        <v>0</v>
      </c>
      <c r="AZ13" s="248">
        <f>IF($P13=$AZ$3,INDEX('Tables - Part 2'!$AX$17:$BA$24,MATCH(SCC_Chloride!$V13,'Tables - Part 2'!$AV$6:$AV$13,0),MATCH(SCC_Chloride!$Q13,'Tables - Part 2'!$AX$5:$BA$5,0)),0)</f>
        <v>0</v>
      </c>
      <c r="BA13" s="248">
        <f>IF($P13=$BA$3,((INDEX('Tables - Part 2'!$AX$17:$BA$24,MATCH(SCC_Chloride!$V13,'Tables - Part 2'!$AV$6:$AV$13,0),MATCH(SCC_Chloride!$Q13,'Tables - Part 2'!$AX$5:$BA$5,0)))+(((INDEX('Tables - Part 2'!$AX$17:$BA$24,MATCH(SCC_Chloride!$V13,'Tables - Part 2'!$AV$6:$AV$13,0),MATCH(SCC_Chloride!$Q13,'Tables - Part 2'!$AX$5:$BA$5,0)))+(INDEX('Tables - Part 2'!$AX$17:$BA$24,MATCH(SCC_Chloride!$V13,'Tables - Part 2'!$AV$6:$AV$13,0),MATCH(SCC_Chloride!$Q13,'Tables - Part 2'!$AX$5:$BA$5,0))+INDEX('Tables - Part 2'!$BB$17:$BE$24,MATCH(SCC_Chloride!$V13,'Tables - Part 2'!$AV$6:$AV$13,0),MATCH(SCC_Chloride!$Q13,'Tables - Part 2'!$AX$5:$BA$5,0)))/2)/2))/2,0)</f>
        <v>0</v>
      </c>
      <c r="BB13" s="248">
        <f>IF($P13=$BB$3,((INDEX('Tables - Part 2'!$AX$17:$BA$24,MATCH(SCC_Chloride!$V13,'Tables - Part 2'!$AV$6:$AV$13,0),MATCH(SCC_Chloride!$Q13,'Tables - Part 2'!$AX$5:$BA$5,0)))+(INDEX('Tables - Part 2'!$AX$17:$BA$24,MATCH(SCC_Chloride!$V13,'Tables - Part 2'!$AV$6:$AV$13,0),MATCH(SCC_Chloride!$Q13,'Tables - Part 2'!$AX$5:$BA$5,0))+INDEX('Tables - Part 2'!$BB$17:$BE$24,MATCH(SCC_Chloride!$V13,'Tables - Part 2'!$AV$6:$AV$13,0),MATCH(SCC_Chloride!$Q13,'Tables - Part 2'!$AX$5:$BA$5,0)))/2)/2,0)</f>
        <v>0</v>
      </c>
      <c r="BC13" s="248">
        <f>IF($P13=$BC$3,((((INDEX('Tables - Part 2'!$AX$17:$BA$24,MATCH(SCC_Chloride!$V13,'Tables - Part 2'!$AV$6:$AV$13,0),MATCH(SCC_Chloride!$Q13,'Tables - Part 2'!$AX$5:$BA$5,0)))+(INDEX('Tables - Part 2'!$AX$17:$BA$24,MATCH(SCC_Chloride!$V13,'Tables - Part 2'!$AV$6:$AV$13,0),MATCH(SCC_Chloride!$Q13,'Tables - Part 2'!$AX$5:$BA$5,0))+INDEX('Tables - Part 2'!$BB$17:$BE$24,MATCH(SCC_Chloride!$V13,'Tables - Part 2'!$AV$6:$AV$13,0),MATCH(SCC_Chloride!$Q13,'Tables - Part 2'!$AX$5:$BA$5,0)))/2)/2)+((INDEX('Tables - Part 2'!$AX$17:$BA$24,MATCH(SCC_Chloride!$V13,'Tables - Part 2'!$AV$6:$AV$13,0),MATCH(SCC_Chloride!$Q13,'Tables - Part 2'!$AX$5:$BA$5,0))+INDEX('Tables - Part 2'!$BB$17:$BE$24,MATCH(SCC_Chloride!$V13,'Tables - Part 2'!$AV$6:$AV$13,0),MATCH(SCC_Chloride!$Q13,'Tables - Part 2'!$AX$5:$BA$5,0)))/2))/2,0)</f>
        <v>0</v>
      </c>
      <c r="BD13" s="248">
        <f>IF($P13=$BD$3,(INDEX('Tables - Part 2'!$AX$17:$BA$24,MATCH(SCC_Chloride!$V13,'Tables - Part 2'!$AV$6:$AV$13,0),MATCH(SCC_Chloride!$Q13,'Tables - Part 2'!$AX$5:$BA$5,0))+INDEX('Tables - Part 2'!$BB$17:$BE$24,MATCH(SCC_Chloride!$V13,'Tables - Part 2'!$AV$6:$AV$13,0),MATCH(SCC_Chloride!$Q13,'Tables - Part 2'!$AX$5:$BA$5,0)))/2,0)</f>
        <v>0</v>
      </c>
      <c r="BE13" s="248">
        <f>IF($P13=$BE$3,(((INDEX('Tables - Part 2'!$AX$17:$BA$24,MATCH(SCC_Chloride!$V13,'Tables - Part 2'!$AV$6:$AV$13,0),MATCH(SCC_Chloride!$Q13,'Tables - Part 2'!$AX$5:$BA$5,0))+INDEX('Tables - Part 2'!$BB$17:$BE$24,MATCH(SCC_Chloride!$V13,'Tables - Part 2'!$AV$6:$AV$13,0),MATCH(SCC_Chloride!$Q13,'Tables - Part 2'!$AX$5:$BA$5,0)))/2)+((((INDEX('Tables - Part 2'!$AX$17:$BA$24,MATCH(SCC_Chloride!$V13,'Tables - Part 2'!$AV$6:$AV$13,0),MATCH(SCC_Chloride!$Q13,'Tables - Part 2'!$AX$5:$BA$5,0))+INDEX('Tables - Part 2'!$BB$17:$BE$24,MATCH(SCC_Chloride!$V13,'Tables - Part 2'!$AV$6:$AV$13,0),MATCH(SCC_Chloride!$Q13,'Tables - Part 2'!$AX$5:$BA$5,0)))/2)+INDEX('Tables - Part 2'!$BB$17:$BE$24,MATCH(SCC_Chloride!$V13,'Tables - Part 2'!$AV$6:$AV$13,0),MATCH(SCC_Chloride!$Q13,'Tables - Part 2'!$AX$5:$BA$5,0)))/2))/2,0)</f>
        <v>0</v>
      </c>
      <c r="BF13" s="248">
        <f>IF($P13=$BF$3,(((INDEX('Tables - Part 2'!$AX$17:$BA$24,MATCH(SCC_Chloride!$V13,'Tables - Part 2'!$AV$6:$AV$13,0),MATCH(SCC_Chloride!$Q13,'Tables - Part 2'!$AX$5:$BA$5,0))+INDEX('Tables - Part 2'!$BB$17:$BE$24,MATCH(SCC_Chloride!$V13,'Tables - Part 2'!$AV$6:$AV$13,0),MATCH(SCC_Chloride!$Q13,'Tables - Part 2'!$AX$5:$BA$5,0)))/2)+INDEX('Tables - Part 2'!$BB$17:$BE$24,MATCH(SCC_Chloride!$V13,'Tables - Part 2'!$AV$6:$AV$13,0),MATCH(SCC_Chloride!$Q13,'Tables - Part 2'!$AX$5:$BA$5,0)))/2,0)</f>
        <v>0</v>
      </c>
      <c r="BG13" s="248">
        <f>IF($P13=$BG$3,(((((INDEX('Tables - Part 2'!$AX$17:$BA$24,MATCH(SCC_Chloride!$V13,'Tables - Part 2'!$AV$6:$AV$13,0),MATCH(SCC_Chloride!$Q13,'Tables - Part 2'!$AX$5:$BA$5,0))+INDEX('Tables - Part 2'!$BB$17:$BE$24,MATCH(SCC_Chloride!$V13,'Tables - Part 2'!$AV$6:$AV$13,0),MATCH(SCC_Chloride!$Q13,'Tables - Part 2'!$AX$5:$BA$5,0)))/2)+INDEX('Tables - Part 2'!$BB$17:$BE$24,MATCH(SCC_Chloride!$V13,'Tables - Part 2'!$AV$6:$AV$13,0),MATCH(SCC_Chloride!$Q13,'Tables - Part 2'!$AX$5:$BA$5,0)))/2)+(INDEX('Tables - Part 2'!$BB$17:$BE$24,MATCH(SCC_Chloride!$V13,'Tables - Part 2'!$AV$6:$AV$13,0),MATCH(SCC_Chloride!$Q13,'Tables - Part 2'!$AX$5:$BA$5,0))))/2,0)</f>
        <v>0</v>
      </c>
      <c r="BH13" s="248">
        <f>IF($P13=$BH$3,INDEX('Tables - Part 2'!$BB$17:$BE$24,MATCH(SCC_Chloride!$V13,'Tables - Part 2'!$AV$6:$AV$13,0),MATCH(SCC_Chloride!$Q13,'Tables - Part 2'!$AX$5:$BA$5,0)),0)</f>
        <v>0</v>
      </c>
      <c r="BI13" s="248">
        <f>IF($P13=$BI$3,((INDEX('Tables - Part 2'!$BB$17:$BE$24,MATCH(SCC_Chloride!$V13,'Tables - Part 2'!$AV$6:$AV$13,0),MATCH(SCC_Chloride!$Q13,'Tables - Part 2'!$AX$5:$BA$5,0)))+(((INDEX('Tables - Part 2'!$BB$17:$BE$24,MATCH(SCC_Chloride!$V13,'Tables - Part 2'!$AV$6:$AV$13,0),MATCH(SCC_Chloride!$Q13,'Tables - Part 2'!$AX$5:$BA$5,0)))+(INDEX('Tables - Part 2'!$BB$17:$BE$24,MATCH(SCC_Chloride!$V13,'Tables - Part 2'!$AV$6:$AV$13,0),MATCH(SCC_Chloride!$Q13,'Tables - Part 2'!$AX$5:$BA$5,0))+INDEX('Tables - Part 2'!$BF$17:$BI$24,MATCH(SCC_Chloride!$V13,'Tables - Part 2'!$AV$6:$AV$13,0),MATCH(SCC_Chloride!$Q13,'Tables - Part 2'!$AX$5:$BA$5,0)))/2)/2))/2,0)</f>
        <v>0</v>
      </c>
      <c r="BJ13" s="248">
        <f>IF($P13=$BJ$3,((INDEX('Tables - Part 2'!$BB$17:$BE$24,MATCH(SCC_Chloride!$V13,'Tables - Part 2'!$AV$6:$AV$13,0),MATCH(SCC_Chloride!$Q13,'Tables - Part 2'!$AX$5:$BA$5,0)))+(INDEX('Tables - Part 2'!$BB$17:$BE$24,MATCH(SCC_Chloride!$V13,'Tables - Part 2'!$AV$6:$AV$13,0),MATCH(SCC_Chloride!$Q13,'Tables - Part 2'!$AX$5:$BA$5,0))+INDEX('Tables - Part 2'!$BF$17:$BI$24,MATCH(SCC_Chloride!$V13,'Tables - Part 2'!$AV$6:$AV$13,0),MATCH(SCC_Chloride!$Q13,'Tables - Part 2'!$AX$5:$BA$5,0)))/2)/2,0)</f>
        <v>0</v>
      </c>
      <c r="BK13" s="248">
        <f>IF($P13=$BK$3,((((INDEX('Tables - Part 2'!$BB$17:$BE$24,MATCH(SCC_Chloride!$V13,'Tables - Part 2'!$AV$6:$AV$13,0),MATCH(SCC_Chloride!$Q13,'Tables - Part 2'!$AX$5:$BA$5,0)))+(INDEX('Tables - Part 2'!$BB$17:$BE$24,MATCH(SCC_Chloride!$V13,'Tables - Part 2'!$AV$6:$AV$13,0),MATCH(SCC_Chloride!$Q13,'Tables - Part 2'!$AX$5:$BA$5,0))+INDEX('Tables - Part 2'!$BF$17:$BI$24,MATCH(SCC_Chloride!$V13,'Tables - Part 2'!$AV$6:$AV$13,0),MATCH(SCC_Chloride!$Q13,'Tables - Part 2'!$AX$5:$BA$5,0)))/2)/2)+((INDEX('Tables - Part 2'!$BB$17:$BE$24,MATCH(SCC_Chloride!$V13,'Tables - Part 2'!$AV$6:$AV$13,0),MATCH(SCC_Chloride!$Q13,'Tables - Part 2'!$AX$5:$BA$5,0))+INDEX('Tables - Part 2'!$BF$17:$BI$24,MATCH(SCC_Chloride!$V13,'Tables - Part 2'!$AV$6:$AV$13,0),MATCH(SCC_Chloride!$Q13,'Tables - Part 2'!$AX$5:$BA$5,0)))/2))/2,0)</f>
        <v>0</v>
      </c>
      <c r="BL13" s="248">
        <f>IF($P13=$BL$3,(INDEX('Tables - Part 2'!$BB$17:$BE$24,MATCH(SCC_Chloride!$V13,'Tables - Part 2'!$AV$6:$AV$13,0),MATCH(SCC_Chloride!$Q13,'Tables - Part 2'!$AX$5:$BA$5,0))+INDEX('Tables - Part 2'!$BF$17:$BI$24,MATCH(SCC_Chloride!$V13,'Tables - Part 2'!$AV$6:$AV$13,0),MATCH(SCC_Chloride!$Q13,'Tables - Part 2'!$AX$5:$BA$5,0)))/2,0)</f>
        <v>0</v>
      </c>
      <c r="BM13" s="248">
        <f>IF($P13=$BM$3,(((INDEX('Tables - Part 2'!$BB$17:$BE$24,MATCH(SCC_Chloride!$V13,'Tables - Part 2'!$AV$6:$AV$13,0),MATCH(SCC_Chloride!$Q13,'Tables - Part 2'!$AX$5:$BA$5,0))+INDEX('Tables - Part 2'!$BF$17:$BI$24,MATCH(SCC_Chloride!$V13,'Tables - Part 2'!$AV$6:$AV$13,0),MATCH(SCC_Chloride!$Q13,'Tables - Part 2'!$AX$5:$BA$5,0)))/2)+((((INDEX('Tables - Part 2'!$BB$17:$BE$24,MATCH(SCC_Chloride!$V13,'Tables - Part 2'!$AV$6:$AV$13,0),MATCH(SCC_Chloride!$Q13,'Tables - Part 2'!$AX$5:$BA$5,0))+INDEX('Tables - Part 2'!$BF$17:$BI$24,MATCH(SCC_Chloride!$V13,'Tables - Part 2'!$AV$6:$AV$13,0),MATCH(SCC_Chloride!$Q13,'Tables - Part 2'!$AX$5:$BA$5,0)))/2)+INDEX('Tables - Part 2'!$BF$17:$BI$24,MATCH(SCC_Chloride!$V13,'Tables - Part 2'!$AV$6:$AV$13,0),MATCH(SCC_Chloride!$Q13,'Tables - Part 2'!$AX$5:$BA$5,0)))/2))/2,0)</f>
        <v>0</v>
      </c>
      <c r="BN13" s="248">
        <f>IF($P13=$BN$3,(((INDEX('Tables - Part 2'!$BB$17:$BE$24,MATCH(SCC_Chloride!$V13,'Tables - Part 2'!$AV$6:$AV$13,0),MATCH(SCC_Chloride!$Q13,'Tables - Part 2'!$AX$5:$BA$5,0))+INDEX('Tables - Part 2'!$BF$17:$BI$24,MATCH(SCC_Chloride!$V13,'Tables - Part 2'!$AV$6:$AV$13,0),MATCH(SCC_Chloride!$Q13,'Tables - Part 2'!$AX$5:$BA$5,0)))/2)+INDEX('Tables - Part 2'!$BF$17:$BI$24,MATCH(SCC_Chloride!$V13,'Tables - Part 2'!$AV$6:$AV$13,0),MATCH(SCC_Chloride!$Q13,'Tables - Part 2'!$AX$5:$BA$5,0)))/2,0)</f>
        <v>0</v>
      </c>
      <c r="BO13" s="248">
        <f>IF($P13=$BO$3,(((((INDEX('Tables - Part 2'!$BB$17:$BE$24,MATCH(SCC_Chloride!$V13,'Tables - Part 2'!$AV$6:$AV$13,0),MATCH(SCC_Chloride!$Q13,'Tables - Part 2'!$AX$5:$BA$5,0))+INDEX('Tables - Part 2'!$BF$17:$BI$24,MATCH(SCC_Chloride!$V13,'Tables - Part 2'!$AV$6:$AV$13,0),MATCH(SCC_Chloride!$Q13,'Tables - Part 2'!$AX$5:$BA$5,0)))/2)+INDEX('Tables - Part 2'!$BF$17:$BI$24,MATCH(SCC_Chloride!$V13,'Tables - Part 2'!$AV$6:$AV$13,0),MATCH(SCC_Chloride!$Q13,'Tables - Part 2'!$AX$5:$BA$5,0)))/2)+(INDEX('Tables - Part 2'!$BF$17:$BI$24,MATCH(SCC_Chloride!$V13,'Tables - Part 2'!$AV$6:$AV$13,0),MATCH(SCC_Chloride!$Q13,'Tables - Part 2'!$AX$5:$BA$5,0))))/2,0)</f>
        <v>0</v>
      </c>
      <c r="BP13" s="248">
        <f>IF($P13=$BP$3,INDEX('Tables - Part 2'!$BF$17:$BI$24,MATCH(SCC_Chloride!$V13,'Tables - Part 2'!$AV$6:$AV$13,0),MATCH(SCC_Chloride!$Q13,'Tables - Part 2'!$AX$5:$BA$5,0)),0)</f>
        <v>0</v>
      </c>
      <c r="BQ13" s="248">
        <f t="shared" si="5"/>
        <v>0</v>
      </c>
      <c r="BR13" s="238">
        <f t="shared" si="9"/>
        <v>1.5</v>
      </c>
      <c r="BS13" s="238">
        <f t="shared" si="6"/>
        <v>25.159323702612586</v>
      </c>
    </row>
    <row r="14" spans="2:84" x14ac:dyDescent="0.35">
      <c r="B14" s="161" t="str">
        <f>'Tratamento de Dados'!B22</f>
        <v>V-50</v>
      </c>
      <c r="C14" s="161" t="str">
        <f>'Tratamento de Dados'!D22</f>
        <v>Casco</v>
      </c>
      <c r="D14" s="209" t="s">
        <v>245</v>
      </c>
      <c r="E14" s="209" t="s">
        <v>61</v>
      </c>
      <c r="F14" s="209">
        <v>10</v>
      </c>
      <c r="G14" s="209" t="s">
        <v>1167</v>
      </c>
      <c r="H14" s="247">
        <f>'Tratamento de Dados'!S22</f>
        <v>2</v>
      </c>
      <c r="I14" s="210">
        <v>39092</v>
      </c>
      <c r="J14" s="209">
        <v>0</v>
      </c>
      <c r="K14" s="209">
        <v>1</v>
      </c>
      <c r="L14" s="209">
        <v>1</v>
      </c>
      <c r="M14" s="209">
        <v>4</v>
      </c>
      <c r="N14" s="253">
        <f>'Tratamento de Dados'!DA22</f>
        <v>0</v>
      </c>
      <c r="O14" s="253">
        <f>'Tratamento de Dados'!DB22</f>
        <v>0</v>
      </c>
      <c r="P14" s="256">
        <f t="shared" si="0"/>
        <v>2.5</v>
      </c>
      <c r="Q14" s="246" t="str">
        <f t="shared" si="1"/>
        <v>B</v>
      </c>
      <c r="R14" s="246" t="str">
        <f>IF(H14&lt;=38,'Tables - Part 2'!$DO$6,IF(H14&lt;=66,'Tables - Part 2'!$DO$7,IF(H14&lt;=93,'Tables - Part 2'!$DO$8,IF(H14&lt;=149,'Tables - Part 2'!$DO$9,'Tables - Part 2'!$DO$10))))</f>
        <v>≤38</v>
      </c>
      <c r="S14" s="246" t="str">
        <f>IF(H14&lt;=38,'Tables - Part 2'!$DO$14,IF(H14&lt;=93,'Tables - Part 2'!$DO$15,IF(H14&lt;=149,'Tables - Part 2'!$DO$16,'Tables - Part 2'!$DO$17)))</f>
        <v>≤38</v>
      </c>
      <c r="T14" s="246" t="str">
        <f t="shared" si="7"/>
        <v>≤38</v>
      </c>
      <c r="U14" s="467" t="str">
        <f>IF(D14=$BX$2,$BV$5,INDEX(IF(F14&gt;10,'Tables - Part 2'!$DP$14:$DS$17,'Tables - Part 2'!$DP$6:$DS$10),MATCH(T14,IF(F14&gt;10,'Tables - Part 2'!$DO$14:$DO$17,'Tables - Part 2'!$DO$6:$DO$10),0),MATCH(SCC_Chloride!G14,'Tables - Part 2'!$DP$5:$DS$5,0)))</f>
        <v>Low</v>
      </c>
      <c r="V14" s="238">
        <f>IF(AND(D14=$BX$2,E14&lt;&gt;$BX$2),"Fitness-For-Service",INDEX('Tables - Part 2'!$DV$4:$DV$7,MATCH(SCC_Chloride!U14,'Tables - Part 2'!$DU$4:$DU$7,0),))</f>
        <v>50</v>
      </c>
      <c r="W14" s="238">
        <f>IF(I14=0,(Thinning!G15-Thinning!F15)/365.25,(Thinning!G15-I14)/365.25)</f>
        <v>12.980150581793293</v>
      </c>
      <c r="X14" s="248">
        <f t="shared" si="2"/>
        <v>0</v>
      </c>
      <c r="Y14" s="248">
        <f t="shared" si="3"/>
        <v>2.5</v>
      </c>
      <c r="Z14" s="247">
        <f t="shared" si="8"/>
        <v>3</v>
      </c>
      <c r="AA14" s="247">
        <f t="shared" si="4"/>
        <v>4</v>
      </c>
      <c r="AB14" s="248">
        <f>IF($P14=$AB$3,INDEX('Tables - Part 2'!$AX$6:$BA$13,MATCH(SCC_Chloride!V14,'Tables - Part 2'!$AV$6:$AV$13,0),MATCH(SCC_Chloride!Q14,'Tables - Part 2'!$AX$5:$BA$5,0)),0)</f>
        <v>0</v>
      </c>
      <c r="AC14" s="248">
        <f>IF($P14=$AC$3,(INDEX('Tables - Part 2'!$AX$6:$BA$13,MATCH(SCC_Chloride!V14,'Tables - Part 2'!$AV$6:$AV$13,0),MATCH(SCC_Chloride!Q14,'Tables - Part 2'!$AX$5:$BA$5,0))+(INDEX('Tables - Part 2'!$AX$6:$BA$13,MATCH(SCC_Chloride!V14,'Tables - Part 2'!$AV$6:$AV$13,0),MATCH(SCC_Chloride!Q14,'Tables - Part 2'!$AX$5:$BA$5,0))+((INDEX('Tables - Part 2'!$AX$6:$BA$13,MATCH(SCC_Chloride!V14,'Tables - Part 2'!$AV$6:$AV$13,0),MATCH(SCC_Chloride!Q14,'Tables - Part 2'!$AX$5:$BA$5,0))+INDEX('Tables - Part 2'!$BB$6:$BE$13,MATCH(SCC_Chloride!$V14,'Tables - Part 2'!$AV$6:$AV$13,0),MATCH(SCC_Chloride!$Q14,'Tables - Part 2'!$AX$5:$BA$5,0)))/2))/2)/2,0)</f>
        <v>0</v>
      </c>
      <c r="AD14" s="248">
        <f>IF($P14=$AD$3,(INDEX('Tables - Part 2'!$AX$6:$BA$13,MATCH(SCC_Chloride!V14,'Tables - Part 2'!$AV$6:$AV$13,0),MATCH(SCC_Chloride!Q14,'Tables - Part 2'!$AX$5:$BA$5,0))+((INDEX('Tables - Part 2'!$AX$6:$BA$13,MATCH(SCC_Chloride!V14,'Tables - Part 2'!$AV$6:$AV$13,0),MATCH(SCC_Chloride!Q14,'Tables - Part 2'!$AX$5:$BA$5,0))+INDEX('Tables - Part 2'!$BB$6:$BE$13,MATCH(SCC_Chloride!$V14,'Tables - Part 2'!$AV$6:$AV$13,0),MATCH(SCC_Chloride!$Q14,'Tables - Part 2'!$AX$5:$BA$5,0)))/2))/2,0)</f>
        <v>0</v>
      </c>
      <c r="AE14" s="248">
        <f>IF($P14=$AE$3,(((INDEX('Tables - Part 2'!$AX$6:$BA$13,MATCH(SCC_Chloride!V14,'Tables - Part 2'!$AV$6:$AV$13,0),MATCH(SCC_Chloride!Q14,'Tables - Part 2'!$AX$5:$BA$5,0))+((INDEX('Tables - Part 2'!$AX$6:$BA$13,MATCH(SCC_Chloride!V14,'Tables - Part 2'!$AV$6:$AV$13,0),MATCH(SCC_Chloride!Q14,'Tables - Part 2'!$AX$5:$BA$5,0))+INDEX('Tables - Part 2'!$BB$6:$BE$13,MATCH(SCC_Chloride!$V14,'Tables - Part 2'!$AV$6:$AV$13,0),MATCH(SCC_Chloride!$Q14,'Tables - Part 2'!$AX$5:$BA$5,0)))/2))/2)+(INDEX('Tables - Part 2'!$AX$6:$BA$13,MATCH(SCC_Chloride!V14,'Tables - Part 2'!$AV$6:$AV$13,0),MATCH(SCC_Chloride!Q14,'Tables - Part 2'!$AX$5:$BA$5,0))+INDEX('Tables - Part 2'!$BB$6:$BE$13,MATCH(SCC_Chloride!$V14,'Tables - Part 2'!$AV$6:$AV$13,0),MATCH(SCC_Chloride!$Q14,'Tables - Part 2'!$AX$5:$BA$5,0)))/2)/2,0)</f>
        <v>0</v>
      </c>
      <c r="AF14" s="248">
        <f>IF($P14=$AF$3,(INDEX('Tables - Part 2'!$AX$6:$BA$13,MATCH(SCC_Chloride!V14,'Tables - Part 2'!$AV$6:$AV$13,0),MATCH(SCC_Chloride!Q14,'Tables - Part 2'!$AX$5:$BA$5,0))+INDEX('Tables - Part 2'!$BB$6:$BE$13,MATCH(SCC_Chloride!$V14,'Tables - Part 2'!$AV$6:$AV$13,0),MATCH(SCC_Chloride!$Q14,'Tables - Part 2'!$AX$5:$BA$5,0)))/2,0)</f>
        <v>0</v>
      </c>
      <c r="AG14" s="248">
        <f>IF($P14=$AG$3,(((INDEX('Tables - Part 2'!$AX$6:$BA$13,MATCH(SCC_Chloride!V14,'Tables - Part 2'!$AV$6:$AV$13,0),MATCH(SCC_Chloride!Q14,'Tables - Part 2'!$AX$5:$BA$5,0))+INDEX('Tables - Part 2'!$BB$6:$BE$13,MATCH(SCC_Chloride!$V14,'Tables - Part 2'!$AV$6:$AV$13,0),MATCH(SCC_Chloride!$Q14,'Tables - Part 2'!$AX$5:$BA$5,0)))/2)+(((INDEX('Tables - Part 2'!$AX$6:$BA$13,MATCH(SCC_Chloride!V14,'Tables - Part 2'!$AV$6:$AV$13,0),MATCH(SCC_Chloride!Q14,'Tables - Part 2'!$AX$5:$BA$5,0))+INDEX('Tables - Part 2'!$BB$6:$BE$13,MATCH(SCC_Chloride!$V14,'Tables - Part 2'!$AV$6:$AV$13,0),MATCH(SCC_Chloride!$Q14,'Tables - Part 2'!$AX$5:$BA$5,0)))/2)+INDEX('Tables - Part 2'!$BB$6:$BE$13,MATCH(SCC_Chloride!$V14,'Tables - Part 2'!$AV$6:$AV$13,0),MATCH(SCC_Chloride!$Q14,'Tables - Part 2'!$AX$5:$BA$5,0)))/2)/2,0)</f>
        <v>0</v>
      </c>
      <c r="AH14" s="248">
        <f>IF($P14=$AH$3,(((INDEX('Tables - Part 2'!$AX$6:$BA$13,MATCH(SCC_Chloride!V14,'Tables - Part 2'!$AV$6:$AV$13,0),MATCH(SCC_Chloride!Q14,'Tables - Part 2'!$AX$5:$BA$5,0))+INDEX('Tables - Part 2'!$BB$6:$BE$13,MATCH(SCC_Chloride!$V14,'Tables - Part 2'!$AV$6:$AV$13,0),MATCH(SCC_Chloride!$Q14,'Tables - Part 2'!$AX$5:$BA$5,0)))/2)+INDEX('Tables - Part 2'!$BB$6:$BE$13,MATCH(SCC_Chloride!$V14,'Tables - Part 2'!$AV$6:$AV$13,0),MATCH(SCC_Chloride!$Q14,'Tables - Part 2'!$AX$5:$BA$5,0)))/2,0)</f>
        <v>0</v>
      </c>
      <c r="AI14" s="248">
        <f>IF($P14=$AI$3,(((((INDEX('Tables - Part 2'!$AX$6:$BA$13,MATCH(SCC_Chloride!V14,'Tables - Part 2'!$AV$6:$AV$13,0),MATCH(SCC_Chloride!Q14,'Tables - Part 2'!$AX$5:$BA$5,0))+INDEX('Tables - Part 2'!$BB$6:$BE$13,MATCH(SCC_Chloride!$V14,'Tables - Part 2'!$AV$6:$AV$13,0),MATCH(SCC_Chloride!$Q14,'Tables - Part 2'!$AX$5:$BA$5,0)))/2)+INDEX('Tables - Part 2'!$BB$6:$BE$13,MATCH(SCC_Chloride!$V14,'Tables - Part 2'!$AV$6:$AV$13,0),MATCH(SCC_Chloride!$Q14,'Tables - Part 2'!$AX$5:$BA$5,0)))/2)+INDEX('Tables - Part 2'!$BB$6:$BE$13,MATCH(SCC_Chloride!$V14,'Tables - Part 2'!$AV$6:$AV$13,0),MATCH(SCC_Chloride!$Q14,'Tables - Part 2'!$AX$5:$BA$5,0)))/2,0)</f>
        <v>0</v>
      </c>
      <c r="AJ14" s="248">
        <f>IF($P14=$AJ$3,INDEX('Tables - Part 2'!$BB$6:$BE$13,MATCH(SCC_Chloride!$V14,'Tables - Part 2'!$AV$6:$AV$13,0),MATCH(SCC_Chloride!$Q14,'Tables - Part 2'!$AX$5:$BA$5,0)),0)</f>
        <v>0</v>
      </c>
      <c r="AK14" s="248">
        <f>IF($P14=$AK$3,((INDEX('Tables - Part 2'!$BB$6:$BE$13,MATCH(SCC_Chloride!$V14,'Tables - Part 2'!$AV$6:$AV$13,0),MATCH(SCC_Chloride!$Q14,'Tables - Part 2'!$AX$5:$BA$5,0)))+(INDEX('Tables - Part 2'!$BB$6:$BE$13,MATCH(SCC_Chloride!$V14,'Tables - Part 2'!$AV$6:$AV$13,0),MATCH(SCC_Chloride!$Q14,'Tables - Part 2'!$AX$5:$BA$5,0))+(INDEX('Tables - Part 2'!$BB$6:$BE$13,MATCH(SCC_Chloride!$V14,'Tables - Part 2'!$AV$6:$AV$13,0),MATCH(SCC_Chloride!$Q14,'Tables - Part 2'!$AX$5:$BA$5,0))+INDEX('Tables - Part 2'!$BF$6:$BI$13,MATCH(SCC_Chloride!$V14,'Tables - Part 2'!$AV$6:$AV$13,0),MATCH(SCC_Chloride!$Q14,'Tables - Part 2'!$AX$5:$BA$5,0)))/2)/2)/2,0)</f>
        <v>0</v>
      </c>
      <c r="AL14" s="248">
        <f>IF($P14=$AL$3,(INDEX('Tables - Part 2'!$BB$6:$BE$13,MATCH(SCC_Chloride!$V14,'Tables - Part 2'!$AV$6:$AV$13,0),MATCH(SCC_Chloride!$Q14,'Tables - Part 2'!$AX$5:$BA$5,0))+(INDEX('Tables - Part 2'!$BB$6:$BE$13,MATCH(SCC_Chloride!$V14,'Tables - Part 2'!$AV$6:$AV$13,0),MATCH(SCC_Chloride!$Q14,'Tables - Part 2'!$AX$5:$BA$5,0))+INDEX('Tables - Part 2'!$BF$6:$BI$13,MATCH(SCC_Chloride!$V14,'Tables - Part 2'!$AV$6:$AV$13,0),MATCH(SCC_Chloride!$Q14,'Tables - Part 2'!$AX$5:$BA$5,0)))/2)/2,0)</f>
        <v>0</v>
      </c>
      <c r="AM14" s="248">
        <f>IF($P14=$AM$3,(((INDEX('Tables - Part 2'!$BB$6:$BE$13,MATCH(SCC_Chloride!$V14,'Tables - Part 2'!$AV$6:$AV$13,0),MATCH(SCC_Chloride!$Q14,'Tables - Part 2'!$AX$5:$BA$5,0))+(INDEX('Tables - Part 2'!$BB$6:$BE$13,MATCH(SCC_Chloride!$V14,'Tables - Part 2'!$AV$6:$AV$13,0),MATCH(SCC_Chloride!$Q14,'Tables - Part 2'!$AX$5:$BA$5,0))+INDEX('Tables - Part 2'!$BF$6:$BI$13,MATCH(SCC_Chloride!$V14,'Tables - Part 2'!$AV$6:$AV$13,0),MATCH(SCC_Chloride!$Q14,'Tables - Part 2'!$AX$5:$BA$5,0)))/2)/2)+((INDEX('Tables - Part 2'!$BB$6:$BE$13,MATCH(SCC_Chloride!$V14,'Tables - Part 2'!$AV$6:$AV$13,0),MATCH(SCC_Chloride!$Q14,'Tables - Part 2'!$AX$5:$BA$5,0))+INDEX('Tables - Part 2'!$BF$6:$BI$13,MATCH(SCC_Chloride!$V14,'Tables - Part 2'!$AV$6:$AV$13,0),MATCH(SCC_Chloride!$Q14,'Tables - Part 2'!$AX$5:$BA$5,0)))/2))/2,0)</f>
        <v>0</v>
      </c>
      <c r="AN14" s="248">
        <f>IF($P14=$AN$3,(INDEX('Tables - Part 2'!$BB$6:$BE$13,MATCH(SCC_Chloride!$V14,'Tables - Part 2'!$AV$6:$AV$13,0),MATCH(SCC_Chloride!$Q14,'Tables - Part 2'!$AX$5:$BA$5,0))+INDEX('Tables - Part 2'!$BF$6:$BI$13,MATCH(SCC_Chloride!$V14,'Tables - Part 2'!$AV$6:$AV$13,0),MATCH(SCC_Chloride!$Q14,'Tables - Part 2'!$AX$5:$BA$5,0)))/2,0)</f>
        <v>1.5</v>
      </c>
      <c r="AO14" s="248">
        <f>IF($P14=$AO$3,(((INDEX('Tables - Part 2'!$BB$6:$BE$13,MATCH(SCC_Chloride!$V14,'Tables - Part 2'!$AV$6:$AV$13,0),MATCH(SCC_Chloride!$Q14,'Tables - Part 2'!$AX$5:$BA$5,0))+INDEX('Tables - Part 2'!$BF$6:$BI$13,MATCH(SCC_Chloride!$V14,'Tables - Part 2'!$AV$6:$AV$13,0),MATCH(SCC_Chloride!$Q14,'Tables - Part 2'!$AX$5:$BA$5,0)))/2)+((((INDEX('Tables - Part 2'!$BB$6:$BE$13,MATCH(SCC_Chloride!$V14,'Tables - Part 2'!$AV$6:$AV$13,0),MATCH(SCC_Chloride!$Q14,'Tables - Part 2'!$AX$5:$BA$5,0))+INDEX('Tables - Part 2'!$BF$6:$BI$13,MATCH(SCC_Chloride!$V14,'Tables - Part 2'!$AV$6:$AV$13,0),MATCH(SCC_Chloride!$Q14,'Tables - Part 2'!$AX$5:$BA$5,0)))/2)+INDEX('Tables - Part 2'!$BF$6:$BI$13,MATCH(SCC_Chloride!$V14,'Tables - Part 2'!$AV$6:$AV$13,0),MATCH(SCC_Chloride!$Q14,'Tables - Part 2'!$AX$5:$BA$5,0)))/2))/2,0)</f>
        <v>0</v>
      </c>
      <c r="AP14" s="248">
        <f>IF($P14=$AP$3,(((INDEX('Tables - Part 2'!$BB$6:$BE$13,MATCH(SCC_Chloride!$V14,'Tables - Part 2'!$AV$6:$AV$13,0),MATCH(SCC_Chloride!$Q14,'Tables - Part 2'!$AX$5:$BA$5,0))+INDEX('Tables - Part 2'!$BF$6:$BI$13,MATCH(SCC_Chloride!$V14,'Tables - Part 2'!$AV$6:$AV$13,0),MATCH(SCC_Chloride!$Q14,'Tables - Part 2'!$AX$5:$BA$5,0)))/2)+INDEX('Tables - Part 2'!$BF$6:$BI$13,MATCH(SCC_Chloride!$V14,'Tables - Part 2'!$AV$6:$AV$13,0),MATCH(SCC_Chloride!$Q14,'Tables - Part 2'!$AX$5:$BA$5,0)))/2,0)</f>
        <v>0</v>
      </c>
      <c r="AQ14" s="248">
        <f>IF($P14=$AQ$3,(((((INDEX('Tables - Part 2'!$BB$6:$BE$13,MATCH(SCC_Chloride!$V14,'Tables - Part 2'!$AV$6:$AV$13,0),MATCH(SCC_Chloride!$Q14,'Tables - Part 2'!$AX$5:$BA$5,0))+INDEX('Tables - Part 2'!$BF$6:$BI$13,MATCH(SCC_Chloride!$V14,'Tables - Part 2'!$AV$6:$AV$13,0),MATCH(SCC_Chloride!$Q14,'Tables - Part 2'!$AX$5:$BA$5,0)))/2)+INDEX('Tables - Part 2'!$BF$6:$BI$13,MATCH(SCC_Chloride!$V14,'Tables - Part 2'!$AV$6:$AV$13,0),MATCH(SCC_Chloride!$Q14,'Tables - Part 2'!$AX$5:$BA$5,0)))/2)+INDEX('Tables - Part 2'!$BF$6:$BI$13,MATCH(SCC_Chloride!$V14,'Tables - Part 2'!$AV$6:$AV$13,0),MATCH(SCC_Chloride!$Q14,'Tables - Part 2'!$AX$5:$BA$5,0)))/2,0)</f>
        <v>0</v>
      </c>
      <c r="AR14" s="248">
        <f>IF($P14=$AR$3,INDEX('Tables - Part 2'!$BF$6:$BI$13,MATCH(SCC_Chloride!$V14,'Tables - Part 2'!$AV$6:$AV$13,0),MATCH(SCC_Chloride!$Q14,'Tables - Part 2'!$AX$5:$BA$5,0)),0)</f>
        <v>0</v>
      </c>
      <c r="AS14" s="248">
        <f>IF($P14=$AS$3,(INDEX('Tables - Part 2'!$BF$6:$BI$13,MATCH(SCC_Chloride!$V14,'Tables - Part 2'!$AV$6:$AV$13,0),MATCH(SCC_Chloride!$Q14,'Tables - Part 2'!$AX$5:$BA$5,0))+((INDEX('Tables - Part 2'!$BF$6:$BI$13,MATCH(SCC_Chloride!$V14,'Tables - Part 2'!$AV$6:$AV$13,0),MATCH(SCC_Chloride!$Q14,'Tables - Part 2'!$AX$5:$BA$5,0))+(INDEX('Tables - Part 2'!$BF$6:$BI$13,MATCH(SCC_Chloride!$V14,'Tables - Part 2'!$AV$6:$AV$13,0),MATCH(SCC_Chloride!$Q14,'Tables - Part 2'!$AX$5:$BA$5,0))+INDEX('Tables - Part 2'!$AX$17:$BA$24,MATCH(SCC_Chloride!$V14,'Tables - Part 2'!$AV$6:$AV$13,0),MATCH(SCC_Chloride!$Q14,'Tables - Part 2'!$AX$5:$BA$5,0)))/2)/2))/2,0)</f>
        <v>0</v>
      </c>
      <c r="AT14" s="248">
        <f>IF($P14=$AT$3,(INDEX('Tables - Part 2'!$BF$6:$BI$13,MATCH(SCC_Chloride!$V14,'Tables - Part 2'!$AV$6:$AV$13,0),MATCH(SCC_Chloride!$Q14,'Tables - Part 2'!$AX$5:$BA$5,0))+(INDEX('Tables - Part 2'!$BF$6:$BI$13,MATCH(SCC_Chloride!$V14,'Tables - Part 2'!$AV$6:$AV$13,0),MATCH(SCC_Chloride!$Q14,'Tables - Part 2'!$AX$5:$BA$5,0))+INDEX('Tables - Part 2'!$AX$17:$BA$24,MATCH(SCC_Chloride!$V14,'Tables - Part 2'!$AV$6:$AV$13,0),MATCH(SCC_Chloride!$Q14,'Tables - Part 2'!$AX$5:$BA$5,0)))/2)/2,0)</f>
        <v>0</v>
      </c>
      <c r="AU14" s="248">
        <f>IF($P14=$AU$3,(((INDEX('Tables - Part 2'!$BF$6:$BI$13,MATCH(SCC_Chloride!$V14,'Tables - Part 2'!$AV$6:$AV$13,0),MATCH(SCC_Chloride!$Q14,'Tables - Part 2'!$AX$5:$BA$5,0))+(INDEX('Tables - Part 2'!$BF$6:$BI$13,MATCH(SCC_Chloride!$V14,'Tables - Part 2'!$AV$6:$AV$13,0),MATCH(SCC_Chloride!$Q14,'Tables - Part 2'!$AX$5:$BA$5,0))+INDEX('Tables - Part 2'!$AX$17:$BA$24,MATCH(SCC_Chloride!$V14,'Tables - Part 2'!$AV$6:$AV$13,0),MATCH(SCC_Chloride!$Q14,'Tables - Part 2'!$AX$5:$BA$5,0)))/2)/2)+((INDEX('Tables - Part 2'!$BF$6:$BI$13,MATCH(SCC_Chloride!$V14,'Tables - Part 2'!$AV$6:$AV$13,0),MATCH(SCC_Chloride!$Q14,'Tables - Part 2'!$AX$5:$BA$5,0))+INDEX('Tables - Part 2'!$AX$17:$BA$24,MATCH(SCC_Chloride!$V14,'Tables - Part 2'!$AV$6:$AV$13,0),MATCH(SCC_Chloride!$Q14,'Tables - Part 2'!$AX$5:$BA$5,0)))/2))/2,0)</f>
        <v>0</v>
      </c>
      <c r="AV14" s="248">
        <f>IF($P14=$AV$3,(INDEX('Tables - Part 2'!$BF$6:$BI$13,MATCH(SCC_Chloride!$V14,'Tables - Part 2'!$AV$6:$AV$13,0),MATCH(SCC_Chloride!$Q14,'Tables - Part 2'!$AX$5:$BA$5,0))+INDEX('Tables - Part 2'!$AX$17:$BA$24,MATCH(SCC_Chloride!$V14,'Tables - Part 2'!$AV$6:$AV$13,0),MATCH(SCC_Chloride!$Q14,'Tables - Part 2'!$AX$5:$BA$5,0)))/2,0)</f>
        <v>0</v>
      </c>
      <c r="AW14" s="248">
        <f>IF($P14=$AW$3,(((INDEX('Tables - Part 2'!$BF$6:$BI$13,MATCH(SCC_Chloride!$V14,'Tables - Part 2'!$AV$6:$AV$13,0),MATCH(SCC_Chloride!$Q14,'Tables - Part 2'!$AX$5:$BA$5,0))+INDEX('Tables - Part 2'!$AX$17:$BA$24,MATCH(SCC_Chloride!$V14,'Tables - Part 2'!$AV$6:$AV$13,0),MATCH(SCC_Chloride!$Q14,'Tables - Part 2'!$AX$5:$BA$5,0)))/2)+((((INDEX('Tables - Part 2'!$BF$6:$BI$13,MATCH(SCC_Chloride!$V14,'Tables - Part 2'!$AV$6:$AV$13,0),MATCH(SCC_Chloride!$Q14,'Tables - Part 2'!$AX$5:$BA$5,0))+INDEX('Tables - Part 2'!$AX$17:$BA$24,MATCH(SCC_Chloride!$V14,'Tables - Part 2'!$AV$6:$AV$13,0),MATCH(SCC_Chloride!$Q14,'Tables - Part 2'!$AX$5:$BA$5,0)))/2)+INDEX('Tables - Part 2'!$AX$17:$BA$24,MATCH(SCC_Chloride!$V14,'Tables - Part 2'!$AV$6:$AV$13,0),MATCH(SCC_Chloride!$Q14,'Tables - Part 2'!$AX$5:$BA$5,0)))/2))/2,0)</f>
        <v>0</v>
      </c>
      <c r="AX14" s="248">
        <f>IF($P14=$AX$3,(((INDEX('Tables - Part 2'!$BF$6:$BI$13,MATCH(SCC_Chloride!$V14,'Tables - Part 2'!$AV$6:$AV$13,0),MATCH(SCC_Chloride!$Q14,'Tables - Part 2'!$AX$5:$BA$5,0))+INDEX('Tables - Part 2'!$AX$17:$BA$24,MATCH(SCC_Chloride!$V14,'Tables - Part 2'!$AV$6:$AV$13,0),MATCH(SCC_Chloride!$Q14,'Tables - Part 2'!$AX$5:$BA$5,0)))/2)+INDEX('Tables - Part 2'!$AX$17:$BA$24,MATCH(SCC_Chloride!$V14,'Tables - Part 2'!$AV$6:$AV$13,0),MATCH(SCC_Chloride!$Q14,'Tables - Part 2'!$AX$5:$BA$5,0)))/2,0)</f>
        <v>0</v>
      </c>
      <c r="AY14" s="248">
        <f>IF($P14=$AY$3,(((((INDEX('Tables - Part 2'!$BF$6:$BI$13,MATCH(SCC_Chloride!$V14,'Tables - Part 2'!$AV$6:$AV$13,0),MATCH(SCC_Chloride!$Q14,'Tables - Part 2'!$AX$5:$BA$5,0))+INDEX('Tables - Part 2'!$AX$17:$BA$24,MATCH(SCC_Chloride!$V14,'Tables - Part 2'!$AV$6:$AV$13,0),MATCH(SCC_Chloride!$Q14,'Tables - Part 2'!$AX$5:$BA$5,0)))/2)+INDEX('Tables - Part 2'!$AX$17:$BA$24,MATCH(SCC_Chloride!$V14,'Tables - Part 2'!$AV$6:$AV$13,0),MATCH(SCC_Chloride!$Q14,'Tables - Part 2'!$AX$5:$BA$5,0)))/2)+(INDEX('Tables - Part 2'!$AX$17:$BA$24,MATCH(SCC_Chloride!$V14,'Tables - Part 2'!$AV$6:$AV$13,0),MATCH(SCC_Chloride!$Q14,'Tables - Part 2'!$AX$5:$BA$5,0))))/2,0)</f>
        <v>0</v>
      </c>
      <c r="AZ14" s="248">
        <f>IF($P14=$AZ$3,INDEX('Tables - Part 2'!$AX$17:$BA$24,MATCH(SCC_Chloride!$V14,'Tables - Part 2'!$AV$6:$AV$13,0),MATCH(SCC_Chloride!$Q14,'Tables - Part 2'!$AX$5:$BA$5,0)),0)</f>
        <v>0</v>
      </c>
      <c r="BA14" s="248">
        <f>IF($P14=$BA$3,((INDEX('Tables - Part 2'!$AX$17:$BA$24,MATCH(SCC_Chloride!$V14,'Tables - Part 2'!$AV$6:$AV$13,0),MATCH(SCC_Chloride!$Q14,'Tables - Part 2'!$AX$5:$BA$5,0)))+(((INDEX('Tables - Part 2'!$AX$17:$BA$24,MATCH(SCC_Chloride!$V14,'Tables - Part 2'!$AV$6:$AV$13,0),MATCH(SCC_Chloride!$Q14,'Tables - Part 2'!$AX$5:$BA$5,0)))+(INDEX('Tables - Part 2'!$AX$17:$BA$24,MATCH(SCC_Chloride!$V14,'Tables - Part 2'!$AV$6:$AV$13,0),MATCH(SCC_Chloride!$Q14,'Tables - Part 2'!$AX$5:$BA$5,0))+INDEX('Tables - Part 2'!$BB$17:$BE$24,MATCH(SCC_Chloride!$V14,'Tables - Part 2'!$AV$6:$AV$13,0),MATCH(SCC_Chloride!$Q14,'Tables - Part 2'!$AX$5:$BA$5,0)))/2)/2))/2,0)</f>
        <v>0</v>
      </c>
      <c r="BB14" s="248">
        <f>IF($P14=$BB$3,((INDEX('Tables - Part 2'!$AX$17:$BA$24,MATCH(SCC_Chloride!$V14,'Tables - Part 2'!$AV$6:$AV$13,0),MATCH(SCC_Chloride!$Q14,'Tables - Part 2'!$AX$5:$BA$5,0)))+(INDEX('Tables - Part 2'!$AX$17:$BA$24,MATCH(SCC_Chloride!$V14,'Tables - Part 2'!$AV$6:$AV$13,0),MATCH(SCC_Chloride!$Q14,'Tables - Part 2'!$AX$5:$BA$5,0))+INDEX('Tables - Part 2'!$BB$17:$BE$24,MATCH(SCC_Chloride!$V14,'Tables - Part 2'!$AV$6:$AV$13,0),MATCH(SCC_Chloride!$Q14,'Tables - Part 2'!$AX$5:$BA$5,0)))/2)/2,0)</f>
        <v>0</v>
      </c>
      <c r="BC14" s="248">
        <f>IF($P14=$BC$3,((((INDEX('Tables - Part 2'!$AX$17:$BA$24,MATCH(SCC_Chloride!$V14,'Tables - Part 2'!$AV$6:$AV$13,0),MATCH(SCC_Chloride!$Q14,'Tables - Part 2'!$AX$5:$BA$5,0)))+(INDEX('Tables - Part 2'!$AX$17:$BA$24,MATCH(SCC_Chloride!$V14,'Tables - Part 2'!$AV$6:$AV$13,0),MATCH(SCC_Chloride!$Q14,'Tables - Part 2'!$AX$5:$BA$5,0))+INDEX('Tables - Part 2'!$BB$17:$BE$24,MATCH(SCC_Chloride!$V14,'Tables - Part 2'!$AV$6:$AV$13,0),MATCH(SCC_Chloride!$Q14,'Tables - Part 2'!$AX$5:$BA$5,0)))/2)/2)+((INDEX('Tables - Part 2'!$AX$17:$BA$24,MATCH(SCC_Chloride!$V14,'Tables - Part 2'!$AV$6:$AV$13,0),MATCH(SCC_Chloride!$Q14,'Tables - Part 2'!$AX$5:$BA$5,0))+INDEX('Tables - Part 2'!$BB$17:$BE$24,MATCH(SCC_Chloride!$V14,'Tables - Part 2'!$AV$6:$AV$13,0),MATCH(SCC_Chloride!$Q14,'Tables - Part 2'!$AX$5:$BA$5,0)))/2))/2,0)</f>
        <v>0</v>
      </c>
      <c r="BD14" s="248">
        <f>IF($P14=$BD$3,(INDEX('Tables - Part 2'!$AX$17:$BA$24,MATCH(SCC_Chloride!$V14,'Tables - Part 2'!$AV$6:$AV$13,0),MATCH(SCC_Chloride!$Q14,'Tables - Part 2'!$AX$5:$BA$5,0))+INDEX('Tables - Part 2'!$BB$17:$BE$24,MATCH(SCC_Chloride!$V14,'Tables - Part 2'!$AV$6:$AV$13,0),MATCH(SCC_Chloride!$Q14,'Tables - Part 2'!$AX$5:$BA$5,0)))/2,0)</f>
        <v>0</v>
      </c>
      <c r="BE14" s="248">
        <f>IF($P14=$BE$3,(((INDEX('Tables - Part 2'!$AX$17:$BA$24,MATCH(SCC_Chloride!$V14,'Tables - Part 2'!$AV$6:$AV$13,0),MATCH(SCC_Chloride!$Q14,'Tables - Part 2'!$AX$5:$BA$5,0))+INDEX('Tables - Part 2'!$BB$17:$BE$24,MATCH(SCC_Chloride!$V14,'Tables - Part 2'!$AV$6:$AV$13,0),MATCH(SCC_Chloride!$Q14,'Tables - Part 2'!$AX$5:$BA$5,0)))/2)+((((INDEX('Tables - Part 2'!$AX$17:$BA$24,MATCH(SCC_Chloride!$V14,'Tables - Part 2'!$AV$6:$AV$13,0),MATCH(SCC_Chloride!$Q14,'Tables - Part 2'!$AX$5:$BA$5,0))+INDEX('Tables - Part 2'!$BB$17:$BE$24,MATCH(SCC_Chloride!$V14,'Tables - Part 2'!$AV$6:$AV$13,0),MATCH(SCC_Chloride!$Q14,'Tables - Part 2'!$AX$5:$BA$5,0)))/2)+INDEX('Tables - Part 2'!$BB$17:$BE$24,MATCH(SCC_Chloride!$V14,'Tables - Part 2'!$AV$6:$AV$13,0),MATCH(SCC_Chloride!$Q14,'Tables - Part 2'!$AX$5:$BA$5,0)))/2))/2,0)</f>
        <v>0</v>
      </c>
      <c r="BF14" s="248">
        <f>IF($P14=$BF$3,(((INDEX('Tables - Part 2'!$AX$17:$BA$24,MATCH(SCC_Chloride!$V14,'Tables - Part 2'!$AV$6:$AV$13,0),MATCH(SCC_Chloride!$Q14,'Tables - Part 2'!$AX$5:$BA$5,0))+INDEX('Tables - Part 2'!$BB$17:$BE$24,MATCH(SCC_Chloride!$V14,'Tables - Part 2'!$AV$6:$AV$13,0),MATCH(SCC_Chloride!$Q14,'Tables - Part 2'!$AX$5:$BA$5,0)))/2)+INDEX('Tables - Part 2'!$BB$17:$BE$24,MATCH(SCC_Chloride!$V14,'Tables - Part 2'!$AV$6:$AV$13,0),MATCH(SCC_Chloride!$Q14,'Tables - Part 2'!$AX$5:$BA$5,0)))/2,0)</f>
        <v>0</v>
      </c>
      <c r="BG14" s="248">
        <f>IF($P14=$BG$3,(((((INDEX('Tables - Part 2'!$AX$17:$BA$24,MATCH(SCC_Chloride!$V14,'Tables - Part 2'!$AV$6:$AV$13,0),MATCH(SCC_Chloride!$Q14,'Tables - Part 2'!$AX$5:$BA$5,0))+INDEX('Tables - Part 2'!$BB$17:$BE$24,MATCH(SCC_Chloride!$V14,'Tables - Part 2'!$AV$6:$AV$13,0),MATCH(SCC_Chloride!$Q14,'Tables - Part 2'!$AX$5:$BA$5,0)))/2)+INDEX('Tables - Part 2'!$BB$17:$BE$24,MATCH(SCC_Chloride!$V14,'Tables - Part 2'!$AV$6:$AV$13,0),MATCH(SCC_Chloride!$Q14,'Tables - Part 2'!$AX$5:$BA$5,0)))/2)+(INDEX('Tables - Part 2'!$BB$17:$BE$24,MATCH(SCC_Chloride!$V14,'Tables - Part 2'!$AV$6:$AV$13,0),MATCH(SCC_Chloride!$Q14,'Tables - Part 2'!$AX$5:$BA$5,0))))/2,0)</f>
        <v>0</v>
      </c>
      <c r="BH14" s="248">
        <f>IF($P14=$BH$3,INDEX('Tables - Part 2'!$BB$17:$BE$24,MATCH(SCC_Chloride!$V14,'Tables - Part 2'!$AV$6:$AV$13,0),MATCH(SCC_Chloride!$Q14,'Tables - Part 2'!$AX$5:$BA$5,0)),0)</f>
        <v>0</v>
      </c>
      <c r="BI14" s="248">
        <f>IF($P14=$BI$3,((INDEX('Tables - Part 2'!$BB$17:$BE$24,MATCH(SCC_Chloride!$V14,'Tables - Part 2'!$AV$6:$AV$13,0),MATCH(SCC_Chloride!$Q14,'Tables - Part 2'!$AX$5:$BA$5,0)))+(((INDEX('Tables - Part 2'!$BB$17:$BE$24,MATCH(SCC_Chloride!$V14,'Tables - Part 2'!$AV$6:$AV$13,0),MATCH(SCC_Chloride!$Q14,'Tables - Part 2'!$AX$5:$BA$5,0)))+(INDEX('Tables - Part 2'!$BB$17:$BE$24,MATCH(SCC_Chloride!$V14,'Tables - Part 2'!$AV$6:$AV$13,0),MATCH(SCC_Chloride!$Q14,'Tables - Part 2'!$AX$5:$BA$5,0))+INDEX('Tables - Part 2'!$BF$17:$BI$24,MATCH(SCC_Chloride!$V14,'Tables - Part 2'!$AV$6:$AV$13,0),MATCH(SCC_Chloride!$Q14,'Tables - Part 2'!$AX$5:$BA$5,0)))/2)/2))/2,0)</f>
        <v>0</v>
      </c>
      <c r="BJ14" s="248">
        <f>IF($P14=$BJ$3,((INDEX('Tables - Part 2'!$BB$17:$BE$24,MATCH(SCC_Chloride!$V14,'Tables - Part 2'!$AV$6:$AV$13,0),MATCH(SCC_Chloride!$Q14,'Tables - Part 2'!$AX$5:$BA$5,0)))+(INDEX('Tables - Part 2'!$BB$17:$BE$24,MATCH(SCC_Chloride!$V14,'Tables - Part 2'!$AV$6:$AV$13,0),MATCH(SCC_Chloride!$Q14,'Tables - Part 2'!$AX$5:$BA$5,0))+INDEX('Tables - Part 2'!$BF$17:$BI$24,MATCH(SCC_Chloride!$V14,'Tables - Part 2'!$AV$6:$AV$13,0),MATCH(SCC_Chloride!$Q14,'Tables - Part 2'!$AX$5:$BA$5,0)))/2)/2,0)</f>
        <v>0</v>
      </c>
      <c r="BK14" s="248">
        <f>IF($P14=$BK$3,((((INDEX('Tables - Part 2'!$BB$17:$BE$24,MATCH(SCC_Chloride!$V14,'Tables - Part 2'!$AV$6:$AV$13,0),MATCH(SCC_Chloride!$Q14,'Tables - Part 2'!$AX$5:$BA$5,0)))+(INDEX('Tables - Part 2'!$BB$17:$BE$24,MATCH(SCC_Chloride!$V14,'Tables - Part 2'!$AV$6:$AV$13,0),MATCH(SCC_Chloride!$Q14,'Tables - Part 2'!$AX$5:$BA$5,0))+INDEX('Tables - Part 2'!$BF$17:$BI$24,MATCH(SCC_Chloride!$V14,'Tables - Part 2'!$AV$6:$AV$13,0),MATCH(SCC_Chloride!$Q14,'Tables - Part 2'!$AX$5:$BA$5,0)))/2)/2)+((INDEX('Tables - Part 2'!$BB$17:$BE$24,MATCH(SCC_Chloride!$V14,'Tables - Part 2'!$AV$6:$AV$13,0),MATCH(SCC_Chloride!$Q14,'Tables - Part 2'!$AX$5:$BA$5,0))+INDEX('Tables - Part 2'!$BF$17:$BI$24,MATCH(SCC_Chloride!$V14,'Tables - Part 2'!$AV$6:$AV$13,0),MATCH(SCC_Chloride!$Q14,'Tables - Part 2'!$AX$5:$BA$5,0)))/2))/2,0)</f>
        <v>0</v>
      </c>
      <c r="BL14" s="248">
        <f>IF($P14=$BL$3,(INDEX('Tables - Part 2'!$BB$17:$BE$24,MATCH(SCC_Chloride!$V14,'Tables - Part 2'!$AV$6:$AV$13,0),MATCH(SCC_Chloride!$Q14,'Tables - Part 2'!$AX$5:$BA$5,0))+INDEX('Tables - Part 2'!$BF$17:$BI$24,MATCH(SCC_Chloride!$V14,'Tables - Part 2'!$AV$6:$AV$13,0),MATCH(SCC_Chloride!$Q14,'Tables - Part 2'!$AX$5:$BA$5,0)))/2,0)</f>
        <v>0</v>
      </c>
      <c r="BM14" s="248">
        <f>IF($P14=$BM$3,(((INDEX('Tables - Part 2'!$BB$17:$BE$24,MATCH(SCC_Chloride!$V14,'Tables - Part 2'!$AV$6:$AV$13,0),MATCH(SCC_Chloride!$Q14,'Tables - Part 2'!$AX$5:$BA$5,0))+INDEX('Tables - Part 2'!$BF$17:$BI$24,MATCH(SCC_Chloride!$V14,'Tables - Part 2'!$AV$6:$AV$13,0),MATCH(SCC_Chloride!$Q14,'Tables - Part 2'!$AX$5:$BA$5,0)))/2)+((((INDEX('Tables - Part 2'!$BB$17:$BE$24,MATCH(SCC_Chloride!$V14,'Tables - Part 2'!$AV$6:$AV$13,0),MATCH(SCC_Chloride!$Q14,'Tables - Part 2'!$AX$5:$BA$5,0))+INDEX('Tables - Part 2'!$BF$17:$BI$24,MATCH(SCC_Chloride!$V14,'Tables - Part 2'!$AV$6:$AV$13,0),MATCH(SCC_Chloride!$Q14,'Tables - Part 2'!$AX$5:$BA$5,0)))/2)+INDEX('Tables - Part 2'!$BF$17:$BI$24,MATCH(SCC_Chloride!$V14,'Tables - Part 2'!$AV$6:$AV$13,0),MATCH(SCC_Chloride!$Q14,'Tables - Part 2'!$AX$5:$BA$5,0)))/2))/2,0)</f>
        <v>0</v>
      </c>
      <c r="BN14" s="248">
        <f>IF($P14=$BN$3,(((INDEX('Tables - Part 2'!$BB$17:$BE$24,MATCH(SCC_Chloride!$V14,'Tables - Part 2'!$AV$6:$AV$13,0),MATCH(SCC_Chloride!$Q14,'Tables - Part 2'!$AX$5:$BA$5,0))+INDEX('Tables - Part 2'!$BF$17:$BI$24,MATCH(SCC_Chloride!$V14,'Tables - Part 2'!$AV$6:$AV$13,0),MATCH(SCC_Chloride!$Q14,'Tables - Part 2'!$AX$5:$BA$5,0)))/2)+INDEX('Tables - Part 2'!$BF$17:$BI$24,MATCH(SCC_Chloride!$V14,'Tables - Part 2'!$AV$6:$AV$13,0),MATCH(SCC_Chloride!$Q14,'Tables - Part 2'!$AX$5:$BA$5,0)))/2,0)</f>
        <v>0</v>
      </c>
      <c r="BO14" s="248">
        <f>IF($P14=$BO$3,(((((INDEX('Tables - Part 2'!$BB$17:$BE$24,MATCH(SCC_Chloride!$V14,'Tables - Part 2'!$AV$6:$AV$13,0),MATCH(SCC_Chloride!$Q14,'Tables - Part 2'!$AX$5:$BA$5,0))+INDEX('Tables - Part 2'!$BF$17:$BI$24,MATCH(SCC_Chloride!$V14,'Tables - Part 2'!$AV$6:$AV$13,0),MATCH(SCC_Chloride!$Q14,'Tables - Part 2'!$AX$5:$BA$5,0)))/2)+INDEX('Tables - Part 2'!$BF$17:$BI$24,MATCH(SCC_Chloride!$V14,'Tables - Part 2'!$AV$6:$AV$13,0),MATCH(SCC_Chloride!$Q14,'Tables - Part 2'!$AX$5:$BA$5,0)))/2)+(INDEX('Tables - Part 2'!$BF$17:$BI$24,MATCH(SCC_Chloride!$V14,'Tables - Part 2'!$AV$6:$AV$13,0),MATCH(SCC_Chloride!$Q14,'Tables - Part 2'!$AX$5:$BA$5,0))))/2,0)</f>
        <v>0</v>
      </c>
      <c r="BP14" s="248">
        <f>IF($P14=$BP$3,INDEX('Tables - Part 2'!$BF$17:$BI$24,MATCH(SCC_Chloride!$V14,'Tables - Part 2'!$AV$6:$AV$13,0),MATCH(SCC_Chloride!$Q14,'Tables - Part 2'!$AX$5:$BA$5,0)),0)</f>
        <v>0</v>
      </c>
      <c r="BQ14" s="248">
        <f t="shared" si="5"/>
        <v>0</v>
      </c>
      <c r="BR14" s="238">
        <f t="shared" si="9"/>
        <v>1.5</v>
      </c>
      <c r="BS14" s="238">
        <f t="shared" si="6"/>
        <v>25.159323702612586</v>
      </c>
    </row>
    <row r="15" spans="2:84" x14ac:dyDescent="0.35">
      <c r="B15" s="161" t="str">
        <f>'Tratamento de Dados'!B23</f>
        <v>V-5</v>
      </c>
      <c r="C15" s="161" t="str">
        <f>'Tratamento de Dados'!D23</f>
        <v>Casco</v>
      </c>
      <c r="D15" s="209" t="s">
        <v>245</v>
      </c>
      <c r="E15" s="209" t="s">
        <v>61</v>
      </c>
      <c r="F15" s="209">
        <v>10</v>
      </c>
      <c r="G15" s="209" t="s">
        <v>1167</v>
      </c>
      <c r="H15" s="247">
        <f>'Tratamento de Dados'!S23</f>
        <v>2</v>
      </c>
      <c r="I15" s="210">
        <v>39092</v>
      </c>
      <c r="J15" s="209">
        <v>0</v>
      </c>
      <c r="K15" s="209">
        <v>1</v>
      </c>
      <c r="L15" s="209">
        <v>1</v>
      </c>
      <c r="M15" s="209">
        <v>4</v>
      </c>
      <c r="N15" s="253">
        <f>'Tratamento de Dados'!DA23</f>
        <v>0</v>
      </c>
      <c r="O15" s="253">
        <f>'Tratamento de Dados'!DB23</f>
        <v>0</v>
      </c>
      <c r="P15" s="256">
        <f t="shared" si="0"/>
        <v>2.5</v>
      </c>
      <c r="Q15" s="246" t="str">
        <f t="shared" si="1"/>
        <v>B</v>
      </c>
      <c r="R15" s="246" t="str">
        <f>IF(H15&lt;=38,'Tables - Part 2'!$DO$6,IF(H15&lt;=66,'Tables - Part 2'!$DO$7,IF(H15&lt;=93,'Tables - Part 2'!$DO$8,IF(H15&lt;=149,'Tables - Part 2'!$DO$9,'Tables - Part 2'!$DO$10))))</f>
        <v>≤38</v>
      </c>
      <c r="S15" s="246" t="str">
        <f>IF(H15&lt;=38,'Tables - Part 2'!$DO$14,IF(H15&lt;=93,'Tables - Part 2'!$DO$15,IF(H15&lt;=149,'Tables - Part 2'!$DO$16,'Tables - Part 2'!$DO$17)))</f>
        <v>≤38</v>
      </c>
      <c r="T15" s="246" t="str">
        <f t="shared" si="7"/>
        <v>≤38</v>
      </c>
      <c r="U15" s="467" t="str">
        <f>IF(D15=$BX$2,$BV$5,INDEX(IF(F15&gt;10,'Tables - Part 2'!$DP$14:$DS$17,'Tables - Part 2'!$DP$6:$DS$10),MATCH(T15,IF(F15&gt;10,'Tables - Part 2'!$DO$14:$DO$17,'Tables - Part 2'!$DO$6:$DO$10),0),MATCH(SCC_Chloride!G15,'Tables - Part 2'!$DP$5:$DS$5,0)))</f>
        <v>Low</v>
      </c>
      <c r="V15" s="238">
        <f>IF(AND(D15=$BX$2,E15&lt;&gt;$BX$2),"Fitness-For-Service",INDEX('Tables - Part 2'!$DV$4:$DV$7,MATCH(SCC_Chloride!U15,'Tables - Part 2'!$DU$4:$DU$7,0),))</f>
        <v>50</v>
      </c>
      <c r="W15" s="238">
        <f>IF(I15=0,(Thinning!G16-Thinning!F16)/365.25,(Thinning!G16-I15)/365.25)</f>
        <v>12.980150581793293</v>
      </c>
      <c r="X15" s="248">
        <f t="shared" si="2"/>
        <v>0</v>
      </c>
      <c r="Y15" s="248">
        <f t="shared" si="3"/>
        <v>2.5</v>
      </c>
      <c r="Z15" s="247">
        <f t="shared" si="8"/>
        <v>3</v>
      </c>
      <c r="AA15" s="247">
        <f t="shared" si="4"/>
        <v>4</v>
      </c>
      <c r="AB15" s="248">
        <f>IF($P15=$AB$3,INDEX('Tables - Part 2'!$AX$6:$BA$13,MATCH(SCC_Chloride!V15,'Tables - Part 2'!$AV$6:$AV$13,0),MATCH(SCC_Chloride!Q15,'Tables - Part 2'!$AX$5:$BA$5,0)),0)</f>
        <v>0</v>
      </c>
      <c r="AC15" s="248">
        <f>IF($P15=$AC$3,(INDEX('Tables - Part 2'!$AX$6:$BA$13,MATCH(SCC_Chloride!V15,'Tables - Part 2'!$AV$6:$AV$13,0),MATCH(SCC_Chloride!Q15,'Tables - Part 2'!$AX$5:$BA$5,0))+(INDEX('Tables - Part 2'!$AX$6:$BA$13,MATCH(SCC_Chloride!V15,'Tables - Part 2'!$AV$6:$AV$13,0),MATCH(SCC_Chloride!Q15,'Tables - Part 2'!$AX$5:$BA$5,0))+((INDEX('Tables - Part 2'!$AX$6:$BA$13,MATCH(SCC_Chloride!V15,'Tables - Part 2'!$AV$6:$AV$13,0),MATCH(SCC_Chloride!Q15,'Tables - Part 2'!$AX$5:$BA$5,0))+INDEX('Tables - Part 2'!$BB$6:$BE$13,MATCH(SCC_Chloride!$V15,'Tables - Part 2'!$AV$6:$AV$13,0),MATCH(SCC_Chloride!$Q15,'Tables - Part 2'!$AX$5:$BA$5,0)))/2))/2)/2,0)</f>
        <v>0</v>
      </c>
      <c r="AD15" s="248">
        <f>IF($P15=$AD$3,(INDEX('Tables - Part 2'!$AX$6:$BA$13,MATCH(SCC_Chloride!V15,'Tables - Part 2'!$AV$6:$AV$13,0),MATCH(SCC_Chloride!Q15,'Tables - Part 2'!$AX$5:$BA$5,0))+((INDEX('Tables - Part 2'!$AX$6:$BA$13,MATCH(SCC_Chloride!V15,'Tables - Part 2'!$AV$6:$AV$13,0),MATCH(SCC_Chloride!Q15,'Tables - Part 2'!$AX$5:$BA$5,0))+INDEX('Tables - Part 2'!$BB$6:$BE$13,MATCH(SCC_Chloride!$V15,'Tables - Part 2'!$AV$6:$AV$13,0),MATCH(SCC_Chloride!$Q15,'Tables - Part 2'!$AX$5:$BA$5,0)))/2))/2,0)</f>
        <v>0</v>
      </c>
      <c r="AE15" s="248">
        <f>IF($P15=$AE$3,(((INDEX('Tables - Part 2'!$AX$6:$BA$13,MATCH(SCC_Chloride!V15,'Tables - Part 2'!$AV$6:$AV$13,0),MATCH(SCC_Chloride!Q15,'Tables - Part 2'!$AX$5:$BA$5,0))+((INDEX('Tables - Part 2'!$AX$6:$BA$13,MATCH(SCC_Chloride!V15,'Tables - Part 2'!$AV$6:$AV$13,0),MATCH(SCC_Chloride!Q15,'Tables - Part 2'!$AX$5:$BA$5,0))+INDEX('Tables - Part 2'!$BB$6:$BE$13,MATCH(SCC_Chloride!$V15,'Tables - Part 2'!$AV$6:$AV$13,0),MATCH(SCC_Chloride!$Q15,'Tables - Part 2'!$AX$5:$BA$5,0)))/2))/2)+(INDEX('Tables - Part 2'!$AX$6:$BA$13,MATCH(SCC_Chloride!V15,'Tables - Part 2'!$AV$6:$AV$13,0),MATCH(SCC_Chloride!Q15,'Tables - Part 2'!$AX$5:$BA$5,0))+INDEX('Tables - Part 2'!$BB$6:$BE$13,MATCH(SCC_Chloride!$V15,'Tables - Part 2'!$AV$6:$AV$13,0),MATCH(SCC_Chloride!$Q15,'Tables - Part 2'!$AX$5:$BA$5,0)))/2)/2,0)</f>
        <v>0</v>
      </c>
      <c r="AF15" s="248">
        <f>IF($P15=$AF$3,(INDEX('Tables - Part 2'!$AX$6:$BA$13,MATCH(SCC_Chloride!V15,'Tables - Part 2'!$AV$6:$AV$13,0),MATCH(SCC_Chloride!Q15,'Tables - Part 2'!$AX$5:$BA$5,0))+INDEX('Tables - Part 2'!$BB$6:$BE$13,MATCH(SCC_Chloride!$V15,'Tables - Part 2'!$AV$6:$AV$13,0),MATCH(SCC_Chloride!$Q15,'Tables - Part 2'!$AX$5:$BA$5,0)))/2,0)</f>
        <v>0</v>
      </c>
      <c r="AG15" s="248">
        <f>IF($P15=$AG$3,(((INDEX('Tables - Part 2'!$AX$6:$BA$13,MATCH(SCC_Chloride!V15,'Tables - Part 2'!$AV$6:$AV$13,0),MATCH(SCC_Chloride!Q15,'Tables - Part 2'!$AX$5:$BA$5,0))+INDEX('Tables - Part 2'!$BB$6:$BE$13,MATCH(SCC_Chloride!$V15,'Tables - Part 2'!$AV$6:$AV$13,0),MATCH(SCC_Chloride!$Q15,'Tables - Part 2'!$AX$5:$BA$5,0)))/2)+(((INDEX('Tables - Part 2'!$AX$6:$BA$13,MATCH(SCC_Chloride!V15,'Tables - Part 2'!$AV$6:$AV$13,0),MATCH(SCC_Chloride!Q15,'Tables - Part 2'!$AX$5:$BA$5,0))+INDEX('Tables - Part 2'!$BB$6:$BE$13,MATCH(SCC_Chloride!$V15,'Tables - Part 2'!$AV$6:$AV$13,0),MATCH(SCC_Chloride!$Q15,'Tables - Part 2'!$AX$5:$BA$5,0)))/2)+INDEX('Tables - Part 2'!$BB$6:$BE$13,MATCH(SCC_Chloride!$V15,'Tables - Part 2'!$AV$6:$AV$13,0),MATCH(SCC_Chloride!$Q15,'Tables - Part 2'!$AX$5:$BA$5,0)))/2)/2,0)</f>
        <v>0</v>
      </c>
      <c r="AH15" s="248">
        <f>IF($P15=$AH$3,(((INDEX('Tables - Part 2'!$AX$6:$BA$13,MATCH(SCC_Chloride!V15,'Tables - Part 2'!$AV$6:$AV$13,0),MATCH(SCC_Chloride!Q15,'Tables - Part 2'!$AX$5:$BA$5,0))+INDEX('Tables - Part 2'!$BB$6:$BE$13,MATCH(SCC_Chloride!$V15,'Tables - Part 2'!$AV$6:$AV$13,0),MATCH(SCC_Chloride!$Q15,'Tables - Part 2'!$AX$5:$BA$5,0)))/2)+INDEX('Tables - Part 2'!$BB$6:$BE$13,MATCH(SCC_Chloride!$V15,'Tables - Part 2'!$AV$6:$AV$13,0),MATCH(SCC_Chloride!$Q15,'Tables - Part 2'!$AX$5:$BA$5,0)))/2,0)</f>
        <v>0</v>
      </c>
      <c r="AI15" s="248">
        <f>IF($P15=$AI$3,(((((INDEX('Tables - Part 2'!$AX$6:$BA$13,MATCH(SCC_Chloride!V15,'Tables - Part 2'!$AV$6:$AV$13,0),MATCH(SCC_Chloride!Q15,'Tables - Part 2'!$AX$5:$BA$5,0))+INDEX('Tables - Part 2'!$BB$6:$BE$13,MATCH(SCC_Chloride!$V15,'Tables - Part 2'!$AV$6:$AV$13,0),MATCH(SCC_Chloride!$Q15,'Tables - Part 2'!$AX$5:$BA$5,0)))/2)+INDEX('Tables - Part 2'!$BB$6:$BE$13,MATCH(SCC_Chloride!$V15,'Tables - Part 2'!$AV$6:$AV$13,0),MATCH(SCC_Chloride!$Q15,'Tables - Part 2'!$AX$5:$BA$5,0)))/2)+INDEX('Tables - Part 2'!$BB$6:$BE$13,MATCH(SCC_Chloride!$V15,'Tables - Part 2'!$AV$6:$AV$13,0),MATCH(SCC_Chloride!$Q15,'Tables - Part 2'!$AX$5:$BA$5,0)))/2,0)</f>
        <v>0</v>
      </c>
      <c r="AJ15" s="248">
        <f>IF($P15=$AJ$3,INDEX('Tables - Part 2'!$BB$6:$BE$13,MATCH(SCC_Chloride!$V15,'Tables - Part 2'!$AV$6:$AV$13,0),MATCH(SCC_Chloride!$Q15,'Tables - Part 2'!$AX$5:$BA$5,0)),0)</f>
        <v>0</v>
      </c>
      <c r="AK15" s="248">
        <f>IF($P15=$AK$3,((INDEX('Tables - Part 2'!$BB$6:$BE$13,MATCH(SCC_Chloride!$V15,'Tables - Part 2'!$AV$6:$AV$13,0),MATCH(SCC_Chloride!$Q15,'Tables - Part 2'!$AX$5:$BA$5,0)))+(INDEX('Tables - Part 2'!$BB$6:$BE$13,MATCH(SCC_Chloride!$V15,'Tables - Part 2'!$AV$6:$AV$13,0),MATCH(SCC_Chloride!$Q15,'Tables - Part 2'!$AX$5:$BA$5,0))+(INDEX('Tables - Part 2'!$BB$6:$BE$13,MATCH(SCC_Chloride!$V15,'Tables - Part 2'!$AV$6:$AV$13,0),MATCH(SCC_Chloride!$Q15,'Tables - Part 2'!$AX$5:$BA$5,0))+INDEX('Tables - Part 2'!$BF$6:$BI$13,MATCH(SCC_Chloride!$V15,'Tables - Part 2'!$AV$6:$AV$13,0),MATCH(SCC_Chloride!$Q15,'Tables - Part 2'!$AX$5:$BA$5,0)))/2)/2)/2,0)</f>
        <v>0</v>
      </c>
      <c r="AL15" s="248">
        <f>IF($P15=$AL$3,(INDEX('Tables - Part 2'!$BB$6:$BE$13,MATCH(SCC_Chloride!$V15,'Tables - Part 2'!$AV$6:$AV$13,0),MATCH(SCC_Chloride!$Q15,'Tables - Part 2'!$AX$5:$BA$5,0))+(INDEX('Tables - Part 2'!$BB$6:$BE$13,MATCH(SCC_Chloride!$V15,'Tables - Part 2'!$AV$6:$AV$13,0),MATCH(SCC_Chloride!$Q15,'Tables - Part 2'!$AX$5:$BA$5,0))+INDEX('Tables - Part 2'!$BF$6:$BI$13,MATCH(SCC_Chloride!$V15,'Tables - Part 2'!$AV$6:$AV$13,0),MATCH(SCC_Chloride!$Q15,'Tables - Part 2'!$AX$5:$BA$5,0)))/2)/2,0)</f>
        <v>0</v>
      </c>
      <c r="AM15" s="248">
        <f>IF($P15=$AM$3,(((INDEX('Tables - Part 2'!$BB$6:$BE$13,MATCH(SCC_Chloride!$V15,'Tables - Part 2'!$AV$6:$AV$13,0),MATCH(SCC_Chloride!$Q15,'Tables - Part 2'!$AX$5:$BA$5,0))+(INDEX('Tables - Part 2'!$BB$6:$BE$13,MATCH(SCC_Chloride!$V15,'Tables - Part 2'!$AV$6:$AV$13,0),MATCH(SCC_Chloride!$Q15,'Tables - Part 2'!$AX$5:$BA$5,0))+INDEX('Tables - Part 2'!$BF$6:$BI$13,MATCH(SCC_Chloride!$V15,'Tables - Part 2'!$AV$6:$AV$13,0),MATCH(SCC_Chloride!$Q15,'Tables - Part 2'!$AX$5:$BA$5,0)))/2)/2)+((INDEX('Tables - Part 2'!$BB$6:$BE$13,MATCH(SCC_Chloride!$V15,'Tables - Part 2'!$AV$6:$AV$13,0),MATCH(SCC_Chloride!$Q15,'Tables - Part 2'!$AX$5:$BA$5,0))+INDEX('Tables - Part 2'!$BF$6:$BI$13,MATCH(SCC_Chloride!$V15,'Tables - Part 2'!$AV$6:$AV$13,0),MATCH(SCC_Chloride!$Q15,'Tables - Part 2'!$AX$5:$BA$5,0)))/2))/2,0)</f>
        <v>0</v>
      </c>
      <c r="AN15" s="248">
        <f>IF($P15=$AN$3,(INDEX('Tables - Part 2'!$BB$6:$BE$13,MATCH(SCC_Chloride!$V15,'Tables - Part 2'!$AV$6:$AV$13,0),MATCH(SCC_Chloride!$Q15,'Tables - Part 2'!$AX$5:$BA$5,0))+INDEX('Tables - Part 2'!$BF$6:$BI$13,MATCH(SCC_Chloride!$V15,'Tables - Part 2'!$AV$6:$AV$13,0),MATCH(SCC_Chloride!$Q15,'Tables - Part 2'!$AX$5:$BA$5,0)))/2,0)</f>
        <v>1.5</v>
      </c>
      <c r="AO15" s="248">
        <f>IF($P15=$AO$3,(((INDEX('Tables - Part 2'!$BB$6:$BE$13,MATCH(SCC_Chloride!$V15,'Tables - Part 2'!$AV$6:$AV$13,0),MATCH(SCC_Chloride!$Q15,'Tables - Part 2'!$AX$5:$BA$5,0))+INDEX('Tables - Part 2'!$BF$6:$BI$13,MATCH(SCC_Chloride!$V15,'Tables - Part 2'!$AV$6:$AV$13,0),MATCH(SCC_Chloride!$Q15,'Tables - Part 2'!$AX$5:$BA$5,0)))/2)+((((INDEX('Tables - Part 2'!$BB$6:$BE$13,MATCH(SCC_Chloride!$V15,'Tables - Part 2'!$AV$6:$AV$13,0),MATCH(SCC_Chloride!$Q15,'Tables - Part 2'!$AX$5:$BA$5,0))+INDEX('Tables - Part 2'!$BF$6:$BI$13,MATCH(SCC_Chloride!$V15,'Tables - Part 2'!$AV$6:$AV$13,0),MATCH(SCC_Chloride!$Q15,'Tables - Part 2'!$AX$5:$BA$5,0)))/2)+INDEX('Tables - Part 2'!$BF$6:$BI$13,MATCH(SCC_Chloride!$V15,'Tables - Part 2'!$AV$6:$AV$13,0),MATCH(SCC_Chloride!$Q15,'Tables - Part 2'!$AX$5:$BA$5,0)))/2))/2,0)</f>
        <v>0</v>
      </c>
      <c r="AP15" s="248">
        <f>IF($P15=$AP$3,(((INDEX('Tables - Part 2'!$BB$6:$BE$13,MATCH(SCC_Chloride!$V15,'Tables - Part 2'!$AV$6:$AV$13,0),MATCH(SCC_Chloride!$Q15,'Tables - Part 2'!$AX$5:$BA$5,0))+INDEX('Tables - Part 2'!$BF$6:$BI$13,MATCH(SCC_Chloride!$V15,'Tables - Part 2'!$AV$6:$AV$13,0),MATCH(SCC_Chloride!$Q15,'Tables - Part 2'!$AX$5:$BA$5,0)))/2)+INDEX('Tables - Part 2'!$BF$6:$BI$13,MATCH(SCC_Chloride!$V15,'Tables - Part 2'!$AV$6:$AV$13,0),MATCH(SCC_Chloride!$Q15,'Tables - Part 2'!$AX$5:$BA$5,0)))/2,0)</f>
        <v>0</v>
      </c>
      <c r="AQ15" s="248">
        <f>IF($P15=$AQ$3,(((((INDEX('Tables - Part 2'!$BB$6:$BE$13,MATCH(SCC_Chloride!$V15,'Tables - Part 2'!$AV$6:$AV$13,0),MATCH(SCC_Chloride!$Q15,'Tables - Part 2'!$AX$5:$BA$5,0))+INDEX('Tables - Part 2'!$BF$6:$BI$13,MATCH(SCC_Chloride!$V15,'Tables - Part 2'!$AV$6:$AV$13,0),MATCH(SCC_Chloride!$Q15,'Tables - Part 2'!$AX$5:$BA$5,0)))/2)+INDEX('Tables - Part 2'!$BF$6:$BI$13,MATCH(SCC_Chloride!$V15,'Tables - Part 2'!$AV$6:$AV$13,0),MATCH(SCC_Chloride!$Q15,'Tables - Part 2'!$AX$5:$BA$5,0)))/2)+INDEX('Tables - Part 2'!$BF$6:$BI$13,MATCH(SCC_Chloride!$V15,'Tables - Part 2'!$AV$6:$AV$13,0),MATCH(SCC_Chloride!$Q15,'Tables - Part 2'!$AX$5:$BA$5,0)))/2,0)</f>
        <v>0</v>
      </c>
      <c r="AR15" s="248">
        <f>IF($P15=$AR$3,INDEX('Tables - Part 2'!$BF$6:$BI$13,MATCH(SCC_Chloride!$V15,'Tables - Part 2'!$AV$6:$AV$13,0),MATCH(SCC_Chloride!$Q15,'Tables - Part 2'!$AX$5:$BA$5,0)),0)</f>
        <v>0</v>
      </c>
      <c r="AS15" s="248">
        <f>IF($P15=$AS$3,(INDEX('Tables - Part 2'!$BF$6:$BI$13,MATCH(SCC_Chloride!$V15,'Tables - Part 2'!$AV$6:$AV$13,0),MATCH(SCC_Chloride!$Q15,'Tables - Part 2'!$AX$5:$BA$5,0))+((INDEX('Tables - Part 2'!$BF$6:$BI$13,MATCH(SCC_Chloride!$V15,'Tables - Part 2'!$AV$6:$AV$13,0),MATCH(SCC_Chloride!$Q15,'Tables - Part 2'!$AX$5:$BA$5,0))+(INDEX('Tables - Part 2'!$BF$6:$BI$13,MATCH(SCC_Chloride!$V15,'Tables - Part 2'!$AV$6:$AV$13,0),MATCH(SCC_Chloride!$Q15,'Tables - Part 2'!$AX$5:$BA$5,0))+INDEX('Tables - Part 2'!$AX$17:$BA$24,MATCH(SCC_Chloride!$V15,'Tables - Part 2'!$AV$6:$AV$13,0),MATCH(SCC_Chloride!$Q15,'Tables - Part 2'!$AX$5:$BA$5,0)))/2)/2))/2,0)</f>
        <v>0</v>
      </c>
      <c r="AT15" s="248">
        <f>IF($P15=$AT$3,(INDEX('Tables - Part 2'!$BF$6:$BI$13,MATCH(SCC_Chloride!$V15,'Tables - Part 2'!$AV$6:$AV$13,0),MATCH(SCC_Chloride!$Q15,'Tables - Part 2'!$AX$5:$BA$5,0))+(INDEX('Tables - Part 2'!$BF$6:$BI$13,MATCH(SCC_Chloride!$V15,'Tables - Part 2'!$AV$6:$AV$13,0),MATCH(SCC_Chloride!$Q15,'Tables - Part 2'!$AX$5:$BA$5,0))+INDEX('Tables - Part 2'!$AX$17:$BA$24,MATCH(SCC_Chloride!$V15,'Tables - Part 2'!$AV$6:$AV$13,0),MATCH(SCC_Chloride!$Q15,'Tables - Part 2'!$AX$5:$BA$5,0)))/2)/2,0)</f>
        <v>0</v>
      </c>
      <c r="AU15" s="248">
        <f>IF($P15=$AU$3,(((INDEX('Tables - Part 2'!$BF$6:$BI$13,MATCH(SCC_Chloride!$V15,'Tables - Part 2'!$AV$6:$AV$13,0),MATCH(SCC_Chloride!$Q15,'Tables - Part 2'!$AX$5:$BA$5,0))+(INDEX('Tables - Part 2'!$BF$6:$BI$13,MATCH(SCC_Chloride!$V15,'Tables - Part 2'!$AV$6:$AV$13,0),MATCH(SCC_Chloride!$Q15,'Tables - Part 2'!$AX$5:$BA$5,0))+INDEX('Tables - Part 2'!$AX$17:$BA$24,MATCH(SCC_Chloride!$V15,'Tables - Part 2'!$AV$6:$AV$13,0),MATCH(SCC_Chloride!$Q15,'Tables - Part 2'!$AX$5:$BA$5,0)))/2)/2)+((INDEX('Tables - Part 2'!$BF$6:$BI$13,MATCH(SCC_Chloride!$V15,'Tables - Part 2'!$AV$6:$AV$13,0),MATCH(SCC_Chloride!$Q15,'Tables - Part 2'!$AX$5:$BA$5,0))+INDEX('Tables - Part 2'!$AX$17:$BA$24,MATCH(SCC_Chloride!$V15,'Tables - Part 2'!$AV$6:$AV$13,0),MATCH(SCC_Chloride!$Q15,'Tables - Part 2'!$AX$5:$BA$5,0)))/2))/2,0)</f>
        <v>0</v>
      </c>
      <c r="AV15" s="248">
        <f>IF($P15=$AV$3,(INDEX('Tables - Part 2'!$BF$6:$BI$13,MATCH(SCC_Chloride!$V15,'Tables - Part 2'!$AV$6:$AV$13,0),MATCH(SCC_Chloride!$Q15,'Tables - Part 2'!$AX$5:$BA$5,0))+INDEX('Tables - Part 2'!$AX$17:$BA$24,MATCH(SCC_Chloride!$V15,'Tables - Part 2'!$AV$6:$AV$13,0),MATCH(SCC_Chloride!$Q15,'Tables - Part 2'!$AX$5:$BA$5,0)))/2,0)</f>
        <v>0</v>
      </c>
      <c r="AW15" s="248">
        <f>IF($P15=$AW$3,(((INDEX('Tables - Part 2'!$BF$6:$BI$13,MATCH(SCC_Chloride!$V15,'Tables - Part 2'!$AV$6:$AV$13,0),MATCH(SCC_Chloride!$Q15,'Tables - Part 2'!$AX$5:$BA$5,0))+INDEX('Tables - Part 2'!$AX$17:$BA$24,MATCH(SCC_Chloride!$V15,'Tables - Part 2'!$AV$6:$AV$13,0),MATCH(SCC_Chloride!$Q15,'Tables - Part 2'!$AX$5:$BA$5,0)))/2)+((((INDEX('Tables - Part 2'!$BF$6:$BI$13,MATCH(SCC_Chloride!$V15,'Tables - Part 2'!$AV$6:$AV$13,0),MATCH(SCC_Chloride!$Q15,'Tables - Part 2'!$AX$5:$BA$5,0))+INDEX('Tables - Part 2'!$AX$17:$BA$24,MATCH(SCC_Chloride!$V15,'Tables - Part 2'!$AV$6:$AV$13,0),MATCH(SCC_Chloride!$Q15,'Tables - Part 2'!$AX$5:$BA$5,0)))/2)+INDEX('Tables - Part 2'!$AX$17:$BA$24,MATCH(SCC_Chloride!$V15,'Tables - Part 2'!$AV$6:$AV$13,0),MATCH(SCC_Chloride!$Q15,'Tables - Part 2'!$AX$5:$BA$5,0)))/2))/2,0)</f>
        <v>0</v>
      </c>
      <c r="AX15" s="248">
        <f>IF($P15=$AX$3,(((INDEX('Tables - Part 2'!$BF$6:$BI$13,MATCH(SCC_Chloride!$V15,'Tables - Part 2'!$AV$6:$AV$13,0),MATCH(SCC_Chloride!$Q15,'Tables - Part 2'!$AX$5:$BA$5,0))+INDEX('Tables - Part 2'!$AX$17:$BA$24,MATCH(SCC_Chloride!$V15,'Tables - Part 2'!$AV$6:$AV$13,0),MATCH(SCC_Chloride!$Q15,'Tables - Part 2'!$AX$5:$BA$5,0)))/2)+INDEX('Tables - Part 2'!$AX$17:$BA$24,MATCH(SCC_Chloride!$V15,'Tables - Part 2'!$AV$6:$AV$13,0),MATCH(SCC_Chloride!$Q15,'Tables - Part 2'!$AX$5:$BA$5,0)))/2,0)</f>
        <v>0</v>
      </c>
      <c r="AY15" s="248">
        <f>IF($P15=$AY$3,(((((INDEX('Tables - Part 2'!$BF$6:$BI$13,MATCH(SCC_Chloride!$V15,'Tables - Part 2'!$AV$6:$AV$13,0),MATCH(SCC_Chloride!$Q15,'Tables - Part 2'!$AX$5:$BA$5,0))+INDEX('Tables - Part 2'!$AX$17:$BA$24,MATCH(SCC_Chloride!$V15,'Tables - Part 2'!$AV$6:$AV$13,0),MATCH(SCC_Chloride!$Q15,'Tables - Part 2'!$AX$5:$BA$5,0)))/2)+INDEX('Tables - Part 2'!$AX$17:$BA$24,MATCH(SCC_Chloride!$V15,'Tables - Part 2'!$AV$6:$AV$13,0),MATCH(SCC_Chloride!$Q15,'Tables - Part 2'!$AX$5:$BA$5,0)))/2)+(INDEX('Tables - Part 2'!$AX$17:$BA$24,MATCH(SCC_Chloride!$V15,'Tables - Part 2'!$AV$6:$AV$13,0),MATCH(SCC_Chloride!$Q15,'Tables - Part 2'!$AX$5:$BA$5,0))))/2,0)</f>
        <v>0</v>
      </c>
      <c r="AZ15" s="248">
        <f>IF($P15=$AZ$3,INDEX('Tables - Part 2'!$AX$17:$BA$24,MATCH(SCC_Chloride!$V15,'Tables - Part 2'!$AV$6:$AV$13,0),MATCH(SCC_Chloride!$Q15,'Tables - Part 2'!$AX$5:$BA$5,0)),0)</f>
        <v>0</v>
      </c>
      <c r="BA15" s="248">
        <f>IF($P15=$BA$3,((INDEX('Tables - Part 2'!$AX$17:$BA$24,MATCH(SCC_Chloride!$V15,'Tables - Part 2'!$AV$6:$AV$13,0),MATCH(SCC_Chloride!$Q15,'Tables - Part 2'!$AX$5:$BA$5,0)))+(((INDEX('Tables - Part 2'!$AX$17:$BA$24,MATCH(SCC_Chloride!$V15,'Tables - Part 2'!$AV$6:$AV$13,0),MATCH(SCC_Chloride!$Q15,'Tables - Part 2'!$AX$5:$BA$5,0)))+(INDEX('Tables - Part 2'!$AX$17:$BA$24,MATCH(SCC_Chloride!$V15,'Tables - Part 2'!$AV$6:$AV$13,0),MATCH(SCC_Chloride!$Q15,'Tables - Part 2'!$AX$5:$BA$5,0))+INDEX('Tables - Part 2'!$BB$17:$BE$24,MATCH(SCC_Chloride!$V15,'Tables - Part 2'!$AV$6:$AV$13,0),MATCH(SCC_Chloride!$Q15,'Tables - Part 2'!$AX$5:$BA$5,0)))/2)/2))/2,0)</f>
        <v>0</v>
      </c>
      <c r="BB15" s="248">
        <f>IF($P15=$BB$3,((INDEX('Tables - Part 2'!$AX$17:$BA$24,MATCH(SCC_Chloride!$V15,'Tables - Part 2'!$AV$6:$AV$13,0),MATCH(SCC_Chloride!$Q15,'Tables - Part 2'!$AX$5:$BA$5,0)))+(INDEX('Tables - Part 2'!$AX$17:$BA$24,MATCH(SCC_Chloride!$V15,'Tables - Part 2'!$AV$6:$AV$13,0),MATCH(SCC_Chloride!$Q15,'Tables - Part 2'!$AX$5:$BA$5,0))+INDEX('Tables - Part 2'!$BB$17:$BE$24,MATCH(SCC_Chloride!$V15,'Tables - Part 2'!$AV$6:$AV$13,0),MATCH(SCC_Chloride!$Q15,'Tables - Part 2'!$AX$5:$BA$5,0)))/2)/2,0)</f>
        <v>0</v>
      </c>
      <c r="BC15" s="248">
        <f>IF($P15=$BC$3,((((INDEX('Tables - Part 2'!$AX$17:$BA$24,MATCH(SCC_Chloride!$V15,'Tables - Part 2'!$AV$6:$AV$13,0),MATCH(SCC_Chloride!$Q15,'Tables - Part 2'!$AX$5:$BA$5,0)))+(INDEX('Tables - Part 2'!$AX$17:$BA$24,MATCH(SCC_Chloride!$V15,'Tables - Part 2'!$AV$6:$AV$13,0),MATCH(SCC_Chloride!$Q15,'Tables - Part 2'!$AX$5:$BA$5,0))+INDEX('Tables - Part 2'!$BB$17:$BE$24,MATCH(SCC_Chloride!$V15,'Tables - Part 2'!$AV$6:$AV$13,0),MATCH(SCC_Chloride!$Q15,'Tables - Part 2'!$AX$5:$BA$5,0)))/2)/2)+((INDEX('Tables - Part 2'!$AX$17:$BA$24,MATCH(SCC_Chloride!$V15,'Tables - Part 2'!$AV$6:$AV$13,0),MATCH(SCC_Chloride!$Q15,'Tables - Part 2'!$AX$5:$BA$5,0))+INDEX('Tables - Part 2'!$BB$17:$BE$24,MATCH(SCC_Chloride!$V15,'Tables - Part 2'!$AV$6:$AV$13,0),MATCH(SCC_Chloride!$Q15,'Tables - Part 2'!$AX$5:$BA$5,0)))/2))/2,0)</f>
        <v>0</v>
      </c>
      <c r="BD15" s="248">
        <f>IF($P15=$BD$3,(INDEX('Tables - Part 2'!$AX$17:$BA$24,MATCH(SCC_Chloride!$V15,'Tables - Part 2'!$AV$6:$AV$13,0),MATCH(SCC_Chloride!$Q15,'Tables - Part 2'!$AX$5:$BA$5,0))+INDEX('Tables - Part 2'!$BB$17:$BE$24,MATCH(SCC_Chloride!$V15,'Tables - Part 2'!$AV$6:$AV$13,0),MATCH(SCC_Chloride!$Q15,'Tables - Part 2'!$AX$5:$BA$5,0)))/2,0)</f>
        <v>0</v>
      </c>
      <c r="BE15" s="248">
        <f>IF($P15=$BE$3,(((INDEX('Tables - Part 2'!$AX$17:$BA$24,MATCH(SCC_Chloride!$V15,'Tables - Part 2'!$AV$6:$AV$13,0),MATCH(SCC_Chloride!$Q15,'Tables - Part 2'!$AX$5:$BA$5,0))+INDEX('Tables - Part 2'!$BB$17:$BE$24,MATCH(SCC_Chloride!$V15,'Tables - Part 2'!$AV$6:$AV$13,0),MATCH(SCC_Chloride!$Q15,'Tables - Part 2'!$AX$5:$BA$5,0)))/2)+((((INDEX('Tables - Part 2'!$AX$17:$BA$24,MATCH(SCC_Chloride!$V15,'Tables - Part 2'!$AV$6:$AV$13,0),MATCH(SCC_Chloride!$Q15,'Tables - Part 2'!$AX$5:$BA$5,0))+INDEX('Tables - Part 2'!$BB$17:$BE$24,MATCH(SCC_Chloride!$V15,'Tables - Part 2'!$AV$6:$AV$13,0),MATCH(SCC_Chloride!$Q15,'Tables - Part 2'!$AX$5:$BA$5,0)))/2)+INDEX('Tables - Part 2'!$BB$17:$BE$24,MATCH(SCC_Chloride!$V15,'Tables - Part 2'!$AV$6:$AV$13,0),MATCH(SCC_Chloride!$Q15,'Tables - Part 2'!$AX$5:$BA$5,0)))/2))/2,0)</f>
        <v>0</v>
      </c>
      <c r="BF15" s="248">
        <f>IF($P15=$BF$3,(((INDEX('Tables - Part 2'!$AX$17:$BA$24,MATCH(SCC_Chloride!$V15,'Tables - Part 2'!$AV$6:$AV$13,0),MATCH(SCC_Chloride!$Q15,'Tables - Part 2'!$AX$5:$BA$5,0))+INDEX('Tables - Part 2'!$BB$17:$BE$24,MATCH(SCC_Chloride!$V15,'Tables - Part 2'!$AV$6:$AV$13,0),MATCH(SCC_Chloride!$Q15,'Tables - Part 2'!$AX$5:$BA$5,0)))/2)+INDEX('Tables - Part 2'!$BB$17:$BE$24,MATCH(SCC_Chloride!$V15,'Tables - Part 2'!$AV$6:$AV$13,0),MATCH(SCC_Chloride!$Q15,'Tables - Part 2'!$AX$5:$BA$5,0)))/2,0)</f>
        <v>0</v>
      </c>
      <c r="BG15" s="248">
        <f>IF($P15=$BG$3,(((((INDEX('Tables - Part 2'!$AX$17:$BA$24,MATCH(SCC_Chloride!$V15,'Tables - Part 2'!$AV$6:$AV$13,0),MATCH(SCC_Chloride!$Q15,'Tables - Part 2'!$AX$5:$BA$5,0))+INDEX('Tables - Part 2'!$BB$17:$BE$24,MATCH(SCC_Chloride!$V15,'Tables - Part 2'!$AV$6:$AV$13,0),MATCH(SCC_Chloride!$Q15,'Tables - Part 2'!$AX$5:$BA$5,0)))/2)+INDEX('Tables - Part 2'!$BB$17:$BE$24,MATCH(SCC_Chloride!$V15,'Tables - Part 2'!$AV$6:$AV$13,0),MATCH(SCC_Chloride!$Q15,'Tables - Part 2'!$AX$5:$BA$5,0)))/2)+(INDEX('Tables - Part 2'!$BB$17:$BE$24,MATCH(SCC_Chloride!$V15,'Tables - Part 2'!$AV$6:$AV$13,0),MATCH(SCC_Chloride!$Q15,'Tables - Part 2'!$AX$5:$BA$5,0))))/2,0)</f>
        <v>0</v>
      </c>
      <c r="BH15" s="248">
        <f>IF($P15=$BH$3,INDEX('Tables - Part 2'!$BB$17:$BE$24,MATCH(SCC_Chloride!$V15,'Tables - Part 2'!$AV$6:$AV$13,0),MATCH(SCC_Chloride!$Q15,'Tables - Part 2'!$AX$5:$BA$5,0)),0)</f>
        <v>0</v>
      </c>
      <c r="BI15" s="248">
        <f>IF($P15=$BI$3,((INDEX('Tables - Part 2'!$BB$17:$BE$24,MATCH(SCC_Chloride!$V15,'Tables - Part 2'!$AV$6:$AV$13,0),MATCH(SCC_Chloride!$Q15,'Tables - Part 2'!$AX$5:$BA$5,0)))+(((INDEX('Tables - Part 2'!$BB$17:$BE$24,MATCH(SCC_Chloride!$V15,'Tables - Part 2'!$AV$6:$AV$13,0),MATCH(SCC_Chloride!$Q15,'Tables - Part 2'!$AX$5:$BA$5,0)))+(INDEX('Tables - Part 2'!$BB$17:$BE$24,MATCH(SCC_Chloride!$V15,'Tables - Part 2'!$AV$6:$AV$13,0),MATCH(SCC_Chloride!$Q15,'Tables - Part 2'!$AX$5:$BA$5,0))+INDEX('Tables - Part 2'!$BF$17:$BI$24,MATCH(SCC_Chloride!$V15,'Tables - Part 2'!$AV$6:$AV$13,0),MATCH(SCC_Chloride!$Q15,'Tables - Part 2'!$AX$5:$BA$5,0)))/2)/2))/2,0)</f>
        <v>0</v>
      </c>
      <c r="BJ15" s="248">
        <f>IF($P15=$BJ$3,((INDEX('Tables - Part 2'!$BB$17:$BE$24,MATCH(SCC_Chloride!$V15,'Tables - Part 2'!$AV$6:$AV$13,0),MATCH(SCC_Chloride!$Q15,'Tables - Part 2'!$AX$5:$BA$5,0)))+(INDEX('Tables - Part 2'!$BB$17:$BE$24,MATCH(SCC_Chloride!$V15,'Tables - Part 2'!$AV$6:$AV$13,0),MATCH(SCC_Chloride!$Q15,'Tables - Part 2'!$AX$5:$BA$5,0))+INDEX('Tables - Part 2'!$BF$17:$BI$24,MATCH(SCC_Chloride!$V15,'Tables - Part 2'!$AV$6:$AV$13,0),MATCH(SCC_Chloride!$Q15,'Tables - Part 2'!$AX$5:$BA$5,0)))/2)/2,0)</f>
        <v>0</v>
      </c>
      <c r="BK15" s="248">
        <f>IF($P15=$BK$3,((((INDEX('Tables - Part 2'!$BB$17:$BE$24,MATCH(SCC_Chloride!$V15,'Tables - Part 2'!$AV$6:$AV$13,0),MATCH(SCC_Chloride!$Q15,'Tables - Part 2'!$AX$5:$BA$5,0)))+(INDEX('Tables - Part 2'!$BB$17:$BE$24,MATCH(SCC_Chloride!$V15,'Tables - Part 2'!$AV$6:$AV$13,0),MATCH(SCC_Chloride!$Q15,'Tables - Part 2'!$AX$5:$BA$5,0))+INDEX('Tables - Part 2'!$BF$17:$BI$24,MATCH(SCC_Chloride!$V15,'Tables - Part 2'!$AV$6:$AV$13,0),MATCH(SCC_Chloride!$Q15,'Tables - Part 2'!$AX$5:$BA$5,0)))/2)/2)+((INDEX('Tables - Part 2'!$BB$17:$BE$24,MATCH(SCC_Chloride!$V15,'Tables - Part 2'!$AV$6:$AV$13,0),MATCH(SCC_Chloride!$Q15,'Tables - Part 2'!$AX$5:$BA$5,0))+INDEX('Tables - Part 2'!$BF$17:$BI$24,MATCH(SCC_Chloride!$V15,'Tables - Part 2'!$AV$6:$AV$13,0),MATCH(SCC_Chloride!$Q15,'Tables - Part 2'!$AX$5:$BA$5,0)))/2))/2,0)</f>
        <v>0</v>
      </c>
      <c r="BL15" s="248">
        <f>IF($P15=$BL$3,(INDEX('Tables - Part 2'!$BB$17:$BE$24,MATCH(SCC_Chloride!$V15,'Tables - Part 2'!$AV$6:$AV$13,0),MATCH(SCC_Chloride!$Q15,'Tables - Part 2'!$AX$5:$BA$5,0))+INDEX('Tables - Part 2'!$BF$17:$BI$24,MATCH(SCC_Chloride!$V15,'Tables - Part 2'!$AV$6:$AV$13,0),MATCH(SCC_Chloride!$Q15,'Tables - Part 2'!$AX$5:$BA$5,0)))/2,0)</f>
        <v>0</v>
      </c>
      <c r="BM15" s="248">
        <f>IF($P15=$BM$3,(((INDEX('Tables - Part 2'!$BB$17:$BE$24,MATCH(SCC_Chloride!$V15,'Tables - Part 2'!$AV$6:$AV$13,0),MATCH(SCC_Chloride!$Q15,'Tables - Part 2'!$AX$5:$BA$5,0))+INDEX('Tables - Part 2'!$BF$17:$BI$24,MATCH(SCC_Chloride!$V15,'Tables - Part 2'!$AV$6:$AV$13,0),MATCH(SCC_Chloride!$Q15,'Tables - Part 2'!$AX$5:$BA$5,0)))/2)+((((INDEX('Tables - Part 2'!$BB$17:$BE$24,MATCH(SCC_Chloride!$V15,'Tables - Part 2'!$AV$6:$AV$13,0),MATCH(SCC_Chloride!$Q15,'Tables - Part 2'!$AX$5:$BA$5,0))+INDEX('Tables - Part 2'!$BF$17:$BI$24,MATCH(SCC_Chloride!$V15,'Tables - Part 2'!$AV$6:$AV$13,0),MATCH(SCC_Chloride!$Q15,'Tables - Part 2'!$AX$5:$BA$5,0)))/2)+INDEX('Tables - Part 2'!$BF$17:$BI$24,MATCH(SCC_Chloride!$V15,'Tables - Part 2'!$AV$6:$AV$13,0),MATCH(SCC_Chloride!$Q15,'Tables - Part 2'!$AX$5:$BA$5,0)))/2))/2,0)</f>
        <v>0</v>
      </c>
      <c r="BN15" s="248">
        <f>IF($P15=$BN$3,(((INDEX('Tables - Part 2'!$BB$17:$BE$24,MATCH(SCC_Chloride!$V15,'Tables - Part 2'!$AV$6:$AV$13,0),MATCH(SCC_Chloride!$Q15,'Tables - Part 2'!$AX$5:$BA$5,0))+INDEX('Tables - Part 2'!$BF$17:$BI$24,MATCH(SCC_Chloride!$V15,'Tables - Part 2'!$AV$6:$AV$13,0),MATCH(SCC_Chloride!$Q15,'Tables - Part 2'!$AX$5:$BA$5,0)))/2)+INDEX('Tables - Part 2'!$BF$17:$BI$24,MATCH(SCC_Chloride!$V15,'Tables - Part 2'!$AV$6:$AV$13,0),MATCH(SCC_Chloride!$Q15,'Tables - Part 2'!$AX$5:$BA$5,0)))/2,0)</f>
        <v>0</v>
      </c>
      <c r="BO15" s="248">
        <f>IF($P15=$BO$3,(((((INDEX('Tables - Part 2'!$BB$17:$BE$24,MATCH(SCC_Chloride!$V15,'Tables - Part 2'!$AV$6:$AV$13,0),MATCH(SCC_Chloride!$Q15,'Tables - Part 2'!$AX$5:$BA$5,0))+INDEX('Tables - Part 2'!$BF$17:$BI$24,MATCH(SCC_Chloride!$V15,'Tables - Part 2'!$AV$6:$AV$13,0),MATCH(SCC_Chloride!$Q15,'Tables - Part 2'!$AX$5:$BA$5,0)))/2)+INDEX('Tables - Part 2'!$BF$17:$BI$24,MATCH(SCC_Chloride!$V15,'Tables - Part 2'!$AV$6:$AV$13,0),MATCH(SCC_Chloride!$Q15,'Tables - Part 2'!$AX$5:$BA$5,0)))/2)+(INDEX('Tables - Part 2'!$BF$17:$BI$24,MATCH(SCC_Chloride!$V15,'Tables - Part 2'!$AV$6:$AV$13,0),MATCH(SCC_Chloride!$Q15,'Tables - Part 2'!$AX$5:$BA$5,0))))/2,0)</f>
        <v>0</v>
      </c>
      <c r="BP15" s="248">
        <f>IF($P15=$BP$3,INDEX('Tables - Part 2'!$BF$17:$BI$24,MATCH(SCC_Chloride!$V15,'Tables - Part 2'!$AV$6:$AV$13,0),MATCH(SCC_Chloride!$Q15,'Tables - Part 2'!$AX$5:$BA$5,0)),0)</f>
        <v>0</v>
      </c>
      <c r="BQ15" s="248">
        <f t="shared" si="5"/>
        <v>0</v>
      </c>
      <c r="BR15" s="238">
        <f t="shared" si="9"/>
        <v>1.5</v>
      </c>
      <c r="BS15" s="238">
        <f t="shared" si="6"/>
        <v>25.159323702612586</v>
      </c>
    </row>
    <row r="16" spans="2:84" x14ac:dyDescent="0.35">
      <c r="B16" s="161" t="str">
        <f>'Tratamento de Dados'!B24</f>
        <v>V-6</v>
      </c>
      <c r="C16" s="161" t="str">
        <f>'Tratamento de Dados'!D24</f>
        <v>Casco</v>
      </c>
      <c r="D16" s="209" t="s">
        <v>245</v>
      </c>
      <c r="E16" s="209" t="s">
        <v>61</v>
      </c>
      <c r="F16" s="209">
        <v>10</v>
      </c>
      <c r="G16" s="209" t="s">
        <v>1167</v>
      </c>
      <c r="H16" s="247">
        <f>'Tratamento de Dados'!S24</f>
        <v>2</v>
      </c>
      <c r="I16" s="210">
        <v>39092</v>
      </c>
      <c r="J16" s="209">
        <v>0</v>
      </c>
      <c r="K16" s="209">
        <v>1</v>
      </c>
      <c r="L16" s="209">
        <v>1</v>
      </c>
      <c r="M16" s="209">
        <v>4</v>
      </c>
      <c r="N16" s="253">
        <f>'Tratamento de Dados'!DA24</f>
        <v>0</v>
      </c>
      <c r="O16" s="253">
        <f>'Tratamento de Dados'!DB24</f>
        <v>0</v>
      </c>
      <c r="P16" s="256">
        <f t="shared" si="0"/>
        <v>2.5</v>
      </c>
      <c r="Q16" s="246" t="str">
        <f t="shared" si="1"/>
        <v>B</v>
      </c>
      <c r="R16" s="246" t="str">
        <f>IF(H16&lt;=38,'Tables - Part 2'!$DO$6,IF(H16&lt;=66,'Tables - Part 2'!$DO$7,IF(H16&lt;=93,'Tables - Part 2'!$DO$8,IF(H16&lt;=149,'Tables - Part 2'!$DO$9,'Tables - Part 2'!$DO$10))))</f>
        <v>≤38</v>
      </c>
      <c r="S16" s="246" t="str">
        <f>IF(H16&lt;=38,'Tables - Part 2'!$DO$14,IF(H16&lt;=93,'Tables - Part 2'!$DO$15,IF(H16&lt;=149,'Tables - Part 2'!$DO$16,'Tables - Part 2'!$DO$17)))</f>
        <v>≤38</v>
      </c>
      <c r="T16" s="246" t="str">
        <f t="shared" si="7"/>
        <v>≤38</v>
      </c>
      <c r="U16" s="467" t="str">
        <f>IF(D16=$BX$2,$BV$5,INDEX(IF(F16&gt;10,'Tables - Part 2'!$DP$14:$DS$17,'Tables - Part 2'!$DP$6:$DS$10),MATCH(T16,IF(F16&gt;10,'Tables - Part 2'!$DO$14:$DO$17,'Tables - Part 2'!$DO$6:$DO$10),0),MATCH(SCC_Chloride!G16,'Tables - Part 2'!$DP$5:$DS$5,0)))</f>
        <v>Low</v>
      </c>
      <c r="V16" s="238">
        <f>IF(AND(D16=$BX$2,E16&lt;&gt;$BX$2),"Fitness-For-Service",INDEX('Tables - Part 2'!$DV$4:$DV$7,MATCH(SCC_Chloride!U16,'Tables - Part 2'!$DU$4:$DU$7,0),))</f>
        <v>50</v>
      </c>
      <c r="W16" s="238">
        <f>IF(I16=0,(Thinning!G17-Thinning!F17)/365.25,(Thinning!G17-I16)/365.25)</f>
        <v>12.980150581793293</v>
      </c>
      <c r="X16" s="248">
        <f t="shared" si="2"/>
        <v>0</v>
      </c>
      <c r="Y16" s="248">
        <f t="shared" si="3"/>
        <v>2.5</v>
      </c>
      <c r="Z16" s="247">
        <f t="shared" si="8"/>
        <v>3</v>
      </c>
      <c r="AA16" s="247">
        <f t="shared" si="4"/>
        <v>4</v>
      </c>
      <c r="AB16" s="248">
        <f>IF($P16=$AB$3,INDEX('Tables - Part 2'!$AX$6:$BA$13,MATCH(SCC_Chloride!V16,'Tables - Part 2'!$AV$6:$AV$13,0),MATCH(SCC_Chloride!Q16,'Tables - Part 2'!$AX$5:$BA$5,0)),0)</f>
        <v>0</v>
      </c>
      <c r="AC16" s="248">
        <f>IF($P16=$AC$3,(INDEX('Tables - Part 2'!$AX$6:$BA$13,MATCH(SCC_Chloride!V16,'Tables - Part 2'!$AV$6:$AV$13,0),MATCH(SCC_Chloride!Q16,'Tables - Part 2'!$AX$5:$BA$5,0))+(INDEX('Tables - Part 2'!$AX$6:$BA$13,MATCH(SCC_Chloride!V16,'Tables - Part 2'!$AV$6:$AV$13,0),MATCH(SCC_Chloride!Q16,'Tables - Part 2'!$AX$5:$BA$5,0))+((INDEX('Tables - Part 2'!$AX$6:$BA$13,MATCH(SCC_Chloride!V16,'Tables - Part 2'!$AV$6:$AV$13,0),MATCH(SCC_Chloride!Q16,'Tables - Part 2'!$AX$5:$BA$5,0))+INDEX('Tables - Part 2'!$BB$6:$BE$13,MATCH(SCC_Chloride!$V16,'Tables - Part 2'!$AV$6:$AV$13,0),MATCH(SCC_Chloride!$Q16,'Tables - Part 2'!$AX$5:$BA$5,0)))/2))/2)/2,0)</f>
        <v>0</v>
      </c>
      <c r="AD16" s="248">
        <f>IF($P16=$AD$3,(INDEX('Tables - Part 2'!$AX$6:$BA$13,MATCH(SCC_Chloride!V16,'Tables - Part 2'!$AV$6:$AV$13,0),MATCH(SCC_Chloride!Q16,'Tables - Part 2'!$AX$5:$BA$5,0))+((INDEX('Tables - Part 2'!$AX$6:$BA$13,MATCH(SCC_Chloride!V16,'Tables - Part 2'!$AV$6:$AV$13,0),MATCH(SCC_Chloride!Q16,'Tables - Part 2'!$AX$5:$BA$5,0))+INDEX('Tables - Part 2'!$BB$6:$BE$13,MATCH(SCC_Chloride!$V16,'Tables - Part 2'!$AV$6:$AV$13,0),MATCH(SCC_Chloride!$Q16,'Tables - Part 2'!$AX$5:$BA$5,0)))/2))/2,0)</f>
        <v>0</v>
      </c>
      <c r="AE16" s="248">
        <f>IF($P16=$AE$3,(((INDEX('Tables - Part 2'!$AX$6:$BA$13,MATCH(SCC_Chloride!V16,'Tables - Part 2'!$AV$6:$AV$13,0),MATCH(SCC_Chloride!Q16,'Tables - Part 2'!$AX$5:$BA$5,0))+((INDEX('Tables - Part 2'!$AX$6:$BA$13,MATCH(SCC_Chloride!V16,'Tables - Part 2'!$AV$6:$AV$13,0),MATCH(SCC_Chloride!Q16,'Tables - Part 2'!$AX$5:$BA$5,0))+INDEX('Tables - Part 2'!$BB$6:$BE$13,MATCH(SCC_Chloride!$V16,'Tables - Part 2'!$AV$6:$AV$13,0),MATCH(SCC_Chloride!$Q16,'Tables - Part 2'!$AX$5:$BA$5,0)))/2))/2)+(INDEX('Tables - Part 2'!$AX$6:$BA$13,MATCH(SCC_Chloride!V16,'Tables - Part 2'!$AV$6:$AV$13,0),MATCH(SCC_Chloride!Q16,'Tables - Part 2'!$AX$5:$BA$5,0))+INDEX('Tables - Part 2'!$BB$6:$BE$13,MATCH(SCC_Chloride!$V16,'Tables - Part 2'!$AV$6:$AV$13,0),MATCH(SCC_Chloride!$Q16,'Tables - Part 2'!$AX$5:$BA$5,0)))/2)/2,0)</f>
        <v>0</v>
      </c>
      <c r="AF16" s="248">
        <f>IF($P16=$AF$3,(INDEX('Tables - Part 2'!$AX$6:$BA$13,MATCH(SCC_Chloride!V16,'Tables - Part 2'!$AV$6:$AV$13,0),MATCH(SCC_Chloride!Q16,'Tables - Part 2'!$AX$5:$BA$5,0))+INDEX('Tables - Part 2'!$BB$6:$BE$13,MATCH(SCC_Chloride!$V16,'Tables - Part 2'!$AV$6:$AV$13,0),MATCH(SCC_Chloride!$Q16,'Tables - Part 2'!$AX$5:$BA$5,0)))/2,0)</f>
        <v>0</v>
      </c>
      <c r="AG16" s="248">
        <f>IF($P16=$AG$3,(((INDEX('Tables - Part 2'!$AX$6:$BA$13,MATCH(SCC_Chloride!V16,'Tables - Part 2'!$AV$6:$AV$13,0),MATCH(SCC_Chloride!Q16,'Tables - Part 2'!$AX$5:$BA$5,0))+INDEX('Tables - Part 2'!$BB$6:$BE$13,MATCH(SCC_Chloride!$V16,'Tables - Part 2'!$AV$6:$AV$13,0),MATCH(SCC_Chloride!$Q16,'Tables - Part 2'!$AX$5:$BA$5,0)))/2)+(((INDEX('Tables - Part 2'!$AX$6:$BA$13,MATCH(SCC_Chloride!V16,'Tables - Part 2'!$AV$6:$AV$13,0),MATCH(SCC_Chloride!Q16,'Tables - Part 2'!$AX$5:$BA$5,0))+INDEX('Tables - Part 2'!$BB$6:$BE$13,MATCH(SCC_Chloride!$V16,'Tables - Part 2'!$AV$6:$AV$13,0),MATCH(SCC_Chloride!$Q16,'Tables - Part 2'!$AX$5:$BA$5,0)))/2)+INDEX('Tables - Part 2'!$BB$6:$BE$13,MATCH(SCC_Chloride!$V16,'Tables - Part 2'!$AV$6:$AV$13,0),MATCH(SCC_Chloride!$Q16,'Tables - Part 2'!$AX$5:$BA$5,0)))/2)/2,0)</f>
        <v>0</v>
      </c>
      <c r="AH16" s="248">
        <f>IF($P16=$AH$3,(((INDEX('Tables - Part 2'!$AX$6:$BA$13,MATCH(SCC_Chloride!V16,'Tables - Part 2'!$AV$6:$AV$13,0),MATCH(SCC_Chloride!Q16,'Tables - Part 2'!$AX$5:$BA$5,0))+INDEX('Tables - Part 2'!$BB$6:$BE$13,MATCH(SCC_Chloride!$V16,'Tables - Part 2'!$AV$6:$AV$13,0),MATCH(SCC_Chloride!$Q16,'Tables - Part 2'!$AX$5:$BA$5,0)))/2)+INDEX('Tables - Part 2'!$BB$6:$BE$13,MATCH(SCC_Chloride!$V16,'Tables - Part 2'!$AV$6:$AV$13,0),MATCH(SCC_Chloride!$Q16,'Tables - Part 2'!$AX$5:$BA$5,0)))/2,0)</f>
        <v>0</v>
      </c>
      <c r="AI16" s="248">
        <f>IF($P16=$AI$3,(((((INDEX('Tables - Part 2'!$AX$6:$BA$13,MATCH(SCC_Chloride!V16,'Tables - Part 2'!$AV$6:$AV$13,0),MATCH(SCC_Chloride!Q16,'Tables - Part 2'!$AX$5:$BA$5,0))+INDEX('Tables - Part 2'!$BB$6:$BE$13,MATCH(SCC_Chloride!$V16,'Tables - Part 2'!$AV$6:$AV$13,0),MATCH(SCC_Chloride!$Q16,'Tables - Part 2'!$AX$5:$BA$5,0)))/2)+INDEX('Tables - Part 2'!$BB$6:$BE$13,MATCH(SCC_Chloride!$V16,'Tables - Part 2'!$AV$6:$AV$13,0),MATCH(SCC_Chloride!$Q16,'Tables - Part 2'!$AX$5:$BA$5,0)))/2)+INDEX('Tables - Part 2'!$BB$6:$BE$13,MATCH(SCC_Chloride!$V16,'Tables - Part 2'!$AV$6:$AV$13,0),MATCH(SCC_Chloride!$Q16,'Tables - Part 2'!$AX$5:$BA$5,0)))/2,0)</f>
        <v>0</v>
      </c>
      <c r="AJ16" s="248">
        <f>IF($P16=$AJ$3,INDEX('Tables - Part 2'!$BB$6:$BE$13,MATCH(SCC_Chloride!$V16,'Tables - Part 2'!$AV$6:$AV$13,0),MATCH(SCC_Chloride!$Q16,'Tables - Part 2'!$AX$5:$BA$5,0)),0)</f>
        <v>0</v>
      </c>
      <c r="AK16" s="248">
        <f>IF($P16=$AK$3,((INDEX('Tables - Part 2'!$BB$6:$BE$13,MATCH(SCC_Chloride!$V16,'Tables - Part 2'!$AV$6:$AV$13,0),MATCH(SCC_Chloride!$Q16,'Tables - Part 2'!$AX$5:$BA$5,0)))+(INDEX('Tables - Part 2'!$BB$6:$BE$13,MATCH(SCC_Chloride!$V16,'Tables - Part 2'!$AV$6:$AV$13,0),MATCH(SCC_Chloride!$Q16,'Tables - Part 2'!$AX$5:$BA$5,0))+(INDEX('Tables - Part 2'!$BB$6:$BE$13,MATCH(SCC_Chloride!$V16,'Tables - Part 2'!$AV$6:$AV$13,0),MATCH(SCC_Chloride!$Q16,'Tables - Part 2'!$AX$5:$BA$5,0))+INDEX('Tables - Part 2'!$BF$6:$BI$13,MATCH(SCC_Chloride!$V16,'Tables - Part 2'!$AV$6:$AV$13,0),MATCH(SCC_Chloride!$Q16,'Tables - Part 2'!$AX$5:$BA$5,0)))/2)/2)/2,0)</f>
        <v>0</v>
      </c>
      <c r="AL16" s="248">
        <f>IF($P16=$AL$3,(INDEX('Tables - Part 2'!$BB$6:$BE$13,MATCH(SCC_Chloride!$V16,'Tables - Part 2'!$AV$6:$AV$13,0),MATCH(SCC_Chloride!$Q16,'Tables - Part 2'!$AX$5:$BA$5,0))+(INDEX('Tables - Part 2'!$BB$6:$BE$13,MATCH(SCC_Chloride!$V16,'Tables - Part 2'!$AV$6:$AV$13,0),MATCH(SCC_Chloride!$Q16,'Tables - Part 2'!$AX$5:$BA$5,0))+INDEX('Tables - Part 2'!$BF$6:$BI$13,MATCH(SCC_Chloride!$V16,'Tables - Part 2'!$AV$6:$AV$13,0),MATCH(SCC_Chloride!$Q16,'Tables - Part 2'!$AX$5:$BA$5,0)))/2)/2,0)</f>
        <v>0</v>
      </c>
      <c r="AM16" s="248">
        <f>IF($P16=$AM$3,(((INDEX('Tables - Part 2'!$BB$6:$BE$13,MATCH(SCC_Chloride!$V16,'Tables - Part 2'!$AV$6:$AV$13,0),MATCH(SCC_Chloride!$Q16,'Tables - Part 2'!$AX$5:$BA$5,0))+(INDEX('Tables - Part 2'!$BB$6:$BE$13,MATCH(SCC_Chloride!$V16,'Tables - Part 2'!$AV$6:$AV$13,0),MATCH(SCC_Chloride!$Q16,'Tables - Part 2'!$AX$5:$BA$5,0))+INDEX('Tables - Part 2'!$BF$6:$BI$13,MATCH(SCC_Chloride!$V16,'Tables - Part 2'!$AV$6:$AV$13,0),MATCH(SCC_Chloride!$Q16,'Tables - Part 2'!$AX$5:$BA$5,0)))/2)/2)+((INDEX('Tables - Part 2'!$BB$6:$BE$13,MATCH(SCC_Chloride!$V16,'Tables - Part 2'!$AV$6:$AV$13,0),MATCH(SCC_Chloride!$Q16,'Tables - Part 2'!$AX$5:$BA$5,0))+INDEX('Tables - Part 2'!$BF$6:$BI$13,MATCH(SCC_Chloride!$V16,'Tables - Part 2'!$AV$6:$AV$13,0),MATCH(SCC_Chloride!$Q16,'Tables - Part 2'!$AX$5:$BA$5,0)))/2))/2,0)</f>
        <v>0</v>
      </c>
      <c r="AN16" s="248">
        <f>IF($P16=$AN$3,(INDEX('Tables - Part 2'!$BB$6:$BE$13,MATCH(SCC_Chloride!$V16,'Tables - Part 2'!$AV$6:$AV$13,0),MATCH(SCC_Chloride!$Q16,'Tables - Part 2'!$AX$5:$BA$5,0))+INDEX('Tables - Part 2'!$BF$6:$BI$13,MATCH(SCC_Chloride!$V16,'Tables - Part 2'!$AV$6:$AV$13,0),MATCH(SCC_Chloride!$Q16,'Tables - Part 2'!$AX$5:$BA$5,0)))/2,0)</f>
        <v>1.5</v>
      </c>
      <c r="AO16" s="248">
        <f>IF($P16=$AO$3,(((INDEX('Tables - Part 2'!$BB$6:$BE$13,MATCH(SCC_Chloride!$V16,'Tables - Part 2'!$AV$6:$AV$13,0),MATCH(SCC_Chloride!$Q16,'Tables - Part 2'!$AX$5:$BA$5,0))+INDEX('Tables - Part 2'!$BF$6:$BI$13,MATCH(SCC_Chloride!$V16,'Tables - Part 2'!$AV$6:$AV$13,0),MATCH(SCC_Chloride!$Q16,'Tables - Part 2'!$AX$5:$BA$5,0)))/2)+((((INDEX('Tables - Part 2'!$BB$6:$BE$13,MATCH(SCC_Chloride!$V16,'Tables - Part 2'!$AV$6:$AV$13,0),MATCH(SCC_Chloride!$Q16,'Tables - Part 2'!$AX$5:$BA$5,0))+INDEX('Tables - Part 2'!$BF$6:$BI$13,MATCH(SCC_Chloride!$V16,'Tables - Part 2'!$AV$6:$AV$13,0),MATCH(SCC_Chloride!$Q16,'Tables - Part 2'!$AX$5:$BA$5,0)))/2)+INDEX('Tables - Part 2'!$BF$6:$BI$13,MATCH(SCC_Chloride!$V16,'Tables - Part 2'!$AV$6:$AV$13,0),MATCH(SCC_Chloride!$Q16,'Tables - Part 2'!$AX$5:$BA$5,0)))/2))/2,0)</f>
        <v>0</v>
      </c>
      <c r="AP16" s="248">
        <f>IF($P16=$AP$3,(((INDEX('Tables - Part 2'!$BB$6:$BE$13,MATCH(SCC_Chloride!$V16,'Tables - Part 2'!$AV$6:$AV$13,0),MATCH(SCC_Chloride!$Q16,'Tables - Part 2'!$AX$5:$BA$5,0))+INDEX('Tables - Part 2'!$BF$6:$BI$13,MATCH(SCC_Chloride!$V16,'Tables - Part 2'!$AV$6:$AV$13,0),MATCH(SCC_Chloride!$Q16,'Tables - Part 2'!$AX$5:$BA$5,0)))/2)+INDEX('Tables - Part 2'!$BF$6:$BI$13,MATCH(SCC_Chloride!$V16,'Tables - Part 2'!$AV$6:$AV$13,0),MATCH(SCC_Chloride!$Q16,'Tables - Part 2'!$AX$5:$BA$5,0)))/2,0)</f>
        <v>0</v>
      </c>
      <c r="AQ16" s="248">
        <f>IF($P16=$AQ$3,(((((INDEX('Tables - Part 2'!$BB$6:$BE$13,MATCH(SCC_Chloride!$V16,'Tables - Part 2'!$AV$6:$AV$13,0),MATCH(SCC_Chloride!$Q16,'Tables - Part 2'!$AX$5:$BA$5,0))+INDEX('Tables - Part 2'!$BF$6:$BI$13,MATCH(SCC_Chloride!$V16,'Tables - Part 2'!$AV$6:$AV$13,0),MATCH(SCC_Chloride!$Q16,'Tables - Part 2'!$AX$5:$BA$5,0)))/2)+INDEX('Tables - Part 2'!$BF$6:$BI$13,MATCH(SCC_Chloride!$V16,'Tables - Part 2'!$AV$6:$AV$13,0),MATCH(SCC_Chloride!$Q16,'Tables - Part 2'!$AX$5:$BA$5,0)))/2)+INDEX('Tables - Part 2'!$BF$6:$BI$13,MATCH(SCC_Chloride!$V16,'Tables - Part 2'!$AV$6:$AV$13,0),MATCH(SCC_Chloride!$Q16,'Tables - Part 2'!$AX$5:$BA$5,0)))/2,0)</f>
        <v>0</v>
      </c>
      <c r="AR16" s="248">
        <f>IF($P16=$AR$3,INDEX('Tables - Part 2'!$BF$6:$BI$13,MATCH(SCC_Chloride!$V16,'Tables - Part 2'!$AV$6:$AV$13,0),MATCH(SCC_Chloride!$Q16,'Tables - Part 2'!$AX$5:$BA$5,0)),0)</f>
        <v>0</v>
      </c>
      <c r="AS16" s="248">
        <f>IF($P16=$AS$3,(INDEX('Tables - Part 2'!$BF$6:$BI$13,MATCH(SCC_Chloride!$V16,'Tables - Part 2'!$AV$6:$AV$13,0),MATCH(SCC_Chloride!$Q16,'Tables - Part 2'!$AX$5:$BA$5,0))+((INDEX('Tables - Part 2'!$BF$6:$BI$13,MATCH(SCC_Chloride!$V16,'Tables - Part 2'!$AV$6:$AV$13,0),MATCH(SCC_Chloride!$Q16,'Tables - Part 2'!$AX$5:$BA$5,0))+(INDEX('Tables - Part 2'!$BF$6:$BI$13,MATCH(SCC_Chloride!$V16,'Tables - Part 2'!$AV$6:$AV$13,0),MATCH(SCC_Chloride!$Q16,'Tables - Part 2'!$AX$5:$BA$5,0))+INDEX('Tables - Part 2'!$AX$17:$BA$24,MATCH(SCC_Chloride!$V16,'Tables - Part 2'!$AV$6:$AV$13,0),MATCH(SCC_Chloride!$Q16,'Tables - Part 2'!$AX$5:$BA$5,0)))/2)/2))/2,0)</f>
        <v>0</v>
      </c>
      <c r="AT16" s="248">
        <f>IF($P16=$AT$3,(INDEX('Tables - Part 2'!$BF$6:$BI$13,MATCH(SCC_Chloride!$V16,'Tables - Part 2'!$AV$6:$AV$13,0),MATCH(SCC_Chloride!$Q16,'Tables - Part 2'!$AX$5:$BA$5,0))+(INDEX('Tables - Part 2'!$BF$6:$BI$13,MATCH(SCC_Chloride!$V16,'Tables - Part 2'!$AV$6:$AV$13,0),MATCH(SCC_Chloride!$Q16,'Tables - Part 2'!$AX$5:$BA$5,0))+INDEX('Tables - Part 2'!$AX$17:$BA$24,MATCH(SCC_Chloride!$V16,'Tables - Part 2'!$AV$6:$AV$13,0),MATCH(SCC_Chloride!$Q16,'Tables - Part 2'!$AX$5:$BA$5,0)))/2)/2,0)</f>
        <v>0</v>
      </c>
      <c r="AU16" s="248">
        <f>IF($P16=$AU$3,(((INDEX('Tables - Part 2'!$BF$6:$BI$13,MATCH(SCC_Chloride!$V16,'Tables - Part 2'!$AV$6:$AV$13,0),MATCH(SCC_Chloride!$Q16,'Tables - Part 2'!$AX$5:$BA$5,0))+(INDEX('Tables - Part 2'!$BF$6:$BI$13,MATCH(SCC_Chloride!$V16,'Tables - Part 2'!$AV$6:$AV$13,0),MATCH(SCC_Chloride!$Q16,'Tables - Part 2'!$AX$5:$BA$5,0))+INDEX('Tables - Part 2'!$AX$17:$BA$24,MATCH(SCC_Chloride!$V16,'Tables - Part 2'!$AV$6:$AV$13,0),MATCH(SCC_Chloride!$Q16,'Tables - Part 2'!$AX$5:$BA$5,0)))/2)/2)+((INDEX('Tables - Part 2'!$BF$6:$BI$13,MATCH(SCC_Chloride!$V16,'Tables - Part 2'!$AV$6:$AV$13,0),MATCH(SCC_Chloride!$Q16,'Tables - Part 2'!$AX$5:$BA$5,0))+INDEX('Tables - Part 2'!$AX$17:$BA$24,MATCH(SCC_Chloride!$V16,'Tables - Part 2'!$AV$6:$AV$13,0),MATCH(SCC_Chloride!$Q16,'Tables - Part 2'!$AX$5:$BA$5,0)))/2))/2,0)</f>
        <v>0</v>
      </c>
      <c r="AV16" s="248">
        <f>IF($P16=$AV$3,(INDEX('Tables - Part 2'!$BF$6:$BI$13,MATCH(SCC_Chloride!$V16,'Tables - Part 2'!$AV$6:$AV$13,0),MATCH(SCC_Chloride!$Q16,'Tables - Part 2'!$AX$5:$BA$5,0))+INDEX('Tables - Part 2'!$AX$17:$BA$24,MATCH(SCC_Chloride!$V16,'Tables - Part 2'!$AV$6:$AV$13,0),MATCH(SCC_Chloride!$Q16,'Tables - Part 2'!$AX$5:$BA$5,0)))/2,0)</f>
        <v>0</v>
      </c>
      <c r="AW16" s="248">
        <f>IF($P16=$AW$3,(((INDEX('Tables - Part 2'!$BF$6:$BI$13,MATCH(SCC_Chloride!$V16,'Tables - Part 2'!$AV$6:$AV$13,0),MATCH(SCC_Chloride!$Q16,'Tables - Part 2'!$AX$5:$BA$5,0))+INDEX('Tables - Part 2'!$AX$17:$BA$24,MATCH(SCC_Chloride!$V16,'Tables - Part 2'!$AV$6:$AV$13,0),MATCH(SCC_Chloride!$Q16,'Tables - Part 2'!$AX$5:$BA$5,0)))/2)+((((INDEX('Tables - Part 2'!$BF$6:$BI$13,MATCH(SCC_Chloride!$V16,'Tables - Part 2'!$AV$6:$AV$13,0),MATCH(SCC_Chloride!$Q16,'Tables - Part 2'!$AX$5:$BA$5,0))+INDEX('Tables - Part 2'!$AX$17:$BA$24,MATCH(SCC_Chloride!$V16,'Tables - Part 2'!$AV$6:$AV$13,0),MATCH(SCC_Chloride!$Q16,'Tables - Part 2'!$AX$5:$BA$5,0)))/2)+INDEX('Tables - Part 2'!$AX$17:$BA$24,MATCH(SCC_Chloride!$V16,'Tables - Part 2'!$AV$6:$AV$13,0),MATCH(SCC_Chloride!$Q16,'Tables - Part 2'!$AX$5:$BA$5,0)))/2))/2,0)</f>
        <v>0</v>
      </c>
      <c r="AX16" s="248">
        <f>IF($P16=$AX$3,(((INDEX('Tables - Part 2'!$BF$6:$BI$13,MATCH(SCC_Chloride!$V16,'Tables - Part 2'!$AV$6:$AV$13,0),MATCH(SCC_Chloride!$Q16,'Tables - Part 2'!$AX$5:$BA$5,0))+INDEX('Tables - Part 2'!$AX$17:$BA$24,MATCH(SCC_Chloride!$V16,'Tables - Part 2'!$AV$6:$AV$13,0),MATCH(SCC_Chloride!$Q16,'Tables - Part 2'!$AX$5:$BA$5,0)))/2)+INDEX('Tables - Part 2'!$AX$17:$BA$24,MATCH(SCC_Chloride!$V16,'Tables - Part 2'!$AV$6:$AV$13,0),MATCH(SCC_Chloride!$Q16,'Tables - Part 2'!$AX$5:$BA$5,0)))/2,0)</f>
        <v>0</v>
      </c>
      <c r="AY16" s="248">
        <f>IF($P16=$AY$3,(((((INDEX('Tables - Part 2'!$BF$6:$BI$13,MATCH(SCC_Chloride!$V16,'Tables - Part 2'!$AV$6:$AV$13,0),MATCH(SCC_Chloride!$Q16,'Tables - Part 2'!$AX$5:$BA$5,0))+INDEX('Tables - Part 2'!$AX$17:$BA$24,MATCH(SCC_Chloride!$V16,'Tables - Part 2'!$AV$6:$AV$13,0),MATCH(SCC_Chloride!$Q16,'Tables - Part 2'!$AX$5:$BA$5,0)))/2)+INDEX('Tables - Part 2'!$AX$17:$BA$24,MATCH(SCC_Chloride!$V16,'Tables - Part 2'!$AV$6:$AV$13,0),MATCH(SCC_Chloride!$Q16,'Tables - Part 2'!$AX$5:$BA$5,0)))/2)+(INDEX('Tables - Part 2'!$AX$17:$BA$24,MATCH(SCC_Chloride!$V16,'Tables - Part 2'!$AV$6:$AV$13,0),MATCH(SCC_Chloride!$Q16,'Tables - Part 2'!$AX$5:$BA$5,0))))/2,0)</f>
        <v>0</v>
      </c>
      <c r="AZ16" s="248">
        <f>IF($P16=$AZ$3,INDEX('Tables - Part 2'!$AX$17:$BA$24,MATCH(SCC_Chloride!$V16,'Tables - Part 2'!$AV$6:$AV$13,0),MATCH(SCC_Chloride!$Q16,'Tables - Part 2'!$AX$5:$BA$5,0)),0)</f>
        <v>0</v>
      </c>
      <c r="BA16" s="248">
        <f>IF($P16=$BA$3,((INDEX('Tables - Part 2'!$AX$17:$BA$24,MATCH(SCC_Chloride!$V16,'Tables - Part 2'!$AV$6:$AV$13,0),MATCH(SCC_Chloride!$Q16,'Tables - Part 2'!$AX$5:$BA$5,0)))+(((INDEX('Tables - Part 2'!$AX$17:$BA$24,MATCH(SCC_Chloride!$V16,'Tables - Part 2'!$AV$6:$AV$13,0),MATCH(SCC_Chloride!$Q16,'Tables - Part 2'!$AX$5:$BA$5,0)))+(INDEX('Tables - Part 2'!$AX$17:$BA$24,MATCH(SCC_Chloride!$V16,'Tables - Part 2'!$AV$6:$AV$13,0),MATCH(SCC_Chloride!$Q16,'Tables - Part 2'!$AX$5:$BA$5,0))+INDEX('Tables - Part 2'!$BB$17:$BE$24,MATCH(SCC_Chloride!$V16,'Tables - Part 2'!$AV$6:$AV$13,0),MATCH(SCC_Chloride!$Q16,'Tables - Part 2'!$AX$5:$BA$5,0)))/2)/2))/2,0)</f>
        <v>0</v>
      </c>
      <c r="BB16" s="248">
        <f>IF($P16=$BB$3,((INDEX('Tables - Part 2'!$AX$17:$BA$24,MATCH(SCC_Chloride!$V16,'Tables - Part 2'!$AV$6:$AV$13,0),MATCH(SCC_Chloride!$Q16,'Tables - Part 2'!$AX$5:$BA$5,0)))+(INDEX('Tables - Part 2'!$AX$17:$BA$24,MATCH(SCC_Chloride!$V16,'Tables - Part 2'!$AV$6:$AV$13,0),MATCH(SCC_Chloride!$Q16,'Tables - Part 2'!$AX$5:$BA$5,0))+INDEX('Tables - Part 2'!$BB$17:$BE$24,MATCH(SCC_Chloride!$V16,'Tables - Part 2'!$AV$6:$AV$13,0),MATCH(SCC_Chloride!$Q16,'Tables - Part 2'!$AX$5:$BA$5,0)))/2)/2,0)</f>
        <v>0</v>
      </c>
      <c r="BC16" s="248">
        <f>IF($P16=$BC$3,((((INDEX('Tables - Part 2'!$AX$17:$BA$24,MATCH(SCC_Chloride!$V16,'Tables - Part 2'!$AV$6:$AV$13,0),MATCH(SCC_Chloride!$Q16,'Tables - Part 2'!$AX$5:$BA$5,0)))+(INDEX('Tables - Part 2'!$AX$17:$BA$24,MATCH(SCC_Chloride!$V16,'Tables - Part 2'!$AV$6:$AV$13,0),MATCH(SCC_Chloride!$Q16,'Tables - Part 2'!$AX$5:$BA$5,0))+INDEX('Tables - Part 2'!$BB$17:$BE$24,MATCH(SCC_Chloride!$V16,'Tables - Part 2'!$AV$6:$AV$13,0),MATCH(SCC_Chloride!$Q16,'Tables - Part 2'!$AX$5:$BA$5,0)))/2)/2)+((INDEX('Tables - Part 2'!$AX$17:$BA$24,MATCH(SCC_Chloride!$V16,'Tables - Part 2'!$AV$6:$AV$13,0),MATCH(SCC_Chloride!$Q16,'Tables - Part 2'!$AX$5:$BA$5,0))+INDEX('Tables - Part 2'!$BB$17:$BE$24,MATCH(SCC_Chloride!$V16,'Tables - Part 2'!$AV$6:$AV$13,0),MATCH(SCC_Chloride!$Q16,'Tables - Part 2'!$AX$5:$BA$5,0)))/2))/2,0)</f>
        <v>0</v>
      </c>
      <c r="BD16" s="248">
        <f>IF($P16=$BD$3,(INDEX('Tables - Part 2'!$AX$17:$BA$24,MATCH(SCC_Chloride!$V16,'Tables - Part 2'!$AV$6:$AV$13,0),MATCH(SCC_Chloride!$Q16,'Tables - Part 2'!$AX$5:$BA$5,0))+INDEX('Tables - Part 2'!$BB$17:$BE$24,MATCH(SCC_Chloride!$V16,'Tables - Part 2'!$AV$6:$AV$13,0),MATCH(SCC_Chloride!$Q16,'Tables - Part 2'!$AX$5:$BA$5,0)))/2,0)</f>
        <v>0</v>
      </c>
      <c r="BE16" s="248">
        <f>IF($P16=$BE$3,(((INDEX('Tables - Part 2'!$AX$17:$BA$24,MATCH(SCC_Chloride!$V16,'Tables - Part 2'!$AV$6:$AV$13,0),MATCH(SCC_Chloride!$Q16,'Tables - Part 2'!$AX$5:$BA$5,0))+INDEX('Tables - Part 2'!$BB$17:$BE$24,MATCH(SCC_Chloride!$V16,'Tables - Part 2'!$AV$6:$AV$13,0),MATCH(SCC_Chloride!$Q16,'Tables - Part 2'!$AX$5:$BA$5,0)))/2)+((((INDEX('Tables - Part 2'!$AX$17:$BA$24,MATCH(SCC_Chloride!$V16,'Tables - Part 2'!$AV$6:$AV$13,0),MATCH(SCC_Chloride!$Q16,'Tables - Part 2'!$AX$5:$BA$5,0))+INDEX('Tables - Part 2'!$BB$17:$BE$24,MATCH(SCC_Chloride!$V16,'Tables - Part 2'!$AV$6:$AV$13,0),MATCH(SCC_Chloride!$Q16,'Tables - Part 2'!$AX$5:$BA$5,0)))/2)+INDEX('Tables - Part 2'!$BB$17:$BE$24,MATCH(SCC_Chloride!$V16,'Tables - Part 2'!$AV$6:$AV$13,0),MATCH(SCC_Chloride!$Q16,'Tables - Part 2'!$AX$5:$BA$5,0)))/2))/2,0)</f>
        <v>0</v>
      </c>
      <c r="BF16" s="248">
        <f>IF($P16=$BF$3,(((INDEX('Tables - Part 2'!$AX$17:$BA$24,MATCH(SCC_Chloride!$V16,'Tables - Part 2'!$AV$6:$AV$13,0),MATCH(SCC_Chloride!$Q16,'Tables - Part 2'!$AX$5:$BA$5,0))+INDEX('Tables - Part 2'!$BB$17:$BE$24,MATCH(SCC_Chloride!$V16,'Tables - Part 2'!$AV$6:$AV$13,0),MATCH(SCC_Chloride!$Q16,'Tables - Part 2'!$AX$5:$BA$5,0)))/2)+INDEX('Tables - Part 2'!$BB$17:$BE$24,MATCH(SCC_Chloride!$V16,'Tables - Part 2'!$AV$6:$AV$13,0),MATCH(SCC_Chloride!$Q16,'Tables - Part 2'!$AX$5:$BA$5,0)))/2,0)</f>
        <v>0</v>
      </c>
      <c r="BG16" s="248">
        <f>IF($P16=$BG$3,(((((INDEX('Tables - Part 2'!$AX$17:$BA$24,MATCH(SCC_Chloride!$V16,'Tables - Part 2'!$AV$6:$AV$13,0),MATCH(SCC_Chloride!$Q16,'Tables - Part 2'!$AX$5:$BA$5,0))+INDEX('Tables - Part 2'!$BB$17:$BE$24,MATCH(SCC_Chloride!$V16,'Tables - Part 2'!$AV$6:$AV$13,0),MATCH(SCC_Chloride!$Q16,'Tables - Part 2'!$AX$5:$BA$5,0)))/2)+INDEX('Tables - Part 2'!$BB$17:$BE$24,MATCH(SCC_Chloride!$V16,'Tables - Part 2'!$AV$6:$AV$13,0),MATCH(SCC_Chloride!$Q16,'Tables - Part 2'!$AX$5:$BA$5,0)))/2)+(INDEX('Tables - Part 2'!$BB$17:$BE$24,MATCH(SCC_Chloride!$V16,'Tables - Part 2'!$AV$6:$AV$13,0),MATCH(SCC_Chloride!$Q16,'Tables - Part 2'!$AX$5:$BA$5,0))))/2,0)</f>
        <v>0</v>
      </c>
      <c r="BH16" s="248">
        <f>IF($P16=$BH$3,INDEX('Tables - Part 2'!$BB$17:$BE$24,MATCH(SCC_Chloride!$V16,'Tables - Part 2'!$AV$6:$AV$13,0),MATCH(SCC_Chloride!$Q16,'Tables - Part 2'!$AX$5:$BA$5,0)),0)</f>
        <v>0</v>
      </c>
      <c r="BI16" s="248">
        <f>IF($P16=$BI$3,((INDEX('Tables - Part 2'!$BB$17:$BE$24,MATCH(SCC_Chloride!$V16,'Tables - Part 2'!$AV$6:$AV$13,0),MATCH(SCC_Chloride!$Q16,'Tables - Part 2'!$AX$5:$BA$5,0)))+(((INDEX('Tables - Part 2'!$BB$17:$BE$24,MATCH(SCC_Chloride!$V16,'Tables - Part 2'!$AV$6:$AV$13,0),MATCH(SCC_Chloride!$Q16,'Tables - Part 2'!$AX$5:$BA$5,0)))+(INDEX('Tables - Part 2'!$BB$17:$BE$24,MATCH(SCC_Chloride!$V16,'Tables - Part 2'!$AV$6:$AV$13,0),MATCH(SCC_Chloride!$Q16,'Tables - Part 2'!$AX$5:$BA$5,0))+INDEX('Tables - Part 2'!$BF$17:$BI$24,MATCH(SCC_Chloride!$V16,'Tables - Part 2'!$AV$6:$AV$13,0),MATCH(SCC_Chloride!$Q16,'Tables - Part 2'!$AX$5:$BA$5,0)))/2)/2))/2,0)</f>
        <v>0</v>
      </c>
      <c r="BJ16" s="248">
        <f>IF($P16=$BJ$3,((INDEX('Tables - Part 2'!$BB$17:$BE$24,MATCH(SCC_Chloride!$V16,'Tables - Part 2'!$AV$6:$AV$13,0),MATCH(SCC_Chloride!$Q16,'Tables - Part 2'!$AX$5:$BA$5,0)))+(INDEX('Tables - Part 2'!$BB$17:$BE$24,MATCH(SCC_Chloride!$V16,'Tables - Part 2'!$AV$6:$AV$13,0),MATCH(SCC_Chloride!$Q16,'Tables - Part 2'!$AX$5:$BA$5,0))+INDEX('Tables - Part 2'!$BF$17:$BI$24,MATCH(SCC_Chloride!$V16,'Tables - Part 2'!$AV$6:$AV$13,0),MATCH(SCC_Chloride!$Q16,'Tables - Part 2'!$AX$5:$BA$5,0)))/2)/2,0)</f>
        <v>0</v>
      </c>
      <c r="BK16" s="248">
        <f>IF($P16=$BK$3,((((INDEX('Tables - Part 2'!$BB$17:$BE$24,MATCH(SCC_Chloride!$V16,'Tables - Part 2'!$AV$6:$AV$13,0),MATCH(SCC_Chloride!$Q16,'Tables - Part 2'!$AX$5:$BA$5,0)))+(INDEX('Tables - Part 2'!$BB$17:$BE$24,MATCH(SCC_Chloride!$V16,'Tables - Part 2'!$AV$6:$AV$13,0),MATCH(SCC_Chloride!$Q16,'Tables - Part 2'!$AX$5:$BA$5,0))+INDEX('Tables - Part 2'!$BF$17:$BI$24,MATCH(SCC_Chloride!$V16,'Tables - Part 2'!$AV$6:$AV$13,0),MATCH(SCC_Chloride!$Q16,'Tables - Part 2'!$AX$5:$BA$5,0)))/2)/2)+((INDEX('Tables - Part 2'!$BB$17:$BE$24,MATCH(SCC_Chloride!$V16,'Tables - Part 2'!$AV$6:$AV$13,0),MATCH(SCC_Chloride!$Q16,'Tables - Part 2'!$AX$5:$BA$5,0))+INDEX('Tables - Part 2'!$BF$17:$BI$24,MATCH(SCC_Chloride!$V16,'Tables - Part 2'!$AV$6:$AV$13,0),MATCH(SCC_Chloride!$Q16,'Tables - Part 2'!$AX$5:$BA$5,0)))/2))/2,0)</f>
        <v>0</v>
      </c>
      <c r="BL16" s="248">
        <f>IF($P16=$BL$3,(INDEX('Tables - Part 2'!$BB$17:$BE$24,MATCH(SCC_Chloride!$V16,'Tables - Part 2'!$AV$6:$AV$13,0),MATCH(SCC_Chloride!$Q16,'Tables - Part 2'!$AX$5:$BA$5,0))+INDEX('Tables - Part 2'!$BF$17:$BI$24,MATCH(SCC_Chloride!$V16,'Tables - Part 2'!$AV$6:$AV$13,0),MATCH(SCC_Chloride!$Q16,'Tables - Part 2'!$AX$5:$BA$5,0)))/2,0)</f>
        <v>0</v>
      </c>
      <c r="BM16" s="248">
        <f>IF($P16=$BM$3,(((INDEX('Tables - Part 2'!$BB$17:$BE$24,MATCH(SCC_Chloride!$V16,'Tables - Part 2'!$AV$6:$AV$13,0),MATCH(SCC_Chloride!$Q16,'Tables - Part 2'!$AX$5:$BA$5,0))+INDEX('Tables - Part 2'!$BF$17:$BI$24,MATCH(SCC_Chloride!$V16,'Tables - Part 2'!$AV$6:$AV$13,0),MATCH(SCC_Chloride!$Q16,'Tables - Part 2'!$AX$5:$BA$5,0)))/2)+((((INDEX('Tables - Part 2'!$BB$17:$BE$24,MATCH(SCC_Chloride!$V16,'Tables - Part 2'!$AV$6:$AV$13,0),MATCH(SCC_Chloride!$Q16,'Tables - Part 2'!$AX$5:$BA$5,0))+INDEX('Tables - Part 2'!$BF$17:$BI$24,MATCH(SCC_Chloride!$V16,'Tables - Part 2'!$AV$6:$AV$13,0),MATCH(SCC_Chloride!$Q16,'Tables - Part 2'!$AX$5:$BA$5,0)))/2)+INDEX('Tables - Part 2'!$BF$17:$BI$24,MATCH(SCC_Chloride!$V16,'Tables - Part 2'!$AV$6:$AV$13,0),MATCH(SCC_Chloride!$Q16,'Tables - Part 2'!$AX$5:$BA$5,0)))/2))/2,0)</f>
        <v>0</v>
      </c>
      <c r="BN16" s="248">
        <f>IF($P16=$BN$3,(((INDEX('Tables - Part 2'!$BB$17:$BE$24,MATCH(SCC_Chloride!$V16,'Tables - Part 2'!$AV$6:$AV$13,0),MATCH(SCC_Chloride!$Q16,'Tables - Part 2'!$AX$5:$BA$5,0))+INDEX('Tables - Part 2'!$BF$17:$BI$24,MATCH(SCC_Chloride!$V16,'Tables - Part 2'!$AV$6:$AV$13,0),MATCH(SCC_Chloride!$Q16,'Tables - Part 2'!$AX$5:$BA$5,0)))/2)+INDEX('Tables - Part 2'!$BF$17:$BI$24,MATCH(SCC_Chloride!$V16,'Tables - Part 2'!$AV$6:$AV$13,0),MATCH(SCC_Chloride!$Q16,'Tables - Part 2'!$AX$5:$BA$5,0)))/2,0)</f>
        <v>0</v>
      </c>
      <c r="BO16" s="248">
        <f>IF($P16=$BO$3,(((((INDEX('Tables - Part 2'!$BB$17:$BE$24,MATCH(SCC_Chloride!$V16,'Tables - Part 2'!$AV$6:$AV$13,0),MATCH(SCC_Chloride!$Q16,'Tables - Part 2'!$AX$5:$BA$5,0))+INDEX('Tables - Part 2'!$BF$17:$BI$24,MATCH(SCC_Chloride!$V16,'Tables - Part 2'!$AV$6:$AV$13,0),MATCH(SCC_Chloride!$Q16,'Tables - Part 2'!$AX$5:$BA$5,0)))/2)+INDEX('Tables - Part 2'!$BF$17:$BI$24,MATCH(SCC_Chloride!$V16,'Tables - Part 2'!$AV$6:$AV$13,0),MATCH(SCC_Chloride!$Q16,'Tables - Part 2'!$AX$5:$BA$5,0)))/2)+(INDEX('Tables - Part 2'!$BF$17:$BI$24,MATCH(SCC_Chloride!$V16,'Tables - Part 2'!$AV$6:$AV$13,0),MATCH(SCC_Chloride!$Q16,'Tables - Part 2'!$AX$5:$BA$5,0))))/2,0)</f>
        <v>0</v>
      </c>
      <c r="BP16" s="248">
        <f>IF($P16=$BP$3,INDEX('Tables - Part 2'!$BF$17:$BI$24,MATCH(SCC_Chloride!$V16,'Tables - Part 2'!$AV$6:$AV$13,0),MATCH(SCC_Chloride!$Q16,'Tables - Part 2'!$AX$5:$BA$5,0)),0)</f>
        <v>0</v>
      </c>
      <c r="BQ16" s="248">
        <f t="shared" si="5"/>
        <v>0</v>
      </c>
      <c r="BR16" s="238">
        <f t="shared" si="9"/>
        <v>1.5</v>
      </c>
      <c r="BS16" s="238">
        <f t="shared" si="6"/>
        <v>25.159323702612586</v>
      </c>
    </row>
    <row r="17" spans="2:71" x14ac:dyDescent="0.35">
      <c r="B17" s="161" t="str">
        <f>'Tratamento de Dados'!B25</f>
        <v>V-7</v>
      </c>
      <c r="C17" s="161" t="str">
        <f>'Tratamento de Dados'!D25</f>
        <v>Casco</v>
      </c>
      <c r="D17" s="209" t="s">
        <v>245</v>
      </c>
      <c r="E17" s="209" t="s">
        <v>61</v>
      </c>
      <c r="F17" s="209">
        <v>10</v>
      </c>
      <c r="G17" s="209" t="s">
        <v>1167</v>
      </c>
      <c r="H17" s="247">
        <f>'Tratamento de Dados'!S25</f>
        <v>2</v>
      </c>
      <c r="I17" s="210">
        <v>39092</v>
      </c>
      <c r="J17" s="209">
        <v>0</v>
      </c>
      <c r="K17" s="209">
        <v>1</v>
      </c>
      <c r="L17" s="209">
        <v>1</v>
      </c>
      <c r="M17" s="209">
        <v>4</v>
      </c>
      <c r="N17" s="253">
        <f>'Tratamento de Dados'!DA25</f>
        <v>0</v>
      </c>
      <c r="O17" s="253">
        <f>'Tratamento de Dados'!DB25</f>
        <v>0</v>
      </c>
      <c r="P17" s="256">
        <f t="shared" si="0"/>
        <v>2.5</v>
      </c>
      <c r="Q17" s="246" t="str">
        <f t="shared" si="1"/>
        <v>B</v>
      </c>
      <c r="R17" s="246" t="str">
        <f>IF(H17&lt;=38,'Tables - Part 2'!$DO$6,IF(H17&lt;=66,'Tables - Part 2'!$DO$7,IF(H17&lt;=93,'Tables - Part 2'!$DO$8,IF(H17&lt;=149,'Tables - Part 2'!$DO$9,'Tables - Part 2'!$DO$10))))</f>
        <v>≤38</v>
      </c>
      <c r="S17" s="246" t="str">
        <f>IF(H17&lt;=38,'Tables - Part 2'!$DO$14,IF(H17&lt;=93,'Tables - Part 2'!$DO$15,IF(H17&lt;=149,'Tables - Part 2'!$DO$16,'Tables - Part 2'!$DO$17)))</f>
        <v>≤38</v>
      </c>
      <c r="T17" s="246" t="str">
        <f t="shared" si="7"/>
        <v>≤38</v>
      </c>
      <c r="U17" s="467" t="str">
        <f>IF(D17=$BX$2,$BV$5,INDEX(IF(F17&gt;10,'Tables - Part 2'!$DP$14:$DS$17,'Tables - Part 2'!$DP$6:$DS$10),MATCH(T17,IF(F17&gt;10,'Tables - Part 2'!$DO$14:$DO$17,'Tables - Part 2'!$DO$6:$DO$10),0),MATCH(SCC_Chloride!G17,'Tables - Part 2'!$DP$5:$DS$5,0)))</f>
        <v>Low</v>
      </c>
      <c r="V17" s="238">
        <f>IF(AND(D17=$BX$2,E17&lt;&gt;$BX$2),"Fitness-For-Service",INDEX('Tables - Part 2'!$DV$4:$DV$7,MATCH(SCC_Chloride!U17,'Tables - Part 2'!$DU$4:$DU$7,0),))</f>
        <v>50</v>
      </c>
      <c r="W17" s="238">
        <f>IF(I17=0,(Thinning!G18-Thinning!F18)/365.25,(Thinning!G18-I17)/365.25)</f>
        <v>12.980150581793293</v>
      </c>
      <c r="X17" s="248">
        <f t="shared" si="2"/>
        <v>0</v>
      </c>
      <c r="Y17" s="248">
        <f t="shared" si="3"/>
        <v>2.5</v>
      </c>
      <c r="Z17" s="247">
        <f t="shared" si="8"/>
        <v>3</v>
      </c>
      <c r="AA17" s="247">
        <f t="shared" si="4"/>
        <v>4</v>
      </c>
      <c r="AB17" s="248">
        <f>IF($P17=$AB$3,INDEX('Tables - Part 2'!$AX$6:$BA$13,MATCH(SCC_Chloride!V17,'Tables - Part 2'!$AV$6:$AV$13,0),MATCH(SCC_Chloride!Q17,'Tables - Part 2'!$AX$5:$BA$5,0)),0)</f>
        <v>0</v>
      </c>
      <c r="AC17" s="248">
        <f>IF($P17=$AC$3,(INDEX('Tables - Part 2'!$AX$6:$BA$13,MATCH(SCC_Chloride!V17,'Tables - Part 2'!$AV$6:$AV$13,0),MATCH(SCC_Chloride!Q17,'Tables - Part 2'!$AX$5:$BA$5,0))+(INDEX('Tables - Part 2'!$AX$6:$BA$13,MATCH(SCC_Chloride!V17,'Tables - Part 2'!$AV$6:$AV$13,0),MATCH(SCC_Chloride!Q17,'Tables - Part 2'!$AX$5:$BA$5,0))+((INDEX('Tables - Part 2'!$AX$6:$BA$13,MATCH(SCC_Chloride!V17,'Tables - Part 2'!$AV$6:$AV$13,0),MATCH(SCC_Chloride!Q17,'Tables - Part 2'!$AX$5:$BA$5,0))+INDEX('Tables - Part 2'!$BB$6:$BE$13,MATCH(SCC_Chloride!$V17,'Tables - Part 2'!$AV$6:$AV$13,0),MATCH(SCC_Chloride!$Q17,'Tables - Part 2'!$AX$5:$BA$5,0)))/2))/2)/2,0)</f>
        <v>0</v>
      </c>
      <c r="AD17" s="248">
        <f>IF($P17=$AD$3,(INDEX('Tables - Part 2'!$AX$6:$BA$13,MATCH(SCC_Chloride!V17,'Tables - Part 2'!$AV$6:$AV$13,0),MATCH(SCC_Chloride!Q17,'Tables - Part 2'!$AX$5:$BA$5,0))+((INDEX('Tables - Part 2'!$AX$6:$BA$13,MATCH(SCC_Chloride!V17,'Tables - Part 2'!$AV$6:$AV$13,0),MATCH(SCC_Chloride!Q17,'Tables - Part 2'!$AX$5:$BA$5,0))+INDEX('Tables - Part 2'!$BB$6:$BE$13,MATCH(SCC_Chloride!$V17,'Tables - Part 2'!$AV$6:$AV$13,0),MATCH(SCC_Chloride!$Q17,'Tables - Part 2'!$AX$5:$BA$5,0)))/2))/2,0)</f>
        <v>0</v>
      </c>
      <c r="AE17" s="248">
        <f>IF($P17=$AE$3,(((INDEX('Tables - Part 2'!$AX$6:$BA$13,MATCH(SCC_Chloride!V17,'Tables - Part 2'!$AV$6:$AV$13,0),MATCH(SCC_Chloride!Q17,'Tables - Part 2'!$AX$5:$BA$5,0))+((INDEX('Tables - Part 2'!$AX$6:$BA$13,MATCH(SCC_Chloride!V17,'Tables - Part 2'!$AV$6:$AV$13,0),MATCH(SCC_Chloride!Q17,'Tables - Part 2'!$AX$5:$BA$5,0))+INDEX('Tables - Part 2'!$BB$6:$BE$13,MATCH(SCC_Chloride!$V17,'Tables - Part 2'!$AV$6:$AV$13,0),MATCH(SCC_Chloride!$Q17,'Tables - Part 2'!$AX$5:$BA$5,0)))/2))/2)+(INDEX('Tables - Part 2'!$AX$6:$BA$13,MATCH(SCC_Chloride!V17,'Tables - Part 2'!$AV$6:$AV$13,0),MATCH(SCC_Chloride!Q17,'Tables - Part 2'!$AX$5:$BA$5,0))+INDEX('Tables - Part 2'!$BB$6:$BE$13,MATCH(SCC_Chloride!$V17,'Tables - Part 2'!$AV$6:$AV$13,0),MATCH(SCC_Chloride!$Q17,'Tables - Part 2'!$AX$5:$BA$5,0)))/2)/2,0)</f>
        <v>0</v>
      </c>
      <c r="AF17" s="248">
        <f>IF($P17=$AF$3,(INDEX('Tables - Part 2'!$AX$6:$BA$13,MATCH(SCC_Chloride!V17,'Tables - Part 2'!$AV$6:$AV$13,0),MATCH(SCC_Chloride!Q17,'Tables - Part 2'!$AX$5:$BA$5,0))+INDEX('Tables - Part 2'!$BB$6:$BE$13,MATCH(SCC_Chloride!$V17,'Tables - Part 2'!$AV$6:$AV$13,0),MATCH(SCC_Chloride!$Q17,'Tables - Part 2'!$AX$5:$BA$5,0)))/2,0)</f>
        <v>0</v>
      </c>
      <c r="AG17" s="248">
        <f>IF($P17=$AG$3,(((INDEX('Tables - Part 2'!$AX$6:$BA$13,MATCH(SCC_Chloride!V17,'Tables - Part 2'!$AV$6:$AV$13,0),MATCH(SCC_Chloride!Q17,'Tables - Part 2'!$AX$5:$BA$5,0))+INDEX('Tables - Part 2'!$BB$6:$BE$13,MATCH(SCC_Chloride!$V17,'Tables - Part 2'!$AV$6:$AV$13,0),MATCH(SCC_Chloride!$Q17,'Tables - Part 2'!$AX$5:$BA$5,0)))/2)+(((INDEX('Tables - Part 2'!$AX$6:$BA$13,MATCH(SCC_Chloride!V17,'Tables - Part 2'!$AV$6:$AV$13,0),MATCH(SCC_Chloride!Q17,'Tables - Part 2'!$AX$5:$BA$5,0))+INDEX('Tables - Part 2'!$BB$6:$BE$13,MATCH(SCC_Chloride!$V17,'Tables - Part 2'!$AV$6:$AV$13,0),MATCH(SCC_Chloride!$Q17,'Tables - Part 2'!$AX$5:$BA$5,0)))/2)+INDEX('Tables - Part 2'!$BB$6:$BE$13,MATCH(SCC_Chloride!$V17,'Tables - Part 2'!$AV$6:$AV$13,0),MATCH(SCC_Chloride!$Q17,'Tables - Part 2'!$AX$5:$BA$5,0)))/2)/2,0)</f>
        <v>0</v>
      </c>
      <c r="AH17" s="248">
        <f>IF($P17=$AH$3,(((INDEX('Tables - Part 2'!$AX$6:$BA$13,MATCH(SCC_Chloride!V17,'Tables - Part 2'!$AV$6:$AV$13,0),MATCH(SCC_Chloride!Q17,'Tables - Part 2'!$AX$5:$BA$5,0))+INDEX('Tables - Part 2'!$BB$6:$BE$13,MATCH(SCC_Chloride!$V17,'Tables - Part 2'!$AV$6:$AV$13,0),MATCH(SCC_Chloride!$Q17,'Tables - Part 2'!$AX$5:$BA$5,0)))/2)+INDEX('Tables - Part 2'!$BB$6:$BE$13,MATCH(SCC_Chloride!$V17,'Tables - Part 2'!$AV$6:$AV$13,0),MATCH(SCC_Chloride!$Q17,'Tables - Part 2'!$AX$5:$BA$5,0)))/2,0)</f>
        <v>0</v>
      </c>
      <c r="AI17" s="248">
        <f>IF($P17=$AI$3,(((((INDEX('Tables - Part 2'!$AX$6:$BA$13,MATCH(SCC_Chloride!V17,'Tables - Part 2'!$AV$6:$AV$13,0),MATCH(SCC_Chloride!Q17,'Tables - Part 2'!$AX$5:$BA$5,0))+INDEX('Tables - Part 2'!$BB$6:$BE$13,MATCH(SCC_Chloride!$V17,'Tables - Part 2'!$AV$6:$AV$13,0),MATCH(SCC_Chloride!$Q17,'Tables - Part 2'!$AX$5:$BA$5,0)))/2)+INDEX('Tables - Part 2'!$BB$6:$BE$13,MATCH(SCC_Chloride!$V17,'Tables - Part 2'!$AV$6:$AV$13,0),MATCH(SCC_Chloride!$Q17,'Tables - Part 2'!$AX$5:$BA$5,0)))/2)+INDEX('Tables - Part 2'!$BB$6:$BE$13,MATCH(SCC_Chloride!$V17,'Tables - Part 2'!$AV$6:$AV$13,0),MATCH(SCC_Chloride!$Q17,'Tables - Part 2'!$AX$5:$BA$5,0)))/2,0)</f>
        <v>0</v>
      </c>
      <c r="AJ17" s="248">
        <f>IF($P17=$AJ$3,INDEX('Tables - Part 2'!$BB$6:$BE$13,MATCH(SCC_Chloride!$V17,'Tables - Part 2'!$AV$6:$AV$13,0),MATCH(SCC_Chloride!$Q17,'Tables - Part 2'!$AX$5:$BA$5,0)),0)</f>
        <v>0</v>
      </c>
      <c r="AK17" s="248">
        <f>IF($P17=$AK$3,((INDEX('Tables - Part 2'!$BB$6:$BE$13,MATCH(SCC_Chloride!$V17,'Tables - Part 2'!$AV$6:$AV$13,0),MATCH(SCC_Chloride!$Q17,'Tables - Part 2'!$AX$5:$BA$5,0)))+(INDEX('Tables - Part 2'!$BB$6:$BE$13,MATCH(SCC_Chloride!$V17,'Tables - Part 2'!$AV$6:$AV$13,0),MATCH(SCC_Chloride!$Q17,'Tables - Part 2'!$AX$5:$BA$5,0))+(INDEX('Tables - Part 2'!$BB$6:$BE$13,MATCH(SCC_Chloride!$V17,'Tables - Part 2'!$AV$6:$AV$13,0),MATCH(SCC_Chloride!$Q17,'Tables - Part 2'!$AX$5:$BA$5,0))+INDEX('Tables - Part 2'!$BF$6:$BI$13,MATCH(SCC_Chloride!$V17,'Tables - Part 2'!$AV$6:$AV$13,0),MATCH(SCC_Chloride!$Q17,'Tables - Part 2'!$AX$5:$BA$5,0)))/2)/2)/2,0)</f>
        <v>0</v>
      </c>
      <c r="AL17" s="248">
        <f>IF($P17=$AL$3,(INDEX('Tables - Part 2'!$BB$6:$BE$13,MATCH(SCC_Chloride!$V17,'Tables - Part 2'!$AV$6:$AV$13,0),MATCH(SCC_Chloride!$Q17,'Tables - Part 2'!$AX$5:$BA$5,0))+(INDEX('Tables - Part 2'!$BB$6:$BE$13,MATCH(SCC_Chloride!$V17,'Tables - Part 2'!$AV$6:$AV$13,0),MATCH(SCC_Chloride!$Q17,'Tables - Part 2'!$AX$5:$BA$5,0))+INDEX('Tables - Part 2'!$BF$6:$BI$13,MATCH(SCC_Chloride!$V17,'Tables - Part 2'!$AV$6:$AV$13,0),MATCH(SCC_Chloride!$Q17,'Tables - Part 2'!$AX$5:$BA$5,0)))/2)/2,0)</f>
        <v>0</v>
      </c>
      <c r="AM17" s="248">
        <f>IF($P17=$AM$3,(((INDEX('Tables - Part 2'!$BB$6:$BE$13,MATCH(SCC_Chloride!$V17,'Tables - Part 2'!$AV$6:$AV$13,0),MATCH(SCC_Chloride!$Q17,'Tables - Part 2'!$AX$5:$BA$5,0))+(INDEX('Tables - Part 2'!$BB$6:$BE$13,MATCH(SCC_Chloride!$V17,'Tables - Part 2'!$AV$6:$AV$13,0),MATCH(SCC_Chloride!$Q17,'Tables - Part 2'!$AX$5:$BA$5,0))+INDEX('Tables - Part 2'!$BF$6:$BI$13,MATCH(SCC_Chloride!$V17,'Tables - Part 2'!$AV$6:$AV$13,0),MATCH(SCC_Chloride!$Q17,'Tables - Part 2'!$AX$5:$BA$5,0)))/2)/2)+((INDEX('Tables - Part 2'!$BB$6:$BE$13,MATCH(SCC_Chloride!$V17,'Tables - Part 2'!$AV$6:$AV$13,0),MATCH(SCC_Chloride!$Q17,'Tables - Part 2'!$AX$5:$BA$5,0))+INDEX('Tables - Part 2'!$BF$6:$BI$13,MATCH(SCC_Chloride!$V17,'Tables - Part 2'!$AV$6:$AV$13,0),MATCH(SCC_Chloride!$Q17,'Tables - Part 2'!$AX$5:$BA$5,0)))/2))/2,0)</f>
        <v>0</v>
      </c>
      <c r="AN17" s="248">
        <f>IF($P17=$AN$3,(INDEX('Tables - Part 2'!$BB$6:$BE$13,MATCH(SCC_Chloride!$V17,'Tables - Part 2'!$AV$6:$AV$13,0),MATCH(SCC_Chloride!$Q17,'Tables - Part 2'!$AX$5:$BA$5,0))+INDEX('Tables - Part 2'!$BF$6:$BI$13,MATCH(SCC_Chloride!$V17,'Tables - Part 2'!$AV$6:$AV$13,0),MATCH(SCC_Chloride!$Q17,'Tables - Part 2'!$AX$5:$BA$5,0)))/2,0)</f>
        <v>1.5</v>
      </c>
      <c r="AO17" s="248">
        <f>IF($P17=$AO$3,(((INDEX('Tables - Part 2'!$BB$6:$BE$13,MATCH(SCC_Chloride!$V17,'Tables - Part 2'!$AV$6:$AV$13,0),MATCH(SCC_Chloride!$Q17,'Tables - Part 2'!$AX$5:$BA$5,0))+INDEX('Tables - Part 2'!$BF$6:$BI$13,MATCH(SCC_Chloride!$V17,'Tables - Part 2'!$AV$6:$AV$13,0),MATCH(SCC_Chloride!$Q17,'Tables - Part 2'!$AX$5:$BA$5,0)))/2)+((((INDEX('Tables - Part 2'!$BB$6:$BE$13,MATCH(SCC_Chloride!$V17,'Tables - Part 2'!$AV$6:$AV$13,0),MATCH(SCC_Chloride!$Q17,'Tables - Part 2'!$AX$5:$BA$5,0))+INDEX('Tables - Part 2'!$BF$6:$BI$13,MATCH(SCC_Chloride!$V17,'Tables - Part 2'!$AV$6:$AV$13,0),MATCH(SCC_Chloride!$Q17,'Tables - Part 2'!$AX$5:$BA$5,0)))/2)+INDEX('Tables - Part 2'!$BF$6:$BI$13,MATCH(SCC_Chloride!$V17,'Tables - Part 2'!$AV$6:$AV$13,0),MATCH(SCC_Chloride!$Q17,'Tables - Part 2'!$AX$5:$BA$5,0)))/2))/2,0)</f>
        <v>0</v>
      </c>
      <c r="AP17" s="248">
        <f>IF($P17=$AP$3,(((INDEX('Tables - Part 2'!$BB$6:$BE$13,MATCH(SCC_Chloride!$V17,'Tables - Part 2'!$AV$6:$AV$13,0),MATCH(SCC_Chloride!$Q17,'Tables - Part 2'!$AX$5:$BA$5,0))+INDEX('Tables - Part 2'!$BF$6:$BI$13,MATCH(SCC_Chloride!$V17,'Tables - Part 2'!$AV$6:$AV$13,0),MATCH(SCC_Chloride!$Q17,'Tables - Part 2'!$AX$5:$BA$5,0)))/2)+INDEX('Tables - Part 2'!$BF$6:$BI$13,MATCH(SCC_Chloride!$V17,'Tables - Part 2'!$AV$6:$AV$13,0),MATCH(SCC_Chloride!$Q17,'Tables - Part 2'!$AX$5:$BA$5,0)))/2,0)</f>
        <v>0</v>
      </c>
      <c r="AQ17" s="248">
        <f>IF($P17=$AQ$3,(((((INDEX('Tables - Part 2'!$BB$6:$BE$13,MATCH(SCC_Chloride!$V17,'Tables - Part 2'!$AV$6:$AV$13,0),MATCH(SCC_Chloride!$Q17,'Tables - Part 2'!$AX$5:$BA$5,0))+INDEX('Tables - Part 2'!$BF$6:$BI$13,MATCH(SCC_Chloride!$V17,'Tables - Part 2'!$AV$6:$AV$13,0),MATCH(SCC_Chloride!$Q17,'Tables - Part 2'!$AX$5:$BA$5,0)))/2)+INDEX('Tables - Part 2'!$BF$6:$BI$13,MATCH(SCC_Chloride!$V17,'Tables - Part 2'!$AV$6:$AV$13,0),MATCH(SCC_Chloride!$Q17,'Tables - Part 2'!$AX$5:$BA$5,0)))/2)+INDEX('Tables - Part 2'!$BF$6:$BI$13,MATCH(SCC_Chloride!$V17,'Tables - Part 2'!$AV$6:$AV$13,0),MATCH(SCC_Chloride!$Q17,'Tables - Part 2'!$AX$5:$BA$5,0)))/2,0)</f>
        <v>0</v>
      </c>
      <c r="AR17" s="248">
        <f>IF($P17=$AR$3,INDEX('Tables - Part 2'!$BF$6:$BI$13,MATCH(SCC_Chloride!$V17,'Tables - Part 2'!$AV$6:$AV$13,0),MATCH(SCC_Chloride!$Q17,'Tables - Part 2'!$AX$5:$BA$5,0)),0)</f>
        <v>0</v>
      </c>
      <c r="AS17" s="248">
        <f>IF($P17=$AS$3,(INDEX('Tables - Part 2'!$BF$6:$BI$13,MATCH(SCC_Chloride!$V17,'Tables - Part 2'!$AV$6:$AV$13,0),MATCH(SCC_Chloride!$Q17,'Tables - Part 2'!$AX$5:$BA$5,0))+((INDEX('Tables - Part 2'!$BF$6:$BI$13,MATCH(SCC_Chloride!$V17,'Tables - Part 2'!$AV$6:$AV$13,0),MATCH(SCC_Chloride!$Q17,'Tables - Part 2'!$AX$5:$BA$5,0))+(INDEX('Tables - Part 2'!$BF$6:$BI$13,MATCH(SCC_Chloride!$V17,'Tables - Part 2'!$AV$6:$AV$13,0),MATCH(SCC_Chloride!$Q17,'Tables - Part 2'!$AX$5:$BA$5,0))+INDEX('Tables - Part 2'!$AX$17:$BA$24,MATCH(SCC_Chloride!$V17,'Tables - Part 2'!$AV$6:$AV$13,0),MATCH(SCC_Chloride!$Q17,'Tables - Part 2'!$AX$5:$BA$5,0)))/2)/2))/2,0)</f>
        <v>0</v>
      </c>
      <c r="AT17" s="248">
        <f>IF($P17=$AT$3,(INDEX('Tables - Part 2'!$BF$6:$BI$13,MATCH(SCC_Chloride!$V17,'Tables - Part 2'!$AV$6:$AV$13,0),MATCH(SCC_Chloride!$Q17,'Tables - Part 2'!$AX$5:$BA$5,0))+(INDEX('Tables - Part 2'!$BF$6:$BI$13,MATCH(SCC_Chloride!$V17,'Tables - Part 2'!$AV$6:$AV$13,0),MATCH(SCC_Chloride!$Q17,'Tables - Part 2'!$AX$5:$BA$5,0))+INDEX('Tables - Part 2'!$AX$17:$BA$24,MATCH(SCC_Chloride!$V17,'Tables - Part 2'!$AV$6:$AV$13,0),MATCH(SCC_Chloride!$Q17,'Tables - Part 2'!$AX$5:$BA$5,0)))/2)/2,0)</f>
        <v>0</v>
      </c>
      <c r="AU17" s="248">
        <f>IF($P17=$AU$3,(((INDEX('Tables - Part 2'!$BF$6:$BI$13,MATCH(SCC_Chloride!$V17,'Tables - Part 2'!$AV$6:$AV$13,0),MATCH(SCC_Chloride!$Q17,'Tables - Part 2'!$AX$5:$BA$5,0))+(INDEX('Tables - Part 2'!$BF$6:$BI$13,MATCH(SCC_Chloride!$V17,'Tables - Part 2'!$AV$6:$AV$13,0),MATCH(SCC_Chloride!$Q17,'Tables - Part 2'!$AX$5:$BA$5,0))+INDEX('Tables - Part 2'!$AX$17:$BA$24,MATCH(SCC_Chloride!$V17,'Tables - Part 2'!$AV$6:$AV$13,0),MATCH(SCC_Chloride!$Q17,'Tables - Part 2'!$AX$5:$BA$5,0)))/2)/2)+((INDEX('Tables - Part 2'!$BF$6:$BI$13,MATCH(SCC_Chloride!$V17,'Tables - Part 2'!$AV$6:$AV$13,0),MATCH(SCC_Chloride!$Q17,'Tables - Part 2'!$AX$5:$BA$5,0))+INDEX('Tables - Part 2'!$AX$17:$BA$24,MATCH(SCC_Chloride!$V17,'Tables - Part 2'!$AV$6:$AV$13,0),MATCH(SCC_Chloride!$Q17,'Tables - Part 2'!$AX$5:$BA$5,0)))/2))/2,0)</f>
        <v>0</v>
      </c>
      <c r="AV17" s="248">
        <f>IF($P17=$AV$3,(INDEX('Tables - Part 2'!$BF$6:$BI$13,MATCH(SCC_Chloride!$V17,'Tables - Part 2'!$AV$6:$AV$13,0),MATCH(SCC_Chloride!$Q17,'Tables - Part 2'!$AX$5:$BA$5,0))+INDEX('Tables - Part 2'!$AX$17:$BA$24,MATCH(SCC_Chloride!$V17,'Tables - Part 2'!$AV$6:$AV$13,0),MATCH(SCC_Chloride!$Q17,'Tables - Part 2'!$AX$5:$BA$5,0)))/2,0)</f>
        <v>0</v>
      </c>
      <c r="AW17" s="248">
        <f>IF($P17=$AW$3,(((INDEX('Tables - Part 2'!$BF$6:$BI$13,MATCH(SCC_Chloride!$V17,'Tables - Part 2'!$AV$6:$AV$13,0),MATCH(SCC_Chloride!$Q17,'Tables - Part 2'!$AX$5:$BA$5,0))+INDEX('Tables - Part 2'!$AX$17:$BA$24,MATCH(SCC_Chloride!$V17,'Tables - Part 2'!$AV$6:$AV$13,0),MATCH(SCC_Chloride!$Q17,'Tables - Part 2'!$AX$5:$BA$5,0)))/2)+((((INDEX('Tables - Part 2'!$BF$6:$BI$13,MATCH(SCC_Chloride!$V17,'Tables - Part 2'!$AV$6:$AV$13,0),MATCH(SCC_Chloride!$Q17,'Tables - Part 2'!$AX$5:$BA$5,0))+INDEX('Tables - Part 2'!$AX$17:$BA$24,MATCH(SCC_Chloride!$V17,'Tables - Part 2'!$AV$6:$AV$13,0),MATCH(SCC_Chloride!$Q17,'Tables - Part 2'!$AX$5:$BA$5,0)))/2)+INDEX('Tables - Part 2'!$AX$17:$BA$24,MATCH(SCC_Chloride!$V17,'Tables - Part 2'!$AV$6:$AV$13,0),MATCH(SCC_Chloride!$Q17,'Tables - Part 2'!$AX$5:$BA$5,0)))/2))/2,0)</f>
        <v>0</v>
      </c>
      <c r="AX17" s="248">
        <f>IF($P17=$AX$3,(((INDEX('Tables - Part 2'!$BF$6:$BI$13,MATCH(SCC_Chloride!$V17,'Tables - Part 2'!$AV$6:$AV$13,0),MATCH(SCC_Chloride!$Q17,'Tables - Part 2'!$AX$5:$BA$5,0))+INDEX('Tables - Part 2'!$AX$17:$BA$24,MATCH(SCC_Chloride!$V17,'Tables - Part 2'!$AV$6:$AV$13,0),MATCH(SCC_Chloride!$Q17,'Tables - Part 2'!$AX$5:$BA$5,0)))/2)+INDEX('Tables - Part 2'!$AX$17:$BA$24,MATCH(SCC_Chloride!$V17,'Tables - Part 2'!$AV$6:$AV$13,0),MATCH(SCC_Chloride!$Q17,'Tables - Part 2'!$AX$5:$BA$5,0)))/2,0)</f>
        <v>0</v>
      </c>
      <c r="AY17" s="248">
        <f>IF($P17=$AY$3,(((((INDEX('Tables - Part 2'!$BF$6:$BI$13,MATCH(SCC_Chloride!$V17,'Tables - Part 2'!$AV$6:$AV$13,0),MATCH(SCC_Chloride!$Q17,'Tables - Part 2'!$AX$5:$BA$5,0))+INDEX('Tables - Part 2'!$AX$17:$BA$24,MATCH(SCC_Chloride!$V17,'Tables - Part 2'!$AV$6:$AV$13,0),MATCH(SCC_Chloride!$Q17,'Tables - Part 2'!$AX$5:$BA$5,0)))/2)+INDEX('Tables - Part 2'!$AX$17:$BA$24,MATCH(SCC_Chloride!$V17,'Tables - Part 2'!$AV$6:$AV$13,0),MATCH(SCC_Chloride!$Q17,'Tables - Part 2'!$AX$5:$BA$5,0)))/2)+(INDEX('Tables - Part 2'!$AX$17:$BA$24,MATCH(SCC_Chloride!$V17,'Tables - Part 2'!$AV$6:$AV$13,0),MATCH(SCC_Chloride!$Q17,'Tables - Part 2'!$AX$5:$BA$5,0))))/2,0)</f>
        <v>0</v>
      </c>
      <c r="AZ17" s="248">
        <f>IF($P17=$AZ$3,INDEX('Tables - Part 2'!$AX$17:$BA$24,MATCH(SCC_Chloride!$V17,'Tables - Part 2'!$AV$6:$AV$13,0),MATCH(SCC_Chloride!$Q17,'Tables - Part 2'!$AX$5:$BA$5,0)),0)</f>
        <v>0</v>
      </c>
      <c r="BA17" s="248">
        <f>IF($P17=$BA$3,((INDEX('Tables - Part 2'!$AX$17:$BA$24,MATCH(SCC_Chloride!$V17,'Tables - Part 2'!$AV$6:$AV$13,0),MATCH(SCC_Chloride!$Q17,'Tables - Part 2'!$AX$5:$BA$5,0)))+(((INDEX('Tables - Part 2'!$AX$17:$BA$24,MATCH(SCC_Chloride!$V17,'Tables - Part 2'!$AV$6:$AV$13,0),MATCH(SCC_Chloride!$Q17,'Tables - Part 2'!$AX$5:$BA$5,0)))+(INDEX('Tables - Part 2'!$AX$17:$BA$24,MATCH(SCC_Chloride!$V17,'Tables - Part 2'!$AV$6:$AV$13,0),MATCH(SCC_Chloride!$Q17,'Tables - Part 2'!$AX$5:$BA$5,0))+INDEX('Tables - Part 2'!$BB$17:$BE$24,MATCH(SCC_Chloride!$V17,'Tables - Part 2'!$AV$6:$AV$13,0),MATCH(SCC_Chloride!$Q17,'Tables - Part 2'!$AX$5:$BA$5,0)))/2)/2))/2,0)</f>
        <v>0</v>
      </c>
      <c r="BB17" s="248">
        <f>IF($P17=$BB$3,((INDEX('Tables - Part 2'!$AX$17:$BA$24,MATCH(SCC_Chloride!$V17,'Tables - Part 2'!$AV$6:$AV$13,0),MATCH(SCC_Chloride!$Q17,'Tables - Part 2'!$AX$5:$BA$5,0)))+(INDEX('Tables - Part 2'!$AX$17:$BA$24,MATCH(SCC_Chloride!$V17,'Tables - Part 2'!$AV$6:$AV$13,0),MATCH(SCC_Chloride!$Q17,'Tables - Part 2'!$AX$5:$BA$5,0))+INDEX('Tables - Part 2'!$BB$17:$BE$24,MATCH(SCC_Chloride!$V17,'Tables - Part 2'!$AV$6:$AV$13,0),MATCH(SCC_Chloride!$Q17,'Tables - Part 2'!$AX$5:$BA$5,0)))/2)/2,0)</f>
        <v>0</v>
      </c>
      <c r="BC17" s="248">
        <f>IF($P17=$BC$3,((((INDEX('Tables - Part 2'!$AX$17:$BA$24,MATCH(SCC_Chloride!$V17,'Tables - Part 2'!$AV$6:$AV$13,0),MATCH(SCC_Chloride!$Q17,'Tables - Part 2'!$AX$5:$BA$5,0)))+(INDEX('Tables - Part 2'!$AX$17:$BA$24,MATCH(SCC_Chloride!$V17,'Tables - Part 2'!$AV$6:$AV$13,0),MATCH(SCC_Chloride!$Q17,'Tables - Part 2'!$AX$5:$BA$5,0))+INDEX('Tables - Part 2'!$BB$17:$BE$24,MATCH(SCC_Chloride!$V17,'Tables - Part 2'!$AV$6:$AV$13,0),MATCH(SCC_Chloride!$Q17,'Tables - Part 2'!$AX$5:$BA$5,0)))/2)/2)+((INDEX('Tables - Part 2'!$AX$17:$BA$24,MATCH(SCC_Chloride!$V17,'Tables - Part 2'!$AV$6:$AV$13,0),MATCH(SCC_Chloride!$Q17,'Tables - Part 2'!$AX$5:$BA$5,0))+INDEX('Tables - Part 2'!$BB$17:$BE$24,MATCH(SCC_Chloride!$V17,'Tables - Part 2'!$AV$6:$AV$13,0),MATCH(SCC_Chloride!$Q17,'Tables - Part 2'!$AX$5:$BA$5,0)))/2))/2,0)</f>
        <v>0</v>
      </c>
      <c r="BD17" s="248">
        <f>IF($P17=$BD$3,(INDEX('Tables - Part 2'!$AX$17:$BA$24,MATCH(SCC_Chloride!$V17,'Tables - Part 2'!$AV$6:$AV$13,0),MATCH(SCC_Chloride!$Q17,'Tables - Part 2'!$AX$5:$BA$5,0))+INDEX('Tables - Part 2'!$BB$17:$BE$24,MATCH(SCC_Chloride!$V17,'Tables - Part 2'!$AV$6:$AV$13,0),MATCH(SCC_Chloride!$Q17,'Tables - Part 2'!$AX$5:$BA$5,0)))/2,0)</f>
        <v>0</v>
      </c>
      <c r="BE17" s="248">
        <f>IF($P17=$BE$3,(((INDEX('Tables - Part 2'!$AX$17:$BA$24,MATCH(SCC_Chloride!$V17,'Tables - Part 2'!$AV$6:$AV$13,0),MATCH(SCC_Chloride!$Q17,'Tables - Part 2'!$AX$5:$BA$5,0))+INDEX('Tables - Part 2'!$BB$17:$BE$24,MATCH(SCC_Chloride!$V17,'Tables - Part 2'!$AV$6:$AV$13,0),MATCH(SCC_Chloride!$Q17,'Tables - Part 2'!$AX$5:$BA$5,0)))/2)+((((INDEX('Tables - Part 2'!$AX$17:$BA$24,MATCH(SCC_Chloride!$V17,'Tables - Part 2'!$AV$6:$AV$13,0),MATCH(SCC_Chloride!$Q17,'Tables - Part 2'!$AX$5:$BA$5,0))+INDEX('Tables - Part 2'!$BB$17:$BE$24,MATCH(SCC_Chloride!$V17,'Tables - Part 2'!$AV$6:$AV$13,0),MATCH(SCC_Chloride!$Q17,'Tables - Part 2'!$AX$5:$BA$5,0)))/2)+INDEX('Tables - Part 2'!$BB$17:$BE$24,MATCH(SCC_Chloride!$V17,'Tables - Part 2'!$AV$6:$AV$13,0),MATCH(SCC_Chloride!$Q17,'Tables - Part 2'!$AX$5:$BA$5,0)))/2))/2,0)</f>
        <v>0</v>
      </c>
      <c r="BF17" s="248">
        <f>IF($P17=$BF$3,(((INDEX('Tables - Part 2'!$AX$17:$BA$24,MATCH(SCC_Chloride!$V17,'Tables - Part 2'!$AV$6:$AV$13,0),MATCH(SCC_Chloride!$Q17,'Tables - Part 2'!$AX$5:$BA$5,0))+INDEX('Tables - Part 2'!$BB$17:$BE$24,MATCH(SCC_Chloride!$V17,'Tables - Part 2'!$AV$6:$AV$13,0),MATCH(SCC_Chloride!$Q17,'Tables - Part 2'!$AX$5:$BA$5,0)))/2)+INDEX('Tables - Part 2'!$BB$17:$BE$24,MATCH(SCC_Chloride!$V17,'Tables - Part 2'!$AV$6:$AV$13,0),MATCH(SCC_Chloride!$Q17,'Tables - Part 2'!$AX$5:$BA$5,0)))/2,0)</f>
        <v>0</v>
      </c>
      <c r="BG17" s="248">
        <f>IF($P17=$BG$3,(((((INDEX('Tables - Part 2'!$AX$17:$BA$24,MATCH(SCC_Chloride!$V17,'Tables - Part 2'!$AV$6:$AV$13,0),MATCH(SCC_Chloride!$Q17,'Tables - Part 2'!$AX$5:$BA$5,0))+INDEX('Tables - Part 2'!$BB$17:$BE$24,MATCH(SCC_Chloride!$V17,'Tables - Part 2'!$AV$6:$AV$13,0),MATCH(SCC_Chloride!$Q17,'Tables - Part 2'!$AX$5:$BA$5,0)))/2)+INDEX('Tables - Part 2'!$BB$17:$BE$24,MATCH(SCC_Chloride!$V17,'Tables - Part 2'!$AV$6:$AV$13,0),MATCH(SCC_Chloride!$Q17,'Tables - Part 2'!$AX$5:$BA$5,0)))/2)+(INDEX('Tables - Part 2'!$BB$17:$BE$24,MATCH(SCC_Chloride!$V17,'Tables - Part 2'!$AV$6:$AV$13,0),MATCH(SCC_Chloride!$Q17,'Tables - Part 2'!$AX$5:$BA$5,0))))/2,0)</f>
        <v>0</v>
      </c>
      <c r="BH17" s="248">
        <f>IF($P17=$BH$3,INDEX('Tables - Part 2'!$BB$17:$BE$24,MATCH(SCC_Chloride!$V17,'Tables - Part 2'!$AV$6:$AV$13,0),MATCH(SCC_Chloride!$Q17,'Tables - Part 2'!$AX$5:$BA$5,0)),0)</f>
        <v>0</v>
      </c>
      <c r="BI17" s="248">
        <f>IF($P17=$BI$3,((INDEX('Tables - Part 2'!$BB$17:$BE$24,MATCH(SCC_Chloride!$V17,'Tables - Part 2'!$AV$6:$AV$13,0),MATCH(SCC_Chloride!$Q17,'Tables - Part 2'!$AX$5:$BA$5,0)))+(((INDEX('Tables - Part 2'!$BB$17:$BE$24,MATCH(SCC_Chloride!$V17,'Tables - Part 2'!$AV$6:$AV$13,0),MATCH(SCC_Chloride!$Q17,'Tables - Part 2'!$AX$5:$BA$5,0)))+(INDEX('Tables - Part 2'!$BB$17:$BE$24,MATCH(SCC_Chloride!$V17,'Tables - Part 2'!$AV$6:$AV$13,0),MATCH(SCC_Chloride!$Q17,'Tables - Part 2'!$AX$5:$BA$5,0))+INDEX('Tables - Part 2'!$BF$17:$BI$24,MATCH(SCC_Chloride!$V17,'Tables - Part 2'!$AV$6:$AV$13,0),MATCH(SCC_Chloride!$Q17,'Tables - Part 2'!$AX$5:$BA$5,0)))/2)/2))/2,0)</f>
        <v>0</v>
      </c>
      <c r="BJ17" s="248">
        <f>IF($P17=$BJ$3,((INDEX('Tables - Part 2'!$BB$17:$BE$24,MATCH(SCC_Chloride!$V17,'Tables - Part 2'!$AV$6:$AV$13,0),MATCH(SCC_Chloride!$Q17,'Tables - Part 2'!$AX$5:$BA$5,0)))+(INDEX('Tables - Part 2'!$BB$17:$BE$24,MATCH(SCC_Chloride!$V17,'Tables - Part 2'!$AV$6:$AV$13,0),MATCH(SCC_Chloride!$Q17,'Tables - Part 2'!$AX$5:$BA$5,0))+INDEX('Tables - Part 2'!$BF$17:$BI$24,MATCH(SCC_Chloride!$V17,'Tables - Part 2'!$AV$6:$AV$13,0),MATCH(SCC_Chloride!$Q17,'Tables - Part 2'!$AX$5:$BA$5,0)))/2)/2,0)</f>
        <v>0</v>
      </c>
      <c r="BK17" s="248">
        <f>IF($P17=$BK$3,((((INDEX('Tables - Part 2'!$BB$17:$BE$24,MATCH(SCC_Chloride!$V17,'Tables - Part 2'!$AV$6:$AV$13,0),MATCH(SCC_Chloride!$Q17,'Tables - Part 2'!$AX$5:$BA$5,0)))+(INDEX('Tables - Part 2'!$BB$17:$BE$24,MATCH(SCC_Chloride!$V17,'Tables - Part 2'!$AV$6:$AV$13,0),MATCH(SCC_Chloride!$Q17,'Tables - Part 2'!$AX$5:$BA$5,0))+INDEX('Tables - Part 2'!$BF$17:$BI$24,MATCH(SCC_Chloride!$V17,'Tables - Part 2'!$AV$6:$AV$13,0),MATCH(SCC_Chloride!$Q17,'Tables - Part 2'!$AX$5:$BA$5,0)))/2)/2)+((INDEX('Tables - Part 2'!$BB$17:$BE$24,MATCH(SCC_Chloride!$V17,'Tables - Part 2'!$AV$6:$AV$13,0),MATCH(SCC_Chloride!$Q17,'Tables - Part 2'!$AX$5:$BA$5,0))+INDEX('Tables - Part 2'!$BF$17:$BI$24,MATCH(SCC_Chloride!$V17,'Tables - Part 2'!$AV$6:$AV$13,0),MATCH(SCC_Chloride!$Q17,'Tables - Part 2'!$AX$5:$BA$5,0)))/2))/2,0)</f>
        <v>0</v>
      </c>
      <c r="BL17" s="248">
        <f>IF($P17=$BL$3,(INDEX('Tables - Part 2'!$BB$17:$BE$24,MATCH(SCC_Chloride!$V17,'Tables - Part 2'!$AV$6:$AV$13,0),MATCH(SCC_Chloride!$Q17,'Tables - Part 2'!$AX$5:$BA$5,0))+INDEX('Tables - Part 2'!$BF$17:$BI$24,MATCH(SCC_Chloride!$V17,'Tables - Part 2'!$AV$6:$AV$13,0),MATCH(SCC_Chloride!$Q17,'Tables - Part 2'!$AX$5:$BA$5,0)))/2,0)</f>
        <v>0</v>
      </c>
      <c r="BM17" s="248">
        <f>IF($P17=$BM$3,(((INDEX('Tables - Part 2'!$BB$17:$BE$24,MATCH(SCC_Chloride!$V17,'Tables - Part 2'!$AV$6:$AV$13,0),MATCH(SCC_Chloride!$Q17,'Tables - Part 2'!$AX$5:$BA$5,0))+INDEX('Tables - Part 2'!$BF$17:$BI$24,MATCH(SCC_Chloride!$V17,'Tables - Part 2'!$AV$6:$AV$13,0),MATCH(SCC_Chloride!$Q17,'Tables - Part 2'!$AX$5:$BA$5,0)))/2)+((((INDEX('Tables - Part 2'!$BB$17:$BE$24,MATCH(SCC_Chloride!$V17,'Tables - Part 2'!$AV$6:$AV$13,0),MATCH(SCC_Chloride!$Q17,'Tables - Part 2'!$AX$5:$BA$5,0))+INDEX('Tables - Part 2'!$BF$17:$BI$24,MATCH(SCC_Chloride!$V17,'Tables - Part 2'!$AV$6:$AV$13,0),MATCH(SCC_Chloride!$Q17,'Tables - Part 2'!$AX$5:$BA$5,0)))/2)+INDEX('Tables - Part 2'!$BF$17:$BI$24,MATCH(SCC_Chloride!$V17,'Tables - Part 2'!$AV$6:$AV$13,0),MATCH(SCC_Chloride!$Q17,'Tables - Part 2'!$AX$5:$BA$5,0)))/2))/2,0)</f>
        <v>0</v>
      </c>
      <c r="BN17" s="248">
        <f>IF($P17=$BN$3,(((INDEX('Tables - Part 2'!$BB$17:$BE$24,MATCH(SCC_Chloride!$V17,'Tables - Part 2'!$AV$6:$AV$13,0),MATCH(SCC_Chloride!$Q17,'Tables - Part 2'!$AX$5:$BA$5,0))+INDEX('Tables - Part 2'!$BF$17:$BI$24,MATCH(SCC_Chloride!$V17,'Tables - Part 2'!$AV$6:$AV$13,0),MATCH(SCC_Chloride!$Q17,'Tables - Part 2'!$AX$5:$BA$5,0)))/2)+INDEX('Tables - Part 2'!$BF$17:$BI$24,MATCH(SCC_Chloride!$V17,'Tables - Part 2'!$AV$6:$AV$13,0),MATCH(SCC_Chloride!$Q17,'Tables - Part 2'!$AX$5:$BA$5,0)))/2,0)</f>
        <v>0</v>
      </c>
      <c r="BO17" s="248">
        <f>IF($P17=$BO$3,(((((INDEX('Tables - Part 2'!$BB$17:$BE$24,MATCH(SCC_Chloride!$V17,'Tables - Part 2'!$AV$6:$AV$13,0),MATCH(SCC_Chloride!$Q17,'Tables - Part 2'!$AX$5:$BA$5,0))+INDEX('Tables - Part 2'!$BF$17:$BI$24,MATCH(SCC_Chloride!$V17,'Tables - Part 2'!$AV$6:$AV$13,0),MATCH(SCC_Chloride!$Q17,'Tables - Part 2'!$AX$5:$BA$5,0)))/2)+INDEX('Tables - Part 2'!$BF$17:$BI$24,MATCH(SCC_Chloride!$V17,'Tables - Part 2'!$AV$6:$AV$13,0),MATCH(SCC_Chloride!$Q17,'Tables - Part 2'!$AX$5:$BA$5,0)))/2)+(INDEX('Tables - Part 2'!$BF$17:$BI$24,MATCH(SCC_Chloride!$V17,'Tables - Part 2'!$AV$6:$AV$13,0),MATCH(SCC_Chloride!$Q17,'Tables - Part 2'!$AX$5:$BA$5,0))))/2,0)</f>
        <v>0</v>
      </c>
      <c r="BP17" s="248">
        <f>IF($P17=$BP$3,INDEX('Tables - Part 2'!$BF$17:$BI$24,MATCH(SCC_Chloride!$V17,'Tables - Part 2'!$AV$6:$AV$13,0),MATCH(SCC_Chloride!$Q17,'Tables - Part 2'!$AX$5:$BA$5,0)),0)</f>
        <v>0</v>
      </c>
      <c r="BQ17" s="248">
        <f t="shared" si="5"/>
        <v>0</v>
      </c>
      <c r="BR17" s="238">
        <f t="shared" si="9"/>
        <v>1.5</v>
      </c>
      <c r="BS17" s="238">
        <f t="shared" si="6"/>
        <v>25.159323702612586</v>
      </c>
    </row>
    <row r="18" spans="2:71" x14ac:dyDescent="0.35">
      <c r="B18" s="161" t="str">
        <f>'Tratamento de Dados'!B26</f>
        <v>V-80</v>
      </c>
      <c r="C18" s="161" t="str">
        <f>'Tratamento de Dados'!D26</f>
        <v>Casco</v>
      </c>
      <c r="D18" s="209" t="s">
        <v>245</v>
      </c>
      <c r="E18" s="209" t="s">
        <v>61</v>
      </c>
      <c r="F18" s="209">
        <v>10</v>
      </c>
      <c r="G18" s="209" t="s">
        <v>1167</v>
      </c>
      <c r="H18" s="247">
        <f>'Tratamento de Dados'!S26</f>
        <v>2</v>
      </c>
      <c r="I18" s="210">
        <v>39092</v>
      </c>
      <c r="J18" s="209">
        <v>0</v>
      </c>
      <c r="K18" s="209">
        <v>1</v>
      </c>
      <c r="L18" s="209">
        <v>1</v>
      </c>
      <c r="M18" s="209">
        <v>4</v>
      </c>
      <c r="N18" s="253">
        <f>'Tratamento de Dados'!DA26</f>
        <v>0</v>
      </c>
      <c r="O18" s="253">
        <f>'Tratamento de Dados'!DB26</f>
        <v>0</v>
      </c>
      <c r="P18" s="256">
        <f t="shared" si="0"/>
        <v>2.5</v>
      </c>
      <c r="Q18" s="246" t="str">
        <f t="shared" si="1"/>
        <v>B</v>
      </c>
      <c r="R18" s="246" t="str">
        <f>IF(H18&lt;=38,'Tables - Part 2'!$DO$6,IF(H18&lt;=66,'Tables - Part 2'!$DO$7,IF(H18&lt;=93,'Tables - Part 2'!$DO$8,IF(H18&lt;=149,'Tables - Part 2'!$DO$9,'Tables - Part 2'!$DO$10))))</f>
        <v>≤38</v>
      </c>
      <c r="S18" s="246" t="str">
        <f>IF(H18&lt;=38,'Tables - Part 2'!$DO$14,IF(H18&lt;=93,'Tables - Part 2'!$DO$15,IF(H18&lt;=149,'Tables - Part 2'!$DO$16,'Tables - Part 2'!$DO$17)))</f>
        <v>≤38</v>
      </c>
      <c r="T18" s="246" t="str">
        <f t="shared" si="7"/>
        <v>≤38</v>
      </c>
      <c r="U18" s="467" t="str">
        <f>IF(D18=$BX$2,$BV$5,INDEX(IF(F18&gt;10,'Tables - Part 2'!$DP$14:$DS$17,'Tables - Part 2'!$DP$6:$DS$10),MATCH(T18,IF(F18&gt;10,'Tables - Part 2'!$DO$14:$DO$17,'Tables - Part 2'!$DO$6:$DO$10),0),MATCH(SCC_Chloride!G18,'Tables - Part 2'!$DP$5:$DS$5,0)))</f>
        <v>Low</v>
      </c>
      <c r="V18" s="238">
        <f>IF(AND(D18=$BX$2,E18&lt;&gt;$BX$2),"Fitness-For-Service",INDEX('Tables - Part 2'!$DV$4:$DV$7,MATCH(SCC_Chloride!U18,'Tables - Part 2'!$DU$4:$DU$7,0),))</f>
        <v>50</v>
      </c>
      <c r="W18" s="238">
        <f>IF(I18=0,(Thinning!G19-Thinning!F19)/365.25,(Thinning!G19-I18)/365.25)</f>
        <v>12.980150581793293</v>
      </c>
      <c r="X18" s="248">
        <f t="shared" si="2"/>
        <v>0</v>
      </c>
      <c r="Y18" s="248">
        <f t="shared" si="3"/>
        <v>2.5</v>
      </c>
      <c r="Z18" s="247">
        <f t="shared" si="8"/>
        <v>3</v>
      </c>
      <c r="AA18" s="247">
        <f t="shared" si="4"/>
        <v>4</v>
      </c>
      <c r="AB18" s="248">
        <f>IF($P18=$AB$3,INDEX('Tables - Part 2'!$AX$6:$BA$13,MATCH(SCC_Chloride!V18,'Tables - Part 2'!$AV$6:$AV$13,0),MATCH(SCC_Chloride!Q18,'Tables - Part 2'!$AX$5:$BA$5,0)),0)</f>
        <v>0</v>
      </c>
      <c r="AC18" s="248">
        <f>IF($P18=$AC$3,(INDEX('Tables - Part 2'!$AX$6:$BA$13,MATCH(SCC_Chloride!V18,'Tables - Part 2'!$AV$6:$AV$13,0),MATCH(SCC_Chloride!Q18,'Tables - Part 2'!$AX$5:$BA$5,0))+(INDEX('Tables - Part 2'!$AX$6:$BA$13,MATCH(SCC_Chloride!V18,'Tables - Part 2'!$AV$6:$AV$13,0),MATCH(SCC_Chloride!Q18,'Tables - Part 2'!$AX$5:$BA$5,0))+((INDEX('Tables - Part 2'!$AX$6:$BA$13,MATCH(SCC_Chloride!V18,'Tables - Part 2'!$AV$6:$AV$13,0),MATCH(SCC_Chloride!Q18,'Tables - Part 2'!$AX$5:$BA$5,0))+INDEX('Tables - Part 2'!$BB$6:$BE$13,MATCH(SCC_Chloride!$V18,'Tables - Part 2'!$AV$6:$AV$13,0),MATCH(SCC_Chloride!$Q18,'Tables - Part 2'!$AX$5:$BA$5,0)))/2))/2)/2,0)</f>
        <v>0</v>
      </c>
      <c r="AD18" s="248">
        <f>IF($P18=$AD$3,(INDEX('Tables - Part 2'!$AX$6:$BA$13,MATCH(SCC_Chloride!V18,'Tables - Part 2'!$AV$6:$AV$13,0),MATCH(SCC_Chloride!Q18,'Tables - Part 2'!$AX$5:$BA$5,0))+((INDEX('Tables - Part 2'!$AX$6:$BA$13,MATCH(SCC_Chloride!V18,'Tables - Part 2'!$AV$6:$AV$13,0),MATCH(SCC_Chloride!Q18,'Tables - Part 2'!$AX$5:$BA$5,0))+INDEX('Tables - Part 2'!$BB$6:$BE$13,MATCH(SCC_Chloride!$V18,'Tables - Part 2'!$AV$6:$AV$13,0),MATCH(SCC_Chloride!$Q18,'Tables - Part 2'!$AX$5:$BA$5,0)))/2))/2,0)</f>
        <v>0</v>
      </c>
      <c r="AE18" s="248">
        <f>IF($P18=$AE$3,(((INDEX('Tables - Part 2'!$AX$6:$BA$13,MATCH(SCC_Chloride!V18,'Tables - Part 2'!$AV$6:$AV$13,0),MATCH(SCC_Chloride!Q18,'Tables - Part 2'!$AX$5:$BA$5,0))+((INDEX('Tables - Part 2'!$AX$6:$BA$13,MATCH(SCC_Chloride!V18,'Tables - Part 2'!$AV$6:$AV$13,0),MATCH(SCC_Chloride!Q18,'Tables - Part 2'!$AX$5:$BA$5,0))+INDEX('Tables - Part 2'!$BB$6:$BE$13,MATCH(SCC_Chloride!$V18,'Tables - Part 2'!$AV$6:$AV$13,0),MATCH(SCC_Chloride!$Q18,'Tables - Part 2'!$AX$5:$BA$5,0)))/2))/2)+(INDEX('Tables - Part 2'!$AX$6:$BA$13,MATCH(SCC_Chloride!V18,'Tables - Part 2'!$AV$6:$AV$13,0),MATCH(SCC_Chloride!Q18,'Tables - Part 2'!$AX$5:$BA$5,0))+INDEX('Tables - Part 2'!$BB$6:$BE$13,MATCH(SCC_Chloride!$V18,'Tables - Part 2'!$AV$6:$AV$13,0),MATCH(SCC_Chloride!$Q18,'Tables - Part 2'!$AX$5:$BA$5,0)))/2)/2,0)</f>
        <v>0</v>
      </c>
      <c r="AF18" s="248">
        <f>IF($P18=$AF$3,(INDEX('Tables - Part 2'!$AX$6:$BA$13,MATCH(SCC_Chloride!V18,'Tables - Part 2'!$AV$6:$AV$13,0),MATCH(SCC_Chloride!Q18,'Tables - Part 2'!$AX$5:$BA$5,0))+INDEX('Tables - Part 2'!$BB$6:$BE$13,MATCH(SCC_Chloride!$V18,'Tables - Part 2'!$AV$6:$AV$13,0),MATCH(SCC_Chloride!$Q18,'Tables - Part 2'!$AX$5:$BA$5,0)))/2,0)</f>
        <v>0</v>
      </c>
      <c r="AG18" s="248">
        <f>IF($P18=$AG$3,(((INDEX('Tables - Part 2'!$AX$6:$BA$13,MATCH(SCC_Chloride!V18,'Tables - Part 2'!$AV$6:$AV$13,0),MATCH(SCC_Chloride!Q18,'Tables - Part 2'!$AX$5:$BA$5,0))+INDEX('Tables - Part 2'!$BB$6:$BE$13,MATCH(SCC_Chloride!$V18,'Tables - Part 2'!$AV$6:$AV$13,0),MATCH(SCC_Chloride!$Q18,'Tables - Part 2'!$AX$5:$BA$5,0)))/2)+(((INDEX('Tables - Part 2'!$AX$6:$BA$13,MATCH(SCC_Chloride!V18,'Tables - Part 2'!$AV$6:$AV$13,0),MATCH(SCC_Chloride!Q18,'Tables - Part 2'!$AX$5:$BA$5,0))+INDEX('Tables - Part 2'!$BB$6:$BE$13,MATCH(SCC_Chloride!$V18,'Tables - Part 2'!$AV$6:$AV$13,0),MATCH(SCC_Chloride!$Q18,'Tables - Part 2'!$AX$5:$BA$5,0)))/2)+INDEX('Tables - Part 2'!$BB$6:$BE$13,MATCH(SCC_Chloride!$V18,'Tables - Part 2'!$AV$6:$AV$13,0),MATCH(SCC_Chloride!$Q18,'Tables - Part 2'!$AX$5:$BA$5,0)))/2)/2,0)</f>
        <v>0</v>
      </c>
      <c r="AH18" s="248">
        <f>IF($P18=$AH$3,(((INDEX('Tables - Part 2'!$AX$6:$BA$13,MATCH(SCC_Chloride!V18,'Tables - Part 2'!$AV$6:$AV$13,0),MATCH(SCC_Chloride!Q18,'Tables - Part 2'!$AX$5:$BA$5,0))+INDEX('Tables - Part 2'!$BB$6:$BE$13,MATCH(SCC_Chloride!$V18,'Tables - Part 2'!$AV$6:$AV$13,0),MATCH(SCC_Chloride!$Q18,'Tables - Part 2'!$AX$5:$BA$5,0)))/2)+INDEX('Tables - Part 2'!$BB$6:$BE$13,MATCH(SCC_Chloride!$V18,'Tables - Part 2'!$AV$6:$AV$13,0),MATCH(SCC_Chloride!$Q18,'Tables - Part 2'!$AX$5:$BA$5,0)))/2,0)</f>
        <v>0</v>
      </c>
      <c r="AI18" s="248">
        <f>IF($P18=$AI$3,(((((INDEX('Tables - Part 2'!$AX$6:$BA$13,MATCH(SCC_Chloride!V18,'Tables - Part 2'!$AV$6:$AV$13,0),MATCH(SCC_Chloride!Q18,'Tables - Part 2'!$AX$5:$BA$5,0))+INDEX('Tables - Part 2'!$BB$6:$BE$13,MATCH(SCC_Chloride!$V18,'Tables - Part 2'!$AV$6:$AV$13,0),MATCH(SCC_Chloride!$Q18,'Tables - Part 2'!$AX$5:$BA$5,0)))/2)+INDEX('Tables - Part 2'!$BB$6:$BE$13,MATCH(SCC_Chloride!$V18,'Tables - Part 2'!$AV$6:$AV$13,0),MATCH(SCC_Chloride!$Q18,'Tables - Part 2'!$AX$5:$BA$5,0)))/2)+INDEX('Tables - Part 2'!$BB$6:$BE$13,MATCH(SCC_Chloride!$V18,'Tables - Part 2'!$AV$6:$AV$13,0),MATCH(SCC_Chloride!$Q18,'Tables - Part 2'!$AX$5:$BA$5,0)))/2,0)</f>
        <v>0</v>
      </c>
      <c r="AJ18" s="248">
        <f>IF($P18=$AJ$3,INDEX('Tables - Part 2'!$BB$6:$BE$13,MATCH(SCC_Chloride!$V18,'Tables - Part 2'!$AV$6:$AV$13,0),MATCH(SCC_Chloride!$Q18,'Tables - Part 2'!$AX$5:$BA$5,0)),0)</f>
        <v>0</v>
      </c>
      <c r="AK18" s="248">
        <f>IF($P18=$AK$3,((INDEX('Tables - Part 2'!$BB$6:$BE$13,MATCH(SCC_Chloride!$V18,'Tables - Part 2'!$AV$6:$AV$13,0),MATCH(SCC_Chloride!$Q18,'Tables - Part 2'!$AX$5:$BA$5,0)))+(INDEX('Tables - Part 2'!$BB$6:$BE$13,MATCH(SCC_Chloride!$V18,'Tables - Part 2'!$AV$6:$AV$13,0),MATCH(SCC_Chloride!$Q18,'Tables - Part 2'!$AX$5:$BA$5,0))+(INDEX('Tables - Part 2'!$BB$6:$BE$13,MATCH(SCC_Chloride!$V18,'Tables - Part 2'!$AV$6:$AV$13,0),MATCH(SCC_Chloride!$Q18,'Tables - Part 2'!$AX$5:$BA$5,0))+INDEX('Tables - Part 2'!$BF$6:$BI$13,MATCH(SCC_Chloride!$V18,'Tables - Part 2'!$AV$6:$AV$13,0),MATCH(SCC_Chloride!$Q18,'Tables - Part 2'!$AX$5:$BA$5,0)))/2)/2)/2,0)</f>
        <v>0</v>
      </c>
      <c r="AL18" s="248">
        <f>IF($P18=$AL$3,(INDEX('Tables - Part 2'!$BB$6:$BE$13,MATCH(SCC_Chloride!$V18,'Tables - Part 2'!$AV$6:$AV$13,0),MATCH(SCC_Chloride!$Q18,'Tables - Part 2'!$AX$5:$BA$5,0))+(INDEX('Tables - Part 2'!$BB$6:$BE$13,MATCH(SCC_Chloride!$V18,'Tables - Part 2'!$AV$6:$AV$13,0),MATCH(SCC_Chloride!$Q18,'Tables - Part 2'!$AX$5:$BA$5,0))+INDEX('Tables - Part 2'!$BF$6:$BI$13,MATCH(SCC_Chloride!$V18,'Tables - Part 2'!$AV$6:$AV$13,0),MATCH(SCC_Chloride!$Q18,'Tables - Part 2'!$AX$5:$BA$5,0)))/2)/2,0)</f>
        <v>0</v>
      </c>
      <c r="AM18" s="248">
        <f>IF($P18=$AM$3,(((INDEX('Tables - Part 2'!$BB$6:$BE$13,MATCH(SCC_Chloride!$V18,'Tables - Part 2'!$AV$6:$AV$13,0),MATCH(SCC_Chloride!$Q18,'Tables - Part 2'!$AX$5:$BA$5,0))+(INDEX('Tables - Part 2'!$BB$6:$BE$13,MATCH(SCC_Chloride!$V18,'Tables - Part 2'!$AV$6:$AV$13,0),MATCH(SCC_Chloride!$Q18,'Tables - Part 2'!$AX$5:$BA$5,0))+INDEX('Tables - Part 2'!$BF$6:$BI$13,MATCH(SCC_Chloride!$V18,'Tables - Part 2'!$AV$6:$AV$13,0),MATCH(SCC_Chloride!$Q18,'Tables - Part 2'!$AX$5:$BA$5,0)))/2)/2)+((INDEX('Tables - Part 2'!$BB$6:$BE$13,MATCH(SCC_Chloride!$V18,'Tables - Part 2'!$AV$6:$AV$13,0),MATCH(SCC_Chloride!$Q18,'Tables - Part 2'!$AX$5:$BA$5,0))+INDEX('Tables - Part 2'!$BF$6:$BI$13,MATCH(SCC_Chloride!$V18,'Tables - Part 2'!$AV$6:$AV$13,0),MATCH(SCC_Chloride!$Q18,'Tables - Part 2'!$AX$5:$BA$5,0)))/2))/2,0)</f>
        <v>0</v>
      </c>
      <c r="AN18" s="248">
        <f>IF($P18=$AN$3,(INDEX('Tables - Part 2'!$BB$6:$BE$13,MATCH(SCC_Chloride!$V18,'Tables - Part 2'!$AV$6:$AV$13,0),MATCH(SCC_Chloride!$Q18,'Tables - Part 2'!$AX$5:$BA$5,0))+INDEX('Tables - Part 2'!$BF$6:$BI$13,MATCH(SCC_Chloride!$V18,'Tables - Part 2'!$AV$6:$AV$13,0),MATCH(SCC_Chloride!$Q18,'Tables - Part 2'!$AX$5:$BA$5,0)))/2,0)</f>
        <v>1.5</v>
      </c>
      <c r="AO18" s="248">
        <f>IF($P18=$AO$3,(((INDEX('Tables - Part 2'!$BB$6:$BE$13,MATCH(SCC_Chloride!$V18,'Tables - Part 2'!$AV$6:$AV$13,0),MATCH(SCC_Chloride!$Q18,'Tables - Part 2'!$AX$5:$BA$5,0))+INDEX('Tables - Part 2'!$BF$6:$BI$13,MATCH(SCC_Chloride!$V18,'Tables - Part 2'!$AV$6:$AV$13,0),MATCH(SCC_Chloride!$Q18,'Tables - Part 2'!$AX$5:$BA$5,0)))/2)+((((INDEX('Tables - Part 2'!$BB$6:$BE$13,MATCH(SCC_Chloride!$V18,'Tables - Part 2'!$AV$6:$AV$13,0),MATCH(SCC_Chloride!$Q18,'Tables - Part 2'!$AX$5:$BA$5,0))+INDEX('Tables - Part 2'!$BF$6:$BI$13,MATCH(SCC_Chloride!$V18,'Tables - Part 2'!$AV$6:$AV$13,0),MATCH(SCC_Chloride!$Q18,'Tables - Part 2'!$AX$5:$BA$5,0)))/2)+INDEX('Tables - Part 2'!$BF$6:$BI$13,MATCH(SCC_Chloride!$V18,'Tables - Part 2'!$AV$6:$AV$13,0),MATCH(SCC_Chloride!$Q18,'Tables - Part 2'!$AX$5:$BA$5,0)))/2))/2,0)</f>
        <v>0</v>
      </c>
      <c r="AP18" s="248">
        <f>IF($P18=$AP$3,(((INDEX('Tables - Part 2'!$BB$6:$BE$13,MATCH(SCC_Chloride!$V18,'Tables - Part 2'!$AV$6:$AV$13,0),MATCH(SCC_Chloride!$Q18,'Tables - Part 2'!$AX$5:$BA$5,0))+INDEX('Tables - Part 2'!$BF$6:$BI$13,MATCH(SCC_Chloride!$V18,'Tables - Part 2'!$AV$6:$AV$13,0),MATCH(SCC_Chloride!$Q18,'Tables - Part 2'!$AX$5:$BA$5,0)))/2)+INDEX('Tables - Part 2'!$BF$6:$BI$13,MATCH(SCC_Chloride!$V18,'Tables - Part 2'!$AV$6:$AV$13,0),MATCH(SCC_Chloride!$Q18,'Tables - Part 2'!$AX$5:$BA$5,0)))/2,0)</f>
        <v>0</v>
      </c>
      <c r="AQ18" s="248">
        <f>IF($P18=$AQ$3,(((((INDEX('Tables - Part 2'!$BB$6:$BE$13,MATCH(SCC_Chloride!$V18,'Tables - Part 2'!$AV$6:$AV$13,0),MATCH(SCC_Chloride!$Q18,'Tables - Part 2'!$AX$5:$BA$5,0))+INDEX('Tables - Part 2'!$BF$6:$BI$13,MATCH(SCC_Chloride!$V18,'Tables - Part 2'!$AV$6:$AV$13,0),MATCH(SCC_Chloride!$Q18,'Tables - Part 2'!$AX$5:$BA$5,0)))/2)+INDEX('Tables - Part 2'!$BF$6:$BI$13,MATCH(SCC_Chloride!$V18,'Tables - Part 2'!$AV$6:$AV$13,0),MATCH(SCC_Chloride!$Q18,'Tables - Part 2'!$AX$5:$BA$5,0)))/2)+INDEX('Tables - Part 2'!$BF$6:$BI$13,MATCH(SCC_Chloride!$V18,'Tables - Part 2'!$AV$6:$AV$13,0),MATCH(SCC_Chloride!$Q18,'Tables - Part 2'!$AX$5:$BA$5,0)))/2,0)</f>
        <v>0</v>
      </c>
      <c r="AR18" s="248">
        <f>IF($P18=$AR$3,INDEX('Tables - Part 2'!$BF$6:$BI$13,MATCH(SCC_Chloride!$V18,'Tables - Part 2'!$AV$6:$AV$13,0),MATCH(SCC_Chloride!$Q18,'Tables - Part 2'!$AX$5:$BA$5,0)),0)</f>
        <v>0</v>
      </c>
      <c r="AS18" s="248">
        <f>IF($P18=$AS$3,(INDEX('Tables - Part 2'!$BF$6:$BI$13,MATCH(SCC_Chloride!$V18,'Tables - Part 2'!$AV$6:$AV$13,0),MATCH(SCC_Chloride!$Q18,'Tables - Part 2'!$AX$5:$BA$5,0))+((INDEX('Tables - Part 2'!$BF$6:$BI$13,MATCH(SCC_Chloride!$V18,'Tables - Part 2'!$AV$6:$AV$13,0),MATCH(SCC_Chloride!$Q18,'Tables - Part 2'!$AX$5:$BA$5,0))+(INDEX('Tables - Part 2'!$BF$6:$BI$13,MATCH(SCC_Chloride!$V18,'Tables - Part 2'!$AV$6:$AV$13,0),MATCH(SCC_Chloride!$Q18,'Tables - Part 2'!$AX$5:$BA$5,0))+INDEX('Tables - Part 2'!$AX$17:$BA$24,MATCH(SCC_Chloride!$V18,'Tables - Part 2'!$AV$6:$AV$13,0),MATCH(SCC_Chloride!$Q18,'Tables - Part 2'!$AX$5:$BA$5,0)))/2)/2))/2,0)</f>
        <v>0</v>
      </c>
      <c r="AT18" s="248">
        <f>IF($P18=$AT$3,(INDEX('Tables - Part 2'!$BF$6:$BI$13,MATCH(SCC_Chloride!$V18,'Tables - Part 2'!$AV$6:$AV$13,0),MATCH(SCC_Chloride!$Q18,'Tables - Part 2'!$AX$5:$BA$5,0))+(INDEX('Tables - Part 2'!$BF$6:$BI$13,MATCH(SCC_Chloride!$V18,'Tables - Part 2'!$AV$6:$AV$13,0),MATCH(SCC_Chloride!$Q18,'Tables - Part 2'!$AX$5:$BA$5,0))+INDEX('Tables - Part 2'!$AX$17:$BA$24,MATCH(SCC_Chloride!$V18,'Tables - Part 2'!$AV$6:$AV$13,0),MATCH(SCC_Chloride!$Q18,'Tables - Part 2'!$AX$5:$BA$5,0)))/2)/2,0)</f>
        <v>0</v>
      </c>
      <c r="AU18" s="248">
        <f>IF($P18=$AU$3,(((INDEX('Tables - Part 2'!$BF$6:$BI$13,MATCH(SCC_Chloride!$V18,'Tables - Part 2'!$AV$6:$AV$13,0),MATCH(SCC_Chloride!$Q18,'Tables - Part 2'!$AX$5:$BA$5,0))+(INDEX('Tables - Part 2'!$BF$6:$BI$13,MATCH(SCC_Chloride!$V18,'Tables - Part 2'!$AV$6:$AV$13,0),MATCH(SCC_Chloride!$Q18,'Tables - Part 2'!$AX$5:$BA$5,0))+INDEX('Tables - Part 2'!$AX$17:$BA$24,MATCH(SCC_Chloride!$V18,'Tables - Part 2'!$AV$6:$AV$13,0),MATCH(SCC_Chloride!$Q18,'Tables - Part 2'!$AX$5:$BA$5,0)))/2)/2)+((INDEX('Tables - Part 2'!$BF$6:$BI$13,MATCH(SCC_Chloride!$V18,'Tables - Part 2'!$AV$6:$AV$13,0),MATCH(SCC_Chloride!$Q18,'Tables - Part 2'!$AX$5:$BA$5,0))+INDEX('Tables - Part 2'!$AX$17:$BA$24,MATCH(SCC_Chloride!$V18,'Tables - Part 2'!$AV$6:$AV$13,0),MATCH(SCC_Chloride!$Q18,'Tables - Part 2'!$AX$5:$BA$5,0)))/2))/2,0)</f>
        <v>0</v>
      </c>
      <c r="AV18" s="248">
        <f>IF($P18=$AV$3,(INDEX('Tables - Part 2'!$BF$6:$BI$13,MATCH(SCC_Chloride!$V18,'Tables - Part 2'!$AV$6:$AV$13,0),MATCH(SCC_Chloride!$Q18,'Tables - Part 2'!$AX$5:$BA$5,0))+INDEX('Tables - Part 2'!$AX$17:$BA$24,MATCH(SCC_Chloride!$V18,'Tables - Part 2'!$AV$6:$AV$13,0),MATCH(SCC_Chloride!$Q18,'Tables - Part 2'!$AX$5:$BA$5,0)))/2,0)</f>
        <v>0</v>
      </c>
      <c r="AW18" s="248">
        <f>IF($P18=$AW$3,(((INDEX('Tables - Part 2'!$BF$6:$BI$13,MATCH(SCC_Chloride!$V18,'Tables - Part 2'!$AV$6:$AV$13,0),MATCH(SCC_Chloride!$Q18,'Tables - Part 2'!$AX$5:$BA$5,0))+INDEX('Tables - Part 2'!$AX$17:$BA$24,MATCH(SCC_Chloride!$V18,'Tables - Part 2'!$AV$6:$AV$13,0),MATCH(SCC_Chloride!$Q18,'Tables - Part 2'!$AX$5:$BA$5,0)))/2)+((((INDEX('Tables - Part 2'!$BF$6:$BI$13,MATCH(SCC_Chloride!$V18,'Tables - Part 2'!$AV$6:$AV$13,0),MATCH(SCC_Chloride!$Q18,'Tables - Part 2'!$AX$5:$BA$5,0))+INDEX('Tables - Part 2'!$AX$17:$BA$24,MATCH(SCC_Chloride!$V18,'Tables - Part 2'!$AV$6:$AV$13,0),MATCH(SCC_Chloride!$Q18,'Tables - Part 2'!$AX$5:$BA$5,0)))/2)+INDEX('Tables - Part 2'!$AX$17:$BA$24,MATCH(SCC_Chloride!$V18,'Tables - Part 2'!$AV$6:$AV$13,0),MATCH(SCC_Chloride!$Q18,'Tables - Part 2'!$AX$5:$BA$5,0)))/2))/2,0)</f>
        <v>0</v>
      </c>
      <c r="AX18" s="248">
        <f>IF($P18=$AX$3,(((INDEX('Tables - Part 2'!$BF$6:$BI$13,MATCH(SCC_Chloride!$V18,'Tables - Part 2'!$AV$6:$AV$13,0),MATCH(SCC_Chloride!$Q18,'Tables - Part 2'!$AX$5:$BA$5,0))+INDEX('Tables - Part 2'!$AX$17:$BA$24,MATCH(SCC_Chloride!$V18,'Tables - Part 2'!$AV$6:$AV$13,0),MATCH(SCC_Chloride!$Q18,'Tables - Part 2'!$AX$5:$BA$5,0)))/2)+INDEX('Tables - Part 2'!$AX$17:$BA$24,MATCH(SCC_Chloride!$V18,'Tables - Part 2'!$AV$6:$AV$13,0),MATCH(SCC_Chloride!$Q18,'Tables - Part 2'!$AX$5:$BA$5,0)))/2,0)</f>
        <v>0</v>
      </c>
      <c r="AY18" s="248">
        <f>IF($P18=$AY$3,(((((INDEX('Tables - Part 2'!$BF$6:$BI$13,MATCH(SCC_Chloride!$V18,'Tables - Part 2'!$AV$6:$AV$13,0),MATCH(SCC_Chloride!$Q18,'Tables - Part 2'!$AX$5:$BA$5,0))+INDEX('Tables - Part 2'!$AX$17:$BA$24,MATCH(SCC_Chloride!$V18,'Tables - Part 2'!$AV$6:$AV$13,0),MATCH(SCC_Chloride!$Q18,'Tables - Part 2'!$AX$5:$BA$5,0)))/2)+INDEX('Tables - Part 2'!$AX$17:$BA$24,MATCH(SCC_Chloride!$V18,'Tables - Part 2'!$AV$6:$AV$13,0),MATCH(SCC_Chloride!$Q18,'Tables - Part 2'!$AX$5:$BA$5,0)))/2)+(INDEX('Tables - Part 2'!$AX$17:$BA$24,MATCH(SCC_Chloride!$V18,'Tables - Part 2'!$AV$6:$AV$13,0),MATCH(SCC_Chloride!$Q18,'Tables - Part 2'!$AX$5:$BA$5,0))))/2,0)</f>
        <v>0</v>
      </c>
      <c r="AZ18" s="248">
        <f>IF($P18=$AZ$3,INDEX('Tables - Part 2'!$AX$17:$BA$24,MATCH(SCC_Chloride!$V18,'Tables - Part 2'!$AV$6:$AV$13,0),MATCH(SCC_Chloride!$Q18,'Tables - Part 2'!$AX$5:$BA$5,0)),0)</f>
        <v>0</v>
      </c>
      <c r="BA18" s="248">
        <f>IF($P18=$BA$3,((INDEX('Tables - Part 2'!$AX$17:$BA$24,MATCH(SCC_Chloride!$V18,'Tables - Part 2'!$AV$6:$AV$13,0),MATCH(SCC_Chloride!$Q18,'Tables - Part 2'!$AX$5:$BA$5,0)))+(((INDEX('Tables - Part 2'!$AX$17:$BA$24,MATCH(SCC_Chloride!$V18,'Tables - Part 2'!$AV$6:$AV$13,0),MATCH(SCC_Chloride!$Q18,'Tables - Part 2'!$AX$5:$BA$5,0)))+(INDEX('Tables - Part 2'!$AX$17:$BA$24,MATCH(SCC_Chloride!$V18,'Tables - Part 2'!$AV$6:$AV$13,0),MATCH(SCC_Chloride!$Q18,'Tables - Part 2'!$AX$5:$BA$5,0))+INDEX('Tables - Part 2'!$BB$17:$BE$24,MATCH(SCC_Chloride!$V18,'Tables - Part 2'!$AV$6:$AV$13,0),MATCH(SCC_Chloride!$Q18,'Tables - Part 2'!$AX$5:$BA$5,0)))/2)/2))/2,0)</f>
        <v>0</v>
      </c>
      <c r="BB18" s="248">
        <f>IF($P18=$BB$3,((INDEX('Tables - Part 2'!$AX$17:$BA$24,MATCH(SCC_Chloride!$V18,'Tables - Part 2'!$AV$6:$AV$13,0),MATCH(SCC_Chloride!$Q18,'Tables - Part 2'!$AX$5:$BA$5,0)))+(INDEX('Tables - Part 2'!$AX$17:$BA$24,MATCH(SCC_Chloride!$V18,'Tables - Part 2'!$AV$6:$AV$13,0),MATCH(SCC_Chloride!$Q18,'Tables - Part 2'!$AX$5:$BA$5,0))+INDEX('Tables - Part 2'!$BB$17:$BE$24,MATCH(SCC_Chloride!$V18,'Tables - Part 2'!$AV$6:$AV$13,0),MATCH(SCC_Chloride!$Q18,'Tables - Part 2'!$AX$5:$BA$5,0)))/2)/2,0)</f>
        <v>0</v>
      </c>
      <c r="BC18" s="248">
        <f>IF($P18=$BC$3,((((INDEX('Tables - Part 2'!$AX$17:$BA$24,MATCH(SCC_Chloride!$V18,'Tables - Part 2'!$AV$6:$AV$13,0),MATCH(SCC_Chloride!$Q18,'Tables - Part 2'!$AX$5:$BA$5,0)))+(INDEX('Tables - Part 2'!$AX$17:$BA$24,MATCH(SCC_Chloride!$V18,'Tables - Part 2'!$AV$6:$AV$13,0),MATCH(SCC_Chloride!$Q18,'Tables - Part 2'!$AX$5:$BA$5,0))+INDEX('Tables - Part 2'!$BB$17:$BE$24,MATCH(SCC_Chloride!$V18,'Tables - Part 2'!$AV$6:$AV$13,0),MATCH(SCC_Chloride!$Q18,'Tables - Part 2'!$AX$5:$BA$5,0)))/2)/2)+((INDEX('Tables - Part 2'!$AX$17:$BA$24,MATCH(SCC_Chloride!$V18,'Tables - Part 2'!$AV$6:$AV$13,0),MATCH(SCC_Chloride!$Q18,'Tables - Part 2'!$AX$5:$BA$5,0))+INDEX('Tables - Part 2'!$BB$17:$BE$24,MATCH(SCC_Chloride!$V18,'Tables - Part 2'!$AV$6:$AV$13,0),MATCH(SCC_Chloride!$Q18,'Tables - Part 2'!$AX$5:$BA$5,0)))/2))/2,0)</f>
        <v>0</v>
      </c>
      <c r="BD18" s="248">
        <f>IF($P18=$BD$3,(INDEX('Tables - Part 2'!$AX$17:$BA$24,MATCH(SCC_Chloride!$V18,'Tables - Part 2'!$AV$6:$AV$13,0),MATCH(SCC_Chloride!$Q18,'Tables - Part 2'!$AX$5:$BA$5,0))+INDEX('Tables - Part 2'!$BB$17:$BE$24,MATCH(SCC_Chloride!$V18,'Tables - Part 2'!$AV$6:$AV$13,0),MATCH(SCC_Chloride!$Q18,'Tables - Part 2'!$AX$5:$BA$5,0)))/2,0)</f>
        <v>0</v>
      </c>
      <c r="BE18" s="248">
        <f>IF($P18=$BE$3,(((INDEX('Tables - Part 2'!$AX$17:$BA$24,MATCH(SCC_Chloride!$V18,'Tables - Part 2'!$AV$6:$AV$13,0),MATCH(SCC_Chloride!$Q18,'Tables - Part 2'!$AX$5:$BA$5,0))+INDEX('Tables - Part 2'!$BB$17:$BE$24,MATCH(SCC_Chloride!$V18,'Tables - Part 2'!$AV$6:$AV$13,0),MATCH(SCC_Chloride!$Q18,'Tables - Part 2'!$AX$5:$BA$5,0)))/2)+((((INDEX('Tables - Part 2'!$AX$17:$BA$24,MATCH(SCC_Chloride!$V18,'Tables - Part 2'!$AV$6:$AV$13,0),MATCH(SCC_Chloride!$Q18,'Tables - Part 2'!$AX$5:$BA$5,0))+INDEX('Tables - Part 2'!$BB$17:$BE$24,MATCH(SCC_Chloride!$V18,'Tables - Part 2'!$AV$6:$AV$13,0),MATCH(SCC_Chloride!$Q18,'Tables - Part 2'!$AX$5:$BA$5,0)))/2)+INDEX('Tables - Part 2'!$BB$17:$BE$24,MATCH(SCC_Chloride!$V18,'Tables - Part 2'!$AV$6:$AV$13,0),MATCH(SCC_Chloride!$Q18,'Tables - Part 2'!$AX$5:$BA$5,0)))/2))/2,0)</f>
        <v>0</v>
      </c>
      <c r="BF18" s="248">
        <f>IF($P18=$BF$3,(((INDEX('Tables - Part 2'!$AX$17:$BA$24,MATCH(SCC_Chloride!$V18,'Tables - Part 2'!$AV$6:$AV$13,0),MATCH(SCC_Chloride!$Q18,'Tables - Part 2'!$AX$5:$BA$5,0))+INDEX('Tables - Part 2'!$BB$17:$BE$24,MATCH(SCC_Chloride!$V18,'Tables - Part 2'!$AV$6:$AV$13,0),MATCH(SCC_Chloride!$Q18,'Tables - Part 2'!$AX$5:$BA$5,0)))/2)+INDEX('Tables - Part 2'!$BB$17:$BE$24,MATCH(SCC_Chloride!$V18,'Tables - Part 2'!$AV$6:$AV$13,0),MATCH(SCC_Chloride!$Q18,'Tables - Part 2'!$AX$5:$BA$5,0)))/2,0)</f>
        <v>0</v>
      </c>
      <c r="BG18" s="248">
        <f>IF($P18=$BG$3,(((((INDEX('Tables - Part 2'!$AX$17:$BA$24,MATCH(SCC_Chloride!$V18,'Tables - Part 2'!$AV$6:$AV$13,0),MATCH(SCC_Chloride!$Q18,'Tables - Part 2'!$AX$5:$BA$5,0))+INDEX('Tables - Part 2'!$BB$17:$BE$24,MATCH(SCC_Chloride!$V18,'Tables - Part 2'!$AV$6:$AV$13,0),MATCH(SCC_Chloride!$Q18,'Tables - Part 2'!$AX$5:$BA$5,0)))/2)+INDEX('Tables - Part 2'!$BB$17:$BE$24,MATCH(SCC_Chloride!$V18,'Tables - Part 2'!$AV$6:$AV$13,0),MATCH(SCC_Chloride!$Q18,'Tables - Part 2'!$AX$5:$BA$5,0)))/2)+(INDEX('Tables - Part 2'!$BB$17:$BE$24,MATCH(SCC_Chloride!$V18,'Tables - Part 2'!$AV$6:$AV$13,0),MATCH(SCC_Chloride!$Q18,'Tables - Part 2'!$AX$5:$BA$5,0))))/2,0)</f>
        <v>0</v>
      </c>
      <c r="BH18" s="248">
        <f>IF($P18=$BH$3,INDEX('Tables - Part 2'!$BB$17:$BE$24,MATCH(SCC_Chloride!$V18,'Tables - Part 2'!$AV$6:$AV$13,0),MATCH(SCC_Chloride!$Q18,'Tables - Part 2'!$AX$5:$BA$5,0)),0)</f>
        <v>0</v>
      </c>
      <c r="BI18" s="248">
        <f>IF($P18=$BI$3,((INDEX('Tables - Part 2'!$BB$17:$BE$24,MATCH(SCC_Chloride!$V18,'Tables - Part 2'!$AV$6:$AV$13,0),MATCH(SCC_Chloride!$Q18,'Tables - Part 2'!$AX$5:$BA$5,0)))+(((INDEX('Tables - Part 2'!$BB$17:$BE$24,MATCH(SCC_Chloride!$V18,'Tables - Part 2'!$AV$6:$AV$13,0),MATCH(SCC_Chloride!$Q18,'Tables - Part 2'!$AX$5:$BA$5,0)))+(INDEX('Tables - Part 2'!$BB$17:$BE$24,MATCH(SCC_Chloride!$V18,'Tables - Part 2'!$AV$6:$AV$13,0),MATCH(SCC_Chloride!$Q18,'Tables - Part 2'!$AX$5:$BA$5,0))+INDEX('Tables - Part 2'!$BF$17:$BI$24,MATCH(SCC_Chloride!$V18,'Tables - Part 2'!$AV$6:$AV$13,0),MATCH(SCC_Chloride!$Q18,'Tables - Part 2'!$AX$5:$BA$5,0)))/2)/2))/2,0)</f>
        <v>0</v>
      </c>
      <c r="BJ18" s="248">
        <f>IF($P18=$BJ$3,((INDEX('Tables - Part 2'!$BB$17:$BE$24,MATCH(SCC_Chloride!$V18,'Tables - Part 2'!$AV$6:$AV$13,0),MATCH(SCC_Chloride!$Q18,'Tables - Part 2'!$AX$5:$BA$5,0)))+(INDEX('Tables - Part 2'!$BB$17:$BE$24,MATCH(SCC_Chloride!$V18,'Tables - Part 2'!$AV$6:$AV$13,0),MATCH(SCC_Chloride!$Q18,'Tables - Part 2'!$AX$5:$BA$5,0))+INDEX('Tables - Part 2'!$BF$17:$BI$24,MATCH(SCC_Chloride!$V18,'Tables - Part 2'!$AV$6:$AV$13,0),MATCH(SCC_Chloride!$Q18,'Tables - Part 2'!$AX$5:$BA$5,0)))/2)/2,0)</f>
        <v>0</v>
      </c>
      <c r="BK18" s="248">
        <f>IF($P18=$BK$3,((((INDEX('Tables - Part 2'!$BB$17:$BE$24,MATCH(SCC_Chloride!$V18,'Tables - Part 2'!$AV$6:$AV$13,0),MATCH(SCC_Chloride!$Q18,'Tables - Part 2'!$AX$5:$BA$5,0)))+(INDEX('Tables - Part 2'!$BB$17:$BE$24,MATCH(SCC_Chloride!$V18,'Tables - Part 2'!$AV$6:$AV$13,0),MATCH(SCC_Chloride!$Q18,'Tables - Part 2'!$AX$5:$BA$5,0))+INDEX('Tables - Part 2'!$BF$17:$BI$24,MATCH(SCC_Chloride!$V18,'Tables - Part 2'!$AV$6:$AV$13,0),MATCH(SCC_Chloride!$Q18,'Tables - Part 2'!$AX$5:$BA$5,0)))/2)/2)+((INDEX('Tables - Part 2'!$BB$17:$BE$24,MATCH(SCC_Chloride!$V18,'Tables - Part 2'!$AV$6:$AV$13,0),MATCH(SCC_Chloride!$Q18,'Tables - Part 2'!$AX$5:$BA$5,0))+INDEX('Tables - Part 2'!$BF$17:$BI$24,MATCH(SCC_Chloride!$V18,'Tables - Part 2'!$AV$6:$AV$13,0),MATCH(SCC_Chloride!$Q18,'Tables - Part 2'!$AX$5:$BA$5,0)))/2))/2,0)</f>
        <v>0</v>
      </c>
      <c r="BL18" s="248">
        <f>IF($P18=$BL$3,(INDEX('Tables - Part 2'!$BB$17:$BE$24,MATCH(SCC_Chloride!$V18,'Tables - Part 2'!$AV$6:$AV$13,0),MATCH(SCC_Chloride!$Q18,'Tables - Part 2'!$AX$5:$BA$5,0))+INDEX('Tables - Part 2'!$BF$17:$BI$24,MATCH(SCC_Chloride!$V18,'Tables - Part 2'!$AV$6:$AV$13,0),MATCH(SCC_Chloride!$Q18,'Tables - Part 2'!$AX$5:$BA$5,0)))/2,0)</f>
        <v>0</v>
      </c>
      <c r="BM18" s="248">
        <f>IF($P18=$BM$3,(((INDEX('Tables - Part 2'!$BB$17:$BE$24,MATCH(SCC_Chloride!$V18,'Tables - Part 2'!$AV$6:$AV$13,0),MATCH(SCC_Chloride!$Q18,'Tables - Part 2'!$AX$5:$BA$5,0))+INDEX('Tables - Part 2'!$BF$17:$BI$24,MATCH(SCC_Chloride!$V18,'Tables - Part 2'!$AV$6:$AV$13,0),MATCH(SCC_Chloride!$Q18,'Tables - Part 2'!$AX$5:$BA$5,0)))/2)+((((INDEX('Tables - Part 2'!$BB$17:$BE$24,MATCH(SCC_Chloride!$V18,'Tables - Part 2'!$AV$6:$AV$13,0),MATCH(SCC_Chloride!$Q18,'Tables - Part 2'!$AX$5:$BA$5,0))+INDEX('Tables - Part 2'!$BF$17:$BI$24,MATCH(SCC_Chloride!$V18,'Tables - Part 2'!$AV$6:$AV$13,0),MATCH(SCC_Chloride!$Q18,'Tables - Part 2'!$AX$5:$BA$5,0)))/2)+INDEX('Tables - Part 2'!$BF$17:$BI$24,MATCH(SCC_Chloride!$V18,'Tables - Part 2'!$AV$6:$AV$13,0),MATCH(SCC_Chloride!$Q18,'Tables - Part 2'!$AX$5:$BA$5,0)))/2))/2,0)</f>
        <v>0</v>
      </c>
      <c r="BN18" s="248">
        <f>IF($P18=$BN$3,(((INDEX('Tables - Part 2'!$BB$17:$BE$24,MATCH(SCC_Chloride!$V18,'Tables - Part 2'!$AV$6:$AV$13,0),MATCH(SCC_Chloride!$Q18,'Tables - Part 2'!$AX$5:$BA$5,0))+INDEX('Tables - Part 2'!$BF$17:$BI$24,MATCH(SCC_Chloride!$V18,'Tables - Part 2'!$AV$6:$AV$13,0),MATCH(SCC_Chloride!$Q18,'Tables - Part 2'!$AX$5:$BA$5,0)))/2)+INDEX('Tables - Part 2'!$BF$17:$BI$24,MATCH(SCC_Chloride!$V18,'Tables - Part 2'!$AV$6:$AV$13,0),MATCH(SCC_Chloride!$Q18,'Tables - Part 2'!$AX$5:$BA$5,0)))/2,0)</f>
        <v>0</v>
      </c>
      <c r="BO18" s="248">
        <f>IF($P18=$BO$3,(((((INDEX('Tables - Part 2'!$BB$17:$BE$24,MATCH(SCC_Chloride!$V18,'Tables - Part 2'!$AV$6:$AV$13,0),MATCH(SCC_Chloride!$Q18,'Tables - Part 2'!$AX$5:$BA$5,0))+INDEX('Tables - Part 2'!$BF$17:$BI$24,MATCH(SCC_Chloride!$V18,'Tables - Part 2'!$AV$6:$AV$13,0),MATCH(SCC_Chloride!$Q18,'Tables - Part 2'!$AX$5:$BA$5,0)))/2)+INDEX('Tables - Part 2'!$BF$17:$BI$24,MATCH(SCC_Chloride!$V18,'Tables - Part 2'!$AV$6:$AV$13,0),MATCH(SCC_Chloride!$Q18,'Tables - Part 2'!$AX$5:$BA$5,0)))/2)+(INDEX('Tables - Part 2'!$BF$17:$BI$24,MATCH(SCC_Chloride!$V18,'Tables - Part 2'!$AV$6:$AV$13,0),MATCH(SCC_Chloride!$Q18,'Tables - Part 2'!$AX$5:$BA$5,0))))/2,0)</f>
        <v>0</v>
      </c>
      <c r="BP18" s="248">
        <f>IF($P18=$BP$3,INDEX('Tables - Part 2'!$BF$17:$BI$24,MATCH(SCC_Chloride!$V18,'Tables - Part 2'!$AV$6:$AV$13,0),MATCH(SCC_Chloride!$Q18,'Tables - Part 2'!$AX$5:$BA$5,0)),0)</f>
        <v>0</v>
      </c>
      <c r="BQ18" s="248">
        <f t="shared" si="5"/>
        <v>0</v>
      </c>
      <c r="BR18" s="238">
        <f t="shared" si="9"/>
        <v>1.5</v>
      </c>
      <c r="BS18" s="238">
        <f t="shared" si="6"/>
        <v>25.159323702612586</v>
      </c>
    </row>
    <row r="19" spans="2:71" x14ac:dyDescent="0.35">
      <c r="B19" s="161" t="str">
        <f>'Tratamento de Dados'!B27</f>
        <v>V-8</v>
      </c>
      <c r="C19" s="161" t="str">
        <f>'Tratamento de Dados'!D27</f>
        <v>Casco</v>
      </c>
      <c r="D19" s="209" t="s">
        <v>245</v>
      </c>
      <c r="E19" s="209" t="s">
        <v>61</v>
      </c>
      <c r="F19" s="209">
        <v>10</v>
      </c>
      <c r="G19" s="209" t="s">
        <v>1167</v>
      </c>
      <c r="H19" s="247">
        <f>'Tratamento de Dados'!S27</f>
        <v>2</v>
      </c>
      <c r="I19" s="210">
        <v>39092</v>
      </c>
      <c r="J19" s="209">
        <v>0</v>
      </c>
      <c r="K19" s="209">
        <v>1</v>
      </c>
      <c r="L19" s="209">
        <v>1</v>
      </c>
      <c r="M19" s="209">
        <v>4</v>
      </c>
      <c r="N19" s="253">
        <f>'Tratamento de Dados'!DA27</f>
        <v>0</v>
      </c>
      <c r="O19" s="253">
        <f>'Tratamento de Dados'!DB27</f>
        <v>0</v>
      </c>
      <c r="P19" s="256">
        <f t="shared" si="0"/>
        <v>2.5</v>
      </c>
      <c r="Q19" s="246" t="str">
        <f t="shared" si="1"/>
        <v>B</v>
      </c>
      <c r="R19" s="246" t="str">
        <f>IF(H19&lt;=38,'Tables - Part 2'!$DO$6,IF(H19&lt;=66,'Tables - Part 2'!$DO$7,IF(H19&lt;=93,'Tables - Part 2'!$DO$8,IF(H19&lt;=149,'Tables - Part 2'!$DO$9,'Tables - Part 2'!$DO$10))))</f>
        <v>≤38</v>
      </c>
      <c r="S19" s="246" t="str">
        <f>IF(H19&lt;=38,'Tables - Part 2'!$DO$14,IF(H19&lt;=93,'Tables - Part 2'!$DO$15,IF(H19&lt;=149,'Tables - Part 2'!$DO$16,'Tables - Part 2'!$DO$17)))</f>
        <v>≤38</v>
      </c>
      <c r="T19" s="246" t="str">
        <f t="shared" si="7"/>
        <v>≤38</v>
      </c>
      <c r="U19" s="467" t="str">
        <f>IF(D19=$BX$2,$BV$5,INDEX(IF(F19&gt;10,'Tables - Part 2'!$DP$14:$DS$17,'Tables - Part 2'!$DP$6:$DS$10),MATCH(T19,IF(F19&gt;10,'Tables - Part 2'!$DO$14:$DO$17,'Tables - Part 2'!$DO$6:$DO$10),0),MATCH(SCC_Chloride!G19,'Tables - Part 2'!$DP$5:$DS$5,0)))</f>
        <v>Low</v>
      </c>
      <c r="V19" s="238">
        <f>IF(AND(D19=$BX$2,E19&lt;&gt;$BX$2),"Fitness-For-Service",INDEX('Tables - Part 2'!$DV$4:$DV$7,MATCH(SCC_Chloride!U19,'Tables - Part 2'!$DU$4:$DU$7,0),))</f>
        <v>50</v>
      </c>
      <c r="W19" s="238">
        <f>IF(I19=0,(Thinning!G20-Thinning!F20)/365.25,(Thinning!G20-I19)/365.25)</f>
        <v>12.980150581793293</v>
      </c>
      <c r="X19" s="248">
        <f t="shared" si="2"/>
        <v>0</v>
      </c>
      <c r="Y19" s="248">
        <f t="shared" si="3"/>
        <v>2.5</v>
      </c>
      <c r="Z19" s="247">
        <f t="shared" si="8"/>
        <v>3</v>
      </c>
      <c r="AA19" s="247">
        <f t="shared" si="4"/>
        <v>4</v>
      </c>
      <c r="AB19" s="248">
        <f>IF($P19=$AB$3,INDEX('Tables - Part 2'!$AX$6:$BA$13,MATCH(SCC_Chloride!V19,'Tables - Part 2'!$AV$6:$AV$13,0),MATCH(SCC_Chloride!Q19,'Tables - Part 2'!$AX$5:$BA$5,0)),0)</f>
        <v>0</v>
      </c>
      <c r="AC19" s="248">
        <f>IF($P19=$AC$3,(INDEX('Tables - Part 2'!$AX$6:$BA$13,MATCH(SCC_Chloride!V19,'Tables - Part 2'!$AV$6:$AV$13,0),MATCH(SCC_Chloride!Q19,'Tables - Part 2'!$AX$5:$BA$5,0))+(INDEX('Tables - Part 2'!$AX$6:$BA$13,MATCH(SCC_Chloride!V19,'Tables - Part 2'!$AV$6:$AV$13,0),MATCH(SCC_Chloride!Q19,'Tables - Part 2'!$AX$5:$BA$5,0))+((INDEX('Tables - Part 2'!$AX$6:$BA$13,MATCH(SCC_Chloride!V19,'Tables - Part 2'!$AV$6:$AV$13,0),MATCH(SCC_Chloride!Q19,'Tables - Part 2'!$AX$5:$BA$5,0))+INDEX('Tables - Part 2'!$BB$6:$BE$13,MATCH(SCC_Chloride!$V19,'Tables - Part 2'!$AV$6:$AV$13,0),MATCH(SCC_Chloride!$Q19,'Tables - Part 2'!$AX$5:$BA$5,0)))/2))/2)/2,0)</f>
        <v>0</v>
      </c>
      <c r="AD19" s="248">
        <f>IF($P19=$AD$3,(INDEX('Tables - Part 2'!$AX$6:$BA$13,MATCH(SCC_Chloride!V19,'Tables - Part 2'!$AV$6:$AV$13,0),MATCH(SCC_Chloride!Q19,'Tables - Part 2'!$AX$5:$BA$5,0))+((INDEX('Tables - Part 2'!$AX$6:$BA$13,MATCH(SCC_Chloride!V19,'Tables - Part 2'!$AV$6:$AV$13,0),MATCH(SCC_Chloride!Q19,'Tables - Part 2'!$AX$5:$BA$5,0))+INDEX('Tables - Part 2'!$BB$6:$BE$13,MATCH(SCC_Chloride!$V19,'Tables - Part 2'!$AV$6:$AV$13,0),MATCH(SCC_Chloride!$Q19,'Tables - Part 2'!$AX$5:$BA$5,0)))/2))/2,0)</f>
        <v>0</v>
      </c>
      <c r="AE19" s="248">
        <f>IF($P19=$AE$3,(((INDEX('Tables - Part 2'!$AX$6:$BA$13,MATCH(SCC_Chloride!V19,'Tables - Part 2'!$AV$6:$AV$13,0),MATCH(SCC_Chloride!Q19,'Tables - Part 2'!$AX$5:$BA$5,0))+((INDEX('Tables - Part 2'!$AX$6:$BA$13,MATCH(SCC_Chloride!V19,'Tables - Part 2'!$AV$6:$AV$13,0),MATCH(SCC_Chloride!Q19,'Tables - Part 2'!$AX$5:$BA$5,0))+INDEX('Tables - Part 2'!$BB$6:$BE$13,MATCH(SCC_Chloride!$V19,'Tables - Part 2'!$AV$6:$AV$13,0),MATCH(SCC_Chloride!$Q19,'Tables - Part 2'!$AX$5:$BA$5,0)))/2))/2)+(INDEX('Tables - Part 2'!$AX$6:$BA$13,MATCH(SCC_Chloride!V19,'Tables - Part 2'!$AV$6:$AV$13,0),MATCH(SCC_Chloride!Q19,'Tables - Part 2'!$AX$5:$BA$5,0))+INDEX('Tables - Part 2'!$BB$6:$BE$13,MATCH(SCC_Chloride!$V19,'Tables - Part 2'!$AV$6:$AV$13,0),MATCH(SCC_Chloride!$Q19,'Tables - Part 2'!$AX$5:$BA$5,0)))/2)/2,0)</f>
        <v>0</v>
      </c>
      <c r="AF19" s="248">
        <f>IF($P19=$AF$3,(INDEX('Tables - Part 2'!$AX$6:$BA$13,MATCH(SCC_Chloride!V19,'Tables - Part 2'!$AV$6:$AV$13,0),MATCH(SCC_Chloride!Q19,'Tables - Part 2'!$AX$5:$BA$5,0))+INDEX('Tables - Part 2'!$BB$6:$BE$13,MATCH(SCC_Chloride!$V19,'Tables - Part 2'!$AV$6:$AV$13,0),MATCH(SCC_Chloride!$Q19,'Tables - Part 2'!$AX$5:$BA$5,0)))/2,0)</f>
        <v>0</v>
      </c>
      <c r="AG19" s="248">
        <f>IF($P19=$AG$3,(((INDEX('Tables - Part 2'!$AX$6:$BA$13,MATCH(SCC_Chloride!V19,'Tables - Part 2'!$AV$6:$AV$13,0),MATCH(SCC_Chloride!Q19,'Tables - Part 2'!$AX$5:$BA$5,0))+INDEX('Tables - Part 2'!$BB$6:$BE$13,MATCH(SCC_Chloride!$V19,'Tables - Part 2'!$AV$6:$AV$13,0),MATCH(SCC_Chloride!$Q19,'Tables - Part 2'!$AX$5:$BA$5,0)))/2)+(((INDEX('Tables - Part 2'!$AX$6:$BA$13,MATCH(SCC_Chloride!V19,'Tables - Part 2'!$AV$6:$AV$13,0),MATCH(SCC_Chloride!Q19,'Tables - Part 2'!$AX$5:$BA$5,0))+INDEX('Tables - Part 2'!$BB$6:$BE$13,MATCH(SCC_Chloride!$V19,'Tables - Part 2'!$AV$6:$AV$13,0),MATCH(SCC_Chloride!$Q19,'Tables - Part 2'!$AX$5:$BA$5,0)))/2)+INDEX('Tables - Part 2'!$BB$6:$BE$13,MATCH(SCC_Chloride!$V19,'Tables - Part 2'!$AV$6:$AV$13,0),MATCH(SCC_Chloride!$Q19,'Tables - Part 2'!$AX$5:$BA$5,0)))/2)/2,0)</f>
        <v>0</v>
      </c>
      <c r="AH19" s="248">
        <f>IF($P19=$AH$3,(((INDEX('Tables - Part 2'!$AX$6:$BA$13,MATCH(SCC_Chloride!V19,'Tables - Part 2'!$AV$6:$AV$13,0),MATCH(SCC_Chloride!Q19,'Tables - Part 2'!$AX$5:$BA$5,0))+INDEX('Tables - Part 2'!$BB$6:$BE$13,MATCH(SCC_Chloride!$V19,'Tables - Part 2'!$AV$6:$AV$13,0),MATCH(SCC_Chloride!$Q19,'Tables - Part 2'!$AX$5:$BA$5,0)))/2)+INDEX('Tables - Part 2'!$BB$6:$BE$13,MATCH(SCC_Chloride!$V19,'Tables - Part 2'!$AV$6:$AV$13,0),MATCH(SCC_Chloride!$Q19,'Tables - Part 2'!$AX$5:$BA$5,0)))/2,0)</f>
        <v>0</v>
      </c>
      <c r="AI19" s="248">
        <f>IF($P19=$AI$3,(((((INDEX('Tables - Part 2'!$AX$6:$BA$13,MATCH(SCC_Chloride!V19,'Tables - Part 2'!$AV$6:$AV$13,0),MATCH(SCC_Chloride!Q19,'Tables - Part 2'!$AX$5:$BA$5,0))+INDEX('Tables - Part 2'!$BB$6:$BE$13,MATCH(SCC_Chloride!$V19,'Tables - Part 2'!$AV$6:$AV$13,0),MATCH(SCC_Chloride!$Q19,'Tables - Part 2'!$AX$5:$BA$5,0)))/2)+INDEX('Tables - Part 2'!$BB$6:$BE$13,MATCH(SCC_Chloride!$V19,'Tables - Part 2'!$AV$6:$AV$13,0),MATCH(SCC_Chloride!$Q19,'Tables - Part 2'!$AX$5:$BA$5,0)))/2)+INDEX('Tables - Part 2'!$BB$6:$BE$13,MATCH(SCC_Chloride!$V19,'Tables - Part 2'!$AV$6:$AV$13,0),MATCH(SCC_Chloride!$Q19,'Tables - Part 2'!$AX$5:$BA$5,0)))/2,0)</f>
        <v>0</v>
      </c>
      <c r="AJ19" s="248">
        <f>IF($P19=$AJ$3,INDEX('Tables - Part 2'!$BB$6:$BE$13,MATCH(SCC_Chloride!$V19,'Tables - Part 2'!$AV$6:$AV$13,0),MATCH(SCC_Chloride!$Q19,'Tables - Part 2'!$AX$5:$BA$5,0)),0)</f>
        <v>0</v>
      </c>
      <c r="AK19" s="248">
        <f>IF($P19=$AK$3,((INDEX('Tables - Part 2'!$BB$6:$BE$13,MATCH(SCC_Chloride!$V19,'Tables - Part 2'!$AV$6:$AV$13,0),MATCH(SCC_Chloride!$Q19,'Tables - Part 2'!$AX$5:$BA$5,0)))+(INDEX('Tables - Part 2'!$BB$6:$BE$13,MATCH(SCC_Chloride!$V19,'Tables - Part 2'!$AV$6:$AV$13,0),MATCH(SCC_Chloride!$Q19,'Tables - Part 2'!$AX$5:$BA$5,0))+(INDEX('Tables - Part 2'!$BB$6:$BE$13,MATCH(SCC_Chloride!$V19,'Tables - Part 2'!$AV$6:$AV$13,0),MATCH(SCC_Chloride!$Q19,'Tables - Part 2'!$AX$5:$BA$5,0))+INDEX('Tables - Part 2'!$BF$6:$BI$13,MATCH(SCC_Chloride!$V19,'Tables - Part 2'!$AV$6:$AV$13,0),MATCH(SCC_Chloride!$Q19,'Tables - Part 2'!$AX$5:$BA$5,0)))/2)/2)/2,0)</f>
        <v>0</v>
      </c>
      <c r="AL19" s="248">
        <f>IF($P19=$AL$3,(INDEX('Tables - Part 2'!$BB$6:$BE$13,MATCH(SCC_Chloride!$V19,'Tables - Part 2'!$AV$6:$AV$13,0),MATCH(SCC_Chloride!$Q19,'Tables - Part 2'!$AX$5:$BA$5,0))+(INDEX('Tables - Part 2'!$BB$6:$BE$13,MATCH(SCC_Chloride!$V19,'Tables - Part 2'!$AV$6:$AV$13,0),MATCH(SCC_Chloride!$Q19,'Tables - Part 2'!$AX$5:$BA$5,0))+INDEX('Tables - Part 2'!$BF$6:$BI$13,MATCH(SCC_Chloride!$V19,'Tables - Part 2'!$AV$6:$AV$13,0),MATCH(SCC_Chloride!$Q19,'Tables - Part 2'!$AX$5:$BA$5,0)))/2)/2,0)</f>
        <v>0</v>
      </c>
      <c r="AM19" s="248">
        <f>IF($P19=$AM$3,(((INDEX('Tables - Part 2'!$BB$6:$BE$13,MATCH(SCC_Chloride!$V19,'Tables - Part 2'!$AV$6:$AV$13,0),MATCH(SCC_Chloride!$Q19,'Tables - Part 2'!$AX$5:$BA$5,0))+(INDEX('Tables - Part 2'!$BB$6:$BE$13,MATCH(SCC_Chloride!$V19,'Tables - Part 2'!$AV$6:$AV$13,0),MATCH(SCC_Chloride!$Q19,'Tables - Part 2'!$AX$5:$BA$5,0))+INDEX('Tables - Part 2'!$BF$6:$BI$13,MATCH(SCC_Chloride!$V19,'Tables - Part 2'!$AV$6:$AV$13,0),MATCH(SCC_Chloride!$Q19,'Tables - Part 2'!$AX$5:$BA$5,0)))/2)/2)+((INDEX('Tables - Part 2'!$BB$6:$BE$13,MATCH(SCC_Chloride!$V19,'Tables - Part 2'!$AV$6:$AV$13,0),MATCH(SCC_Chloride!$Q19,'Tables - Part 2'!$AX$5:$BA$5,0))+INDEX('Tables - Part 2'!$BF$6:$BI$13,MATCH(SCC_Chloride!$V19,'Tables - Part 2'!$AV$6:$AV$13,0),MATCH(SCC_Chloride!$Q19,'Tables - Part 2'!$AX$5:$BA$5,0)))/2))/2,0)</f>
        <v>0</v>
      </c>
      <c r="AN19" s="248">
        <f>IF($P19=$AN$3,(INDEX('Tables - Part 2'!$BB$6:$BE$13,MATCH(SCC_Chloride!$V19,'Tables - Part 2'!$AV$6:$AV$13,0),MATCH(SCC_Chloride!$Q19,'Tables - Part 2'!$AX$5:$BA$5,0))+INDEX('Tables - Part 2'!$BF$6:$BI$13,MATCH(SCC_Chloride!$V19,'Tables - Part 2'!$AV$6:$AV$13,0),MATCH(SCC_Chloride!$Q19,'Tables - Part 2'!$AX$5:$BA$5,0)))/2,0)</f>
        <v>1.5</v>
      </c>
      <c r="AO19" s="248">
        <f>IF($P19=$AO$3,(((INDEX('Tables - Part 2'!$BB$6:$BE$13,MATCH(SCC_Chloride!$V19,'Tables - Part 2'!$AV$6:$AV$13,0),MATCH(SCC_Chloride!$Q19,'Tables - Part 2'!$AX$5:$BA$5,0))+INDEX('Tables - Part 2'!$BF$6:$BI$13,MATCH(SCC_Chloride!$V19,'Tables - Part 2'!$AV$6:$AV$13,0),MATCH(SCC_Chloride!$Q19,'Tables - Part 2'!$AX$5:$BA$5,0)))/2)+((((INDEX('Tables - Part 2'!$BB$6:$BE$13,MATCH(SCC_Chloride!$V19,'Tables - Part 2'!$AV$6:$AV$13,0),MATCH(SCC_Chloride!$Q19,'Tables - Part 2'!$AX$5:$BA$5,0))+INDEX('Tables - Part 2'!$BF$6:$BI$13,MATCH(SCC_Chloride!$V19,'Tables - Part 2'!$AV$6:$AV$13,0),MATCH(SCC_Chloride!$Q19,'Tables - Part 2'!$AX$5:$BA$5,0)))/2)+INDEX('Tables - Part 2'!$BF$6:$BI$13,MATCH(SCC_Chloride!$V19,'Tables - Part 2'!$AV$6:$AV$13,0),MATCH(SCC_Chloride!$Q19,'Tables - Part 2'!$AX$5:$BA$5,0)))/2))/2,0)</f>
        <v>0</v>
      </c>
      <c r="AP19" s="248">
        <f>IF($P19=$AP$3,(((INDEX('Tables - Part 2'!$BB$6:$BE$13,MATCH(SCC_Chloride!$V19,'Tables - Part 2'!$AV$6:$AV$13,0),MATCH(SCC_Chloride!$Q19,'Tables - Part 2'!$AX$5:$BA$5,0))+INDEX('Tables - Part 2'!$BF$6:$BI$13,MATCH(SCC_Chloride!$V19,'Tables - Part 2'!$AV$6:$AV$13,0),MATCH(SCC_Chloride!$Q19,'Tables - Part 2'!$AX$5:$BA$5,0)))/2)+INDEX('Tables - Part 2'!$BF$6:$BI$13,MATCH(SCC_Chloride!$V19,'Tables - Part 2'!$AV$6:$AV$13,0),MATCH(SCC_Chloride!$Q19,'Tables - Part 2'!$AX$5:$BA$5,0)))/2,0)</f>
        <v>0</v>
      </c>
      <c r="AQ19" s="248">
        <f>IF($P19=$AQ$3,(((((INDEX('Tables - Part 2'!$BB$6:$BE$13,MATCH(SCC_Chloride!$V19,'Tables - Part 2'!$AV$6:$AV$13,0),MATCH(SCC_Chloride!$Q19,'Tables - Part 2'!$AX$5:$BA$5,0))+INDEX('Tables - Part 2'!$BF$6:$BI$13,MATCH(SCC_Chloride!$V19,'Tables - Part 2'!$AV$6:$AV$13,0),MATCH(SCC_Chloride!$Q19,'Tables - Part 2'!$AX$5:$BA$5,0)))/2)+INDEX('Tables - Part 2'!$BF$6:$BI$13,MATCH(SCC_Chloride!$V19,'Tables - Part 2'!$AV$6:$AV$13,0),MATCH(SCC_Chloride!$Q19,'Tables - Part 2'!$AX$5:$BA$5,0)))/2)+INDEX('Tables - Part 2'!$BF$6:$BI$13,MATCH(SCC_Chloride!$V19,'Tables - Part 2'!$AV$6:$AV$13,0),MATCH(SCC_Chloride!$Q19,'Tables - Part 2'!$AX$5:$BA$5,0)))/2,0)</f>
        <v>0</v>
      </c>
      <c r="AR19" s="248">
        <f>IF($P19=$AR$3,INDEX('Tables - Part 2'!$BF$6:$BI$13,MATCH(SCC_Chloride!$V19,'Tables - Part 2'!$AV$6:$AV$13,0),MATCH(SCC_Chloride!$Q19,'Tables - Part 2'!$AX$5:$BA$5,0)),0)</f>
        <v>0</v>
      </c>
      <c r="AS19" s="248">
        <f>IF($P19=$AS$3,(INDEX('Tables - Part 2'!$BF$6:$BI$13,MATCH(SCC_Chloride!$V19,'Tables - Part 2'!$AV$6:$AV$13,0),MATCH(SCC_Chloride!$Q19,'Tables - Part 2'!$AX$5:$BA$5,0))+((INDEX('Tables - Part 2'!$BF$6:$BI$13,MATCH(SCC_Chloride!$V19,'Tables - Part 2'!$AV$6:$AV$13,0),MATCH(SCC_Chloride!$Q19,'Tables - Part 2'!$AX$5:$BA$5,0))+(INDEX('Tables - Part 2'!$BF$6:$BI$13,MATCH(SCC_Chloride!$V19,'Tables - Part 2'!$AV$6:$AV$13,0),MATCH(SCC_Chloride!$Q19,'Tables - Part 2'!$AX$5:$BA$5,0))+INDEX('Tables - Part 2'!$AX$17:$BA$24,MATCH(SCC_Chloride!$V19,'Tables - Part 2'!$AV$6:$AV$13,0),MATCH(SCC_Chloride!$Q19,'Tables - Part 2'!$AX$5:$BA$5,0)))/2)/2))/2,0)</f>
        <v>0</v>
      </c>
      <c r="AT19" s="248">
        <f>IF($P19=$AT$3,(INDEX('Tables - Part 2'!$BF$6:$BI$13,MATCH(SCC_Chloride!$V19,'Tables - Part 2'!$AV$6:$AV$13,0),MATCH(SCC_Chloride!$Q19,'Tables - Part 2'!$AX$5:$BA$5,0))+(INDEX('Tables - Part 2'!$BF$6:$BI$13,MATCH(SCC_Chloride!$V19,'Tables - Part 2'!$AV$6:$AV$13,0),MATCH(SCC_Chloride!$Q19,'Tables - Part 2'!$AX$5:$BA$5,0))+INDEX('Tables - Part 2'!$AX$17:$BA$24,MATCH(SCC_Chloride!$V19,'Tables - Part 2'!$AV$6:$AV$13,0),MATCH(SCC_Chloride!$Q19,'Tables - Part 2'!$AX$5:$BA$5,0)))/2)/2,0)</f>
        <v>0</v>
      </c>
      <c r="AU19" s="248">
        <f>IF($P19=$AU$3,(((INDEX('Tables - Part 2'!$BF$6:$BI$13,MATCH(SCC_Chloride!$V19,'Tables - Part 2'!$AV$6:$AV$13,0),MATCH(SCC_Chloride!$Q19,'Tables - Part 2'!$AX$5:$BA$5,0))+(INDEX('Tables - Part 2'!$BF$6:$BI$13,MATCH(SCC_Chloride!$V19,'Tables - Part 2'!$AV$6:$AV$13,0),MATCH(SCC_Chloride!$Q19,'Tables - Part 2'!$AX$5:$BA$5,0))+INDEX('Tables - Part 2'!$AX$17:$BA$24,MATCH(SCC_Chloride!$V19,'Tables - Part 2'!$AV$6:$AV$13,0),MATCH(SCC_Chloride!$Q19,'Tables - Part 2'!$AX$5:$BA$5,0)))/2)/2)+((INDEX('Tables - Part 2'!$BF$6:$BI$13,MATCH(SCC_Chloride!$V19,'Tables - Part 2'!$AV$6:$AV$13,0),MATCH(SCC_Chloride!$Q19,'Tables - Part 2'!$AX$5:$BA$5,0))+INDEX('Tables - Part 2'!$AX$17:$BA$24,MATCH(SCC_Chloride!$V19,'Tables - Part 2'!$AV$6:$AV$13,0),MATCH(SCC_Chloride!$Q19,'Tables - Part 2'!$AX$5:$BA$5,0)))/2))/2,0)</f>
        <v>0</v>
      </c>
      <c r="AV19" s="248">
        <f>IF($P19=$AV$3,(INDEX('Tables - Part 2'!$BF$6:$BI$13,MATCH(SCC_Chloride!$V19,'Tables - Part 2'!$AV$6:$AV$13,0),MATCH(SCC_Chloride!$Q19,'Tables - Part 2'!$AX$5:$BA$5,0))+INDEX('Tables - Part 2'!$AX$17:$BA$24,MATCH(SCC_Chloride!$V19,'Tables - Part 2'!$AV$6:$AV$13,0),MATCH(SCC_Chloride!$Q19,'Tables - Part 2'!$AX$5:$BA$5,0)))/2,0)</f>
        <v>0</v>
      </c>
      <c r="AW19" s="248">
        <f>IF($P19=$AW$3,(((INDEX('Tables - Part 2'!$BF$6:$BI$13,MATCH(SCC_Chloride!$V19,'Tables - Part 2'!$AV$6:$AV$13,0),MATCH(SCC_Chloride!$Q19,'Tables - Part 2'!$AX$5:$BA$5,0))+INDEX('Tables - Part 2'!$AX$17:$BA$24,MATCH(SCC_Chloride!$V19,'Tables - Part 2'!$AV$6:$AV$13,0),MATCH(SCC_Chloride!$Q19,'Tables - Part 2'!$AX$5:$BA$5,0)))/2)+((((INDEX('Tables - Part 2'!$BF$6:$BI$13,MATCH(SCC_Chloride!$V19,'Tables - Part 2'!$AV$6:$AV$13,0),MATCH(SCC_Chloride!$Q19,'Tables - Part 2'!$AX$5:$BA$5,0))+INDEX('Tables - Part 2'!$AX$17:$BA$24,MATCH(SCC_Chloride!$V19,'Tables - Part 2'!$AV$6:$AV$13,0),MATCH(SCC_Chloride!$Q19,'Tables - Part 2'!$AX$5:$BA$5,0)))/2)+INDEX('Tables - Part 2'!$AX$17:$BA$24,MATCH(SCC_Chloride!$V19,'Tables - Part 2'!$AV$6:$AV$13,0),MATCH(SCC_Chloride!$Q19,'Tables - Part 2'!$AX$5:$BA$5,0)))/2))/2,0)</f>
        <v>0</v>
      </c>
      <c r="AX19" s="248">
        <f>IF($P19=$AX$3,(((INDEX('Tables - Part 2'!$BF$6:$BI$13,MATCH(SCC_Chloride!$V19,'Tables - Part 2'!$AV$6:$AV$13,0),MATCH(SCC_Chloride!$Q19,'Tables - Part 2'!$AX$5:$BA$5,0))+INDEX('Tables - Part 2'!$AX$17:$BA$24,MATCH(SCC_Chloride!$V19,'Tables - Part 2'!$AV$6:$AV$13,0),MATCH(SCC_Chloride!$Q19,'Tables - Part 2'!$AX$5:$BA$5,0)))/2)+INDEX('Tables - Part 2'!$AX$17:$BA$24,MATCH(SCC_Chloride!$V19,'Tables - Part 2'!$AV$6:$AV$13,0),MATCH(SCC_Chloride!$Q19,'Tables - Part 2'!$AX$5:$BA$5,0)))/2,0)</f>
        <v>0</v>
      </c>
      <c r="AY19" s="248">
        <f>IF($P19=$AY$3,(((((INDEX('Tables - Part 2'!$BF$6:$BI$13,MATCH(SCC_Chloride!$V19,'Tables - Part 2'!$AV$6:$AV$13,0),MATCH(SCC_Chloride!$Q19,'Tables - Part 2'!$AX$5:$BA$5,0))+INDEX('Tables - Part 2'!$AX$17:$BA$24,MATCH(SCC_Chloride!$V19,'Tables - Part 2'!$AV$6:$AV$13,0),MATCH(SCC_Chloride!$Q19,'Tables - Part 2'!$AX$5:$BA$5,0)))/2)+INDEX('Tables - Part 2'!$AX$17:$BA$24,MATCH(SCC_Chloride!$V19,'Tables - Part 2'!$AV$6:$AV$13,0),MATCH(SCC_Chloride!$Q19,'Tables - Part 2'!$AX$5:$BA$5,0)))/2)+(INDEX('Tables - Part 2'!$AX$17:$BA$24,MATCH(SCC_Chloride!$V19,'Tables - Part 2'!$AV$6:$AV$13,0),MATCH(SCC_Chloride!$Q19,'Tables - Part 2'!$AX$5:$BA$5,0))))/2,0)</f>
        <v>0</v>
      </c>
      <c r="AZ19" s="248">
        <f>IF($P19=$AZ$3,INDEX('Tables - Part 2'!$AX$17:$BA$24,MATCH(SCC_Chloride!$V19,'Tables - Part 2'!$AV$6:$AV$13,0),MATCH(SCC_Chloride!$Q19,'Tables - Part 2'!$AX$5:$BA$5,0)),0)</f>
        <v>0</v>
      </c>
      <c r="BA19" s="248">
        <f>IF($P19=$BA$3,((INDEX('Tables - Part 2'!$AX$17:$BA$24,MATCH(SCC_Chloride!$V19,'Tables - Part 2'!$AV$6:$AV$13,0),MATCH(SCC_Chloride!$Q19,'Tables - Part 2'!$AX$5:$BA$5,0)))+(((INDEX('Tables - Part 2'!$AX$17:$BA$24,MATCH(SCC_Chloride!$V19,'Tables - Part 2'!$AV$6:$AV$13,0),MATCH(SCC_Chloride!$Q19,'Tables - Part 2'!$AX$5:$BA$5,0)))+(INDEX('Tables - Part 2'!$AX$17:$BA$24,MATCH(SCC_Chloride!$V19,'Tables - Part 2'!$AV$6:$AV$13,0),MATCH(SCC_Chloride!$Q19,'Tables - Part 2'!$AX$5:$BA$5,0))+INDEX('Tables - Part 2'!$BB$17:$BE$24,MATCH(SCC_Chloride!$V19,'Tables - Part 2'!$AV$6:$AV$13,0),MATCH(SCC_Chloride!$Q19,'Tables - Part 2'!$AX$5:$BA$5,0)))/2)/2))/2,0)</f>
        <v>0</v>
      </c>
      <c r="BB19" s="248">
        <f>IF($P19=$BB$3,((INDEX('Tables - Part 2'!$AX$17:$BA$24,MATCH(SCC_Chloride!$V19,'Tables - Part 2'!$AV$6:$AV$13,0),MATCH(SCC_Chloride!$Q19,'Tables - Part 2'!$AX$5:$BA$5,0)))+(INDEX('Tables - Part 2'!$AX$17:$BA$24,MATCH(SCC_Chloride!$V19,'Tables - Part 2'!$AV$6:$AV$13,0),MATCH(SCC_Chloride!$Q19,'Tables - Part 2'!$AX$5:$BA$5,0))+INDEX('Tables - Part 2'!$BB$17:$BE$24,MATCH(SCC_Chloride!$V19,'Tables - Part 2'!$AV$6:$AV$13,0),MATCH(SCC_Chloride!$Q19,'Tables - Part 2'!$AX$5:$BA$5,0)))/2)/2,0)</f>
        <v>0</v>
      </c>
      <c r="BC19" s="248">
        <f>IF($P19=$BC$3,((((INDEX('Tables - Part 2'!$AX$17:$BA$24,MATCH(SCC_Chloride!$V19,'Tables - Part 2'!$AV$6:$AV$13,0),MATCH(SCC_Chloride!$Q19,'Tables - Part 2'!$AX$5:$BA$5,0)))+(INDEX('Tables - Part 2'!$AX$17:$BA$24,MATCH(SCC_Chloride!$V19,'Tables - Part 2'!$AV$6:$AV$13,0),MATCH(SCC_Chloride!$Q19,'Tables - Part 2'!$AX$5:$BA$5,0))+INDEX('Tables - Part 2'!$BB$17:$BE$24,MATCH(SCC_Chloride!$V19,'Tables - Part 2'!$AV$6:$AV$13,0),MATCH(SCC_Chloride!$Q19,'Tables - Part 2'!$AX$5:$BA$5,0)))/2)/2)+((INDEX('Tables - Part 2'!$AX$17:$BA$24,MATCH(SCC_Chloride!$V19,'Tables - Part 2'!$AV$6:$AV$13,0),MATCH(SCC_Chloride!$Q19,'Tables - Part 2'!$AX$5:$BA$5,0))+INDEX('Tables - Part 2'!$BB$17:$BE$24,MATCH(SCC_Chloride!$V19,'Tables - Part 2'!$AV$6:$AV$13,0),MATCH(SCC_Chloride!$Q19,'Tables - Part 2'!$AX$5:$BA$5,0)))/2))/2,0)</f>
        <v>0</v>
      </c>
      <c r="BD19" s="248">
        <f>IF($P19=$BD$3,(INDEX('Tables - Part 2'!$AX$17:$BA$24,MATCH(SCC_Chloride!$V19,'Tables - Part 2'!$AV$6:$AV$13,0),MATCH(SCC_Chloride!$Q19,'Tables - Part 2'!$AX$5:$BA$5,0))+INDEX('Tables - Part 2'!$BB$17:$BE$24,MATCH(SCC_Chloride!$V19,'Tables - Part 2'!$AV$6:$AV$13,0),MATCH(SCC_Chloride!$Q19,'Tables - Part 2'!$AX$5:$BA$5,0)))/2,0)</f>
        <v>0</v>
      </c>
      <c r="BE19" s="248">
        <f>IF($P19=$BE$3,(((INDEX('Tables - Part 2'!$AX$17:$BA$24,MATCH(SCC_Chloride!$V19,'Tables - Part 2'!$AV$6:$AV$13,0),MATCH(SCC_Chloride!$Q19,'Tables - Part 2'!$AX$5:$BA$5,0))+INDEX('Tables - Part 2'!$BB$17:$BE$24,MATCH(SCC_Chloride!$V19,'Tables - Part 2'!$AV$6:$AV$13,0),MATCH(SCC_Chloride!$Q19,'Tables - Part 2'!$AX$5:$BA$5,0)))/2)+((((INDEX('Tables - Part 2'!$AX$17:$BA$24,MATCH(SCC_Chloride!$V19,'Tables - Part 2'!$AV$6:$AV$13,0),MATCH(SCC_Chloride!$Q19,'Tables - Part 2'!$AX$5:$BA$5,0))+INDEX('Tables - Part 2'!$BB$17:$BE$24,MATCH(SCC_Chloride!$V19,'Tables - Part 2'!$AV$6:$AV$13,0),MATCH(SCC_Chloride!$Q19,'Tables - Part 2'!$AX$5:$BA$5,0)))/2)+INDEX('Tables - Part 2'!$BB$17:$BE$24,MATCH(SCC_Chloride!$V19,'Tables - Part 2'!$AV$6:$AV$13,0),MATCH(SCC_Chloride!$Q19,'Tables - Part 2'!$AX$5:$BA$5,0)))/2))/2,0)</f>
        <v>0</v>
      </c>
      <c r="BF19" s="248">
        <f>IF($P19=$BF$3,(((INDEX('Tables - Part 2'!$AX$17:$BA$24,MATCH(SCC_Chloride!$V19,'Tables - Part 2'!$AV$6:$AV$13,0),MATCH(SCC_Chloride!$Q19,'Tables - Part 2'!$AX$5:$BA$5,0))+INDEX('Tables - Part 2'!$BB$17:$BE$24,MATCH(SCC_Chloride!$V19,'Tables - Part 2'!$AV$6:$AV$13,0),MATCH(SCC_Chloride!$Q19,'Tables - Part 2'!$AX$5:$BA$5,0)))/2)+INDEX('Tables - Part 2'!$BB$17:$BE$24,MATCH(SCC_Chloride!$V19,'Tables - Part 2'!$AV$6:$AV$13,0),MATCH(SCC_Chloride!$Q19,'Tables - Part 2'!$AX$5:$BA$5,0)))/2,0)</f>
        <v>0</v>
      </c>
      <c r="BG19" s="248">
        <f>IF($P19=$BG$3,(((((INDEX('Tables - Part 2'!$AX$17:$BA$24,MATCH(SCC_Chloride!$V19,'Tables - Part 2'!$AV$6:$AV$13,0),MATCH(SCC_Chloride!$Q19,'Tables - Part 2'!$AX$5:$BA$5,0))+INDEX('Tables - Part 2'!$BB$17:$BE$24,MATCH(SCC_Chloride!$V19,'Tables - Part 2'!$AV$6:$AV$13,0),MATCH(SCC_Chloride!$Q19,'Tables - Part 2'!$AX$5:$BA$5,0)))/2)+INDEX('Tables - Part 2'!$BB$17:$BE$24,MATCH(SCC_Chloride!$V19,'Tables - Part 2'!$AV$6:$AV$13,0),MATCH(SCC_Chloride!$Q19,'Tables - Part 2'!$AX$5:$BA$5,0)))/2)+(INDEX('Tables - Part 2'!$BB$17:$BE$24,MATCH(SCC_Chloride!$V19,'Tables - Part 2'!$AV$6:$AV$13,0),MATCH(SCC_Chloride!$Q19,'Tables - Part 2'!$AX$5:$BA$5,0))))/2,0)</f>
        <v>0</v>
      </c>
      <c r="BH19" s="248">
        <f>IF($P19=$BH$3,INDEX('Tables - Part 2'!$BB$17:$BE$24,MATCH(SCC_Chloride!$V19,'Tables - Part 2'!$AV$6:$AV$13,0),MATCH(SCC_Chloride!$Q19,'Tables - Part 2'!$AX$5:$BA$5,0)),0)</f>
        <v>0</v>
      </c>
      <c r="BI19" s="248">
        <f>IF($P19=$BI$3,((INDEX('Tables - Part 2'!$BB$17:$BE$24,MATCH(SCC_Chloride!$V19,'Tables - Part 2'!$AV$6:$AV$13,0),MATCH(SCC_Chloride!$Q19,'Tables - Part 2'!$AX$5:$BA$5,0)))+(((INDEX('Tables - Part 2'!$BB$17:$BE$24,MATCH(SCC_Chloride!$V19,'Tables - Part 2'!$AV$6:$AV$13,0),MATCH(SCC_Chloride!$Q19,'Tables - Part 2'!$AX$5:$BA$5,0)))+(INDEX('Tables - Part 2'!$BB$17:$BE$24,MATCH(SCC_Chloride!$V19,'Tables - Part 2'!$AV$6:$AV$13,0),MATCH(SCC_Chloride!$Q19,'Tables - Part 2'!$AX$5:$BA$5,0))+INDEX('Tables - Part 2'!$BF$17:$BI$24,MATCH(SCC_Chloride!$V19,'Tables - Part 2'!$AV$6:$AV$13,0),MATCH(SCC_Chloride!$Q19,'Tables - Part 2'!$AX$5:$BA$5,0)))/2)/2))/2,0)</f>
        <v>0</v>
      </c>
      <c r="BJ19" s="248">
        <f>IF($P19=$BJ$3,((INDEX('Tables - Part 2'!$BB$17:$BE$24,MATCH(SCC_Chloride!$V19,'Tables - Part 2'!$AV$6:$AV$13,0),MATCH(SCC_Chloride!$Q19,'Tables - Part 2'!$AX$5:$BA$5,0)))+(INDEX('Tables - Part 2'!$BB$17:$BE$24,MATCH(SCC_Chloride!$V19,'Tables - Part 2'!$AV$6:$AV$13,0),MATCH(SCC_Chloride!$Q19,'Tables - Part 2'!$AX$5:$BA$5,0))+INDEX('Tables - Part 2'!$BF$17:$BI$24,MATCH(SCC_Chloride!$V19,'Tables - Part 2'!$AV$6:$AV$13,0),MATCH(SCC_Chloride!$Q19,'Tables - Part 2'!$AX$5:$BA$5,0)))/2)/2,0)</f>
        <v>0</v>
      </c>
      <c r="BK19" s="248">
        <f>IF($P19=$BK$3,((((INDEX('Tables - Part 2'!$BB$17:$BE$24,MATCH(SCC_Chloride!$V19,'Tables - Part 2'!$AV$6:$AV$13,0),MATCH(SCC_Chloride!$Q19,'Tables - Part 2'!$AX$5:$BA$5,0)))+(INDEX('Tables - Part 2'!$BB$17:$BE$24,MATCH(SCC_Chloride!$V19,'Tables - Part 2'!$AV$6:$AV$13,0),MATCH(SCC_Chloride!$Q19,'Tables - Part 2'!$AX$5:$BA$5,0))+INDEX('Tables - Part 2'!$BF$17:$BI$24,MATCH(SCC_Chloride!$V19,'Tables - Part 2'!$AV$6:$AV$13,0),MATCH(SCC_Chloride!$Q19,'Tables - Part 2'!$AX$5:$BA$5,0)))/2)/2)+((INDEX('Tables - Part 2'!$BB$17:$BE$24,MATCH(SCC_Chloride!$V19,'Tables - Part 2'!$AV$6:$AV$13,0),MATCH(SCC_Chloride!$Q19,'Tables - Part 2'!$AX$5:$BA$5,0))+INDEX('Tables - Part 2'!$BF$17:$BI$24,MATCH(SCC_Chloride!$V19,'Tables - Part 2'!$AV$6:$AV$13,0),MATCH(SCC_Chloride!$Q19,'Tables - Part 2'!$AX$5:$BA$5,0)))/2))/2,0)</f>
        <v>0</v>
      </c>
      <c r="BL19" s="248">
        <f>IF($P19=$BL$3,(INDEX('Tables - Part 2'!$BB$17:$BE$24,MATCH(SCC_Chloride!$V19,'Tables - Part 2'!$AV$6:$AV$13,0),MATCH(SCC_Chloride!$Q19,'Tables - Part 2'!$AX$5:$BA$5,0))+INDEX('Tables - Part 2'!$BF$17:$BI$24,MATCH(SCC_Chloride!$V19,'Tables - Part 2'!$AV$6:$AV$13,0),MATCH(SCC_Chloride!$Q19,'Tables - Part 2'!$AX$5:$BA$5,0)))/2,0)</f>
        <v>0</v>
      </c>
      <c r="BM19" s="248">
        <f>IF($P19=$BM$3,(((INDEX('Tables - Part 2'!$BB$17:$BE$24,MATCH(SCC_Chloride!$V19,'Tables - Part 2'!$AV$6:$AV$13,0),MATCH(SCC_Chloride!$Q19,'Tables - Part 2'!$AX$5:$BA$5,0))+INDEX('Tables - Part 2'!$BF$17:$BI$24,MATCH(SCC_Chloride!$V19,'Tables - Part 2'!$AV$6:$AV$13,0),MATCH(SCC_Chloride!$Q19,'Tables - Part 2'!$AX$5:$BA$5,0)))/2)+((((INDEX('Tables - Part 2'!$BB$17:$BE$24,MATCH(SCC_Chloride!$V19,'Tables - Part 2'!$AV$6:$AV$13,0),MATCH(SCC_Chloride!$Q19,'Tables - Part 2'!$AX$5:$BA$5,0))+INDEX('Tables - Part 2'!$BF$17:$BI$24,MATCH(SCC_Chloride!$V19,'Tables - Part 2'!$AV$6:$AV$13,0),MATCH(SCC_Chloride!$Q19,'Tables - Part 2'!$AX$5:$BA$5,0)))/2)+INDEX('Tables - Part 2'!$BF$17:$BI$24,MATCH(SCC_Chloride!$V19,'Tables - Part 2'!$AV$6:$AV$13,0),MATCH(SCC_Chloride!$Q19,'Tables - Part 2'!$AX$5:$BA$5,0)))/2))/2,0)</f>
        <v>0</v>
      </c>
      <c r="BN19" s="248">
        <f>IF($P19=$BN$3,(((INDEX('Tables - Part 2'!$BB$17:$BE$24,MATCH(SCC_Chloride!$V19,'Tables - Part 2'!$AV$6:$AV$13,0),MATCH(SCC_Chloride!$Q19,'Tables - Part 2'!$AX$5:$BA$5,0))+INDEX('Tables - Part 2'!$BF$17:$BI$24,MATCH(SCC_Chloride!$V19,'Tables - Part 2'!$AV$6:$AV$13,0),MATCH(SCC_Chloride!$Q19,'Tables - Part 2'!$AX$5:$BA$5,0)))/2)+INDEX('Tables - Part 2'!$BF$17:$BI$24,MATCH(SCC_Chloride!$V19,'Tables - Part 2'!$AV$6:$AV$13,0),MATCH(SCC_Chloride!$Q19,'Tables - Part 2'!$AX$5:$BA$5,0)))/2,0)</f>
        <v>0</v>
      </c>
      <c r="BO19" s="248">
        <f>IF($P19=$BO$3,(((((INDEX('Tables - Part 2'!$BB$17:$BE$24,MATCH(SCC_Chloride!$V19,'Tables - Part 2'!$AV$6:$AV$13,0),MATCH(SCC_Chloride!$Q19,'Tables - Part 2'!$AX$5:$BA$5,0))+INDEX('Tables - Part 2'!$BF$17:$BI$24,MATCH(SCC_Chloride!$V19,'Tables - Part 2'!$AV$6:$AV$13,0),MATCH(SCC_Chloride!$Q19,'Tables - Part 2'!$AX$5:$BA$5,0)))/2)+INDEX('Tables - Part 2'!$BF$17:$BI$24,MATCH(SCC_Chloride!$V19,'Tables - Part 2'!$AV$6:$AV$13,0),MATCH(SCC_Chloride!$Q19,'Tables - Part 2'!$AX$5:$BA$5,0)))/2)+(INDEX('Tables - Part 2'!$BF$17:$BI$24,MATCH(SCC_Chloride!$V19,'Tables - Part 2'!$AV$6:$AV$13,0),MATCH(SCC_Chloride!$Q19,'Tables - Part 2'!$AX$5:$BA$5,0))))/2,0)</f>
        <v>0</v>
      </c>
      <c r="BP19" s="248">
        <f>IF($P19=$BP$3,INDEX('Tables - Part 2'!$BF$17:$BI$24,MATCH(SCC_Chloride!$V19,'Tables - Part 2'!$AV$6:$AV$13,0),MATCH(SCC_Chloride!$Q19,'Tables - Part 2'!$AX$5:$BA$5,0)),0)</f>
        <v>0</v>
      </c>
      <c r="BQ19" s="248">
        <f t="shared" si="5"/>
        <v>0</v>
      </c>
      <c r="BR19" s="238">
        <f t="shared" si="9"/>
        <v>1.5</v>
      </c>
      <c r="BS19" s="238">
        <f t="shared" si="6"/>
        <v>25.159323702612586</v>
      </c>
    </row>
    <row r="20" spans="2:71" x14ac:dyDescent="0.35">
      <c r="B20" s="161" t="str">
        <f>'Tratamento de Dados'!B28</f>
        <v>V-90</v>
      </c>
      <c r="C20" s="161" t="str">
        <f>'Tratamento de Dados'!D28</f>
        <v>Casco</v>
      </c>
      <c r="D20" s="209" t="s">
        <v>245</v>
      </c>
      <c r="E20" s="209" t="s">
        <v>61</v>
      </c>
      <c r="F20" s="209">
        <v>10</v>
      </c>
      <c r="G20" s="209" t="s">
        <v>1167</v>
      </c>
      <c r="H20" s="247">
        <f>'Tratamento de Dados'!S28</f>
        <v>2</v>
      </c>
      <c r="I20" s="210">
        <v>39092</v>
      </c>
      <c r="J20" s="209">
        <v>0</v>
      </c>
      <c r="K20" s="209">
        <v>1</v>
      </c>
      <c r="L20" s="209">
        <v>1</v>
      </c>
      <c r="M20" s="209">
        <v>4</v>
      </c>
      <c r="N20" s="253">
        <f>'Tratamento de Dados'!DA28</f>
        <v>0</v>
      </c>
      <c r="O20" s="253">
        <f>'Tratamento de Dados'!DB28</f>
        <v>0</v>
      </c>
      <c r="P20" s="256">
        <f t="shared" si="0"/>
        <v>2.5</v>
      </c>
      <c r="Q20" s="246" t="str">
        <f t="shared" si="1"/>
        <v>B</v>
      </c>
      <c r="R20" s="246" t="str">
        <f>IF(H20&lt;=38,'Tables - Part 2'!$DO$6,IF(H20&lt;=66,'Tables - Part 2'!$DO$7,IF(H20&lt;=93,'Tables - Part 2'!$DO$8,IF(H20&lt;=149,'Tables - Part 2'!$DO$9,'Tables - Part 2'!$DO$10))))</f>
        <v>≤38</v>
      </c>
      <c r="S20" s="246" t="str">
        <f>IF(H20&lt;=38,'Tables - Part 2'!$DO$14,IF(H20&lt;=93,'Tables - Part 2'!$DO$15,IF(H20&lt;=149,'Tables - Part 2'!$DO$16,'Tables - Part 2'!$DO$17)))</f>
        <v>≤38</v>
      </c>
      <c r="T20" s="246" t="str">
        <f t="shared" si="7"/>
        <v>≤38</v>
      </c>
      <c r="U20" s="467" t="str">
        <f>IF(D20=$BX$2,$BV$5,INDEX(IF(F20&gt;10,'Tables - Part 2'!$DP$14:$DS$17,'Tables - Part 2'!$DP$6:$DS$10),MATCH(T20,IF(F20&gt;10,'Tables - Part 2'!$DO$14:$DO$17,'Tables - Part 2'!$DO$6:$DO$10),0),MATCH(SCC_Chloride!G20,'Tables - Part 2'!$DP$5:$DS$5,0)))</f>
        <v>Low</v>
      </c>
      <c r="V20" s="238">
        <f>IF(AND(D20=$BX$2,E20&lt;&gt;$BX$2),"Fitness-For-Service",INDEX('Tables - Part 2'!$DV$4:$DV$7,MATCH(SCC_Chloride!U20,'Tables - Part 2'!$DU$4:$DU$7,0),))</f>
        <v>50</v>
      </c>
      <c r="W20" s="238">
        <f>IF(I20=0,(Thinning!G21-Thinning!F21)/365.25,(Thinning!G21-I20)/365.25)</f>
        <v>12.980150581793293</v>
      </c>
      <c r="X20" s="248">
        <f t="shared" si="2"/>
        <v>0</v>
      </c>
      <c r="Y20" s="248">
        <f t="shared" si="3"/>
        <v>2.5</v>
      </c>
      <c r="Z20" s="247">
        <f t="shared" si="8"/>
        <v>3</v>
      </c>
      <c r="AA20" s="247">
        <f t="shared" si="4"/>
        <v>4</v>
      </c>
      <c r="AB20" s="248">
        <f>IF($P20=$AB$3,INDEX('Tables - Part 2'!$AX$6:$BA$13,MATCH(SCC_Chloride!V20,'Tables - Part 2'!$AV$6:$AV$13,0),MATCH(SCC_Chloride!Q20,'Tables - Part 2'!$AX$5:$BA$5,0)),0)</f>
        <v>0</v>
      </c>
      <c r="AC20" s="248">
        <f>IF($P20=$AC$3,(INDEX('Tables - Part 2'!$AX$6:$BA$13,MATCH(SCC_Chloride!V20,'Tables - Part 2'!$AV$6:$AV$13,0),MATCH(SCC_Chloride!Q20,'Tables - Part 2'!$AX$5:$BA$5,0))+(INDEX('Tables - Part 2'!$AX$6:$BA$13,MATCH(SCC_Chloride!V20,'Tables - Part 2'!$AV$6:$AV$13,0),MATCH(SCC_Chloride!Q20,'Tables - Part 2'!$AX$5:$BA$5,0))+((INDEX('Tables - Part 2'!$AX$6:$BA$13,MATCH(SCC_Chloride!V20,'Tables - Part 2'!$AV$6:$AV$13,0),MATCH(SCC_Chloride!Q20,'Tables - Part 2'!$AX$5:$BA$5,0))+INDEX('Tables - Part 2'!$BB$6:$BE$13,MATCH(SCC_Chloride!$V20,'Tables - Part 2'!$AV$6:$AV$13,0),MATCH(SCC_Chloride!$Q20,'Tables - Part 2'!$AX$5:$BA$5,0)))/2))/2)/2,0)</f>
        <v>0</v>
      </c>
      <c r="AD20" s="248">
        <f>IF($P20=$AD$3,(INDEX('Tables - Part 2'!$AX$6:$BA$13,MATCH(SCC_Chloride!V20,'Tables - Part 2'!$AV$6:$AV$13,0),MATCH(SCC_Chloride!Q20,'Tables - Part 2'!$AX$5:$BA$5,0))+((INDEX('Tables - Part 2'!$AX$6:$BA$13,MATCH(SCC_Chloride!V20,'Tables - Part 2'!$AV$6:$AV$13,0),MATCH(SCC_Chloride!Q20,'Tables - Part 2'!$AX$5:$BA$5,0))+INDEX('Tables - Part 2'!$BB$6:$BE$13,MATCH(SCC_Chloride!$V20,'Tables - Part 2'!$AV$6:$AV$13,0),MATCH(SCC_Chloride!$Q20,'Tables - Part 2'!$AX$5:$BA$5,0)))/2))/2,0)</f>
        <v>0</v>
      </c>
      <c r="AE20" s="248">
        <f>IF($P20=$AE$3,(((INDEX('Tables - Part 2'!$AX$6:$BA$13,MATCH(SCC_Chloride!V20,'Tables - Part 2'!$AV$6:$AV$13,0),MATCH(SCC_Chloride!Q20,'Tables - Part 2'!$AX$5:$BA$5,0))+((INDEX('Tables - Part 2'!$AX$6:$BA$13,MATCH(SCC_Chloride!V20,'Tables - Part 2'!$AV$6:$AV$13,0),MATCH(SCC_Chloride!Q20,'Tables - Part 2'!$AX$5:$BA$5,0))+INDEX('Tables - Part 2'!$BB$6:$BE$13,MATCH(SCC_Chloride!$V20,'Tables - Part 2'!$AV$6:$AV$13,0),MATCH(SCC_Chloride!$Q20,'Tables - Part 2'!$AX$5:$BA$5,0)))/2))/2)+(INDEX('Tables - Part 2'!$AX$6:$BA$13,MATCH(SCC_Chloride!V20,'Tables - Part 2'!$AV$6:$AV$13,0),MATCH(SCC_Chloride!Q20,'Tables - Part 2'!$AX$5:$BA$5,0))+INDEX('Tables - Part 2'!$BB$6:$BE$13,MATCH(SCC_Chloride!$V20,'Tables - Part 2'!$AV$6:$AV$13,0),MATCH(SCC_Chloride!$Q20,'Tables - Part 2'!$AX$5:$BA$5,0)))/2)/2,0)</f>
        <v>0</v>
      </c>
      <c r="AF20" s="248">
        <f>IF($P20=$AF$3,(INDEX('Tables - Part 2'!$AX$6:$BA$13,MATCH(SCC_Chloride!V20,'Tables - Part 2'!$AV$6:$AV$13,0),MATCH(SCC_Chloride!Q20,'Tables - Part 2'!$AX$5:$BA$5,0))+INDEX('Tables - Part 2'!$BB$6:$BE$13,MATCH(SCC_Chloride!$V20,'Tables - Part 2'!$AV$6:$AV$13,0),MATCH(SCC_Chloride!$Q20,'Tables - Part 2'!$AX$5:$BA$5,0)))/2,0)</f>
        <v>0</v>
      </c>
      <c r="AG20" s="248">
        <f>IF($P20=$AG$3,(((INDEX('Tables - Part 2'!$AX$6:$BA$13,MATCH(SCC_Chloride!V20,'Tables - Part 2'!$AV$6:$AV$13,0),MATCH(SCC_Chloride!Q20,'Tables - Part 2'!$AX$5:$BA$5,0))+INDEX('Tables - Part 2'!$BB$6:$BE$13,MATCH(SCC_Chloride!$V20,'Tables - Part 2'!$AV$6:$AV$13,0),MATCH(SCC_Chloride!$Q20,'Tables - Part 2'!$AX$5:$BA$5,0)))/2)+(((INDEX('Tables - Part 2'!$AX$6:$BA$13,MATCH(SCC_Chloride!V20,'Tables - Part 2'!$AV$6:$AV$13,0),MATCH(SCC_Chloride!Q20,'Tables - Part 2'!$AX$5:$BA$5,0))+INDEX('Tables - Part 2'!$BB$6:$BE$13,MATCH(SCC_Chloride!$V20,'Tables - Part 2'!$AV$6:$AV$13,0),MATCH(SCC_Chloride!$Q20,'Tables - Part 2'!$AX$5:$BA$5,0)))/2)+INDEX('Tables - Part 2'!$BB$6:$BE$13,MATCH(SCC_Chloride!$V20,'Tables - Part 2'!$AV$6:$AV$13,0),MATCH(SCC_Chloride!$Q20,'Tables - Part 2'!$AX$5:$BA$5,0)))/2)/2,0)</f>
        <v>0</v>
      </c>
      <c r="AH20" s="248">
        <f>IF($P20=$AH$3,(((INDEX('Tables - Part 2'!$AX$6:$BA$13,MATCH(SCC_Chloride!V20,'Tables - Part 2'!$AV$6:$AV$13,0),MATCH(SCC_Chloride!Q20,'Tables - Part 2'!$AX$5:$BA$5,0))+INDEX('Tables - Part 2'!$BB$6:$BE$13,MATCH(SCC_Chloride!$V20,'Tables - Part 2'!$AV$6:$AV$13,0),MATCH(SCC_Chloride!$Q20,'Tables - Part 2'!$AX$5:$BA$5,0)))/2)+INDEX('Tables - Part 2'!$BB$6:$BE$13,MATCH(SCC_Chloride!$V20,'Tables - Part 2'!$AV$6:$AV$13,0),MATCH(SCC_Chloride!$Q20,'Tables - Part 2'!$AX$5:$BA$5,0)))/2,0)</f>
        <v>0</v>
      </c>
      <c r="AI20" s="248">
        <f>IF($P20=$AI$3,(((((INDEX('Tables - Part 2'!$AX$6:$BA$13,MATCH(SCC_Chloride!V20,'Tables - Part 2'!$AV$6:$AV$13,0),MATCH(SCC_Chloride!Q20,'Tables - Part 2'!$AX$5:$BA$5,0))+INDEX('Tables - Part 2'!$BB$6:$BE$13,MATCH(SCC_Chloride!$V20,'Tables - Part 2'!$AV$6:$AV$13,0),MATCH(SCC_Chloride!$Q20,'Tables - Part 2'!$AX$5:$BA$5,0)))/2)+INDEX('Tables - Part 2'!$BB$6:$BE$13,MATCH(SCC_Chloride!$V20,'Tables - Part 2'!$AV$6:$AV$13,0),MATCH(SCC_Chloride!$Q20,'Tables - Part 2'!$AX$5:$BA$5,0)))/2)+INDEX('Tables - Part 2'!$BB$6:$BE$13,MATCH(SCC_Chloride!$V20,'Tables - Part 2'!$AV$6:$AV$13,0),MATCH(SCC_Chloride!$Q20,'Tables - Part 2'!$AX$5:$BA$5,0)))/2,0)</f>
        <v>0</v>
      </c>
      <c r="AJ20" s="248">
        <f>IF($P20=$AJ$3,INDEX('Tables - Part 2'!$BB$6:$BE$13,MATCH(SCC_Chloride!$V20,'Tables - Part 2'!$AV$6:$AV$13,0),MATCH(SCC_Chloride!$Q20,'Tables - Part 2'!$AX$5:$BA$5,0)),0)</f>
        <v>0</v>
      </c>
      <c r="AK20" s="248">
        <f>IF($P20=$AK$3,((INDEX('Tables - Part 2'!$BB$6:$BE$13,MATCH(SCC_Chloride!$V20,'Tables - Part 2'!$AV$6:$AV$13,0),MATCH(SCC_Chloride!$Q20,'Tables - Part 2'!$AX$5:$BA$5,0)))+(INDEX('Tables - Part 2'!$BB$6:$BE$13,MATCH(SCC_Chloride!$V20,'Tables - Part 2'!$AV$6:$AV$13,0),MATCH(SCC_Chloride!$Q20,'Tables - Part 2'!$AX$5:$BA$5,0))+(INDEX('Tables - Part 2'!$BB$6:$BE$13,MATCH(SCC_Chloride!$V20,'Tables - Part 2'!$AV$6:$AV$13,0),MATCH(SCC_Chloride!$Q20,'Tables - Part 2'!$AX$5:$BA$5,0))+INDEX('Tables - Part 2'!$BF$6:$BI$13,MATCH(SCC_Chloride!$V20,'Tables - Part 2'!$AV$6:$AV$13,0),MATCH(SCC_Chloride!$Q20,'Tables - Part 2'!$AX$5:$BA$5,0)))/2)/2)/2,0)</f>
        <v>0</v>
      </c>
      <c r="AL20" s="248">
        <f>IF($P20=$AL$3,(INDEX('Tables - Part 2'!$BB$6:$BE$13,MATCH(SCC_Chloride!$V20,'Tables - Part 2'!$AV$6:$AV$13,0),MATCH(SCC_Chloride!$Q20,'Tables - Part 2'!$AX$5:$BA$5,0))+(INDEX('Tables - Part 2'!$BB$6:$BE$13,MATCH(SCC_Chloride!$V20,'Tables - Part 2'!$AV$6:$AV$13,0),MATCH(SCC_Chloride!$Q20,'Tables - Part 2'!$AX$5:$BA$5,0))+INDEX('Tables - Part 2'!$BF$6:$BI$13,MATCH(SCC_Chloride!$V20,'Tables - Part 2'!$AV$6:$AV$13,0),MATCH(SCC_Chloride!$Q20,'Tables - Part 2'!$AX$5:$BA$5,0)))/2)/2,0)</f>
        <v>0</v>
      </c>
      <c r="AM20" s="248">
        <f>IF($P20=$AM$3,(((INDEX('Tables - Part 2'!$BB$6:$BE$13,MATCH(SCC_Chloride!$V20,'Tables - Part 2'!$AV$6:$AV$13,0),MATCH(SCC_Chloride!$Q20,'Tables - Part 2'!$AX$5:$BA$5,0))+(INDEX('Tables - Part 2'!$BB$6:$BE$13,MATCH(SCC_Chloride!$V20,'Tables - Part 2'!$AV$6:$AV$13,0),MATCH(SCC_Chloride!$Q20,'Tables - Part 2'!$AX$5:$BA$5,0))+INDEX('Tables - Part 2'!$BF$6:$BI$13,MATCH(SCC_Chloride!$V20,'Tables - Part 2'!$AV$6:$AV$13,0),MATCH(SCC_Chloride!$Q20,'Tables - Part 2'!$AX$5:$BA$5,0)))/2)/2)+((INDEX('Tables - Part 2'!$BB$6:$BE$13,MATCH(SCC_Chloride!$V20,'Tables - Part 2'!$AV$6:$AV$13,0),MATCH(SCC_Chloride!$Q20,'Tables - Part 2'!$AX$5:$BA$5,0))+INDEX('Tables - Part 2'!$BF$6:$BI$13,MATCH(SCC_Chloride!$V20,'Tables - Part 2'!$AV$6:$AV$13,0),MATCH(SCC_Chloride!$Q20,'Tables - Part 2'!$AX$5:$BA$5,0)))/2))/2,0)</f>
        <v>0</v>
      </c>
      <c r="AN20" s="248">
        <f>IF($P20=$AN$3,(INDEX('Tables - Part 2'!$BB$6:$BE$13,MATCH(SCC_Chloride!$V20,'Tables - Part 2'!$AV$6:$AV$13,0),MATCH(SCC_Chloride!$Q20,'Tables - Part 2'!$AX$5:$BA$5,0))+INDEX('Tables - Part 2'!$BF$6:$BI$13,MATCH(SCC_Chloride!$V20,'Tables - Part 2'!$AV$6:$AV$13,0),MATCH(SCC_Chloride!$Q20,'Tables - Part 2'!$AX$5:$BA$5,0)))/2,0)</f>
        <v>1.5</v>
      </c>
      <c r="AO20" s="248">
        <f>IF($P20=$AO$3,(((INDEX('Tables - Part 2'!$BB$6:$BE$13,MATCH(SCC_Chloride!$V20,'Tables - Part 2'!$AV$6:$AV$13,0),MATCH(SCC_Chloride!$Q20,'Tables - Part 2'!$AX$5:$BA$5,0))+INDEX('Tables - Part 2'!$BF$6:$BI$13,MATCH(SCC_Chloride!$V20,'Tables - Part 2'!$AV$6:$AV$13,0),MATCH(SCC_Chloride!$Q20,'Tables - Part 2'!$AX$5:$BA$5,0)))/2)+((((INDEX('Tables - Part 2'!$BB$6:$BE$13,MATCH(SCC_Chloride!$V20,'Tables - Part 2'!$AV$6:$AV$13,0),MATCH(SCC_Chloride!$Q20,'Tables - Part 2'!$AX$5:$BA$5,0))+INDEX('Tables - Part 2'!$BF$6:$BI$13,MATCH(SCC_Chloride!$V20,'Tables - Part 2'!$AV$6:$AV$13,0),MATCH(SCC_Chloride!$Q20,'Tables - Part 2'!$AX$5:$BA$5,0)))/2)+INDEX('Tables - Part 2'!$BF$6:$BI$13,MATCH(SCC_Chloride!$V20,'Tables - Part 2'!$AV$6:$AV$13,0),MATCH(SCC_Chloride!$Q20,'Tables - Part 2'!$AX$5:$BA$5,0)))/2))/2,0)</f>
        <v>0</v>
      </c>
      <c r="AP20" s="248">
        <f>IF($P20=$AP$3,(((INDEX('Tables - Part 2'!$BB$6:$BE$13,MATCH(SCC_Chloride!$V20,'Tables - Part 2'!$AV$6:$AV$13,0),MATCH(SCC_Chloride!$Q20,'Tables - Part 2'!$AX$5:$BA$5,0))+INDEX('Tables - Part 2'!$BF$6:$BI$13,MATCH(SCC_Chloride!$V20,'Tables - Part 2'!$AV$6:$AV$13,0),MATCH(SCC_Chloride!$Q20,'Tables - Part 2'!$AX$5:$BA$5,0)))/2)+INDEX('Tables - Part 2'!$BF$6:$BI$13,MATCH(SCC_Chloride!$V20,'Tables - Part 2'!$AV$6:$AV$13,0),MATCH(SCC_Chloride!$Q20,'Tables - Part 2'!$AX$5:$BA$5,0)))/2,0)</f>
        <v>0</v>
      </c>
      <c r="AQ20" s="248">
        <f>IF($P20=$AQ$3,(((((INDEX('Tables - Part 2'!$BB$6:$BE$13,MATCH(SCC_Chloride!$V20,'Tables - Part 2'!$AV$6:$AV$13,0),MATCH(SCC_Chloride!$Q20,'Tables - Part 2'!$AX$5:$BA$5,0))+INDEX('Tables - Part 2'!$BF$6:$BI$13,MATCH(SCC_Chloride!$V20,'Tables - Part 2'!$AV$6:$AV$13,0),MATCH(SCC_Chloride!$Q20,'Tables - Part 2'!$AX$5:$BA$5,0)))/2)+INDEX('Tables - Part 2'!$BF$6:$BI$13,MATCH(SCC_Chloride!$V20,'Tables - Part 2'!$AV$6:$AV$13,0),MATCH(SCC_Chloride!$Q20,'Tables - Part 2'!$AX$5:$BA$5,0)))/2)+INDEX('Tables - Part 2'!$BF$6:$BI$13,MATCH(SCC_Chloride!$V20,'Tables - Part 2'!$AV$6:$AV$13,0),MATCH(SCC_Chloride!$Q20,'Tables - Part 2'!$AX$5:$BA$5,0)))/2,0)</f>
        <v>0</v>
      </c>
      <c r="AR20" s="248">
        <f>IF($P20=$AR$3,INDEX('Tables - Part 2'!$BF$6:$BI$13,MATCH(SCC_Chloride!$V20,'Tables - Part 2'!$AV$6:$AV$13,0),MATCH(SCC_Chloride!$Q20,'Tables - Part 2'!$AX$5:$BA$5,0)),0)</f>
        <v>0</v>
      </c>
      <c r="AS20" s="248">
        <f>IF($P20=$AS$3,(INDEX('Tables - Part 2'!$BF$6:$BI$13,MATCH(SCC_Chloride!$V20,'Tables - Part 2'!$AV$6:$AV$13,0),MATCH(SCC_Chloride!$Q20,'Tables - Part 2'!$AX$5:$BA$5,0))+((INDEX('Tables - Part 2'!$BF$6:$BI$13,MATCH(SCC_Chloride!$V20,'Tables - Part 2'!$AV$6:$AV$13,0),MATCH(SCC_Chloride!$Q20,'Tables - Part 2'!$AX$5:$BA$5,0))+(INDEX('Tables - Part 2'!$BF$6:$BI$13,MATCH(SCC_Chloride!$V20,'Tables - Part 2'!$AV$6:$AV$13,0),MATCH(SCC_Chloride!$Q20,'Tables - Part 2'!$AX$5:$BA$5,0))+INDEX('Tables - Part 2'!$AX$17:$BA$24,MATCH(SCC_Chloride!$V20,'Tables - Part 2'!$AV$6:$AV$13,0),MATCH(SCC_Chloride!$Q20,'Tables - Part 2'!$AX$5:$BA$5,0)))/2)/2))/2,0)</f>
        <v>0</v>
      </c>
      <c r="AT20" s="248">
        <f>IF($P20=$AT$3,(INDEX('Tables - Part 2'!$BF$6:$BI$13,MATCH(SCC_Chloride!$V20,'Tables - Part 2'!$AV$6:$AV$13,0),MATCH(SCC_Chloride!$Q20,'Tables - Part 2'!$AX$5:$BA$5,0))+(INDEX('Tables - Part 2'!$BF$6:$BI$13,MATCH(SCC_Chloride!$V20,'Tables - Part 2'!$AV$6:$AV$13,0),MATCH(SCC_Chloride!$Q20,'Tables - Part 2'!$AX$5:$BA$5,0))+INDEX('Tables - Part 2'!$AX$17:$BA$24,MATCH(SCC_Chloride!$V20,'Tables - Part 2'!$AV$6:$AV$13,0),MATCH(SCC_Chloride!$Q20,'Tables - Part 2'!$AX$5:$BA$5,0)))/2)/2,0)</f>
        <v>0</v>
      </c>
      <c r="AU20" s="248">
        <f>IF($P20=$AU$3,(((INDEX('Tables - Part 2'!$BF$6:$BI$13,MATCH(SCC_Chloride!$V20,'Tables - Part 2'!$AV$6:$AV$13,0),MATCH(SCC_Chloride!$Q20,'Tables - Part 2'!$AX$5:$BA$5,0))+(INDEX('Tables - Part 2'!$BF$6:$BI$13,MATCH(SCC_Chloride!$V20,'Tables - Part 2'!$AV$6:$AV$13,0),MATCH(SCC_Chloride!$Q20,'Tables - Part 2'!$AX$5:$BA$5,0))+INDEX('Tables - Part 2'!$AX$17:$BA$24,MATCH(SCC_Chloride!$V20,'Tables - Part 2'!$AV$6:$AV$13,0),MATCH(SCC_Chloride!$Q20,'Tables - Part 2'!$AX$5:$BA$5,0)))/2)/2)+((INDEX('Tables - Part 2'!$BF$6:$BI$13,MATCH(SCC_Chloride!$V20,'Tables - Part 2'!$AV$6:$AV$13,0),MATCH(SCC_Chloride!$Q20,'Tables - Part 2'!$AX$5:$BA$5,0))+INDEX('Tables - Part 2'!$AX$17:$BA$24,MATCH(SCC_Chloride!$V20,'Tables - Part 2'!$AV$6:$AV$13,0),MATCH(SCC_Chloride!$Q20,'Tables - Part 2'!$AX$5:$BA$5,0)))/2))/2,0)</f>
        <v>0</v>
      </c>
      <c r="AV20" s="248">
        <f>IF($P20=$AV$3,(INDEX('Tables - Part 2'!$BF$6:$BI$13,MATCH(SCC_Chloride!$V20,'Tables - Part 2'!$AV$6:$AV$13,0),MATCH(SCC_Chloride!$Q20,'Tables - Part 2'!$AX$5:$BA$5,0))+INDEX('Tables - Part 2'!$AX$17:$BA$24,MATCH(SCC_Chloride!$V20,'Tables - Part 2'!$AV$6:$AV$13,0),MATCH(SCC_Chloride!$Q20,'Tables - Part 2'!$AX$5:$BA$5,0)))/2,0)</f>
        <v>0</v>
      </c>
      <c r="AW20" s="248">
        <f>IF($P20=$AW$3,(((INDEX('Tables - Part 2'!$BF$6:$BI$13,MATCH(SCC_Chloride!$V20,'Tables - Part 2'!$AV$6:$AV$13,0),MATCH(SCC_Chloride!$Q20,'Tables - Part 2'!$AX$5:$BA$5,0))+INDEX('Tables - Part 2'!$AX$17:$BA$24,MATCH(SCC_Chloride!$V20,'Tables - Part 2'!$AV$6:$AV$13,0),MATCH(SCC_Chloride!$Q20,'Tables - Part 2'!$AX$5:$BA$5,0)))/2)+((((INDEX('Tables - Part 2'!$BF$6:$BI$13,MATCH(SCC_Chloride!$V20,'Tables - Part 2'!$AV$6:$AV$13,0),MATCH(SCC_Chloride!$Q20,'Tables - Part 2'!$AX$5:$BA$5,0))+INDEX('Tables - Part 2'!$AX$17:$BA$24,MATCH(SCC_Chloride!$V20,'Tables - Part 2'!$AV$6:$AV$13,0),MATCH(SCC_Chloride!$Q20,'Tables - Part 2'!$AX$5:$BA$5,0)))/2)+INDEX('Tables - Part 2'!$AX$17:$BA$24,MATCH(SCC_Chloride!$V20,'Tables - Part 2'!$AV$6:$AV$13,0),MATCH(SCC_Chloride!$Q20,'Tables - Part 2'!$AX$5:$BA$5,0)))/2))/2,0)</f>
        <v>0</v>
      </c>
      <c r="AX20" s="248">
        <f>IF($P20=$AX$3,(((INDEX('Tables - Part 2'!$BF$6:$BI$13,MATCH(SCC_Chloride!$V20,'Tables - Part 2'!$AV$6:$AV$13,0),MATCH(SCC_Chloride!$Q20,'Tables - Part 2'!$AX$5:$BA$5,0))+INDEX('Tables - Part 2'!$AX$17:$BA$24,MATCH(SCC_Chloride!$V20,'Tables - Part 2'!$AV$6:$AV$13,0),MATCH(SCC_Chloride!$Q20,'Tables - Part 2'!$AX$5:$BA$5,0)))/2)+INDEX('Tables - Part 2'!$AX$17:$BA$24,MATCH(SCC_Chloride!$V20,'Tables - Part 2'!$AV$6:$AV$13,0),MATCH(SCC_Chloride!$Q20,'Tables - Part 2'!$AX$5:$BA$5,0)))/2,0)</f>
        <v>0</v>
      </c>
      <c r="AY20" s="248">
        <f>IF($P20=$AY$3,(((((INDEX('Tables - Part 2'!$BF$6:$BI$13,MATCH(SCC_Chloride!$V20,'Tables - Part 2'!$AV$6:$AV$13,0),MATCH(SCC_Chloride!$Q20,'Tables - Part 2'!$AX$5:$BA$5,0))+INDEX('Tables - Part 2'!$AX$17:$BA$24,MATCH(SCC_Chloride!$V20,'Tables - Part 2'!$AV$6:$AV$13,0),MATCH(SCC_Chloride!$Q20,'Tables - Part 2'!$AX$5:$BA$5,0)))/2)+INDEX('Tables - Part 2'!$AX$17:$BA$24,MATCH(SCC_Chloride!$V20,'Tables - Part 2'!$AV$6:$AV$13,0),MATCH(SCC_Chloride!$Q20,'Tables - Part 2'!$AX$5:$BA$5,0)))/2)+(INDEX('Tables - Part 2'!$AX$17:$BA$24,MATCH(SCC_Chloride!$V20,'Tables - Part 2'!$AV$6:$AV$13,0),MATCH(SCC_Chloride!$Q20,'Tables - Part 2'!$AX$5:$BA$5,0))))/2,0)</f>
        <v>0</v>
      </c>
      <c r="AZ20" s="248">
        <f>IF($P20=$AZ$3,INDEX('Tables - Part 2'!$AX$17:$BA$24,MATCH(SCC_Chloride!$V20,'Tables - Part 2'!$AV$6:$AV$13,0),MATCH(SCC_Chloride!$Q20,'Tables - Part 2'!$AX$5:$BA$5,0)),0)</f>
        <v>0</v>
      </c>
      <c r="BA20" s="248">
        <f>IF($P20=$BA$3,((INDEX('Tables - Part 2'!$AX$17:$BA$24,MATCH(SCC_Chloride!$V20,'Tables - Part 2'!$AV$6:$AV$13,0),MATCH(SCC_Chloride!$Q20,'Tables - Part 2'!$AX$5:$BA$5,0)))+(((INDEX('Tables - Part 2'!$AX$17:$BA$24,MATCH(SCC_Chloride!$V20,'Tables - Part 2'!$AV$6:$AV$13,0),MATCH(SCC_Chloride!$Q20,'Tables - Part 2'!$AX$5:$BA$5,0)))+(INDEX('Tables - Part 2'!$AX$17:$BA$24,MATCH(SCC_Chloride!$V20,'Tables - Part 2'!$AV$6:$AV$13,0),MATCH(SCC_Chloride!$Q20,'Tables - Part 2'!$AX$5:$BA$5,0))+INDEX('Tables - Part 2'!$BB$17:$BE$24,MATCH(SCC_Chloride!$V20,'Tables - Part 2'!$AV$6:$AV$13,0),MATCH(SCC_Chloride!$Q20,'Tables - Part 2'!$AX$5:$BA$5,0)))/2)/2))/2,0)</f>
        <v>0</v>
      </c>
      <c r="BB20" s="248">
        <f>IF($P20=$BB$3,((INDEX('Tables - Part 2'!$AX$17:$BA$24,MATCH(SCC_Chloride!$V20,'Tables - Part 2'!$AV$6:$AV$13,0),MATCH(SCC_Chloride!$Q20,'Tables - Part 2'!$AX$5:$BA$5,0)))+(INDEX('Tables - Part 2'!$AX$17:$BA$24,MATCH(SCC_Chloride!$V20,'Tables - Part 2'!$AV$6:$AV$13,0),MATCH(SCC_Chloride!$Q20,'Tables - Part 2'!$AX$5:$BA$5,0))+INDEX('Tables - Part 2'!$BB$17:$BE$24,MATCH(SCC_Chloride!$V20,'Tables - Part 2'!$AV$6:$AV$13,0),MATCH(SCC_Chloride!$Q20,'Tables - Part 2'!$AX$5:$BA$5,0)))/2)/2,0)</f>
        <v>0</v>
      </c>
      <c r="BC20" s="248">
        <f>IF($P20=$BC$3,((((INDEX('Tables - Part 2'!$AX$17:$BA$24,MATCH(SCC_Chloride!$V20,'Tables - Part 2'!$AV$6:$AV$13,0),MATCH(SCC_Chloride!$Q20,'Tables - Part 2'!$AX$5:$BA$5,0)))+(INDEX('Tables - Part 2'!$AX$17:$BA$24,MATCH(SCC_Chloride!$V20,'Tables - Part 2'!$AV$6:$AV$13,0),MATCH(SCC_Chloride!$Q20,'Tables - Part 2'!$AX$5:$BA$5,0))+INDEX('Tables - Part 2'!$BB$17:$BE$24,MATCH(SCC_Chloride!$V20,'Tables - Part 2'!$AV$6:$AV$13,0),MATCH(SCC_Chloride!$Q20,'Tables - Part 2'!$AX$5:$BA$5,0)))/2)/2)+((INDEX('Tables - Part 2'!$AX$17:$BA$24,MATCH(SCC_Chloride!$V20,'Tables - Part 2'!$AV$6:$AV$13,0),MATCH(SCC_Chloride!$Q20,'Tables - Part 2'!$AX$5:$BA$5,0))+INDEX('Tables - Part 2'!$BB$17:$BE$24,MATCH(SCC_Chloride!$V20,'Tables - Part 2'!$AV$6:$AV$13,0),MATCH(SCC_Chloride!$Q20,'Tables - Part 2'!$AX$5:$BA$5,0)))/2))/2,0)</f>
        <v>0</v>
      </c>
      <c r="BD20" s="248">
        <f>IF($P20=$BD$3,(INDEX('Tables - Part 2'!$AX$17:$BA$24,MATCH(SCC_Chloride!$V20,'Tables - Part 2'!$AV$6:$AV$13,0),MATCH(SCC_Chloride!$Q20,'Tables - Part 2'!$AX$5:$BA$5,0))+INDEX('Tables - Part 2'!$BB$17:$BE$24,MATCH(SCC_Chloride!$V20,'Tables - Part 2'!$AV$6:$AV$13,0),MATCH(SCC_Chloride!$Q20,'Tables - Part 2'!$AX$5:$BA$5,0)))/2,0)</f>
        <v>0</v>
      </c>
      <c r="BE20" s="248">
        <f>IF($P20=$BE$3,(((INDEX('Tables - Part 2'!$AX$17:$BA$24,MATCH(SCC_Chloride!$V20,'Tables - Part 2'!$AV$6:$AV$13,0),MATCH(SCC_Chloride!$Q20,'Tables - Part 2'!$AX$5:$BA$5,0))+INDEX('Tables - Part 2'!$BB$17:$BE$24,MATCH(SCC_Chloride!$V20,'Tables - Part 2'!$AV$6:$AV$13,0),MATCH(SCC_Chloride!$Q20,'Tables - Part 2'!$AX$5:$BA$5,0)))/2)+((((INDEX('Tables - Part 2'!$AX$17:$BA$24,MATCH(SCC_Chloride!$V20,'Tables - Part 2'!$AV$6:$AV$13,0),MATCH(SCC_Chloride!$Q20,'Tables - Part 2'!$AX$5:$BA$5,0))+INDEX('Tables - Part 2'!$BB$17:$BE$24,MATCH(SCC_Chloride!$V20,'Tables - Part 2'!$AV$6:$AV$13,0),MATCH(SCC_Chloride!$Q20,'Tables - Part 2'!$AX$5:$BA$5,0)))/2)+INDEX('Tables - Part 2'!$BB$17:$BE$24,MATCH(SCC_Chloride!$V20,'Tables - Part 2'!$AV$6:$AV$13,0),MATCH(SCC_Chloride!$Q20,'Tables - Part 2'!$AX$5:$BA$5,0)))/2))/2,0)</f>
        <v>0</v>
      </c>
      <c r="BF20" s="248">
        <f>IF($P20=$BF$3,(((INDEX('Tables - Part 2'!$AX$17:$BA$24,MATCH(SCC_Chloride!$V20,'Tables - Part 2'!$AV$6:$AV$13,0),MATCH(SCC_Chloride!$Q20,'Tables - Part 2'!$AX$5:$BA$5,0))+INDEX('Tables - Part 2'!$BB$17:$BE$24,MATCH(SCC_Chloride!$V20,'Tables - Part 2'!$AV$6:$AV$13,0),MATCH(SCC_Chloride!$Q20,'Tables - Part 2'!$AX$5:$BA$5,0)))/2)+INDEX('Tables - Part 2'!$BB$17:$BE$24,MATCH(SCC_Chloride!$V20,'Tables - Part 2'!$AV$6:$AV$13,0),MATCH(SCC_Chloride!$Q20,'Tables - Part 2'!$AX$5:$BA$5,0)))/2,0)</f>
        <v>0</v>
      </c>
      <c r="BG20" s="248">
        <f>IF($P20=$BG$3,(((((INDEX('Tables - Part 2'!$AX$17:$BA$24,MATCH(SCC_Chloride!$V20,'Tables - Part 2'!$AV$6:$AV$13,0),MATCH(SCC_Chloride!$Q20,'Tables - Part 2'!$AX$5:$BA$5,0))+INDEX('Tables - Part 2'!$BB$17:$BE$24,MATCH(SCC_Chloride!$V20,'Tables - Part 2'!$AV$6:$AV$13,0),MATCH(SCC_Chloride!$Q20,'Tables - Part 2'!$AX$5:$BA$5,0)))/2)+INDEX('Tables - Part 2'!$BB$17:$BE$24,MATCH(SCC_Chloride!$V20,'Tables - Part 2'!$AV$6:$AV$13,0),MATCH(SCC_Chloride!$Q20,'Tables - Part 2'!$AX$5:$BA$5,0)))/2)+(INDEX('Tables - Part 2'!$BB$17:$BE$24,MATCH(SCC_Chloride!$V20,'Tables - Part 2'!$AV$6:$AV$13,0),MATCH(SCC_Chloride!$Q20,'Tables - Part 2'!$AX$5:$BA$5,0))))/2,0)</f>
        <v>0</v>
      </c>
      <c r="BH20" s="248">
        <f>IF($P20=$BH$3,INDEX('Tables - Part 2'!$BB$17:$BE$24,MATCH(SCC_Chloride!$V20,'Tables - Part 2'!$AV$6:$AV$13,0),MATCH(SCC_Chloride!$Q20,'Tables - Part 2'!$AX$5:$BA$5,0)),0)</f>
        <v>0</v>
      </c>
      <c r="BI20" s="248">
        <f>IF($P20=$BI$3,((INDEX('Tables - Part 2'!$BB$17:$BE$24,MATCH(SCC_Chloride!$V20,'Tables - Part 2'!$AV$6:$AV$13,0),MATCH(SCC_Chloride!$Q20,'Tables - Part 2'!$AX$5:$BA$5,0)))+(((INDEX('Tables - Part 2'!$BB$17:$BE$24,MATCH(SCC_Chloride!$V20,'Tables - Part 2'!$AV$6:$AV$13,0),MATCH(SCC_Chloride!$Q20,'Tables - Part 2'!$AX$5:$BA$5,0)))+(INDEX('Tables - Part 2'!$BB$17:$BE$24,MATCH(SCC_Chloride!$V20,'Tables - Part 2'!$AV$6:$AV$13,0),MATCH(SCC_Chloride!$Q20,'Tables - Part 2'!$AX$5:$BA$5,0))+INDEX('Tables - Part 2'!$BF$17:$BI$24,MATCH(SCC_Chloride!$V20,'Tables - Part 2'!$AV$6:$AV$13,0),MATCH(SCC_Chloride!$Q20,'Tables - Part 2'!$AX$5:$BA$5,0)))/2)/2))/2,0)</f>
        <v>0</v>
      </c>
      <c r="BJ20" s="248">
        <f>IF($P20=$BJ$3,((INDEX('Tables - Part 2'!$BB$17:$BE$24,MATCH(SCC_Chloride!$V20,'Tables - Part 2'!$AV$6:$AV$13,0),MATCH(SCC_Chloride!$Q20,'Tables - Part 2'!$AX$5:$BA$5,0)))+(INDEX('Tables - Part 2'!$BB$17:$BE$24,MATCH(SCC_Chloride!$V20,'Tables - Part 2'!$AV$6:$AV$13,0),MATCH(SCC_Chloride!$Q20,'Tables - Part 2'!$AX$5:$BA$5,0))+INDEX('Tables - Part 2'!$BF$17:$BI$24,MATCH(SCC_Chloride!$V20,'Tables - Part 2'!$AV$6:$AV$13,0),MATCH(SCC_Chloride!$Q20,'Tables - Part 2'!$AX$5:$BA$5,0)))/2)/2,0)</f>
        <v>0</v>
      </c>
      <c r="BK20" s="248">
        <f>IF($P20=$BK$3,((((INDEX('Tables - Part 2'!$BB$17:$BE$24,MATCH(SCC_Chloride!$V20,'Tables - Part 2'!$AV$6:$AV$13,0),MATCH(SCC_Chloride!$Q20,'Tables - Part 2'!$AX$5:$BA$5,0)))+(INDEX('Tables - Part 2'!$BB$17:$BE$24,MATCH(SCC_Chloride!$V20,'Tables - Part 2'!$AV$6:$AV$13,0),MATCH(SCC_Chloride!$Q20,'Tables - Part 2'!$AX$5:$BA$5,0))+INDEX('Tables - Part 2'!$BF$17:$BI$24,MATCH(SCC_Chloride!$V20,'Tables - Part 2'!$AV$6:$AV$13,0),MATCH(SCC_Chloride!$Q20,'Tables - Part 2'!$AX$5:$BA$5,0)))/2)/2)+((INDEX('Tables - Part 2'!$BB$17:$BE$24,MATCH(SCC_Chloride!$V20,'Tables - Part 2'!$AV$6:$AV$13,0),MATCH(SCC_Chloride!$Q20,'Tables - Part 2'!$AX$5:$BA$5,0))+INDEX('Tables - Part 2'!$BF$17:$BI$24,MATCH(SCC_Chloride!$V20,'Tables - Part 2'!$AV$6:$AV$13,0),MATCH(SCC_Chloride!$Q20,'Tables - Part 2'!$AX$5:$BA$5,0)))/2))/2,0)</f>
        <v>0</v>
      </c>
      <c r="BL20" s="248">
        <f>IF($P20=$BL$3,(INDEX('Tables - Part 2'!$BB$17:$BE$24,MATCH(SCC_Chloride!$V20,'Tables - Part 2'!$AV$6:$AV$13,0),MATCH(SCC_Chloride!$Q20,'Tables - Part 2'!$AX$5:$BA$5,0))+INDEX('Tables - Part 2'!$BF$17:$BI$24,MATCH(SCC_Chloride!$V20,'Tables - Part 2'!$AV$6:$AV$13,0),MATCH(SCC_Chloride!$Q20,'Tables - Part 2'!$AX$5:$BA$5,0)))/2,0)</f>
        <v>0</v>
      </c>
      <c r="BM20" s="248">
        <f>IF($P20=$BM$3,(((INDEX('Tables - Part 2'!$BB$17:$BE$24,MATCH(SCC_Chloride!$V20,'Tables - Part 2'!$AV$6:$AV$13,0),MATCH(SCC_Chloride!$Q20,'Tables - Part 2'!$AX$5:$BA$5,0))+INDEX('Tables - Part 2'!$BF$17:$BI$24,MATCH(SCC_Chloride!$V20,'Tables - Part 2'!$AV$6:$AV$13,0),MATCH(SCC_Chloride!$Q20,'Tables - Part 2'!$AX$5:$BA$5,0)))/2)+((((INDEX('Tables - Part 2'!$BB$17:$BE$24,MATCH(SCC_Chloride!$V20,'Tables - Part 2'!$AV$6:$AV$13,0),MATCH(SCC_Chloride!$Q20,'Tables - Part 2'!$AX$5:$BA$5,0))+INDEX('Tables - Part 2'!$BF$17:$BI$24,MATCH(SCC_Chloride!$V20,'Tables - Part 2'!$AV$6:$AV$13,0),MATCH(SCC_Chloride!$Q20,'Tables - Part 2'!$AX$5:$BA$5,0)))/2)+INDEX('Tables - Part 2'!$BF$17:$BI$24,MATCH(SCC_Chloride!$V20,'Tables - Part 2'!$AV$6:$AV$13,0),MATCH(SCC_Chloride!$Q20,'Tables - Part 2'!$AX$5:$BA$5,0)))/2))/2,0)</f>
        <v>0</v>
      </c>
      <c r="BN20" s="248">
        <f>IF($P20=$BN$3,(((INDEX('Tables - Part 2'!$BB$17:$BE$24,MATCH(SCC_Chloride!$V20,'Tables - Part 2'!$AV$6:$AV$13,0),MATCH(SCC_Chloride!$Q20,'Tables - Part 2'!$AX$5:$BA$5,0))+INDEX('Tables - Part 2'!$BF$17:$BI$24,MATCH(SCC_Chloride!$V20,'Tables - Part 2'!$AV$6:$AV$13,0),MATCH(SCC_Chloride!$Q20,'Tables - Part 2'!$AX$5:$BA$5,0)))/2)+INDEX('Tables - Part 2'!$BF$17:$BI$24,MATCH(SCC_Chloride!$V20,'Tables - Part 2'!$AV$6:$AV$13,0),MATCH(SCC_Chloride!$Q20,'Tables - Part 2'!$AX$5:$BA$5,0)))/2,0)</f>
        <v>0</v>
      </c>
      <c r="BO20" s="248">
        <f>IF($P20=$BO$3,(((((INDEX('Tables - Part 2'!$BB$17:$BE$24,MATCH(SCC_Chloride!$V20,'Tables - Part 2'!$AV$6:$AV$13,0),MATCH(SCC_Chloride!$Q20,'Tables - Part 2'!$AX$5:$BA$5,0))+INDEX('Tables - Part 2'!$BF$17:$BI$24,MATCH(SCC_Chloride!$V20,'Tables - Part 2'!$AV$6:$AV$13,0),MATCH(SCC_Chloride!$Q20,'Tables - Part 2'!$AX$5:$BA$5,0)))/2)+INDEX('Tables - Part 2'!$BF$17:$BI$24,MATCH(SCC_Chloride!$V20,'Tables - Part 2'!$AV$6:$AV$13,0),MATCH(SCC_Chloride!$Q20,'Tables - Part 2'!$AX$5:$BA$5,0)))/2)+(INDEX('Tables - Part 2'!$BF$17:$BI$24,MATCH(SCC_Chloride!$V20,'Tables - Part 2'!$AV$6:$AV$13,0),MATCH(SCC_Chloride!$Q20,'Tables - Part 2'!$AX$5:$BA$5,0))))/2,0)</f>
        <v>0</v>
      </c>
      <c r="BP20" s="248">
        <f>IF($P20=$BP$3,INDEX('Tables - Part 2'!$BF$17:$BI$24,MATCH(SCC_Chloride!$V20,'Tables - Part 2'!$AV$6:$AV$13,0),MATCH(SCC_Chloride!$Q20,'Tables - Part 2'!$AX$5:$BA$5,0)),0)</f>
        <v>0</v>
      </c>
      <c r="BQ20" s="248">
        <f t="shared" si="5"/>
        <v>0</v>
      </c>
      <c r="BR20" s="238">
        <f t="shared" si="9"/>
        <v>1.5</v>
      </c>
      <c r="BS20" s="238">
        <f t="shared" si="6"/>
        <v>25.159323702612586</v>
      </c>
    </row>
    <row r="21" spans="2:71" x14ac:dyDescent="0.35">
      <c r="B21" s="161" t="str">
        <f>'Tratamento de Dados'!B29</f>
        <v>V-9</v>
      </c>
      <c r="C21" s="161" t="str">
        <f>'Tratamento de Dados'!D29</f>
        <v>Casco</v>
      </c>
      <c r="D21" s="209" t="s">
        <v>245</v>
      </c>
      <c r="E21" s="209" t="s">
        <v>61</v>
      </c>
      <c r="F21" s="209">
        <v>10</v>
      </c>
      <c r="G21" s="209" t="s">
        <v>1167</v>
      </c>
      <c r="H21" s="247">
        <f>'Tratamento de Dados'!S29</f>
        <v>2</v>
      </c>
      <c r="I21" s="210">
        <v>39092</v>
      </c>
      <c r="J21" s="209">
        <v>0</v>
      </c>
      <c r="K21" s="209">
        <v>1</v>
      </c>
      <c r="L21" s="209">
        <v>1</v>
      </c>
      <c r="M21" s="209">
        <v>4</v>
      </c>
      <c r="N21" s="253">
        <f>'Tratamento de Dados'!DA29</f>
        <v>0</v>
      </c>
      <c r="O21" s="253">
        <f>'Tratamento de Dados'!DB29</f>
        <v>0</v>
      </c>
      <c r="P21" s="256">
        <f t="shared" si="0"/>
        <v>2.5</v>
      </c>
      <c r="Q21" s="246" t="str">
        <f t="shared" si="1"/>
        <v>B</v>
      </c>
      <c r="R21" s="246" t="str">
        <f>IF(H21&lt;=38,'Tables - Part 2'!$DO$6,IF(H21&lt;=66,'Tables - Part 2'!$DO$7,IF(H21&lt;=93,'Tables - Part 2'!$DO$8,IF(H21&lt;=149,'Tables - Part 2'!$DO$9,'Tables - Part 2'!$DO$10))))</f>
        <v>≤38</v>
      </c>
      <c r="S21" s="246" t="str">
        <f>IF(H21&lt;=38,'Tables - Part 2'!$DO$14,IF(H21&lt;=93,'Tables - Part 2'!$DO$15,IF(H21&lt;=149,'Tables - Part 2'!$DO$16,'Tables - Part 2'!$DO$17)))</f>
        <v>≤38</v>
      </c>
      <c r="T21" s="246" t="str">
        <f t="shared" si="7"/>
        <v>≤38</v>
      </c>
      <c r="U21" s="467" t="str">
        <f>IF(D21=$BX$2,$BV$5,INDEX(IF(F21&gt;10,'Tables - Part 2'!$DP$14:$DS$17,'Tables - Part 2'!$DP$6:$DS$10),MATCH(T21,IF(F21&gt;10,'Tables - Part 2'!$DO$14:$DO$17,'Tables - Part 2'!$DO$6:$DO$10),0),MATCH(SCC_Chloride!G21,'Tables - Part 2'!$DP$5:$DS$5,0)))</f>
        <v>Low</v>
      </c>
      <c r="V21" s="238">
        <f>IF(AND(D21=$BX$2,E21&lt;&gt;$BX$2),"Fitness-For-Service",INDEX('Tables - Part 2'!$DV$4:$DV$7,MATCH(SCC_Chloride!U21,'Tables - Part 2'!$DU$4:$DU$7,0),))</f>
        <v>50</v>
      </c>
      <c r="W21" s="238">
        <f>IF(I21=0,(Thinning!G22-Thinning!F22)/365.25,(Thinning!G22-I21)/365.25)</f>
        <v>12.980150581793293</v>
      </c>
      <c r="X21" s="248">
        <f t="shared" si="2"/>
        <v>0</v>
      </c>
      <c r="Y21" s="248">
        <f t="shared" si="3"/>
        <v>2.5</v>
      </c>
      <c r="Z21" s="247">
        <f t="shared" si="8"/>
        <v>3</v>
      </c>
      <c r="AA21" s="247">
        <f t="shared" si="4"/>
        <v>4</v>
      </c>
      <c r="AB21" s="248">
        <f>IF($P21=$AB$3,INDEX('Tables - Part 2'!$AX$6:$BA$13,MATCH(SCC_Chloride!V21,'Tables - Part 2'!$AV$6:$AV$13,0),MATCH(SCC_Chloride!Q21,'Tables - Part 2'!$AX$5:$BA$5,0)),0)</f>
        <v>0</v>
      </c>
      <c r="AC21" s="248">
        <f>IF($P21=$AC$3,(INDEX('Tables - Part 2'!$AX$6:$BA$13,MATCH(SCC_Chloride!V21,'Tables - Part 2'!$AV$6:$AV$13,0),MATCH(SCC_Chloride!Q21,'Tables - Part 2'!$AX$5:$BA$5,0))+(INDEX('Tables - Part 2'!$AX$6:$BA$13,MATCH(SCC_Chloride!V21,'Tables - Part 2'!$AV$6:$AV$13,0),MATCH(SCC_Chloride!Q21,'Tables - Part 2'!$AX$5:$BA$5,0))+((INDEX('Tables - Part 2'!$AX$6:$BA$13,MATCH(SCC_Chloride!V21,'Tables - Part 2'!$AV$6:$AV$13,0),MATCH(SCC_Chloride!Q21,'Tables - Part 2'!$AX$5:$BA$5,0))+INDEX('Tables - Part 2'!$BB$6:$BE$13,MATCH(SCC_Chloride!$V21,'Tables - Part 2'!$AV$6:$AV$13,0),MATCH(SCC_Chloride!$Q21,'Tables - Part 2'!$AX$5:$BA$5,0)))/2))/2)/2,0)</f>
        <v>0</v>
      </c>
      <c r="AD21" s="248">
        <f>IF($P21=$AD$3,(INDEX('Tables - Part 2'!$AX$6:$BA$13,MATCH(SCC_Chloride!V21,'Tables - Part 2'!$AV$6:$AV$13,0),MATCH(SCC_Chloride!Q21,'Tables - Part 2'!$AX$5:$BA$5,0))+((INDEX('Tables - Part 2'!$AX$6:$BA$13,MATCH(SCC_Chloride!V21,'Tables - Part 2'!$AV$6:$AV$13,0),MATCH(SCC_Chloride!Q21,'Tables - Part 2'!$AX$5:$BA$5,0))+INDEX('Tables - Part 2'!$BB$6:$BE$13,MATCH(SCC_Chloride!$V21,'Tables - Part 2'!$AV$6:$AV$13,0),MATCH(SCC_Chloride!$Q21,'Tables - Part 2'!$AX$5:$BA$5,0)))/2))/2,0)</f>
        <v>0</v>
      </c>
      <c r="AE21" s="248">
        <f>IF($P21=$AE$3,(((INDEX('Tables - Part 2'!$AX$6:$BA$13,MATCH(SCC_Chloride!V21,'Tables - Part 2'!$AV$6:$AV$13,0),MATCH(SCC_Chloride!Q21,'Tables - Part 2'!$AX$5:$BA$5,0))+((INDEX('Tables - Part 2'!$AX$6:$BA$13,MATCH(SCC_Chloride!V21,'Tables - Part 2'!$AV$6:$AV$13,0),MATCH(SCC_Chloride!Q21,'Tables - Part 2'!$AX$5:$BA$5,0))+INDEX('Tables - Part 2'!$BB$6:$BE$13,MATCH(SCC_Chloride!$V21,'Tables - Part 2'!$AV$6:$AV$13,0),MATCH(SCC_Chloride!$Q21,'Tables - Part 2'!$AX$5:$BA$5,0)))/2))/2)+(INDEX('Tables - Part 2'!$AX$6:$BA$13,MATCH(SCC_Chloride!V21,'Tables - Part 2'!$AV$6:$AV$13,0),MATCH(SCC_Chloride!Q21,'Tables - Part 2'!$AX$5:$BA$5,0))+INDEX('Tables - Part 2'!$BB$6:$BE$13,MATCH(SCC_Chloride!$V21,'Tables - Part 2'!$AV$6:$AV$13,0),MATCH(SCC_Chloride!$Q21,'Tables - Part 2'!$AX$5:$BA$5,0)))/2)/2,0)</f>
        <v>0</v>
      </c>
      <c r="AF21" s="248">
        <f>IF($P21=$AF$3,(INDEX('Tables - Part 2'!$AX$6:$BA$13,MATCH(SCC_Chloride!V21,'Tables - Part 2'!$AV$6:$AV$13,0),MATCH(SCC_Chloride!Q21,'Tables - Part 2'!$AX$5:$BA$5,0))+INDEX('Tables - Part 2'!$BB$6:$BE$13,MATCH(SCC_Chloride!$V21,'Tables - Part 2'!$AV$6:$AV$13,0),MATCH(SCC_Chloride!$Q21,'Tables - Part 2'!$AX$5:$BA$5,0)))/2,0)</f>
        <v>0</v>
      </c>
      <c r="AG21" s="248">
        <f>IF($P21=$AG$3,(((INDEX('Tables - Part 2'!$AX$6:$BA$13,MATCH(SCC_Chloride!V21,'Tables - Part 2'!$AV$6:$AV$13,0),MATCH(SCC_Chloride!Q21,'Tables - Part 2'!$AX$5:$BA$5,0))+INDEX('Tables - Part 2'!$BB$6:$BE$13,MATCH(SCC_Chloride!$V21,'Tables - Part 2'!$AV$6:$AV$13,0),MATCH(SCC_Chloride!$Q21,'Tables - Part 2'!$AX$5:$BA$5,0)))/2)+(((INDEX('Tables - Part 2'!$AX$6:$BA$13,MATCH(SCC_Chloride!V21,'Tables - Part 2'!$AV$6:$AV$13,0),MATCH(SCC_Chloride!Q21,'Tables - Part 2'!$AX$5:$BA$5,0))+INDEX('Tables - Part 2'!$BB$6:$BE$13,MATCH(SCC_Chloride!$V21,'Tables - Part 2'!$AV$6:$AV$13,0),MATCH(SCC_Chloride!$Q21,'Tables - Part 2'!$AX$5:$BA$5,0)))/2)+INDEX('Tables - Part 2'!$BB$6:$BE$13,MATCH(SCC_Chloride!$V21,'Tables - Part 2'!$AV$6:$AV$13,0),MATCH(SCC_Chloride!$Q21,'Tables - Part 2'!$AX$5:$BA$5,0)))/2)/2,0)</f>
        <v>0</v>
      </c>
      <c r="AH21" s="248">
        <f>IF($P21=$AH$3,(((INDEX('Tables - Part 2'!$AX$6:$BA$13,MATCH(SCC_Chloride!V21,'Tables - Part 2'!$AV$6:$AV$13,0),MATCH(SCC_Chloride!Q21,'Tables - Part 2'!$AX$5:$BA$5,0))+INDEX('Tables - Part 2'!$BB$6:$BE$13,MATCH(SCC_Chloride!$V21,'Tables - Part 2'!$AV$6:$AV$13,0),MATCH(SCC_Chloride!$Q21,'Tables - Part 2'!$AX$5:$BA$5,0)))/2)+INDEX('Tables - Part 2'!$BB$6:$BE$13,MATCH(SCC_Chloride!$V21,'Tables - Part 2'!$AV$6:$AV$13,0),MATCH(SCC_Chloride!$Q21,'Tables - Part 2'!$AX$5:$BA$5,0)))/2,0)</f>
        <v>0</v>
      </c>
      <c r="AI21" s="248">
        <f>IF($P21=$AI$3,(((((INDEX('Tables - Part 2'!$AX$6:$BA$13,MATCH(SCC_Chloride!V21,'Tables - Part 2'!$AV$6:$AV$13,0),MATCH(SCC_Chloride!Q21,'Tables - Part 2'!$AX$5:$BA$5,0))+INDEX('Tables - Part 2'!$BB$6:$BE$13,MATCH(SCC_Chloride!$V21,'Tables - Part 2'!$AV$6:$AV$13,0),MATCH(SCC_Chloride!$Q21,'Tables - Part 2'!$AX$5:$BA$5,0)))/2)+INDEX('Tables - Part 2'!$BB$6:$BE$13,MATCH(SCC_Chloride!$V21,'Tables - Part 2'!$AV$6:$AV$13,0),MATCH(SCC_Chloride!$Q21,'Tables - Part 2'!$AX$5:$BA$5,0)))/2)+INDEX('Tables - Part 2'!$BB$6:$BE$13,MATCH(SCC_Chloride!$V21,'Tables - Part 2'!$AV$6:$AV$13,0),MATCH(SCC_Chloride!$Q21,'Tables - Part 2'!$AX$5:$BA$5,0)))/2,0)</f>
        <v>0</v>
      </c>
      <c r="AJ21" s="248">
        <f>IF($P21=$AJ$3,INDEX('Tables - Part 2'!$BB$6:$BE$13,MATCH(SCC_Chloride!$V21,'Tables - Part 2'!$AV$6:$AV$13,0),MATCH(SCC_Chloride!$Q21,'Tables - Part 2'!$AX$5:$BA$5,0)),0)</f>
        <v>0</v>
      </c>
      <c r="AK21" s="248">
        <f>IF($P21=$AK$3,((INDEX('Tables - Part 2'!$BB$6:$BE$13,MATCH(SCC_Chloride!$V21,'Tables - Part 2'!$AV$6:$AV$13,0),MATCH(SCC_Chloride!$Q21,'Tables - Part 2'!$AX$5:$BA$5,0)))+(INDEX('Tables - Part 2'!$BB$6:$BE$13,MATCH(SCC_Chloride!$V21,'Tables - Part 2'!$AV$6:$AV$13,0),MATCH(SCC_Chloride!$Q21,'Tables - Part 2'!$AX$5:$BA$5,0))+(INDEX('Tables - Part 2'!$BB$6:$BE$13,MATCH(SCC_Chloride!$V21,'Tables - Part 2'!$AV$6:$AV$13,0),MATCH(SCC_Chloride!$Q21,'Tables - Part 2'!$AX$5:$BA$5,0))+INDEX('Tables - Part 2'!$BF$6:$BI$13,MATCH(SCC_Chloride!$V21,'Tables - Part 2'!$AV$6:$AV$13,0),MATCH(SCC_Chloride!$Q21,'Tables - Part 2'!$AX$5:$BA$5,0)))/2)/2)/2,0)</f>
        <v>0</v>
      </c>
      <c r="AL21" s="248">
        <f>IF($P21=$AL$3,(INDEX('Tables - Part 2'!$BB$6:$BE$13,MATCH(SCC_Chloride!$V21,'Tables - Part 2'!$AV$6:$AV$13,0),MATCH(SCC_Chloride!$Q21,'Tables - Part 2'!$AX$5:$BA$5,0))+(INDEX('Tables - Part 2'!$BB$6:$BE$13,MATCH(SCC_Chloride!$V21,'Tables - Part 2'!$AV$6:$AV$13,0),MATCH(SCC_Chloride!$Q21,'Tables - Part 2'!$AX$5:$BA$5,0))+INDEX('Tables - Part 2'!$BF$6:$BI$13,MATCH(SCC_Chloride!$V21,'Tables - Part 2'!$AV$6:$AV$13,0),MATCH(SCC_Chloride!$Q21,'Tables - Part 2'!$AX$5:$BA$5,0)))/2)/2,0)</f>
        <v>0</v>
      </c>
      <c r="AM21" s="248">
        <f>IF($P21=$AM$3,(((INDEX('Tables - Part 2'!$BB$6:$BE$13,MATCH(SCC_Chloride!$V21,'Tables - Part 2'!$AV$6:$AV$13,0),MATCH(SCC_Chloride!$Q21,'Tables - Part 2'!$AX$5:$BA$5,0))+(INDEX('Tables - Part 2'!$BB$6:$BE$13,MATCH(SCC_Chloride!$V21,'Tables - Part 2'!$AV$6:$AV$13,0),MATCH(SCC_Chloride!$Q21,'Tables - Part 2'!$AX$5:$BA$5,0))+INDEX('Tables - Part 2'!$BF$6:$BI$13,MATCH(SCC_Chloride!$V21,'Tables - Part 2'!$AV$6:$AV$13,0),MATCH(SCC_Chloride!$Q21,'Tables - Part 2'!$AX$5:$BA$5,0)))/2)/2)+((INDEX('Tables - Part 2'!$BB$6:$BE$13,MATCH(SCC_Chloride!$V21,'Tables - Part 2'!$AV$6:$AV$13,0),MATCH(SCC_Chloride!$Q21,'Tables - Part 2'!$AX$5:$BA$5,0))+INDEX('Tables - Part 2'!$BF$6:$BI$13,MATCH(SCC_Chloride!$V21,'Tables - Part 2'!$AV$6:$AV$13,0),MATCH(SCC_Chloride!$Q21,'Tables - Part 2'!$AX$5:$BA$5,0)))/2))/2,0)</f>
        <v>0</v>
      </c>
      <c r="AN21" s="248">
        <f>IF($P21=$AN$3,(INDEX('Tables - Part 2'!$BB$6:$BE$13,MATCH(SCC_Chloride!$V21,'Tables - Part 2'!$AV$6:$AV$13,0),MATCH(SCC_Chloride!$Q21,'Tables - Part 2'!$AX$5:$BA$5,0))+INDEX('Tables - Part 2'!$BF$6:$BI$13,MATCH(SCC_Chloride!$V21,'Tables - Part 2'!$AV$6:$AV$13,0),MATCH(SCC_Chloride!$Q21,'Tables - Part 2'!$AX$5:$BA$5,0)))/2,0)</f>
        <v>1.5</v>
      </c>
      <c r="AO21" s="248">
        <f>IF($P21=$AO$3,(((INDEX('Tables - Part 2'!$BB$6:$BE$13,MATCH(SCC_Chloride!$V21,'Tables - Part 2'!$AV$6:$AV$13,0),MATCH(SCC_Chloride!$Q21,'Tables - Part 2'!$AX$5:$BA$5,0))+INDEX('Tables - Part 2'!$BF$6:$BI$13,MATCH(SCC_Chloride!$V21,'Tables - Part 2'!$AV$6:$AV$13,0),MATCH(SCC_Chloride!$Q21,'Tables - Part 2'!$AX$5:$BA$5,0)))/2)+((((INDEX('Tables - Part 2'!$BB$6:$BE$13,MATCH(SCC_Chloride!$V21,'Tables - Part 2'!$AV$6:$AV$13,0),MATCH(SCC_Chloride!$Q21,'Tables - Part 2'!$AX$5:$BA$5,0))+INDEX('Tables - Part 2'!$BF$6:$BI$13,MATCH(SCC_Chloride!$V21,'Tables - Part 2'!$AV$6:$AV$13,0),MATCH(SCC_Chloride!$Q21,'Tables - Part 2'!$AX$5:$BA$5,0)))/2)+INDEX('Tables - Part 2'!$BF$6:$BI$13,MATCH(SCC_Chloride!$V21,'Tables - Part 2'!$AV$6:$AV$13,0),MATCH(SCC_Chloride!$Q21,'Tables - Part 2'!$AX$5:$BA$5,0)))/2))/2,0)</f>
        <v>0</v>
      </c>
      <c r="AP21" s="248">
        <f>IF($P21=$AP$3,(((INDEX('Tables - Part 2'!$BB$6:$BE$13,MATCH(SCC_Chloride!$V21,'Tables - Part 2'!$AV$6:$AV$13,0),MATCH(SCC_Chloride!$Q21,'Tables - Part 2'!$AX$5:$BA$5,0))+INDEX('Tables - Part 2'!$BF$6:$BI$13,MATCH(SCC_Chloride!$V21,'Tables - Part 2'!$AV$6:$AV$13,0),MATCH(SCC_Chloride!$Q21,'Tables - Part 2'!$AX$5:$BA$5,0)))/2)+INDEX('Tables - Part 2'!$BF$6:$BI$13,MATCH(SCC_Chloride!$V21,'Tables - Part 2'!$AV$6:$AV$13,0),MATCH(SCC_Chloride!$Q21,'Tables - Part 2'!$AX$5:$BA$5,0)))/2,0)</f>
        <v>0</v>
      </c>
      <c r="AQ21" s="248">
        <f>IF($P21=$AQ$3,(((((INDEX('Tables - Part 2'!$BB$6:$BE$13,MATCH(SCC_Chloride!$V21,'Tables - Part 2'!$AV$6:$AV$13,0),MATCH(SCC_Chloride!$Q21,'Tables - Part 2'!$AX$5:$BA$5,0))+INDEX('Tables - Part 2'!$BF$6:$BI$13,MATCH(SCC_Chloride!$V21,'Tables - Part 2'!$AV$6:$AV$13,0),MATCH(SCC_Chloride!$Q21,'Tables - Part 2'!$AX$5:$BA$5,0)))/2)+INDEX('Tables - Part 2'!$BF$6:$BI$13,MATCH(SCC_Chloride!$V21,'Tables - Part 2'!$AV$6:$AV$13,0),MATCH(SCC_Chloride!$Q21,'Tables - Part 2'!$AX$5:$BA$5,0)))/2)+INDEX('Tables - Part 2'!$BF$6:$BI$13,MATCH(SCC_Chloride!$V21,'Tables - Part 2'!$AV$6:$AV$13,0),MATCH(SCC_Chloride!$Q21,'Tables - Part 2'!$AX$5:$BA$5,0)))/2,0)</f>
        <v>0</v>
      </c>
      <c r="AR21" s="248">
        <f>IF($P21=$AR$3,INDEX('Tables - Part 2'!$BF$6:$BI$13,MATCH(SCC_Chloride!$V21,'Tables - Part 2'!$AV$6:$AV$13,0),MATCH(SCC_Chloride!$Q21,'Tables - Part 2'!$AX$5:$BA$5,0)),0)</f>
        <v>0</v>
      </c>
      <c r="AS21" s="248">
        <f>IF($P21=$AS$3,(INDEX('Tables - Part 2'!$BF$6:$BI$13,MATCH(SCC_Chloride!$V21,'Tables - Part 2'!$AV$6:$AV$13,0),MATCH(SCC_Chloride!$Q21,'Tables - Part 2'!$AX$5:$BA$5,0))+((INDEX('Tables - Part 2'!$BF$6:$BI$13,MATCH(SCC_Chloride!$V21,'Tables - Part 2'!$AV$6:$AV$13,0),MATCH(SCC_Chloride!$Q21,'Tables - Part 2'!$AX$5:$BA$5,0))+(INDEX('Tables - Part 2'!$BF$6:$BI$13,MATCH(SCC_Chloride!$V21,'Tables - Part 2'!$AV$6:$AV$13,0),MATCH(SCC_Chloride!$Q21,'Tables - Part 2'!$AX$5:$BA$5,0))+INDEX('Tables - Part 2'!$AX$17:$BA$24,MATCH(SCC_Chloride!$V21,'Tables - Part 2'!$AV$6:$AV$13,0),MATCH(SCC_Chloride!$Q21,'Tables - Part 2'!$AX$5:$BA$5,0)))/2)/2))/2,0)</f>
        <v>0</v>
      </c>
      <c r="AT21" s="248">
        <f>IF($P21=$AT$3,(INDEX('Tables - Part 2'!$BF$6:$BI$13,MATCH(SCC_Chloride!$V21,'Tables - Part 2'!$AV$6:$AV$13,0),MATCH(SCC_Chloride!$Q21,'Tables - Part 2'!$AX$5:$BA$5,0))+(INDEX('Tables - Part 2'!$BF$6:$BI$13,MATCH(SCC_Chloride!$V21,'Tables - Part 2'!$AV$6:$AV$13,0),MATCH(SCC_Chloride!$Q21,'Tables - Part 2'!$AX$5:$BA$5,0))+INDEX('Tables - Part 2'!$AX$17:$BA$24,MATCH(SCC_Chloride!$V21,'Tables - Part 2'!$AV$6:$AV$13,0),MATCH(SCC_Chloride!$Q21,'Tables - Part 2'!$AX$5:$BA$5,0)))/2)/2,0)</f>
        <v>0</v>
      </c>
      <c r="AU21" s="248">
        <f>IF($P21=$AU$3,(((INDEX('Tables - Part 2'!$BF$6:$BI$13,MATCH(SCC_Chloride!$V21,'Tables - Part 2'!$AV$6:$AV$13,0),MATCH(SCC_Chloride!$Q21,'Tables - Part 2'!$AX$5:$BA$5,0))+(INDEX('Tables - Part 2'!$BF$6:$BI$13,MATCH(SCC_Chloride!$V21,'Tables - Part 2'!$AV$6:$AV$13,0),MATCH(SCC_Chloride!$Q21,'Tables - Part 2'!$AX$5:$BA$5,0))+INDEX('Tables - Part 2'!$AX$17:$BA$24,MATCH(SCC_Chloride!$V21,'Tables - Part 2'!$AV$6:$AV$13,0),MATCH(SCC_Chloride!$Q21,'Tables - Part 2'!$AX$5:$BA$5,0)))/2)/2)+((INDEX('Tables - Part 2'!$BF$6:$BI$13,MATCH(SCC_Chloride!$V21,'Tables - Part 2'!$AV$6:$AV$13,0),MATCH(SCC_Chloride!$Q21,'Tables - Part 2'!$AX$5:$BA$5,0))+INDEX('Tables - Part 2'!$AX$17:$BA$24,MATCH(SCC_Chloride!$V21,'Tables - Part 2'!$AV$6:$AV$13,0),MATCH(SCC_Chloride!$Q21,'Tables - Part 2'!$AX$5:$BA$5,0)))/2))/2,0)</f>
        <v>0</v>
      </c>
      <c r="AV21" s="248">
        <f>IF($P21=$AV$3,(INDEX('Tables - Part 2'!$BF$6:$BI$13,MATCH(SCC_Chloride!$V21,'Tables - Part 2'!$AV$6:$AV$13,0),MATCH(SCC_Chloride!$Q21,'Tables - Part 2'!$AX$5:$BA$5,0))+INDEX('Tables - Part 2'!$AX$17:$BA$24,MATCH(SCC_Chloride!$V21,'Tables - Part 2'!$AV$6:$AV$13,0),MATCH(SCC_Chloride!$Q21,'Tables - Part 2'!$AX$5:$BA$5,0)))/2,0)</f>
        <v>0</v>
      </c>
      <c r="AW21" s="248">
        <f>IF($P21=$AW$3,(((INDEX('Tables - Part 2'!$BF$6:$BI$13,MATCH(SCC_Chloride!$V21,'Tables - Part 2'!$AV$6:$AV$13,0),MATCH(SCC_Chloride!$Q21,'Tables - Part 2'!$AX$5:$BA$5,0))+INDEX('Tables - Part 2'!$AX$17:$BA$24,MATCH(SCC_Chloride!$V21,'Tables - Part 2'!$AV$6:$AV$13,0),MATCH(SCC_Chloride!$Q21,'Tables - Part 2'!$AX$5:$BA$5,0)))/2)+((((INDEX('Tables - Part 2'!$BF$6:$BI$13,MATCH(SCC_Chloride!$V21,'Tables - Part 2'!$AV$6:$AV$13,0),MATCH(SCC_Chloride!$Q21,'Tables - Part 2'!$AX$5:$BA$5,0))+INDEX('Tables - Part 2'!$AX$17:$BA$24,MATCH(SCC_Chloride!$V21,'Tables - Part 2'!$AV$6:$AV$13,0),MATCH(SCC_Chloride!$Q21,'Tables - Part 2'!$AX$5:$BA$5,0)))/2)+INDEX('Tables - Part 2'!$AX$17:$BA$24,MATCH(SCC_Chloride!$V21,'Tables - Part 2'!$AV$6:$AV$13,0),MATCH(SCC_Chloride!$Q21,'Tables - Part 2'!$AX$5:$BA$5,0)))/2))/2,0)</f>
        <v>0</v>
      </c>
      <c r="AX21" s="248">
        <f>IF($P21=$AX$3,(((INDEX('Tables - Part 2'!$BF$6:$BI$13,MATCH(SCC_Chloride!$V21,'Tables - Part 2'!$AV$6:$AV$13,0),MATCH(SCC_Chloride!$Q21,'Tables - Part 2'!$AX$5:$BA$5,0))+INDEX('Tables - Part 2'!$AX$17:$BA$24,MATCH(SCC_Chloride!$V21,'Tables - Part 2'!$AV$6:$AV$13,0),MATCH(SCC_Chloride!$Q21,'Tables - Part 2'!$AX$5:$BA$5,0)))/2)+INDEX('Tables - Part 2'!$AX$17:$BA$24,MATCH(SCC_Chloride!$V21,'Tables - Part 2'!$AV$6:$AV$13,0),MATCH(SCC_Chloride!$Q21,'Tables - Part 2'!$AX$5:$BA$5,0)))/2,0)</f>
        <v>0</v>
      </c>
      <c r="AY21" s="248">
        <f>IF($P21=$AY$3,(((((INDEX('Tables - Part 2'!$BF$6:$BI$13,MATCH(SCC_Chloride!$V21,'Tables - Part 2'!$AV$6:$AV$13,0),MATCH(SCC_Chloride!$Q21,'Tables - Part 2'!$AX$5:$BA$5,0))+INDEX('Tables - Part 2'!$AX$17:$BA$24,MATCH(SCC_Chloride!$V21,'Tables - Part 2'!$AV$6:$AV$13,0),MATCH(SCC_Chloride!$Q21,'Tables - Part 2'!$AX$5:$BA$5,0)))/2)+INDEX('Tables - Part 2'!$AX$17:$BA$24,MATCH(SCC_Chloride!$V21,'Tables - Part 2'!$AV$6:$AV$13,0),MATCH(SCC_Chloride!$Q21,'Tables - Part 2'!$AX$5:$BA$5,0)))/2)+(INDEX('Tables - Part 2'!$AX$17:$BA$24,MATCH(SCC_Chloride!$V21,'Tables - Part 2'!$AV$6:$AV$13,0),MATCH(SCC_Chloride!$Q21,'Tables - Part 2'!$AX$5:$BA$5,0))))/2,0)</f>
        <v>0</v>
      </c>
      <c r="AZ21" s="248">
        <f>IF($P21=$AZ$3,INDEX('Tables - Part 2'!$AX$17:$BA$24,MATCH(SCC_Chloride!$V21,'Tables - Part 2'!$AV$6:$AV$13,0),MATCH(SCC_Chloride!$Q21,'Tables - Part 2'!$AX$5:$BA$5,0)),0)</f>
        <v>0</v>
      </c>
      <c r="BA21" s="248">
        <f>IF($P21=$BA$3,((INDEX('Tables - Part 2'!$AX$17:$BA$24,MATCH(SCC_Chloride!$V21,'Tables - Part 2'!$AV$6:$AV$13,0),MATCH(SCC_Chloride!$Q21,'Tables - Part 2'!$AX$5:$BA$5,0)))+(((INDEX('Tables - Part 2'!$AX$17:$BA$24,MATCH(SCC_Chloride!$V21,'Tables - Part 2'!$AV$6:$AV$13,0),MATCH(SCC_Chloride!$Q21,'Tables - Part 2'!$AX$5:$BA$5,0)))+(INDEX('Tables - Part 2'!$AX$17:$BA$24,MATCH(SCC_Chloride!$V21,'Tables - Part 2'!$AV$6:$AV$13,0),MATCH(SCC_Chloride!$Q21,'Tables - Part 2'!$AX$5:$BA$5,0))+INDEX('Tables - Part 2'!$BB$17:$BE$24,MATCH(SCC_Chloride!$V21,'Tables - Part 2'!$AV$6:$AV$13,0),MATCH(SCC_Chloride!$Q21,'Tables - Part 2'!$AX$5:$BA$5,0)))/2)/2))/2,0)</f>
        <v>0</v>
      </c>
      <c r="BB21" s="248">
        <f>IF($P21=$BB$3,((INDEX('Tables - Part 2'!$AX$17:$BA$24,MATCH(SCC_Chloride!$V21,'Tables - Part 2'!$AV$6:$AV$13,0),MATCH(SCC_Chloride!$Q21,'Tables - Part 2'!$AX$5:$BA$5,0)))+(INDEX('Tables - Part 2'!$AX$17:$BA$24,MATCH(SCC_Chloride!$V21,'Tables - Part 2'!$AV$6:$AV$13,0),MATCH(SCC_Chloride!$Q21,'Tables - Part 2'!$AX$5:$BA$5,0))+INDEX('Tables - Part 2'!$BB$17:$BE$24,MATCH(SCC_Chloride!$V21,'Tables - Part 2'!$AV$6:$AV$13,0),MATCH(SCC_Chloride!$Q21,'Tables - Part 2'!$AX$5:$BA$5,0)))/2)/2,0)</f>
        <v>0</v>
      </c>
      <c r="BC21" s="248">
        <f>IF($P21=$BC$3,((((INDEX('Tables - Part 2'!$AX$17:$BA$24,MATCH(SCC_Chloride!$V21,'Tables - Part 2'!$AV$6:$AV$13,0),MATCH(SCC_Chloride!$Q21,'Tables - Part 2'!$AX$5:$BA$5,0)))+(INDEX('Tables - Part 2'!$AX$17:$BA$24,MATCH(SCC_Chloride!$V21,'Tables - Part 2'!$AV$6:$AV$13,0),MATCH(SCC_Chloride!$Q21,'Tables - Part 2'!$AX$5:$BA$5,0))+INDEX('Tables - Part 2'!$BB$17:$BE$24,MATCH(SCC_Chloride!$V21,'Tables - Part 2'!$AV$6:$AV$13,0),MATCH(SCC_Chloride!$Q21,'Tables - Part 2'!$AX$5:$BA$5,0)))/2)/2)+((INDEX('Tables - Part 2'!$AX$17:$BA$24,MATCH(SCC_Chloride!$V21,'Tables - Part 2'!$AV$6:$AV$13,0),MATCH(SCC_Chloride!$Q21,'Tables - Part 2'!$AX$5:$BA$5,0))+INDEX('Tables - Part 2'!$BB$17:$BE$24,MATCH(SCC_Chloride!$V21,'Tables - Part 2'!$AV$6:$AV$13,0),MATCH(SCC_Chloride!$Q21,'Tables - Part 2'!$AX$5:$BA$5,0)))/2))/2,0)</f>
        <v>0</v>
      </c>
      <c r="BD21" s="248">
        <f>IF($P21=$BD$3,(INDEX('Tables - Part 2'!$AX$17:$BA$24,MATCH(SCC_Chloride!$V21,'Tables - Part 2'!$AV$6:$AV$13,0),MATCH(SCC_Chloride!$Q21,'Tables - Part 2'!$AX$5:$BA$5,0))+INDEX('Tables - Part 2'!$BB$17:$BE$24,MATCH(SCC_Chloride!$V21,'Tables - Part 2'!$AV$6:$AV$13,0),MATCH(SCC_Chloride!$Q21,'Tables - Part 2'!$AX$5:$BA$5,0)))/2,0)</f>
        <v>0</v>
      </c>
      <c r="BE21" s="248">
        <f>IF($P21=$BE$3,(((INDEX('Tables - Part 2'!$AX$17:$BA$24,MATCH(SCC_Chloride!$V21,'Tables - Part 2'!$AV$6:$AV$13,0),MATCH(SCC_Chloride!$Q21,'Tables - Part 2'!$AX$5:$BA$5,0))+INDEX('Tables - Part 2'!$BB$17:$BE$24,MATCH(SCC_Chloride!$V21,'Tables - Part 2'!$AV$6:$AV$13,0),MATCH(SCC_Chloride!$Q21,'Tables - Part 2'!$AX$5:$BA$5,0)))/2)+((((INDEX('Tables - Part 2'!$AX$17:$BA$24,MATCH(SCC_Chloride!$V21,'Tables - Part 2'!$AV$6:$AV$13,0),MATCH(SCC_Chloride!$Q21,'Tables - Part 2'!$AX$5:$BA$5,0))+INDEX('Tables - Part 2'!$BB$17:$BE$24,MATCH(SCC_Chloride!$V21,'Tables - Part 2'!$AV$6:$AV$13,0),MATCH(SCC_Chloride!$Q21,'Tables - Part 2'!$AX$5:$BA$5,0)))/2)+INDEX('Tables - Part 2'!$BB$17:$BE$24,MATCH(SCC_Chloride!$V21,'Tables - Part 2'!$AV$6:$AV$13,0),MATCH(SCC_Chloride!$Q21,'Tables - Part 2'!$AX$5:$BA$5,0)))/2))/2,0)</f>
        <v>0</v>
      </c>
      <c r="BF21" s="248">
        <f>IF($P21=$BF$3,(((INDEX('Tables - Part 2'!$AX$17:$BA$24,MATCH(SCC_Chloride!$V21,'Tables - Part 2'!$AV$6:$AV$13,0),MATCH(SCC_Chloride!$Q21,'Tables - Part 2'!$AX$5:$BA$5,0))+INDEX('Tables - Part 2'!$BB$17:$BE$24,MATCH(SCC_Chloride!$V21,'Tables - Part 2'!$AV$6:$AV$13,0),MATCH(SCC_Chloride!$Q21,'Tables - Part 2'!$AX$5:$BA$5,0)))/2)+INDEX('Tables - Part 2'!$BB$17:$BE$24,MATCH(SCC_Chloride!$V21,'Tables - Part 2'!$AV$6:$AV$13,0),MATCH(SCC_Chloride!$Q21,'Tables - Part 2'!$AX$5:$BA$5,0)))/2,0)</f>
        <v>0</v>
      </c>
      <c r="BG21" s="248">
        <f>IF($P21=$BG$3,(((((INDEX('Tables - Part 2'!$AX$17:$BA$24,MATCH(SCC_Chloride!$V21,'Tables - Part 2'!$AV$6:$AV$13,0),MATCH(SCC_Chloride!$Q21,'Tables - Part 2'!$AX$5:$BA$5,0))+INDEX('Tables - Part 2'!$BB$17:$BE$24,MATCH(SCC_Chloride!$V21,'Tables - Part 2'!$AV$6:$AV$13,0),MATCH(SCC_Chloride!$Q21,'Tables - Part 2'!$AX$5:$BA$5,0)))/2)+INDEX('Tables - Part 2'!$BB$17:$BE$24,MATCH(SCC_Chloride!$V21,'Tables - Part 2'!$AV$6:$AV$13,0),MATCH(SCC_Chloride!$Q21,'Tables - Part 2'!$AX$5:$BA$5,0)))/2)+(INDEX('Tables - Part 2'!$BB$17:$BE$24,MATCH(SCC_Chloride!$V21,'Tables - Part 2'!$AV$6:$AV$13,0),MATCH(SCC_Chloride!$Q21,'Tables - Part 2'!$AX$5:$BA$5,0))))/2,0)</f>
        <v>0</v>
      </c>
      <c r="BH21" s="248">
        <f>IF($P21=$BH$3,INDEX('Tables - Part 2'!$BB$17:$BE$24,MATCH(SCC_Chloride!$V21,'Tables - Part 2'!$AV$6:$AV$13,0),MATCH(SCC_Chloride!$Q21,'Tables - Part 2'!$AX$5:$BA$5,0)),0)</f>
        <v>0</v>
      </c>
      <c r="BI21" s="248">
        <f>IF($P21=$BI$3,((INDEX('Tables - Part 2'!$BB$17:$BE$24,MATCH(SCC_Chloride!$V21,'Tables - Part 2'!$AV$6:$AV$13,0),MATCH(SCC_Chloride!$Q21,'Tables - Part 2'!$AX$5:$BA$5,0)))+(((INDEX('Tables - Part 2'!$BB$17:$BE$24,MATCH(SCC_Chloride!$V21,'Tables - Part 2'!$AV$6:$AV$13,0),MATCH(SCC_Chloride!$Q21,'Tables - Part 2'!$AX$5:$BA$5,0)))+(INDEX('Tables - Part 2'!$BB$17:$BE$24,MATCH(SCC_Chloride!$V21,'Tables - Part 2'!$AV$6:$AV$13,0),MATCH(SCC_Chloride!$Q21,'Tables - Part 2'!$AX$5:$BA$5,0))+INDEX('Tables - Part 2'!$BF$17:$BI$24,MATCH(SCC_Chloride!$V21,'Tables - Part 2'!$AV$6:$AV$13,0),MATCH(SCC_Chloride!$Q21,'Tables - Part 2'!$AX$5:$BA$5,0)))/2)/2))/2,0)</f>
        <v>0</v>
      </c>
      <c r="BJ21" s="248">
        <f>IF($P21=$BJ$3,((INDEX('Tables - Part 2'!$BB$17:$BE$24,MATCH(SCC_Chloride!$V21,'Tables - Part 2'!$AV$6:$AV$13,0),MATCH(SCC_Chloride!$Q21,'Tables - Part 2'!$AX$5:$BA$5,0)))+(INDEX('Tables - Part 2'!$BB$17:$BE$24,MATCH(SCC_Chloride!$V21,'Tables - Part 2'!$AV$6:$AV$13,0),MATCH(SCC_Chloride!$Q21,'Tables - Part 2'!$AX$5:$BA$5,0))+INDEX('Tables - Part 2'!$BF$17:$BI$24,MATCH(SCC_Chloride!$V21,'Tables - Part 2'!$AV$6:$AV$13,0),MATCH(SCC_Chloride!$Q21,'Tables - Part 2'!$AX$5:$BA$5,0)))/2)/2,0)</f>
        <v>0</v>
      </c>
      <c r="BK21" s="248">
        <f>IF($P21=$BK$3,((((INDEX('Tables - Part 2'!$BB$17:$BE$24,MATCH(SCC_Chloride!$V21,'Tables - Part 2'!$AV$6:$AV$13,0),MATCH(SCC_Chloride!$Q21,'Tables - Part 2'!$AX$5:$BA$5,0)))+(INDEX('Tables - Part 2'!$BB$17:$BE$24,MATCH(SCC_Chloride!$V21,'Tables - Part 2'!$AV$6:$AV$13,0),MATCH(SCC_Chloride!$Q21,'Tables - Part 2'!$AX$5:$BA$5,0))+INDEX('Tables - Part 2'!$BF$17:$BI$24,MATCH(SCC_Chloride!$V21,'Tables - Part 2'!$AV$6:$AV$13,0),MATCH(SCC_Chloride!$Q21,'Tables - Part 2'!$AX$5:$BA$5,0)))/2)/2)+((INDEX('Tables - Part 2'!$BB$17:$BE$24,MATCH(SCC_Chloride!$V21,'Tables - Part 2'!$AV$6:$AV$13,0),MATCH(SCC_Chloride!$Q21,'Tables - Part 2'!$AX$5:$BA$5,0))+INDEX('Tables - Part 2'!$BF$17:$BI$24,MATCH(SCC_Chloride!$V21,'Tables - Part 2'!$AV$6:$AV$13,0),MATCH(SCC_Chloride!$Q21,'Tables - Part 2'!$AX$5:$BA$5,0)))/2))/2,0)</f>
        <v>0</v>
      </c>
      <c r="BL21" s="248">
        <f>IF($P21=$BL$3,(INDEX('Tables - Part 2'!$BB$17:$BE$24,MATCH(SCC_Chloride!$V21,'Tables - Part 2'!$AV$6:$AV$13,0),MATCH(SCC_Chloride!$Q21,'Tables - Part 2'!$AX$5:$BA$5,0))+INDEX('Tables - Part 2'!$BF$17:$BI$24,MATCH(SCC_Chloride!$V21,'Tables - Part 2'!$AV$6:$AV$13,0),MATCH(SCC_Chloride!$Q21,'Tables - Part 2'!$AX$5:$BA$5,0)))/2,0)</f>
        <v>0</v>
      </c>
      <c r="BM21" s="248">
        <f>IF($P21=$BM$3,(((INDEX('Tables - Part 2'!$BB$17:$BE$24,MATCH(SCC_Chloride!$V21,'Tables - Part 2'!$AV$6:$AV$13,0),MATCH(SCC_Chloride!$Q21,'Tables - Part 2'!$AX$5:$BA$5,0))+INDEX('Tables - Part 2'!$BF$17:$BI$24,MATCH(SCC_Chloride!$V21,'Tables - Part 2'!$AV$6:$AV$13,0),MATCH(SCC_Chloride!$Q21,'Tables - Part 2'!$AX$5:$BA$5,0)))/2)+((((INDEX('Tables - Part 2'!$BB$17:$BE$24,MATCH(SCC_Chloride!$V21,'Tables - Part 2'!$AV$6:$AV$13,0),MATCH(SCC_Chloride!$Q21,'Tables - Part 2'!$AX$5:$BA$5,0))+INDEX('Tables - Part 2'!$BF$17:$BI$24,MATCH(SCC_Chloride!$V21,'Tables - Part 2'!$AV$6:$AV$13,0),MATCH(SCC_Chloride!$Q21,'Tables - Part 2'!$AX$5:$BA$5,0)))/2)+INDEX('Tables - Part 2'!$BF$17:$BI$24,MATCH(SCC_Chloride!$V21,'Tables - Part 2'!$AV$6:$AV$13,0),MATCH(SCC_Chloride!$Q21,'Tables - Part 2'!$AX$5:$BA$5,0)))/2))/2,0)</f>
        <v>0</v>
      </c>
      <c r="BN21" s="248">
        <f>IF($P21=$BN$3,(((INDEX('Tables - Part 2'!$BB$17:$BE$24,MATCH(SCC_Chloride!$V21,'Tables - Part 2'!$AV$6:$AV$13,0),MATCH(SCC_Chloride!$Q21,'Tables - Part 2'!$AX$5:$BA$5,0))+INDEX('Tables - Part 2'!$BF$17:$BI$24,MATCH(SCC_Chloride!$V21,'Tables - Part 2'!$AV$6:$AV$13,0),MATCH(SCC_Chloride!$Q21,'Tables - Part 2'!$AX$5:$BA$5,0)))/2)+INDEX('Tables - Part 2'!$BF$17:$BI$24,MATCH(SCC_Chloride!$V21,'Tables - Part 2'!$AV$6:$AV$13,0),MATCH(SCC_Chloride!$Q21,'Tables - Part 2'!$AX$5:$BA$5,0)))/2,0)</f>
        <v>0</v>
      </c>
      <c r="BO21" s="248">
        <f>IF($P21=$BO$3,(((((INDEX('Tables - Part 2'!$BB$17:$BE$24,MATCH(SCC_Chloride!$V21,'Tables - Part 2'!$AV$6:$AV$13,0),MATCH(SCC_Chloride!$Q21,'Tables - Part 2'!$AX$5:$BA$5,0))+INDEX('Tables - Part 2'!$BF$17:$BI$24,MATCH(SCC_Chloride!$V21,'Tables - Part 2'!$AV$6:$AV$13,0),MATCH(SCC_Chloride!$Q21,'Tables - Part 2'!$AX$5:$BA$5,0)))/2)+INDEX('Tables - Part 2'!$BF$17:$BI$24,MATCH(SCC_Chloride!$V21,'Tables - Part 2'!$AV$6:$AV$13,0),MATCH(SCC_Chloride!$Q21,'Tables - Part 2'!$AX$5:$BA$5,0)))/2)+(INDEX('Tables - Part 2'!$BF$17:$BI$24,MATCH(SCC_Chloride!$V21,'Tables - Part 2'!$AV$6:$AV$13,0),MATCH(SCC_Chloride!$Q21,'Tables - Part 2'!$AX$5:$BA$5,0))))/2,0)</f>
        <v>0</v>
      </c>
      <c r="BP21" s="248">
        <f>IF($P21=$BP$3,INDEX('Tables - Part 2'!$BF$17:$BI$24,MATCH(SCC_Chloride!$V21,'Tables - Part 2'!$AV$6:$AV$13,0),MATCH(SCC_Chloride!$Q21,'Tables - Part 2'!$AX$5:$BA$5,0)),0)</f>
        <v>0</v>
      </c>
      <c r="BQ21" s="248">
        <f t="shared" si="5"/>
        <v>0</v>
      </c>
      <c r="BR21" s="238">
        <f t="shared" si="9"/>
        <v>1.5</v>
      </c>
      <c r="BS21" s="238">
        <f t="shared" si="6"/>
        <v>25.159323702612586</v>
      </c>
    </row>
  </sheetData>
  <mergeCells count="1">
    <mergeCell ref="X2:AA2"/>
  </mergeCells>
  <dataValidations count="2">
    <dataValidation type="list" allowBlank="1" showInputMessage="1" showErrorMessage="1" sqref="E4:E21" xr:uid="{00000000-0002-0000-1500-000000000000}">
      <formula1>$BX$2:$BX$4</formula1>
    </dataValidation>
    <dataValidation type="list" allowBlank="1" showInputMessage="1" showErrorMessage="1" sqref="D4:D21" xr:uid="{00000000-0002-0000-1500-000001000000}">
      <formula1>$BX$2:$BX$3</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2000000}">
          <x14:formula1>
            <xm:f>'Tables - Part 2'!$DP$5:$DS$5</xm:f>
          </x14:formula1>
          <xm:sqref>G4:G21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26">
    <tabColor rgb="FFFFFF00"/>
  </sheetPr>
  <dimension ref="B1:CD21"/>
  <sheetViews>
    <sheetView topLeftCell="I1" zoomScale="70" zoomScaleNormal="70" workbookViewId="0">
      <selection activeCell="S4" sqref="S4"/>
    </sheetView>
  </sheetViews>
  <sheetFormatPr defaultRowHeight="14.5" x14ac:dyDescent="0.35"/>
  <cols>
    <col min="1" max="1" width="1.26953125" customWidth="1"/>
    <col min="2" max="3" width="18.26953125" customWidth="1"/>
    <col min="4" max="4" width="21.26953125" customWidth="1"/>
    <col min="5" max="5" width="10.453125" customWidth="1"/>
    <col min="6" max="6" width="12.1796875" bestFit="1" customWidth="1"/>
    <col min="7" max="8" width="21.7265625" customWidth="1"/>
    <col min="9" max="9" width="7.26953125" customWidth="1"/>
    <col min="10" max="10" width="23.54296875" customWidth="1"/>
    <col min="11" max="11" width="13.453125" customWidth="1"/>
    <col min="12" max="14" width="12.81640625" customWidth="1"/>
    <col min="15" max="15" width="16.1796875" customWidth="1"/>
    <col min="16" max="16" width="12.81640625" customWidth="1"/>
    <col min="17" max="17" width="16.453125" customWidth="1"/>
    <col min="18" max="18" width="12.1796875" customWidth="1"/>
    <col min="19" max="19" width="25.26953125" bestFit="1" customWidth="1"/>
    <col min="20" max="20" width="11" customWidth="1"/>
    <col min="21" max="25" width="19.81640625" customWidth="1"/>
    <col min="26" max="26" width="5.7265625" bestFit="1" customWidth="1"/>
    <col min="27" max="27" width="6" customWidth="1"/>
    <col min="28" max="28" width="5.54296875" customWidth="1"/>
    <col min="29" max="29" width="6.7265625" customWidth="1"/>
    <col min="30" max="30" width="6" customWidth="1"/>
    <col min="31" max="31" width="6.7265625" customWidth="1"/>
    <col min="32" max="32" width="5.54296875" customWidth="1"/>
    <col min="33" max="33" width="6" customWidth="1"/>
    <col min="34" max="34" width="5.7265625" bestFit="1" customWidth="1"/>
    <col min="35" max="35" width="6.7265625" customWidth="1"/>
    <col min="36" max="36" width="6" customWidth="1"/>
    <col min="37" max="37" width="6.7265625" customWidth="1"/>
    <col min="38" max="38" width="4.81640625" customWidth="1"/>
    <col min="39" max="39" width="6" customWidth="1"/>
    <col min="40" max="40" width="5.54296875" customWidth="1"/>
    <col min="41" max="41" width="6.7265625" customWidth="1"/>
    <col min="42" max="42" width="6" customWidth="1"/>
    <col min="43" max="43" width="6.7265625" customWidth="1"/>
    <col min="44" max="46" width="6" customWidth="1"/>
    <col min="47" max="47" width="6.7265625" customWidth="1"/>
    <col min="48" max="48" width="6" customWidth="1"/>
    <col min="49" max="49" width="6.7265625" customWidth="1"/>
    <col min="50" max="52" width="6" customWidth="1"/>
    <col min="53" max="53" width="6.7265625" customWidth="1"/>
    <col min="54" max="54" width="6" customWidth="1"/>
    <col min="55" max="55" width="6.7265625" customWidth="1"/>
    <col min="56" max="58" width="6" customWidth="1"/>
    <col min="59" max="59" width="6.7265625" customWidth="1"/>
    <col min="60" max="60" width="6" customWidth="1"/>
    <col min="61" max="61" width="6.7265625" customWidth="1"/>
    <col min="62" max="62" width="4.81640625" customWidth="1"/>
    <col min="63" max="63" width="6" customWidth="1"/>
    <col min="64" max="64" width="5.54296875" customWidth="1"/>
    <col min="65" max="65" width="6.7265625" customWidth="1"/>
    <col min="66" max="67" width="4.81640625" customWidth="1"/>
    <col min="68" max="69" width="19.81640625" customWidth="1"/>
    <col min="70" max="71" width="9.1796875" customWidth="1"/>
    <col min="72" max="72" width="26.81640625" customWidth="1"/>
    <col min="73" max="73" width="23.54296875" customWidth="1"/>
    <col min="74" max="74" width="35.54296875" customWidth="1"/>
  </cols>
  <sheetData>
    <row r="1" spans="2:82" ht="3.75" customHeight="1" x14ac:dyDescent="0.35"/>
    <row r="2" spans="2:82" x14ac:dyDescent="0.35">
      <c r="V2" s="702" t="s">
        <v>897</v>
      </c>
      <c r="W2" s="702"/>
      <c r="X2" s="702"/>
      <c r="Y2" s="702"/>
      <c r="Z2" s="449"/>
      <c r="AA2" s="450"/>
      <c r="AB2" s="450"/>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1"/>
      <c r="BQ2" s="451"/>
      <c r="BT2" s="237" t="s">
        <v>839</v>
      </c>
      <c r="BV2" s="158" t="s">
        <v>244</v>
      </c>
      <c r="CA2" s="208"/>
      <c r="CB2" s="208"/>
      <c r="CD2" s="208"/>
    </row>
    <row r="3" spans="2:82" ht="29.25" customHeight="1" x14ac:dyDescent="0.35">
      <c r="B3" s="346" t="s">
        <v>968</v>
      </c>
      <c r="C3" s="346" t="s">
        <v>969</v>
      </c>
      <c r="D3" s="139" t="s">
        <v>843</v>
      </c>
      <c r="E3" s="139" t="s">
        <v>860</v>
      </c>
      <c r="F3" s="139" t="s">
        <v>1195</v>
      </c>
      <c r="G3" s="139" t="s">
        <v>1196</v>
      </c>
      <c r="H3" s="346" t="s">
        <v>1117</v>
      </c>
      <c r="I3" s="346" t="s">
        <v>858</v>
      </c>
      <c r="J3" s="139" t="s">
        <v>867</v>
      </c>
      <c r="K3" s="139" t="s">
        <v>893</v>
      </c>
      <c r="L3" s="139" t="s">
        <v>894</v>
      </c>
      <c r="M3" s="139" t="s">
        <v>895</v>
      </c>
      <c r="N3" s="139" t="s">
        <v>896</v>
      </c>
      <c r="O3" s="139" t="s">
        <v>882</v>
      </c>
      <c r="P3" s="139" t="s">
        <v>880</v>
      </c>
      <c r="Q3" s="139" t="s">
        <v>882</v>
      </c>
      <c r="R3" s="139" t="s">
        <v>880</v>
      </c>
      <c r="S3" s="346" t="s">
        <v>855</v>
      </c>
      <c r="T3" s="244" t="s">
        <v>861</v>
      </c>
      <c r="U3" s="346" t="s">
        <v>869</v>
      </c>
      <c r="V3" s="346" t="s">
        <v>278</v>
      </c>
      <c r="W3" s="346" t="s">
        <v>279</v>
      </c>
      <c r="X3" s="346" t="s">
        <v>280</v>
      </c>
      <c r="Y3" s="346" t="s">
        <v>274</v>
      </c>
      <c r="Z3" s="346">
        <v>1</v>
      </c>
      <c r="AA3" s="252">
        <v>1.125</v>
      </c>
      <c r="AB3" s="346">
        <v>1.25</v>
      </c>
      <c r="AC3" s="346">
        <v>1.375</v>
      </c>
      <c r="AD3" s="254">
        <v>1.5</v>
      </c>
      <c r="AE3" s="346">
        <v>1.625</v>
      </c>
      <c r="AF3" s="346">
        <v>1.75</v>
      </c>
      <c r="AG3" s="252">
        <v>1.875</v>
      </c>
      <c r="AH3" s="346">
        <v>2</v>
      </c>
      <c r="AI3" s="346">
        <v>2.125</v>
      </c>
      <c r="AJ3" s="252">
        <v>2.25</v>
      </c>
      <c r="AK3" s="346">
        <v>2.375</v>
      </c>
      <c r="AL3" s="346">
        <v>2.5</v>
      </c>
      <c r="AM3" s="252">
        <v>2.625</v>
      </c>
      <c r="AN3" s="346">
        <v>2.75</v>
      </c>
      <c r="AO3" s="346">
        <v>2.875</v>
      </c>
      <c r="AP3" s="255">
        <v>3</v>
      </c>
      <c r="AQ3" s="346">
        <v>3.125</v>
      </c>
      <c r="AR3" s="346">
        <v>3.25</v>
      </c>
      <c r="AS3" s="252">
        <v>3.375</v>
      </c>
      <c r="AT3" s="346">
        <v>3.5</v>
      </c>
      <c r="AU3" s="346">
        <v>3.625</v>
      </c>
      <c r="AV3" s="252">
        <v>3.75</v>
      </c>
      <c r="AW3" s="346">
        <v>3.875</v>
      </c>
      <c r="AX3" s="346">
        <v>4</v>
      </c>
      <c r="AY3" s="252">
        <v>4.125</v>
      </c>
      <c r="AZ3" s="346">
        <v>4.25</v>
      </c>
      <c r="BA3" s="346">
        <v>4.375</v>
      </c>
      <c r="BB3" s="254">
        <v>4.5</v>
      </c>
      <c r="BC3" s="346">
        <v>4.625</v>
      </c>
      <c r="BD3" s="346">
        <v>4.75</v>
      </c>
      <c r="BE3" s="252">
        <v>4.875</v>
      </c>
      <c r="BF3" s="346">
        <v>5</v>
      </c>
      <c r="BG3" s="346">
        <v>5.125</v>
      </c>
      <c r="BH3" s="252">
        <v>5.25</v>
      </c>
      <c r="BI3" s="346">
        <v>5.375</v>
      </c>
      <c r="BJ3" s="346">
        <v>5.5</v>
      </c>
      <c r="BK3" s="252">
        <v>5.625</v>
      </c>
      <c r="BL3" s="346">
        <v>5.75</v>
      </c>
      <c r="BM3" s="346">
        <v>5.875</v>
      </c>
      <c r="BN3" s="346">
        <v>6</v>
      </c>
      <c r="BO3" s="346" t="s">
        <v>281</v>
      </c>
      <c r="BP3" s="346" t="s">
        <v>1197</v>
      </c>
      <c r="BQ3" s="141" t="s">
        <v>1198</v>
      </c>
      <c r="BT3" s="237" t="s">
        <v>840</v>
      </c>
      <c r="BV3" s="158" t="s">
        <v>245</v>
      </c>
      <c r="BZ3" s="208"/>
    </row>
    <row r="4" spans="2:82" x14ac:dyDescent="0.35">
      <c r="B4" s="161" t="str">
        <f>'Tratamento de Dados'!B12</f>
        <v>V-90</v>
      </c>
      <c r="C4" s="161" t="str">
        <f>'Tratamento de Dados'!D12</f>
        <v>Casco</v>
      </c>
      <c r="D4" s="209" t="s">
        <v>245</v>
      </c>
      <c r="E4" s="209" t="s">
        <v>61</v>
      </c>
      <c r="F4" s="209" t="s">
        <v>244</v>
      </c>
      <c r="G4" s="209" t="s">
        <v>244</v>
      </c>
      <c r="H4" s="209" t="s">
        <v>1112</v>
      </c>
      <c r="I4" s="209" t="s">
        <v>245</v>
      </c>
      <c r="J4" s="210">
        <v>39092</v>
      </c>
      <c r="K4" s="209">
        <v>0</v>
      </c>
      <c r="L4" s="209">
        <v>1</v>
      </c>
      <c r="M4" s="209">
        <v>1</v>
      </c>
      <c r="N4" s="209">
        <v>4</v>
      </c>
      <c r="O4" s="253">
        <f>'Tratamento de Dados'!DA12</f>
        <v>0</v>
      </c>
      <c r="P4" s="253">
        <f>'Tratamento de Dados'!DB12</f>
        <v>0</v>
      </c>
      <c r="Q4" s="256">
        <f t="shared" ref="Q4:Q21" si="0">IF(O4=0,IF(V4&gt;=1,V4,IF(W4&gt;=1,W4,IF(X4&gt;=1,X4,IF(Y4&gt;=1,Y4,0)))),O4)</f>
        <v>2.5</v>
      </c>
      <c r="R4" s="246" t="str">
        <f t="shared" ref="R4:R21" si="1">IF(P4=0,IF(V4&gt;=1,$V$3,IF(W4&gt;=1,$W$3,IF(X4&gt;=1,$X$3,IF(Y4&gt;=1,$Y$3,"E")))),P4)</f>
        <v>B</v>
      </c>
      <c r="S4" s="238" t="str" cm="1">
        <f t="array" ref="S4">IF(D4=$BV$2,$BT$4,IF(OR(F4=$BV$3,G4=$BV$3),$BT$5,INDEX(IF(I4=$BV$2,'Tables - Part 2'!$EA$5:$EC$5,'Tables - Part 2'!$DX$5:$DZ$5),,MATCH(HSC_Hydrofluoric_Acid!H4,'Tables - Part 2'!$DX$4:$DZ$4,0))))</f>
        <v>Low</v>
      </c>
      <c r="T4" s="238">
        <f>IF(AND(D4=$BV$2,E4&lt;&gt;$BV$2),"Fitness-For-Service",INDEX('Tables - Part 2'!$EF$4:$EF$7,MATCH(HSC_Hydrofluoric_Acid!S4,'Tables - Part 2'!$EE$4:$EE$7,0),))</f>
        <v>1</v>
      </c>
      <c r="U4" s="238">
        <f>IF(J4=0,(Thinning!G5-Thinning!F5)/365.25,(Thinning!G5-J4)/365.25)</f>
        <v>12.980150581793293</v>
      </c>
      <c r="V4" s="248">
        <f t="shared" ref="V4:V21" si="2">IF(K4=0,0,_xlfn.FLOOR.MATH((W4/2)+K4,0.25))</f>
        <v>0</v>
      </c>
      <c r="W4" s="248">
        <f t="shared" ref="W4:W21" si="3">IF(AND(K4=0,L4=0),0,_xlfn.FLOOR.MATH((X4/2)+L4,0.25))</f>
        <v>2.5</v>
      </c>
      <c r="X4" s="248">
        <f t="shared" ref="X4:X21" si="4">_xlfn.FLOOR.MATH((Y4/2)+M4,0.25)</f>
        <v>3</v>
      </c>
      <c r="Y4" s="247">
        <f t="shared" ref="Y4:Y21" si="5">N4</f>
        <v>4</v>
      </c>
      <c r="Z4" s="248">
        <f>IF($Q4=$Z$3,INDEX('Tables - Part 2'!$AX$6:$BA$13,MATCH(HSC_Hydrofluoric_Acid!T4,'Tables - Part 2'!$AV$6:$AV$13,0),MATCH(HSC_Hydrofluoric_Acid!R4,'Tables - Part 2'!$AX$5:$BA$5,0)),0)</f>
        <v>0</v>
      </c>
      <c r="AA4" s="248">
        <f>IF($Q4=$AA$3,(INDEX('Tables - Part 2'!$AX$6:$BA$13,MATCH(HSC_Hydrofluoric_Acid!T4,'Tables - Part 2'!$AV$6:$AV$13,0),MATCH(HSC_Hydrofluoric_Acid!R4,'Tables - Part 2'!$AX$5:$BA$5,0))+(INDEX('Tables - Part 2'!$AX$6:$BA$13,MATCH(HSC_Hydrofluoric_Acid!T4,'Tables - Part 2'!$AV$6:$AV$13,0),MATCH(HSC_Hydrofluoric_Acid!R4,'Tables - Part 2'!$AX$5:$BA$5,0))+((INDEX('Tables - Part 2'!$AX$6:$BA$13,MATCH(HSC_Hydrofluoric_Acid!T4,'Tables - Part 2'!$AV$6:$AV$13,0),MATCH(HSC_Hydrofluoric_Acid!R4,'Tables - Part 2'!$AX$5:$BA$5,0))+INDEX('Tables - Part 2'!$BB$6:$BE$13,MATCH(HSC_Hydrofluoric_Acid!$T4,'Tables - Part 2'!$AV$6:$AV$13,0),MATCH(HSC_Hydrofluoric_Acid!$R4,'Tables - Part 2'!$AX$5:$BA$5,0)))/2))/2)/2,0)</f>
        <v>0</v>
      </c>
      <c r="AB4" s="248">
        <f>IF($Q4=$AB$3,(INDEX('Tables - Part 2'!$AX$6:$BA$13,MATCH(HSC_Hydrofluoric_Acid!T4,'Tables - Part 2'!$AV$6:$AV$13,0),MATCH(HSC_Hydrofluoric_Acid!R4,'Tables - Part 2'!$AX$5:$BA$5,0))+((INDEX('Tables - Part 2'!$AX$6:$BA$13,MATCH(HSC_Hydrofluoric_Acid!T4,'Tables - Part 2'!$AV$6:$AV$13,0),MATCH(HSC_Hydrofluoric_Acid!R4,'Tables - Part 2'!$AX$5:$BA$5,0))+INDEX('Tables - Part 2'!$BB$6:$BE$13,MATCH(HSC_Hydrofluoric_Acid!$T4,'Tables - Part 2'!$AV$6:$AV$13,0),MATCH(HSC_Hydrofluoric_Acid!$R4,'Tables - Part 2'!$AX$5:$BA$5,0)))/2))/2,0)</f>
        <v>0</v>
      </c>
      <c r="AC4" s="248">
        <f>IF($Q4=$AC$3,(((INDEX('Tables - Part 2'!$AX$6:$BA$13,MATCH(HSC_Hydrofluoric_Acid!T4,'Tables - Part 2'!$AV$6:$AV$13,0),MATCH(HSC_Hydrofluoric_Acid!R4,'Tables - Part 2'!$AX$5:$BA$5,0))+((INDEX('Tables - Part 2'!$AX$6:$BA$13,MATCH(HSC_Hydrofluoric_Acid!T4,'Tables - Part 2'!$AV$6:$AV$13,0),MATCH(HSC_Hydrofluoric_Acid!R4,'Tables - Part 2'!$AX$5:$BA$5,0))+INDEX('Tables - Part 2'!$BB$6:$BE$13,MATCH(HSC_Hydrofluoric_Acid!$T4,'Tables - Part 2'!$AV$6:$AV$13,0),MATCH(HSC_Hydrofluoric_Acid!$R4,'Tables - Part 2'!$AX$5:$BA$5,0)))/2))/2)+(INDEX('Tables - Part 2'!$AX$6:$BA$13,MATCH(HSC_Hydrofluoric_Acid!T4,'Tables - Part 2'!$AV$6:$AV$13,0),MATCH(HSC_Hydrofluoric_Acid!R4,'Tables - Part 2'!$AX$5:$BA$5,0))+INDEX('Tables - Part 2'!$BB$6:$BE$13,MATCH(HSC_Hydrofluoric_Acid!$T4,'Tables - Part 2'!$AV$6:$AV$13,0),MATCH(HSC_Hydrofluoric_Acid!$R4,'Tables - Part 2'!$AX$5:$BA$5,0)))/2)/2,0)</f>
        <v>0</v>
      </c>
      <c r="AD4" s="248">
        <f>IF($Q4=$AD$3,(INDEX('Tables - Part 2'!$AX$6:$BA$13,MATCH(HSC_Hydrofluoric_Acid!T4,'Tables - Part 2'!$AV$6:$AV$13,0),MATCH(HSC_Hydrofluoric_Acid!R4,'Tables - Part 2'!$AX$5:$BA$5,0))+INDEX('Tables - Part 2'!$BB$6:$BE$13,MATCH(HSC_Hydrofluoric_Acid!$T4,'Tables - Part 2'!$AV$6:$AV$13,0),MATCH(HSC_Hydrofluoric_Acid!$R4,'Tables - Part 2'!$AX$5:$BA$5,0)))/2,0)</f>
        <v>0</v>
      </c>
      <c r="AE4" s="248">
        <f>IF($Q4=$AE$3,(((INDEX('Tables - Part 2'!$AX$6:$BA$13,MATCH(HSC_Hydrofluoric_Acid!T4,'Tables - Part 2'!$AV$6:$AV$13,0),MATCH(HSC_Hydrofluoric_Acid!R4,'Tables - Part 2'!$AX$5:$BA$5,0))+INDEX('Tables - Part 2'!$BB$6:$BE$13,MATCH(HSC_Hydrofluoric_Acid!$T4,'Tables - Part 2'!$AV$6:$AV$13,0),MATCH(HSC_Hydrofluoric_Acid!$R4,'Tables - Part 2'!$AX$5:$BA$5,0)))/2)+(((INDEX('Tables - Part 2'!$AX$6:$BA$13,MATCH(HSC_Hydrofluoric_Acid!T4,'Tables - Part 2'!$AV$6:$AV$13,0),MATCH(HSC_Hydrofluoric_Acid!R4,'Tables - Part 2'!$AX$5:$BA$5,0))+INDEX('Tables - Part 2'!$BB$6:$BE$13,MATCH(HSC_Hydrofluoric_Acid!$T4,'Tables - Part 2'!$AV$6:$AV$13,0),MATCH(HSC_Hydrofluoric_Acid!$R4,'Tables - Part 2'!$AX$5:$BA$5,0)))/2)+INDEX('Tables - Part 2'!$BB$6:$BE$13,MATCH(HSC_Hydrofluoric_Acid!$T4,'Tables - Part 2'!$AV$6:$AV$13,0),MATCH(HSC_Hydrofluoric_Acid!$R4,'Tables - Part 2'!$AX$5:$BA$5,0)))/2)/2,0)</f>
        <v>0</v>
      </c>
      <c r="AF4" s="248">
        <f>IF($Q4=$AF$3,(((INDEX('Tables - Part 2'!$AX$6:$BA$13,MATCH(HSC_Hydrofluoric_Acid!T4,'Tables - Part 2'!$AV$6:$AV$13,0),MATCH(HSC_Hydrofluoric_Acid!R4,'Tables - Part 2'!$AX$5:$BA$5,0))+INDEX('Tables - Part 2'!$BB$6:$BE$13,MATCH(HSC_Hydrofluoric_Acid!$T4,'Tables - Part 2'!$AV$6:$AV$13,0),MATCH(HSC_Hydrofluoric_Acid!$R4,'Tables - Part 2'!$AX$5:$BA$5,0)))/2)+INDEX('Tables - Part 2'!$BB$6:$BE$13,MATCH(HSC_Hydrofluoric_Acid!$T4,'Tables - Part 2'!$AV$6:$AV$13,0),MATCH(HSC_Hydrofluoric_Acid!$R4,'Tables - Part 2'!$AX$5:$BA$5,0)))/2,0)</f>
        <v>0</v>
      </c>
      <c r="AG4" s="248">
        <f>IF($Q4=$AG$3,(((((INDEX('Tables - Part 2'!$AX$6:$BA$13,MATCH(HSC_Hydrofluoric_Acid!T4,'Tables - Part 2'!$AV$6:$AV$13,0),MATCH(HSC_Hydrofluoric_Acid!R4,'Tables - Part 2'!$AX$5:$BA$5,0))+INDEX('Tables - Part 2'!$BB$6:$BE$13,MATCH(HSC_Hydrofluoric_Acid!$T4,'Tables - Part 2'!$AV$6:$AV$13,0),MATCH(HSC_Hydrofluoric_Acid!$R4,'Tables - Part 2'!$AX$5:$BA$5,0)))/2)+INDEX('Tables - Part 2'!$BB$6:$BE$13,MATCH(HSC_Hydrofluoric_Acid!$T4,'Tables - Part 2'!$AV$6:$AV$13,0),MATCH(HSC_Hydrofluoric_Acid!$R4,'Tables - Part 2'!$AX$5:$BA$5,0)))/2)+INDEX('Tables - Part 2'!$BB$6:$BE$13,MATCH(HSC_Hydrofluoric_Acid!$T4,'Tables - Part 2'!$AV$6:$AV$13,0),MATCH(HSC_Hydrofluoric_Acid!$R4,'Tables - Part 2'!$AX$5:$BA$5,0)))/2,0)</f>
        <v>0</v>
      </c>
      <c r="AH4" s="248">
        <f>IF($Q4=$AH$3,INDEX('Tables - Part 2'!$BB$6:$BE$13,MATCH(HSC_Hydrofluoric_Acid!$T4,'Tables - Part 2'!$AV$6:$AV$13,0),MATCH(HSC_Hydrofluoric_Acid!$R4,'Tables - Part 2'!$AX$5:$BA$5,0)),0)</f>
        <v>0</v>
      </c>
      <c r="AI4" s="248">
        <f>IF($Q4=$AI$3,((INDEX('Tables - Part 2'!$BB$6:$BE$13,MATCH(HSC_Hydrofluoric_Acid!$T4,'Tables - Part 2'!$AV$6:$AV$13,0),MATCH(HSC_Hydrofluoric_Acid!$R4,'Tables - Part 2'!$AX$5:$BA$5,0)))+(INDEX('Tables - Part 2'!$BB$6:$BE$13,MATCH(HSC_Hydrofluoric_Acid!$T4,'Tables - Part 2'!$AV$6:$AV$13,0),MATCH(HSC_Hydrofluoric_Acid!$R4,'Tables - Part 2'!$AX$5:$BA$5,0))+(INDEX('Tables - Part 2'!$BB$6:$BE$13,MATCH(HSC_Hydrofluoric_Acid!$T4,'Tables - Part 2'!$AV$6:$AV$13,0),MATCH(HSC_Hydrofluoric_Acid!$R4,'Tables - Part 2'!$AX$5:$BA$5,0))+INDEX('Tables - Part 2'!$BF$6:$BI$13,MATCH(HSC_Hydrofluoric_Acid!$T4,'Tables - Part 2'!$AV$6:$AV$13,0),MATCH(HSC_Hydrofluoric_Acid!$R4,'Tables - Part 2'!$AX$5:$BA$5,0)))/2)/2)/2,0)</f>
        <v>0</v>
      </c>
      <c r="AJ4" s="248">
        <f>IF($Q4=$AJ$3,(INDEX('Tables - Part 2'!$BB$6:$BE$13,MATCH(HSC_Hydrofluoric_Acid!$T4,'Tables - Part 2'!$AV$6:$AV$13,0),MATCH(HSC_Hydrofluoric_Acid!$R4,'Tables - Part 2'!$AX$5:$BA$5,0))+(INDEX('Tables - Part 2'!$BB$6:$BE$13,MATCH(HSC_Hydrofluoric_Acid!$T4,'Tables - Part 2'!$AV$6:$AV$13,0),MATCH(HSC_Hydrofluoric_Acid!$R4,'Tables - Part 2'!$AX$5:$BA$5,0))+INDEX('Tables - Part 2'!$BF$6:$BI$13,MATCH(HSC_Hydrofluoric_Acid!$T4,'Tables - Part 2'!$AV$6:$AV$13,0),MATCH(HSC_Hydrofluoric_Acid!$R4,'Tables - Part 2'!$AX$5:$BA$5,0)))/2)/2,0)</f>
        <v>0</v>
      </c>
      <c r="AK4" s="248">
        <f>IF($Q4=$AK$3,(((INDEX('Tables - Part 2'!$BB$6:$BE$13,MATCH(HSC_Hydrofluoric_Acid!$T4,'Tables - Part 2'!$AV$6:$AV$13,0),MATCH(HSC_Hydrofluoric_Acid!$R4,'Tables - Part 2'!$AX$5:$BA$5,0))+(INDEX('Tables - Part 2'!$BB$6:$BE$13,MATCH(HSC_Hydrofluoric_Acid!$T4,'Tables - Part 2'!$AV$6:$AV$13,0),MATCH(HSC_Hydrofluoric_Acid!$R4,'Tables - Part 2'!$AX$5:$BA$5,0))+INDEX('Tables - Part 2'!$BF$6:$BI$13,MATCH(HSC_Hydrofluoric_Acid!$T4,'Tables - Part 2'!$AV$6:$AV$13,0),MATCH(HSC_Hydrofluoric_Acid!$R4,'Tables - Part 2'!$AX$5:$BA$5,0)))/2)/2)+((INDEX('Tables - Part 2'!$BB$6:$BE$13,MATCH(HSC_Hydrofluoric_Acid!$T4,'Tables - Part 2'!$AV$6:$AV$13,0),MATCH(HSC_Hydrofluoric_Acid!$R4,'Tables - Part 2'!$AX$5:$BA$5,0))+INDEX('Tables - Part 2'!$BF$6:$BI$13,MATCH(HSC_Hydrofluoric_Acid!$T4,'Tables - Part 2'!$AV$6:$AV$13,0),MATCH(HSC_Hydrofluoric_Acid!$R4,'Tables - Part 2'!$AX$5:$BA$5,0)))/2))/2,0)</f>
        <v>0</v>
      </c>
      <c r="AL4" s="248">
        <f>IF($Q4=$AL$3,(INDEX('Tables - Part 2'!$BB$6:$BE$13,MATCH(HSC_Hydrofluoric_Acid!$T4,'Tables - Part 2'!$AV$6:$AV$13,0),MATCH(HSC_Hydrofluoric_Acid!$R4,'Tables - Part 2'!$AX$5:$BA$5,0))+INDEX('Tables - Part 2'!$BF$6:$BI$13,MATCH(HSC_Hydrofluoric_Acid!$T4,'Tables - Part 2'!$AV$6:$AV$13,0),MATCH(HSC_Hydrofluoric_Acid!$R4,'Tables - Part 2'!$AX$5:$BA$5,0)))/2,0)</f>
        <v>1</v>
      </c>
      <c r="AM4" s="248">
        <f>IF($Q4=$AM$3,(((INDEX('Tables - Part 2'!$BB$6:$BE$13,MATCH(HSC_Hydrofluoric_Acid!$T4,'Tables - Part 2'!$AV$6:$AV$13,0),MATCH(HSC_Hydrofluoric_Acid!$R4,'Tables - Part 2'!$AX$5:$BA$5,0))+INDEX('Tables - Part 2'!$BF$6:$BI$13,MATCH(HSC_Hydrofluoric_Acid!$T4,'Tables - Part 2'!$AV$6:$AV$13,0),MATCH(HSC_Hydrofluoric_Acid!$R4,'Tables - Part 2'!$AX$5:$BA$5,0)))/2)+((((INDEX('Tables - Part 2'!$BB$6:$BE$13,MATCH(HSC_Hydrofluoric_Acid!$T4,'Tables - Part 2'!$AV$6:$AV$13,0),MATCH(HSC_Hydrofluoric_Acid!$R4,'Tables - Part 2'!$AX$5:$BA$5,0))+INDEX('Tables - Part 2'!$BF$6:$BI$13,MATCH(HSC_Hydrofluoric_Acid!$T4,'Tables - Part 2'!$AV$6:$AV$13,0),MATCH(HSC_Hydrofluoric_Acid!$R4,'Tables - Part 2'!$AX$5:$BA$5,0)))/2)+INDEX('Tables - Part 2'!$BF$6:$BI$13,MATCH(HSC_Hydrofluoric_Acid!$T4,'Tables - Part 2'!$AV$6:$AV$13,0),MATCH(HSC_Hydrofluoric_Acid!$R4,'Tables - Part 2'!$AX$5:$BA$5,0)))/2))/2,0)</f>
        <v>0</v>
      </c>
      <c r="AN4" s="248">
        <f>IF($Q4=$AN$3,(((INDEX('Tables - Part 2'!$BB$6:$BE$13,MATCH(HSC_Hydrofluoric_Acid!$T4,'Tables - Part 2'!$AV$6:$AV$13,0),MATCH(HSC_Hydrofluoric_Acid!$R4,'Tables - Part 2'!$AX$5:$BA$5,0))+INDEX('Tables - Part 2'!$BF$6:$BI$13,MATCH(HSC_Hydrofluoric_Acid!$T4,'Tables - Part 2'!$AV$6:$AV$13,0),MATCH(HSC_Hydrofluoric_Acid!$R4,'Tables - Part 2'!$AX$5:$BA$5,0)))/2)+INDEX('Tables - Part 2'!$BF$6:$BI$13,MATCH(HSC_Hydrofluoric_Acid!$T4,'Tables - Part 2'!$AV$6:$AV$13,0),MATCH(HSC_Hydrofluoric_Acid!$R4,'Tables - Part 2'!$AX$5:$BA$5,0)))/2,0)</f>
        <v>0</v>
      </c>
      <c r="AO4" s="248">
        <f>IF($Q4=$AO$3,(((((INDEX('Tables - Part 2'!$BB$6:$BE$13,MATCH(HSC_Hydrofluoric_Acid!$T4,'Tables - Part 2'!$AV$6:$AV$13,0),MATCH(HSC_Hydrofluoric_Acid!$R4,'Tables - Part 2'!$AX$5:$BA$5,0))+INDEX('Tables - Part 2'!$BF$6:$BI$13,MATCH(HSC_Hydrofluoric_Acid!$T4,'Tables - Part 2'!$AV$6:$AV$13,0),MATCH(HSC_Hydrofluoric_Acid!$R4,'Tables - Part 2'!$AX$5:$BA$5,0)))/2)+INDEX('Tables - Part 2'!$BF$6:$BI$13,MATCH(HSC_Hydrofluoric_Acid!$T4,'Tables - Part 2'!$AV$6:$AV$13,0),MATCH(HSC_Hydrofluoric_Acid!$R4,'Tables - Part 2'!$AX$5:$BA$5,0)))/2)+INDEX('Tables - Part 2'!$BF$6:$BI$13,MATCH(HSC_Hydrofluoric_Acid!$T4,'Tables - Part 2'!$AV$6:$AV$13,0),MATCH(HSC_Hydrofluoric_Acid!$R4,'Tables - Part 2'!$AX$5:$BA$5,0)))/2,0)</f>
        <v>0</v>
      </c>
      <c r="AP4" s="248">
        <f>IF($Q4=$AP$3,INDEX('Tables - Part 2'!$BF$6:$BI$13,MATCH(HSC_Hydrofluoric_Acid!$T4,'Tables - Part 2'!$AV$6:$AV$13,0),MATCH(HSC_Hydrofluoric_Acid!$R4,'Tables - Part 2'!$AX$5:$BA$5,0)),0)</f>
        <v>0</v>
      </c>
      <c r="AQ4" s="248">
        <f>IF($Q4=$AQ$3,(INDEX('Tables - Part 2'!$BF$6:$BI$13,MATCH(HSC_Hydrofluoric_Acid!$T4,'Tables - Part 2'!$AV$6:$AV$13,0),MATCH(HSC_Hydrofluoric_Acid!$R4,'Tables - Part 2'!$AX$5:$BA$5,0))+((INDEX('Tables - Part 2'!$BF$6:$BI$13,MATCH(HSC_Hydrofluoric_Acid!$T4,'Tables - Part 2'!$AV$6:$AV$13,0),MATCH(HSC_Hydrofluoric_Acid!$R4,'Tables - Part 2'!$AX$5:$BA$5,0))+(INDEX('Tables - Part 2'!$BF$6:$BI$13,MATCH(HSC_Hydrofluoric_Acid!$T4,'Tables - Part 2'!$AV$6:$AV$13,0),MATCH(HSC_Hydrofluoric_Acid!$R4,'Tables - Part 2'!$AX$5:$BA$5,0))+INDEX('Tables - Part 2'!$AX$17:$BA$24,MATCH(HSC_Hydrofluoric_Acid!$T4,'Tables - Part 2'!$AV$6:$AV$13,0),MATCH(HSC_Hydrofluoric_Acid!$R4,'Tables - Part 2'!$AX$5:$BA$5,0)))/2)/2))/2,0)</f>
        <v>0</v>
      </c>
      <c r="AR4" s="248">
        <f>IF($Q4=$AR$3,(INDEX('Tables - Part 2'!$BF$6:$BI$13,MATCH(HSC_Hydrofluoric_Acid!$T4,'Tables - Part 2'!$AV$6:$AV$13,0),MATCH(HSC_Hydrofluoric_Acid!$R4,'Tables - Part 2'!$AX$5:$BA$5,0))+(INDEX('Tables - Part 2'!$BF$6:$BI$13,MATCH(HSC_Hydrofluoric_Acid!$T4,'Tables - Part 2'!$AV$6:$AV$13,0),MATCH(HSC_Hydrofluoric_Acid!$R4,'Tables - Part 2'!$AX$5:$BA$5,0))+INDEX('Tables - Part 2'!$AX$17:$BA$24,MATCH(HSC_Hydrofluoric_Acid!$T4,'Tables - Part 2'!$AV$6:$AV$13,0),MATCH(HSC_Hydrofluoric_Acid!$R4,'Tables - Part 2'!$AX$5:$BA$5,0)))/2)/2,0)</f>
        <v>0</v>
      </c>
      <c r="AS4" s="248">
        <f>IF($Q4=$AS$3,(((INDEX('Tables - Part 2'!$BF$6:$BI$13,MATCH(HSC_Hydrofluoric_Acid!$T4,'Tables - Part 2'!$AV$6:$AV$13,0),MATCH(HSC_Hydrofluoric_Acid!$R4,'Tables - Part 2'!$AX$5:$BA$5,0))+(INDEX('Tables - Part 2'!$BF$6:$BI$13,MATCH(HSC_Hydrofluoric_Acid!$T4,'Tables - Part 2'!$AV$6:$AV$13,0),MATCH(HSC_Hydrofluoric_Acid!$R4,'Tables - Part 2'!$AX$5:$BA$5,0))+INDEX('Tables - Part 2'!$AX$17:$BA$24,MATCH(HSC_Hydrofluoric_Acid!$T4,'Tables - Part 2'!$AV$6:$AV$13,0),MATCH(HSC_Hydrofluoric_Acid!$R4,'Tables - Part 2'!$AX$5:$BA$5,0)))/2)/2)+((INDEX('Tables - Part 2'!$BF$6:$BI$13,MATCH(HSC_Hydrofluoric_Acid!$T4,'Tables - Part 2'!$AV$6:$AV$13,0),MATCH(HSC_Hydrofluoric_Acid!$R4,'Tables - Part 2'!$AX$5:$BA$5,0))+INDEX('Tables - Part 2'!$AX$17:$BA$24,MATCH(HSC_Hydrofluoric_Acid!$T4,'Tables - Part 2'!$AV$6:$AV$13,0),MATCH(HSC_Hydrofluoric_Acid!$R4,'Tables - Part 2'!$AX$5:$BA$5,0)))/2))/2,0)</f>
        <v>0</v>
      </c>
      <c r="AT4" s="248">
        <f>IF($Q4=$AT$3,(INDEX('Tables - Part 2'!$BF$6:$BI$13,MATCH(HSC_Hydrofluoric_Acid!$T4,'Tables - Part 2'!$AV$6:$AV$13,0),MATCH(HSC_Hydrofluoric_Acid!$R4,'Tables - Part 2'!$AX$5:$BA$5,0))+INDEX('Tables - Part 2'!$AX$17:$BA$24,MATCH(HSC_Hydrofluoric_Acid!$T4,'Tables - Part 2'!$AV$6:$AV$13,0),MATCH(HSC_Hydrofluoric_Acid!$R4,'Tables - Part 2'!$AX$5:$BA$5,0)))/2,0)</f>
        <v>0</v>
      </c>
      <c r="AU4" s="248">
        <f>IF($Q4=$AU$3,(((INDEX('Tables - Part 2'!$BF$6:$BI$13,MATCH(HSC_Hydrofluoric_Acid!$T4,'Tables - Part 2'!$AV$6:$AV$13,0),MATCH(HSC_Hydrofluoric_Acid!$R4,'Tables - Part 2'!$AX$5:$BA$5,0))+INDEX('Tables - Part 2'!$AX$17:$BA$24,MATCH(HSC_Hydrofluoric_Acid!$T4,'Tables - Part 2'!$AV$6:$AV$13,0),MATCH(HSC_Hydrofluoric_Acid!$R4,'Tables - Part 2'!$AX$5:$BA$5,0)))/2)+((((INDEX('Tables - Part 2'!$BF$6:$BI$13,MATCH(HSC_Hydrofluoric_Acid!$T4,'Tables - Part 2'!$AV$6:$AV$13,0),MATCH(HSC_Hydrofluoric_Acid!$R4,'Tables - Part 2'!$AX$5:$BA$5,0))+INDEX('Tables - Part 2'!$AX$17:$BA$24,MATCH(HSC_Hydrofluoric_Acid!$T4,'Tables - Part 2'!$AV$6:$AV$13,0),MATCH(HSC_Hydrofluoric_Acid!$R4,'Tables - Part 2'!$AX$5:$BA$5,0)))/2)+INDEX('Tables - Part 2'!$AX$17:$BA$24,MATCH(HSC_Hydrofluoric_Acid!$T4,'Tables - Part 2'!$AV$6:$AV$13,0),MATCH(HSC_Hydrofluoric_Acid!$R4,'Tables - Part 2'!$AX$5:$BA$5,0)))/2))/2,0)</f>
        <v>0</v>
      </c>
      <c r="AV4" s="248">
        <f>IF($Q4=$AV$3,(((INDEX('Tables - Part 2'!$BF$6:$BI$13,MATCH(HSC_Hydrofluoric_Acid!$T4,'Tables - Part 2'!$AV$6:$AV$13,0),MATCH(HSC_Hydrofluoric_Acid!$R4,'Tables - Part 2'!$AX$5:$BA$5,0))+INDEX('Tables - Part 2'!$AX$17:$BA$24,MATCH(HSC_Hydrofluoric_Acid!$T4,'Tables - Part 2'!$AV$6:$AV$13,0),MATCH(HSC_Hydrofluoric_Acid!$R4,'Tables - Part 2'!$AX$5:$BA$5,0)))/2)+INDEX('Tables - Part 2'!$AX$17:$BA$24,MATCH(HSC_Hydrofluoric_Acid!$T4,'Tables - Part 2'!$AV$6:$AV$13,0),MATCH(HSC_Hydrofluoric_Acid!$R4,'Tables - Part 2'!$AX$5:$BA$5,0)))/2,0)</f>
        <v>0</v>
      </c>
      <c r="AW4" s="248">
        <f>IF($Q4=$AW$3,(((((INDEX('Tables - Part 2'!$BF$6:$BI$13,MATCH(HSC_Hydrofluoric_Acid!$T4,'Tables - Part 2'!$AV$6:$AV$13,0),MATCH(HSC_Hydrofluoric_Acid!$R4,'Tables - Part 2'!$AX$5:$BA$5,0))+INDEX('Tables - Part 2'!$AX$17:$BA$24,MATCH(HSC_Hydrofluoric_Acid!$T4,'Tables - Part 2'!$AV$6:$AV$13,0),MATCH(HSC_Hydrofluoric_Acid!$R4,'Tables - Part 2'!$AX$5:$BA$5,0)))/2)+INDEX('Tables - Part 2'!$AX$17:$BA$24,MATCH(HSC_Hydrofluoric_Acid!$T4,'Tables - Part 2'!$AV$6:$AV$13,0),MATCH(HSC_Hydrofluoric_Acid!$R4,'Tables - Part 2'!$AX$5:$BA$5,0)))/2)+(INDEX('Tables - Part 2'!$AX$17:$BA$24,MATCH(HSC_Hydrofluoric_Acid!$T4,'Tables - Part 2'!$AV$6:$AV$13,0),MATCH(HSC_Hydrofluoric_Acid!$R4,'Tables - Part 2'!$AX$5:$BA$5,0))))/2,0)</f>
        <v>0</v>
      </c>
      <c r="AX4" s="248">
        <f>IF($Q4=$AX$3,INDEX('Tables - Part 2'!$AX$17:$BA$24,MATCH(HSC_Hydrofluoric_Acid!$T4,'Tables - Part 2'!$AV$6:$AV$13,0),MATCH(HSC_Hydrofluoric_Acid!$R4,'Tables - Part 2'!$AX$5:$BA$5,0)),0)</f>
        <v>0</v>
      </c>
      <c r="AY4" s="248">
        <f>IF($Q4=$AY$3,((INDEX('Tables - Part 2'!$AX$17:$BA$24,MATCH(HSC_Hydrofluoric_Acid!$T4,'Tables - Part 2'!$AV$6:$AV$13,0),MATCH(HSC_Hydrofluoric_Acid!$R4,'Tables - Part 2'!$AX$5:$BA$5,0)))+(((INDEX('Tables - Part 2'!$AX$17:$BA$24,MATCH(HSC_Hydrofluoric_Acid!$T4,'Tables - Part 2'!$AV$6:$AV$13,0),MATCH(HSC_Hydrofluoric_Acid!$R4,'Tables - Part 2'!$AX$5:$BA$5,0)))+(INDEX('Tables - Part 2'!$AX$17:$BA$24,MATCH(HSC_Hydrofluoric_Acid!$T4,'Tables - Part 2'!$AV$6:$AV$13,0),MATCH(HSC_Hydrofluoric_Acid!$R4,'Tables - Part 2'!$AX$5:$BA$5,0))+INDEX('Tables - Part 2'!$BB$17:$BE$24,MATCH(HSC_Hydrofluoric_Acid!$T4,'Tables - Part 2'!$AV$6:$AV$13,0),MATCH(HSC_Hydrofluoric_Acid!$R4,'Tables - Part 2'!$AX$5:$BA$5,0)))/2)/2))/2,0)</f>
        <v>0</v>
      </c>
      <c r="AZ4" s="248">
        <f>IF($Q4=$AZ$3,((INDEX('Tables - Part 2'!$AX$17:$BA$24,MATCH(HSC_Hydrofluoric_Acid!$T4,'Tables - Part 2'!$AV$6:$AV$13,0),MATCH(HSC_Hydrofluoric_Acid!$R4,'Tables - Part 2'!$AX$5:$BA$5,0)))+(INDEX('Tables - Part 2'!$AX$17:$BA$24,MATCH(HSC_Hydrofluoric_Acid!$T4,'Tables - Part 2'!$AV$6:$AV$13,0),MATCH(HSC_Hydrofluoric_Acid!$R4,'Tables - Part 2'!$AX$5:$BA$5,0))+INDEX('Tables - Part 2'!$BB$17:$BE$24,MATCH(HSC_Hydrofluoric_Acid!$T4,'Tables - Part 2'!$AV$6:$AV$13,0),MATCH(HSC_Hydrofluoric_Acid!$R4,'Tables - Part 2'!$AX$5:$BA$5,0)))/2)/2,0)</f>
        <v>0</v>
      </c>
      <c r="BA4" s="248">
        <f>IF($Q4=$BA$3,((((INDEX('Tables - Part 2'!$AX$17:$BA$24,MATCH(HSC_Hydrofluoric_Acid!$T4,'Tables - Part 2'!$AV$6:$AV$13,0),MATCH(HSC_Hydrofluoric_Acid!$R4,'Tables - Part 2'!$AX$5:$BA$5,0)))+(INDEX('Tables - Part 2'!$AX$17:$BA$24,MATCH(HSC_Hydrofluoric_Acid!$T4,'Tables - Part 2'!$AV$6:$AV$13,0),MATCH(HSC_Hydrofluoric_Acid!$R4,'Tables - Part 2'!$AX$5:$BA$5,0))+INDEX('Tables - Part 2'!$BB$17:$BE$24,MATCH(HSC_Hydrofluoric_Acid!$T4,'Tables - Part 2'!$AV$6:$AV$13,0),MATCH(HSC_Hydrofluoric_Acid!$R4,'Tables - Part 2'!$AX$5:$BA$5,0)))/2)/2)+((INDEX('Tables - Part 2'!$AX$17:$BA$24,MATCH(HSC_Hydrofluoric_Acid!$T4,'Tables - Part 2'!$AV$6:$AV$13,0),MATCH(HSC_Hydrofluoric_Acid!$R4,'Tables - Part 2'!$AX$5:$BA$5,0))+INDEX('Tables - Part 2'!$BB$17:$BE$24,MATCH(HSC_Hydrofluoric_Acid!$T4,'Tables - Part 2'!$AV$6:$AV$13,0),MATCH(HSC_Hydrofluoric_Acid!$R4,'Tables - Part 2'!$AX$5:$BA$5,0)))/2))/2,0)</f>
        <v>0</v>
      </c>
      <c r="BB4" s="248">
        <f>IF($Q4=$BB$3,(INDEX('Tables - Part 2'!$AX$17:$BA$24,MATCH(HSC_Hydrofluoric_Acid!$T4,'Tables - Part 2'!$AV$6:$AV$13,0),MATCH(HSC_Hydrofluoric_Acid!$R4,'Tables - Part 2'!$AX$5:$BA$5,0))+INDEX('Tables - Part 2'!$BB$17:$BE$24,MATCH(HSC_Hydrofluoric_Acid!$T4,'Tables - Part 2'!$AV$6:$AV$13,0),MATCH(HSC_Hydrofluoric_Acid!$R4,'Tables - Part 2'!$AX$5:$BA$5,0)))/2,0)</f>
        <v>0</v>
      </c>
      <c r="BC4" s="248">
        <f>IF($Q4=$BC$3,(((INDEX('Tables - Part 2'!$AX$17:$BA$24,MATCH(HSC_Hydrofluoric_Acid!$T4,'Tables - Part 2'!$AV$6:$AV$13,0),MATCH(HSC_Hydrofluoric_Acid!$R4,'Tables - Part 2'!$AX$5:$BA$5,0))+INDEX('Tables - Part 2'!$BB$17:$BE$24,MATCH(HSC_Hydrofluoric_Acid!$T4,'Tables - Part 2'!$AV$6:$AV$13,0),MATCH(HSC_Hydrofluoric_Acid!$R4,'Tables - Part 2'!$AX$5:$BA$5,0)))/2)+((((INDEX('Tables - Part 2'!$AX$17:$BA$24,MATCH(HSC_Hydrofluoric_Acid!$T4,'Tables - Part 2'!$AV$6:$AV$13,0),MATCH(HSC_Hydrofluoric_Acid!$R4,'Tables - Part 2'!$AX$5:$BA$5,0))+INDEX('Tables - Part 2'!$BB$17:$BE$24,MATCH(HSC_Hydrofluoric_Acid!$T4,'Tables - Part 2'!$AV$6:$AV$13,0),MATCH(HSC_Hydrofluoric_Acid!$R4,'Tables - Part 2'!$AX$5:$BA$5,0)))/2)+INDEX('Tables - Part 2'!$BB$17:$BE$24,MATCH(HSC_Hydrofluoric_Acid!$T4,'Tables - Part 2'!$AV$6:$AV$13,0),MATCH(HSC_Hydrofluoric_Acid!$R4,'Tables - Part 2'!$AX$5:$BA$5,0)))/2))/2,0)</f>
        <v>0</v>
      </c>
      <c r="BD4" s="248">
        <f>IF($Q4=$BD$3,(((INDEX('Tables - Part 2'!$AX$17:$BA$24,MATCH(HSC_Hydrofluoric_Acid!$T4,'Tables - Part 2'!$AV$6:$AV$13,0),MATCH(HSC_Hydrofluoric_Acid!$R4,'Tables - Part 2'!$AX$5:$BA$5,0))+INDEX('Tables - Part 2'!$BB$17:$BE$24,MATCH(HSC_Hydrofluoric_Acid!$T4,'Tables - Part 2'!$AV$6:$AV$13,0),MATCH(HSC_Hydrofluoric_Acid!$R4,'Tables - Part 2'!$AX$5:$BA$5,0)))/2)+INDEX('Tables - Part 2'!$BB$17:$BE$24,MATCH(HSC_Hydrofluoric_Acid!$T4,'Tables - Part 2'!$AV$6:$AV$13,0),MATCH(HSC_Hydrofluoric_Acid!$R4,'Tables - Part 2'!$AX$5:$BA$5,0)))/2,0)</f>
        <v>0</v>
      </c>
      <c r="BE4" s="248">
        <f>IF($Q4=$BE$3,(((((INDEX('Tables - Part 2'!$AX$17:$BA$24,MATCH(HSC_Hydrofluoric_Acid!$T4,'Tables - Part 2'!$AV$6:$AV$13,0),MATCH(HSC_Hydrofluoric_Acid!$R4,'Tables - Part 2'!$AX$5:$BA$5,0))+INDEX('Tables - Part 2'!$BB$17:$BE$24,MATCH(HSC_Hydrofluoric_Acid!$T4,'Tables - Part 2'!$AV$6:$AV$13,0),MATCH(HSC_Hydrofluoric_Acid!$R4,'Tables - Part 2'!$AX$5:$BA$5,0)))/2)+INDEX('Tables - Part 2'!$BB$17:$BE$24,MATCH(HSC_Hydrofluoric_Acid!$T4,'Tables - Part 2'!$AV$6:$AV$13,0),MATCH(HSC_Hydrofluoric_Acid!$R4,'Tables - Part 2'!$AX$5:$BA$5,0)))/2)+(INDEX('Tables - Part 2'!$BB$17:$BE$24,MATCH(HSC_Hydrofluoric_Acid!$T4,'Tables - Part 2'!$AV$6:$AV$13,0),MATCH(HSC_Hydrofluoric_Acid!$R4,'Tables - Part 2'!$AX$5:$BA$5,0))))/2,0)</f>
        <v>0</v>
      </c>
      <c r="BF4" s="248">
        <f>IF($Q4=$BF$3,INDEX('Tables - Part 2'!$BB$17:$BE$24,MATCH(HSC_Hydrofluoric_Acid!$T4,'Tables - Part 2'!$AV$6:$AV$13,0),MATCH(HSC_Hydrofluoric_Acid!$R4,'Tables - Part 2'!$AX$5:$BA$5,0)),0)</f>
        <v>0</v>
      </c>
      <c r="BG4" s="248">
        <f>IF($Q4=$BG$3,((INDEX('Tables - Part 2'!$BB$17:$BE$24,MATCH(HSC_Hydrofluoric_Acid!$T4,'Tables - Part 2'!$AV$6:$AV$13,0),MATCH(HSC_Hydrofluoric_Acid!$R4,'Tables - Part 2'!$AX$5:$BA$5,0)))+(((INDEX('Tables - Part 2'!$BB$17:$BE$24,MATCH(HSC_Hydrofluoric_Acid!$T4,'Tables - Part 2'!$AV$6:$AV$13,0),MATCH(HSC_Hydrofluoric_Acid!$R4,'Tables - Part 2'!$AX$5:$BA$5,0)))+(INDEX('Tables - Part 2'!$BB$17:$BE$24,MATCH(HSC_Hydrofluoric_Acid!$T4,'Tables - Part 2'!$AV$6:$AV$13,0),MATCH(HSC_Hydrofluoric_Acid!$R4,'Tables - Part 2'!$AX$5:$BA$5,0))+INDEX('Tables - Part 2'!$BF$17:$BI$24,MATCH(HSC_Hydrofluoric_Acid!$T4,'Tables - Part 2'!$AV$6:$AV$13,0),MATCH(HSC_Hydrofluoric_Acid!$R4,'Tables - Part 2'!$AX$5:$BA$5,0)))/2)/2))/2,0)</f>
        <v>0</v>
      </c>
      <c r="BH4" s="248">
        <f>IF($Q4=$BH$3,((INDEX('Tables - Part 2'!$BB$17:$BE$24,MATCH(HSC_Hydrofluoric_Acid!$T4,'Tables - Part 2'!$AV$6:$AV$13,0),MATCH(HSC_Hydrofluoric_Acid!$R4,'Tables - Part 2'!$AX$5:$BA$5,0)))+(INDEX('Tables - Part 2'!$BB$17:$BE$24,MATCH(HSC_Hydrofluoric_Acid!$T4,'Tables - Part 2'!$AV$6:$AV$13,0),MATCH(HSC_Hydrofluoric_Acid!$R4,'Tables - Part 2'!$AX$5:$BA$5,0))+INDEX('Tables - Part 2'!$BF$17:$BI$24,MATCH(HSC_Hydrofluoric_Acid!$T4,'Tables - Part 2'!$AV$6:$AV$13,0),MATCH(HSC_Hydrofluoric_Acid!$R4,'Tables - Part 2'!$AX$5:$BA$5,0)))/2)/2,0)</f>
        <v>0</v>
      </c>
      <c r="BI4" s="248">
        <f>IF($Q4=$BI$3,((((INDEX('Tables - Part 2'!$BB$17:$BE$24,MATCH(HSC_Hydrofluoric_Acid!$T4,'Tables - Part 2'!$AV$6:$AV$13,0),MATCH(HSC_Hydrofluoric_Acid!$R4,'Tables - Part 2'!$AX$5:$BA$5,0)))+(INDEX('Tables - Part 2'!$BB$17:$BE$24,MATCH(HSC_Hydrofluoric_Acid!$T4,'Tables - Part 2'!$AV$6:$AV$13,0),MATCH(HSC_Hydrofluoric_Acid!$R4,'Tables - Part 2'!$AX$5:$BA$5,0))+INDEX('Tables - Part 2'!$BF$17:$BI$24,MATCH(HSC_Hydrofluoric_Acid!$T4,'Tables - Part 2'!$AV$6:$AV$13,0),MATCH(HSC_Hydrofluoric_Acid!$R4,'Tables - Part 2'!$AX$5:$BA$5,0)))/2)/2)+((INDEX('Tables - Part 2'!$BB$17:$BE$24,MATCH(HSC_Hydrofluoric_Acid!$T4,'Tables - Part 2'!$AV$6:$AV$13,0),MATCH(HSC_Hydrofluoric_Acid!$R4,'Tables - Part 2'!$AX$5:$BA$5,0))+INDEX('Tables - Part 2'!$BF$17:$BI$24,MATCH(HSC_Hydrofluoric_Acid!$T4,'Tables - Part 2'!$AV$6:$AV$13,0),MATCH(HSC_Hydrofluoric_Acid!$R4,'Tables - Part 2'!$AX$5:$BA$5,0)))/2))/2,0)</f>
        <v>0</v>
      </c>
      <c r="BJ4" s="248">
        <f>IF($Q4=$BJ$3,(INDEX('Tables - Part 2'!$BB$17:$BE$24,MATCH(HSC_Hydrofluoric_Acid!$T4,'Tables - Part 2'!$AV$6:$AV$13,0),MATCH(HSC_Hydrofluoric_Acid!$R4,'Tables - Part 2'!$AX$5:$BA$5,0))+INDEX('Tables - Part 2'!$BF$17:$BI$24,MATCH(HSC_Hydrofluoric_Acid!$T4,'Tables - Part 2'!$AV$6:$AV$13,0),MATCH(HSC_Hydrofluoric_Acid!$R4,'Tables - Part 2'!$AX$5:$BA$5,0)))/2,0)</f>
        <v>0</v>
      </c>
      <c r="BK4" s="248">
        <f>IF($Q4=$BK$3,(((INDEX('Tables - Part 2'!$BB$17:$BE$24,MATCH(HSC_Hydrofluoric_Acid!$T4,'Tables - Part 2'!$AV$6:$AV$13,0),MATCH(HSC_Hydrofluoric_Acid!$R4,'Tables - Part 2'!$AX$5:$BA$5,0))+INDEX('Tables - Part 2'!$BF$17:$BI$24,MATCH(HSC_Hydrofluoric_Acid!$T4,'Tables - Part 2'!$AV$6:$AV$13,0),MATCH(HSC_Hydrofluoric_Acid!$R4,'Tables - Part 2'!$AX$5:$BA$5,0)))/2)+((((INDEX('Tables - Part 2'!$BB$17:$BE$24,MATCH(HSC_Hydrofluoric_Acid!$T4,'Tables - Part 2'!$AV$6:$AV$13,0),MATCH(HSC_Hydrofluoric_Acid!$R4,'Tables - Part 2'!$AX$5:$BA$5,0))+INDEX('Tables - Part 2'!$BF$17:$BI$24,MATCH(HSC_Hydrofluoric_Acid!$T4,'Tables - Part 2'!$AV$6:$AV$13,0),MATCH(HSC_Hydrofluoric_Acid!$R4,'Tables - Part 2'!$AX$5:$BA$5,0)))/2)+INDEX('Tables - Part 2'!$BF$17:$BI$24,MATCH(HSC_Hydrofluoric_Acid!$T4,'Tables - Part 2'!$AV$6:$AV$13,0),MATCH(HSC_Hydrofluoric_Acid!$R4,'Tables - Part 2'!$AX$5:$BA$5,0)))/2))/2,0)</f>
        <v>0</v>
      </c>
      <c r="BL4" s="248">
        <f>IF($Q4=$BL$3,(((INDEX('Tables - Part 2'!$BB$17:$BE$24,MATCH(HSC_Hydrofluoric_Acid!$T4,'Tables - Part 2'!$AV$6:$AV$13,0),MATCH(HSC_Hydrofluoric_Acid!$R4,'Tables - Part 2'!$AX$5:$BA$5,0))+INDEX('Tables - Part 2'!$BF$17:$BI$24,MATCH(HSC_Hydrofluoric_Acid!$T4,'Tables - Part 2'!$AV$6:$AV$13,0),MATCH(HSC_Hydrofluoric_Acid!$R4,'Tables - Part 2'!$AX$5:$BA$5,0)))/2)+INDEX('Tables - Part 2'!$BF$17:$BI$24,MATCH(HSC_Hydrofluoric_Acid!$T4,'Tables - Part 2'!$AV$6:$AV$13,0),MATCH(HSC_Hydrofluoric_Acid!$R4,'Tables - Part 2'!$AX$5:$BA$5,0)))/2,0)</f>
        <v>0</v>
      </c>
      <c r="BM4" s="248">
        <f>IF($Q4=$BM$3,(((((INDEX('Tables - Part 2'!$BB$17:$BE$24,MATCH(HSC_Hydrofluoric_Acid!$T4,'Tables - Part 2'!$AV$6:$AV$13,0),MATCH(HSC_Hydrofluoric_Acid!$R4,'Tables - Part 2'!$AX$5:$BA$5,0))+INDEX('Tables - Part 2'!$BF$17:$BI$24,MATCH(HSC_Hydrofluoric_Acid!$T4,'Tables - Part 2'!$AV$6:$AV$13,0),MATCH(HSC_Hydrofluoric_Acid!$R4,'Tables - Part 2'!$AX$5:$BA$5,0)))/2)+INDEX('Tables - Part 2'!$BF$17:$BI$24,MATCH(HSC_Hydrofluoric_Acid!$T4,'Tables - Part 2'!$AV$6:$AV$13,0),MATCH(HSC_Hydrofluoric_Acid!$R4,'Tables - Part 2'!$AX$5:$BA$5,0)))/2)+(INDEX('Tables - Part 2'!$BF$17:$BI$24,MATCH(HSC_Hydrofluoric_Acid!$T4,'Tables - Part 2'!$AV$6:$AV$13,0),MATCH(HSC_Hydrofluoric_Acid!$R4,'Tables - Part 2'!$AX$5:$BA$5,0))))/2,0)</f>
        <v>0</v>
      </c>
      <c r="BN4" s="248">
        <f>IF($Q4=$BN$3,INDEX('Tables - Part 2'!$BF$17:$BI$24,MATCH(HSC_Hydrofluoric_Acid!$T4,'Tables - Part 2'!$AV$6:$AV$13,0),MATCH(HSC_Hydrofluoric_Acid!$R4,'Tables - Part 2'!$AX$5:$BA$5,0)),0)</f>
        <v>0</v>
      </c>
      <c r="BO4" s="248">
        <f t="shared" ref="BO4:BO21" si="6">IF(Q4=0,T4,0)</f>
        <v>0</v>
      </c>
      <c r="BP4" s="238">
        <f>SUM(Z4:BO4)</f>
        <v>1</v>
      </c>
      <c r="BQ4" s="238">
        <f t="shared" ref="BQ4:BQ21" si="7">IF(B4="",0,MIN(BP4*POWER(MAX(U4,1),1.1),5000))</f>
        <v>16.77288246840839</v>
      </c>
      <c r="BT4" s="237" t="s">
        <v>841</v>
      </c>
      <c r="BV4" t="s">
        <v>61</v>
      </c>
      <c r="BZ4" s="208"/>
    </row>
    <row r="5" spans="2:82" x14ac:dyDescent="0.35">
      <c r="B5" s="161" t="str">
        <f>'Tratamento de Dados'!B13</f>
        <v>V-07</v>
      </c>
      <c r="C5" s="161" t="str">
        <f>'Tratamento de Dados'!D13</f>
        <v>Tampo_Sul</v>
      </c>
      <c r="D5" s="209" t="s">
        <v>245</v>
      </c>
      <c r="E5" s="209" t="s">
        <v>61</v>
      </c>
      <c r="F5" s="209" t="s">
        <v>244</v>
      </c>
      <c r="G5" s="209" t="s">
        <v>244</v>
      </c>
      <c r="H5" s="209" t="s">
        <v>1112</v>
      </c>
      <c r="I5" s="209" t="s">
        <v>245</v>
      </c>
      <c r="J5" s="210">
        <v>39092</v>
      </c>
      <c r="K5" s="209">
        <v>0</v>
      </c>
      <c r="L5" s="209">
        <v>1</v>
      </c>
      <c r="M5" s="209">
        <v>1</v>
      </c>
      <c r="N5" s="209">
        <v>4</v>
      </c>
      <c r="O5" s="253">
        <f>'Tratamento de Dados'!DA13</f>
        <v>0</v>
      </c>
      <c r="P5" s="253">
        <f>'Tratamento de Dados'!DB13</f>
        <v>0</v>
      </c>
      <c r="Q5" s="256">
        <f t="shared" si="0"/>
        <v>2.5</v>
      </c>
      <c r="R5" s="246" t="str">
        <f t="shared" si="1"/>
        <v>B</v>
      </c>
      <c r="S5" s="238" t="str" cm="1">
        <f t="array" ref="S5">IF(D5=$BV$2,$BT$4,IF(OR(F5=$BV$3,G5=$BV$3),$BT$5,INDEX(IF(I5=$BV$2,'Tables - Part 2'!$EA$5:$EC$5,'Tables - Part 2'!$DX$5:$DZ$5),,MATCH(HSC_Hydrofluoric_Acid!H5,'Tables - Part 2'!$DX$4:$DZ$4,0))))</f>
        <v>Low</v>
      </c>
      <c r="T5" s="238">
        <f>IF(AND(D5=$BV$2,E5&lt;&gt;$BV$2),"Fitness-For-Service",INDEX('Tables - Part 2'!$EF$4:$EF$7,MATCH(HSC_Hydrofluoric_Acid!S5,'Tables - Part 2'!$EE$4:$EE$7,0),))</f>
        <v>1</v>
      </c>
      <c r="U5" s="238">
        <f>IF(J5=0,(Thinning!G6-Thinning!F6)/365.25,(Thinning!G6-J5)/365.25)</f>
        <v>13.390828199863108</v>
      </c>
      <c r="V5" s="248">
        <f t="shared" si="2"/>
        <v>0</v>
      </c>
      <c r="W5" s="248">
        <f t="shared" si="3"/>
        <v>2.5</v>
      </c>
      <c r="X5" s="248">
        <f t="shared" si="4"/>
        <v>3</v>
      </c>
      <c r="Y5" s="247">
        <f t="shared" si="5"/>
        <v>4</v>
      </c>
      <c r="Z5" s="248">
        <f>IF($Q5=$Z$3,INDEX('Tables - Part 2'!$AX$6:$BA$13,MATCH(HSC_Hydrofluoric_Acid!T5,'Tables - Part 2'!$AV$6:$AV$13,0),MATCH(HSC_Hydrofluoric_Acid!R5,'Tables - Part 2'!$AX$5:$BA$5,0)),0)</f>
        <v>0</v>
      </c>
      <c r="AA5" s="248">
        <f>IF($Q5=$AA$3,(INDEX('Tables - Part 2'!$AX$6:$BA$13,MATCH(HSC_Hydrofluoric_Acid!T5,'Tables - Part 2'!$AV$6:$AV$13,0),MATCH(HSC_Hydrofluoric_Acid!R5,'Tables - Part 2'!$AX$5:$BA$5,0))+(INDEX('Tables - Part 2'!$AX$6:$BA$13,MATCH(HSC_Hydrofluoric_Acid!T5,'Tables - Part 2'!$AV$6:$AV$13,0),MATCH(HSC_Hydrofluoric_Acid!R5,'Tables - Part 2'!$AX$5:$BA$5,0))+((INDEX('Tables - Part 2'!$AX$6:$BA$13,MATCH(HSC_Hydrofluoric_Acid!T5,'Tables - Part 2'!$AV$6:$AV$13,0),MATCH(HSC_Hydrofluoric_Acid!R5,'Tables - Part 2'!$AX$5:$BA$5,0))+INDEX('Tables - Part 2'!$BB$6:$BE$13,MATCH(HSC_Hydrofluoric_Acid!$T5,'Tables - Part 2'!$AV$6:$AV$13,0),MATCH(HSC_Hydrofluoric_Acid!$R5,'Tables - Part 2'!$AX$5:$BA$5,0)))/2))/2)/2,0)</f>
        <v>0</v>
      </c>
      <c r="AB5" s="248">
        <f>IF($Q5=$AB$3,(INDEX('Tables - Part 2'!$AX$6:$BA$13,MATCH(HSC_Hydrofluoric_Acid!T5,'Tables - Part 2'!$AV$6:$AV$13,0),MATCH(HSC_Hydrofluoric_Acid!R5,'Tables - Part 2'!$AX$5:$BA$5,0))+((INDEX('Tables - Part 2'!$AX$6:$BA$13,MATCH(HSC_Hydrofluoric_Acid!T5,'Tables - Part 2'!$AV$6:$AV$13,0),MATCH(HSC_Hydrofluoric_Acid!R5,'Tables - Part 2'!$AX$5:$BA$5,0))+INDEX('Tables - Part 2'!$BB$6:$BE$13,MATCH(HSC_Hydrofluoric_Acid!$T5,'Tables - Part 2'!$AV$6:$AV$13,0),MATCH(HSC_Hydrofluoric_Acid!$R5,'Tables - Part 2'!$AX$5:$BA$5,0)))/2))/2,0)</f>
        <v>0</v>
      </c>
      <c r="AC5" s="248">
        <f>IF($Q5=$AC$3,(((INDEX('Tables - Part 2'!$AX$6:$BA$13,MATCH(HSC_Hydrofluoric_Acid!T5,'Tables - Part 2'!$AV$6:$AV$13,0),MATCH(HSC_Hydrofluoric_Acid!R5,'Tables - Part 2'!$AX$5:$BA$5,0))+((INDEX('Tables - Part 2'!$AX$6:$BA$13,MATCH(HSC_Hydrofluoric_Acid!T5,'Tables - Part 2'!$AV$6:$AV$13,0),MATCH(HSC_Hydrofluoric_Acid!R5,'Tables - Part 2'!$AX$5:$BA$5,0))+INDEX('Tables - Part 2'!$BB$6:$BE$13,MATCH(HSC_Hydrofluoric_Acid!$T5,'Tables - Part 2'!$AV$6:$AV$13,0),MATCH(HSC_Hydrofluoric_Acid!$R5,'Tables - Part 2'!$AX$5:$BA$5,0)))/2))/2)+(INDEX('Tables - Part 2'!$AX$6:$BA$13,MATCH(HSC_Hydrofluoric_Acid!T5,'Tables - Part 2'!$AV$6:$AV$13,0),MATCH(HSC_Hydrofluoric_Acid!R5,'Tables - Part 2'!$AX$5:$BA$5,0))+INDEX('Tables - Part 2'!$BB$6:$BE$13,MATCH(HSC_Hydrofluoric_Acid!$T5,'Tables - Part 2'!$AV$6:$AV$13,0),MATCH(HSC_Hydrofluoric_Acid!$R5,'Tables - Part 2'!$AX$5:$BA$5,0)))/2)/2,0)</f>
        <v>0</v>
      </c>
      <c r="AD5" s="248">
        <f>IF($Q5=$AD$3,(INDEX('Tables - Part 2'!$AX$6:$BA$13,MATCH(HSC_Hydrofluoric_Acid!T5,'Tables - Part 2'!$AV$6:$AV$13,0),MATCH(HSC_Hydrofluoric_Acid!R5,'Tables - Part 2'!$AX$5:$BA$5,0))+INDEX('Tables - Part 2'!$BB$6:$BE$13,MATCH(HSC_Hydrofluoric_Acid!$T5,'Tables - Part 2'!$AV$6:$AV$13,0),MATCH(HSC_Hydrofluoric_Acid!$R5,'Tables - Part 2'!$AX$5:$BA$5,0)))/2,0)</f>
        <v>0</v>
      </c>
      <c r="AE5" s="248">
        <f>IF($Q5=$AE$3,(((INDEX('Tables - Part 2'!$AX$6:$BA$13,MATCH(HSC_Hydrofluoric_Acid!T5,'Tables - Part 2'!$AV$6:$AV$13,0),MATCH(HSC_Hydrofluoric_Acid!R5,'Tables - Part 2'!$AX$5:$BA$5,0))+INDEX('Tables - Part 2'!$BB$6:$BE$13,MATCH(HSC_Hydrofluoric_Acid!$T5,'Tables - Part 2'!$AV$6:$AV$13,0),MATCH(HSC_Hydrofluoric_Acid!$R5,'Tables - Part 2'!$AX$5:$BA$5,0)))/2)+(((INDEX('Tables - Part 2'!$AX$6:$BA$13,MATCH(HSC_Hydrofluoric_Acid!T5,'Tables - Part 2'!$AV$6:$AV$13,0),MATCH(HSC_Hydrofluoric_Acid!R5,'Tables - Part 2'!$AX$5:$BA$5,0))+INDEX('Tables - Part 2'!$BB$6:$BE$13,MATCH(HSC_Hydrofluoric_Acid!$T5,'Tables - Part 2'!$AV$6:$AV$13,0),MATCH(HSC_Hydrofluoric_Acid!$R5,'Tables - Part 2'!$AX$5:$BA$5,0)))/2)+INDEX('Tables - Part 2'!$BB$6:$BE$13,MATCH(HSC_Hydrofluoric_Acid!$T5,'Tables - Part 2'!$AV$6:$AV$13,0),MATCH(HSC_Hydrofluoric_Acid!$R5,'Tables - Part 2'!$AX$5:$BA$5,0)))/2)/2,0)</f>
        <v>0</v>
      </c>
      <c r="AF5" s="248">
        <f>IF($Q5=$AF$3,(((INDEX('Tables - Part 2'!$AX$6:$BA$13,MATCH(HSC_Hydrofluoric_Acid!T5,'Tables - Part 2'!$AV$6:$AV$13,0),MATCH(HSC_Hydrofluoric_Acid!R5,'Tables - Part 2'!$AX$5:$BA$5,0))+INDEX('Tables - Part 2'!$BB$6:$BE$13,MATCH(HSC_Hydrofluoric_Acid!$T5,'Tables - Part 2'!$AV$6:$AV$13,0),MATCH(HSC_Hydrofluoric_Acid!$R5,'Tables - Part 2'!$AX$5:$BA$5,0)))/2)+INDEX('Tables - Part 2'!$BB$6:$BE$13,MATCH(HSC_Hydrofluoric_Acid!$T5,'Tables - Part 2'!$AV$6:$AV$13,0),MATCH(HSC_Hydrofluoric_Acid!$R5,'Tables - Part 2'!$AX$5:$BA$5,0)))/2,0)</f>
        <v>0</v>
      </c>
      <c r="AG5" s="248">
        <f>IF($Q5=$AG$3,(((((INDEX('Tables - Part 2'!$AX$6:$BA$13,MATCH(HSC_Hydrofluoric_Acid!T5,'Tables - Part 2'!$AV$6:$AV$13,0),MATCH(HSC_Hydrofluoric_Acid!R5,'Tables - Part 2'!$AX$5:$BA$5,0))+INDEX('Tables - Part 2'!$BB$6:$BE$13,MATCH(HSC_Hydrofluoric_Acid!$T5,'Tables - Part 2'!$AV$6:$AV$13,0),MATCH(HSC_Hydrofluoric_Acid!$R5,'Tables - Part 2'!$AX$5:$BA$5,0)))/2)+INDEX('Tables - Part 2'!$BB$6:$BE$13,MATCH(HSC_Hydrofluoric_Acid!$T5,'Tables - Part 2'!$AV$6:$AV$13,0),MATCH(HSC_Hydrofluoric_Acid!$R5,'Tables - Part 2'!$AX$5:$BA$5,0)))/2)+INDEX('Tables - Part 2'!$BB$6:$BE$13,MATCH(HSC_Hydrofluoric_Acid!$T5,'Tables - Part 2'!$AV$6:$AV$13,0),MATCH(HSC_Hydrofluoric_Acid!$R5,'Tables - Part 2'!$AX$5:$BA$5,0)))/2,0)</f>
        <v>0</v>
      </c>
      <c r="AH5" s="248">
        <f>IF($Q5=$AH$3,INDEX('Tables - Part 2'!$BB$6:$BE$13,MATCH(HSC_Hydrofluoric_Acid!$T5,'Tables - Part 2'!$AV$6:$AV$13,0),MATCH(HSC_Hydrofluoric_Acid!$R5,'Tables - Part 2'!$AX$5:$BA$5,0)),0)</f>
        <v>0</v>
      </c>
      <c r="AI5" s="248">
        <f>IF($Q5=$AI$3,((INDEX('Tables - Part 2'!$BB$6:$BE$13,MATCH(HSC_Hydrofluoric_Acid!$T5,'Tables - Part 2'!$AV$6:$AV$13,0),MATCH(HSC_Hydrofluoric_Acid!$R5,'Tables - Part 2'!$AX$5:$BA$5,0)))+(INDEX('Tables - Part 2'!$BB$6:$BE$13,MATCH(HSC_Hydrofluoric_Acid!$T5,'Tables - Part 2'!$AV$6:$AV$13,0),MATCH(HSC_Hydrofluoric_Acid!$R5,'Tables - Part 2'!$AX$5:$BA$5,0))+(INDEX('Tables - Part 2'!$BB$6:$BE$13,MATCH(HSC_Hydrofluoric_Acid!$T5,'Tables - Part 2'!$AV$6:$AV$13,0),MATCH(HSC_Hydrofluoric_Acid!$R5,'Tables - Part 2'!$AX$5:$BA$5,0))+INDEX('Tables - Part 2'!$BF$6:$BI$13,MATCH(HSC_Hydrofluoric_Acid!$T5,'Tables - Part 2'!$AV$6:$AV$13,0),MATCH(HSC_Hydrofluoric_Acid!$R5,'Tables - Part 2'!$AX$5:$BA$5,0)))/2)/2)/2,0)</f>
        <v>0</v>
      </c>
      <c r="AJ5" s="248">
        <f>IF($Q5=$AJ$3,(INDEX('Tables - Part 2'!$BB$6:$BE$13,MATCH(HSC_Hydrofluoric_Acid!$T5,'Tables - Part 2'!$AV$6:$AV$13,0),MATCH(HSC_Hydrofluoric_Acid!$R5,'Tables - Part 2'!$AX$5:$BA$5,0))+(INDEX('Tables - Part 2'!$BB$6:$BE$13,MATCH(HSC_Hydrofluoric_Acid!$T5,'Tables - Part 2'!$AV$6:$AV$13,0),MATCH(HSC_Hydrofluoric_Acid!$R5,'Tables - Part 2'!$AX$5:$BA$5,0))+INDEX('Tables - Part 2'!$BF$6:$BI$13,MATCH(HSC_Hydrofluoric_Acid!$T5,'Tables - Part 2'!$AV$6:$AV$13,0),MATCH(HSC_Hydrofluoric_Acid!$R5,'Tables - Part 2'!$AX$5:$BA$5,0)))/2)/2,0)</f>
        <v>0</v>
      </c>
      <c r="AK5" s="248">
        <f>IF($Q5=$AK$3,(((INDEX('Tables - Part 2'!$BB$6:$BE$13,MATCH(HSC_Hydrofluoric_Acid!$T5,'Tables - Part 2'!$AV$6:$AV$13,0),MATCH(HSC_Hydrofluoric_Acid!$R5,'Tables - Part 2'!$AX$5:$BA$5,0))+(INDEX('Tables - Part 2'!$BB$6:$BE$13,MATCH(HSC_Hydrofluoric_Acid!$T5,'Tables - Part 2'!$AV$6:$AV$13,0),MATCH(HSC_Hydrofluoric_Acid!$R5,'Tables - Part 2'!$AX$5:$BA$5,0))+INDEX('Tables - Part 2'!$BF$6:$BI$13,MATCH(HSC_Hydrofluoric_Acid!$T5,'Tables - Part 2'!$AV$6:$AV$13,0),MATCH(HSC_Hydrofluoric_Acid!$R5,'Tables - Part 2'!$AX$5:$BA$5,0)))/2)/2)+((INDEX('Tables - Part 2'!$BB$6:$BE$13,MATCH(HSC_Hydrofluoric_Acid!$T5,'Tables - Part 2'!$AV$6:$AV$13,0),MATCH(HSC_Hydrofluoric_Acid!$R5,'Tables - Part 2'!$AX$5:$BA$5,0))+INDEX('Tables - Part 2'!$BF$6:$BI$13,MATCH(HSC_Hydrofluoric_Acid!$T5,'Tables - Part 2'!$AV$6:$AV$13,0),MATCH(HSC_Hydrofluoric_Acid!$R5,'Tables - Part 2'!$AX$5:$BA$5,0)))/2))/2,0)</f>
        <v>0</v>
      </c>
      <c r="AL5" s="248">
        <f>IF($Q5=$AL$3,(INDEX('Tables - Part 2'!$BB$6:$BE$13,MATCH(HSC_Hydrofluoric_Acid!$T5,'Tables - Part 2'!$AV$6:$AV$13,0),MATCH(HSC_Hydrofluoric_Acid!$R5,'Tables - Part 2'!$AX$5:$BA$5,0))+INDEX('Tables - Part 2'!$BF$6:$BI$13,MATCH(HSC_Hydrofluoric_Acid!$T5,'Tables - Part 2'!$AV$6:$AV$13,0),MATCH(HSC_Hydrofluoric_Acid!$R5,'Tables - Part 2'!$AX$5:$BA$5,0)))/2,0)</f>
        <v>1</v>
      </c>
      <c r="AM5" s="248">
        <f>IF($Q5=$AM$3,(((INDEX('Tables - Part 2'!$BB$6:$BE$13,MATCH(HSC_Hydrofluoric_Acid!$T5,'Tables - Part 2'!$AV$6:$AV$13,0),MATCH(HSC_Hydrofluoric_Acid!$R5,'Tables - Part 2'!$AX$5:$BA$5,0))+INDEX('Tables - Part 2'!$BF$6:$BI$13,MATCH(HSC_Hydrofluoric_Acid!$T5,'Tables - Part 2'!$AV$6:$AV$13,0),MATCH(HSC_Hydrofluoric_Acid!$R5,'Tables - Part 2'!$AX$5:$BA$5,0)))/2)+((((INDEX('Tables - Part 2'!$BB$6:$BE$13,MATCH(HSC_Hydrofluoric_Acid!$T5,'Tables - Part 2'!$AV$6:$AV$13,0),MATCH(HSC_Hydrofluoric_Acid!$R5,'Tables - Part 2'!$AX$5:$BA$5,0))+INDEX('Tables - Part 2'!$BF$6:$BI$13,MATCH(HSC_Hydrofluoric_Acid!$T5,'Tables - Part 2'!$AV$6:$AV$13,0),MATCH(HSC_Hydrofluoric_Acid!$R5,'Tables - Part 2'!$AX$5:$BA$5,0)))/2)+INDEX('Tables - Part 2'!$BF$6:$BI$13,MATCH(HSC_Hydrofluoric_Acid!$T5,'Tables - Part 2'!$AV$6:$AV$13,0),MATCH(HSC_Hydrofluoric_Acid!$R5,'Tables - Part 2'!$AX$5:$BA$5,0)))/2))/2,0)</f>
        <v>0</v>
      </c>
      <c r="AN5" s="248">
        <f>IF($Q5=$AN$3,(((INDEX('Tables - Part 2'!$BB$6:$BE$13,MATCH(HSC_Hydrofluoric_Acid!$T5,'Tables - Part 2'!$AV$6:$AV$13,0),MATCH(HSC_Hydrofluoric_Acid!$R5,'Tables - Part 2'!$AX$5:$BA$5,0))+INDEX('Tables - Part 2'!$BF$6:$BI$13,MATCH(HSC_Hydrofluoric_Acid!$T5,'Tables - Part 2'!$AV$6:$AV$13,0),MATCH(HSC_Hydrofluoric_Acid!$R5,'Tables - Part 2'!$AX$5:$BA$5,0)))/2)+INDEX('Tables - Part 2'!$BF$6:$BI$13,MATCH(HSC_Hydrofluoric_Acid!$T5,'Tables - Part 2'!$AV$6:$AV$13,0),MATCH(HSC_Hydrofluoric_Acid!$R5,'Tables - Part 2'!$AX$5:$BA$5,0)))/2,0)</f>
        <v>0</v>
      </c>
      <c r="AO5" s="248">
        <f>IF($Q5=$AO$3,(((((INDEX('Tables - Part 2'!$BB$6:$BE$13,MATCH(HSC_Hydrofluoric_Acid!$T5,'Tables - Part 2'!$AV$6:$AV$13,0),MATCH(HSC_Hydrofluoric_Acid!$R5,'Tables - Part 2'!$AX$5:$BA$5,0))+INDEX('Tables - Part 2'!$BF$6:$BI$13,MATCH(HSC_Hydrofluoric_Acid!$T5,'Tables - Part 2'!$AV$6:$AV$13,0),MATCH(HSC_Hydrofluoric_Acid!$R5,'Tables - Part 2'!$AX$5:$BA$5,0)))/2)+INDEX('Tables - Part 2'!$BF$6:$BI$13,MATCH(HSC_Hydrofluoric_Acid!$T5,'Tables - Part 2'!$AV$6:$AV$13,0),MATCH(HSC_Hydrofluoric_Acid!$R5,'Tables - Part 2'!$AX$5:$BA$5,0)))/2)+INDEX('Tables - Part 2'!$BF$6:$BI$13,MATCH(HSC_Hydrofluoric_Acid!$T5,'Tables - Part 2'!$AV$6:$AV$13,0),MATCH(HSC_Hydrofluoric_Acid!$R5,'Tables - Part 2'!$AX$5:$BA$5,0)))/2,0)</f>
        <v>0</v>
      </c>
      <c r="AP5" s="248">
        <f>IF($Q5=$AP$3,INDEX('Tables - Part 2'!$BF$6:$BI$13,MATCH(HSC_Hydrofluoric_Acid!$T5,'Tables - Part 2'!$AV$6:$AV$13,0),MATCH(HSC_Hydrofluoric_Acid!$R5,'Tables - Part 2'!$AX$5:$BA$5,0)),0)</f>
        <v>0</v>
      </c>
      <c r="AQ5" s="248">
        <f>IF($Q5=$AQ$3,(INDEX('Tables - Part 2'!$BF$6:$BI$13,MATCH(HSC_Hydrofluoric_Acid!$T5,'Tables - Part 2'!$AV$6:$AV$13,0),MATCH(HSC_Hydrofluoric_Acid!$R5,'Tables - Part 2'!$AX$5:$BA$5,0))+((INDEX('Tables - Part 2'!$BF$6:$BI$13,MATCH(HSC_Hydrofluoric_Acid!$T5,'Tables - Part 2'!$AV$6:$AV$13,0),MATCH(HSC_Hydrofluoric_Acid!$R5,'Tables - Part 2'!$AX$5:$BA$5,0))+(INDEX('Tables - Part 2'!$BF$6:$BI$13,MATCH(HSC_Hydrofluoric_Acid!$T5,'Tables - Part 2'!$AV$6:$AV$13,0),MATCH(HSC_Hydrofluoric_Acid!$R5,'Tables - Part 2'!$AX$5:$BA$5,0))+INDEX('Tables - Part 2'!$AX$17:$BA$24,MATCH(HSC_Hydrofluoric_Acid!$T5,'Tables - Part 2'!$AV$6:$AV$13,0),MATCH(HSC_Hydrofluoric_Acid!$R5,'Tables - Part 2'!$AX$5:$BA$5,0)))/2)/2))/2,0)</f>
        <v>0</v>
      </c>
      <c r="AR5" s="248">
        <f>IF($Q5=$AR$3,(INDEX('Tables - Part 2'!$BF$6:$BI$13,MATCH(HSC_Hydrofluoric_Acid!$T5,'Tables - Part 2'!$AV$6:$AV$13,0),MATCH(HSC_Hydrofluoric_Acid!$R5,'Tables - Part 2'!$AX$5:$BA$5,0))+(INDEX('Tables - Part 2'!$BF$6:$BI$13,MATCH(HSC_Hydrofluoric_Acid!$T5,'Tables - Part 2'!$AV$6:$AV$13,0),MATCH(HSC_Hydrofluoric_Acid!$R5,'Tables - Part 2'!$AX$5:$BA$5,0))+INDEX('Tables - Part 2'!$AX$17:$BA$24,MATCH(HSC_Hydrofluoric_Acid!$T5,'Tables - Part 2'!$AV$6:$AV$13,0),MATCH(HSC_Hydrofluoric_Acid!$R5,'Tables - Part 2'!$AX$5:$BA$5,0)))/2)/2,0)</f>
        <v>0</v>
      </c>
      <c r="AS5" s="248">
        <f>IF($Q5=$AS$3,(((INDEX('Tables - Part 2'!$BF$6:$BI$13,MATCH(HSC_Hydrofluoric_Acid!$T5,'Tables - Part 2'!$AV$6:$AV$13,0),MATCH(HSC_Hydrofluoric_Acid!$R5,'Tables - Part 2'!$AX$5:$BA$5,0))+(INDEX('Tables - Part 2'!$BF$6:$BI$13,MATCH(HSC_Hydrofluoric_Acid!$T5,'Tables - Part 2'!$AV$6:$AV$13,0),MATCH(HSC_Hydrofluoric_Acid!$R5,'Tables - Part 2'!$AX$5:$BA$5,0))+INDEX('Tables - Part 2'!$AX$17:$BA$24,MATCH(HSC_Hydrofluoric_Acid!$T5,'Tables - Part 2'!$AV$6:$AV$13,0),MATCH(HSC_Hydrofluoric_Acid!$R5,'Tables - Part 2'!$AX$5:$BA$5,0)))/2)/2)+((INDEX('Tables - Part 2'!$BF$6:$BI$13,MATCH(HSC_Hydrofluoric_Acid!$T5,'Tables - Part 2'!$AV$6:$AV$13,0),MATCH(HSC_Hydrofluoric_Acid!$R5,'Tables - Part 2'!$AX$5:$BA$5,0))+INDEX('Tables - Part 2'!$AX$17:$BA$24,MATCH(HSC_Hydrofluoric_Acid!$T5,'Tables - Part 2'!$AV$6:$AV$13,0),MATCH(HSC_Hydrofluoric_Acid!$R5,'Tables - Part 2'!$AX$5:$BA$5,0)))/2))/2,0)</f>
        <v>0</v>
      </c>
      <c r="AT5" s="248">
        <f>IF($Q5=$AT$3,(INDEX('Tables - Part 2'!$BF$6:$BI$13,MATCH(HSC_Hydrofluoric_Acid!$T5,'Tables - Part 2'!$AV$6:$AV$13,0),MATCH(HSC_Hydrofluoric_Acid!$R5,'Tables - Part 2'!$AX$5:$BA$5,0))+INDEX('Tables - Part 2'!$AX$17:$BA$24,MATCH(HSC_Hydrofluoric_Acid!$T5,'Tables - Part 2'!$AV$6:$AV$13,0),MATCH(HSC_Hydrofluoric_Acid!$R5,'Tables - Part 2'!$AX$5:$BA$5,0)))/2,0)</f>
        <v>0</v>
      </c>
      <c r="AU5" s="248">
        <f>IF($Q5=$AU$3,(((INDEX('Tables - Part 2'!$BF$6:$BI$13,MATCH(HSC_Hydrofluoric_Acid!$T5,'Tables - Part 2'!$AV$6:$AV$13,0),MATCH(HSC_Hydrofluoric_Acid!$R5,'Tables - Part 2'!$AX$5:$BA$5,0))+INDEX('Tables - Part 2'!$AX$17:$BA$24,MATCH(HSC_Hydrofluoric_Acid!$T5,'Tables - Part 2'!$AV$6:$AV$13,0),MATCH(HSC_Hydrofluoric_Acid!$R5,'Tables - Part 2'!$AX$5:$BA$5,0)))/2)+((((INDEX('Tables - Part 2'!$BF$6:$BI$13,MATCH(HSC_Hydrofluoric_Acid!$T5,'Tables - Part 2'!$AV$6:$AV$13,0),MATCH(HSC_Hydrofluoric_Acid!$R5,'Tables - Part 2'!$AX$5:$BA$5,0))+INDEX('Tables - Part 2'!$AX$17:$BA$24,MATCH(HSC_Hydrofluoric_Acid!$T5,'Tables - Part 2'!$AV$6:$AV$13,0),MATCH(HSC_Hydrofluoric_Acid!$R5,'Tables - Part 2'!$AX$5:$BA$5,0)))/2)+INDEX('Tables - Part 2'!$AX$17:$BA$24,MATCH(HSC_Hydrofluoric_Acid!$T5,'Tables - Part 2'!$AV$6:$AV$13,0),MATCH(HSC_Hydrofluoric_Acid!$R5,'Tables - Part 2'!$AX$5:$BA$5,0)))/2))/2,0)</f>
        <v>0</v>
      </c>
      <c r="AV5" s="248">
        <f>IF($Q5=$AV$3,(((INDEX('Tables - Part 2'!$BF$6:$BI$13,MATCH(HSC_Hydrofluoric_Acid!$T5,'Tables - Part 2'!$AV$6:$AV$13,0),MATCH(HSC_Hydrofluoric_Acid!$R5,'Tables - Part 2'!$AX$5:$BA$5,0))+INDEX('Tables - Part 2'!$AX$17:$BA$24,MATCH(HSC_Hydrofluoric_Acid!$T5,'Tables - Part 2'!$AV$6:$AV$13,0),MATCH(HSC_Hydrofluoric_Acid!$R5,'Tables - Part 2'!$AX$5:$BA$5,0)))/2)+INDEX('Tables - Part 2'!$AX$17:$BA$24,MATCH(HSC_Hydrofluoric_Acid!$T5,'Tables - Part 2'!$AV$6:$AV$13,0),MATCH(HSC_Hydrofluoric_Acid!$R5,'Tables - Part 2'!$AX$5:$BA$5,0)))/2,0)</f>
        <v>0</v>
      </c>
      <c r="AW5" s="248">
        <f>IF($Q5=$AW$3,(((((INDEX('Tables - Part 2'!$BF$6:$BI$13,MATCH(HSC_Hydrofluoric_Acid!$T5,'Tables - Part 2'!$AV$6:$AV$13,0),MATCH(HSC_Hydrofluoric_Acid!$R5,'Tables - Part 2'!$AX$5:$BA$5,0))+INDEX('Tables - Part 2'!$AX$17:$BA$24,MATCH(HSC_Hydrofluoric_Acid!$T5,'Tables - Part 2'!$AV$6:$AV$13,0),MATCH(HSC_Hydrofluoric_Acid!$R5,'Tables - Part 2'!$AX$5:$BA$5,0)))/2)+INDEX('Tables - Part 2'!$AX$17:$BA$24,MATCH(HSC_Hydrofluoric_Acid!$T5,'Tables - Part 2'!$AV$6:$AV$13,0),MATCH(HSC_Hydrofluoric_Acid!$R5,'Tables - Part 2'!$AX$5:$BA$5,0)))/2)+(INDEX('Tables - Part 2'!$AX$17:$BA$24,MATCH(HSC_Hydrofluoric_Acid!$T5,'Tables - Part 2'!$AV$6:$AV$13,0),MATCH(HSC_Hydrofluoric_Acid!$R5,'Tables - Part 2'!$AX$5:$BA$5,0))))/2,0)</f>
        <v>0</v>
      </c>
      <c r="AX5" s="248">
        <f>IF($Q5=$AX$3,INDEX('Tables - Part 2'!$AX$17:$BA$24,MATCH(HSC_Hydrofluoric_Acid!$T5,'Tables - Part 2'!$AV$6:$AV$13,0),MATCH(HSC_Hydrofluoric_Acid!$R5,'Tables - Part 2'!$AX$5:$BA$5,0)),0)</f>
        <v>0</v>
      </c>
      <c r="AY5" s="248">
        <f>IF($Q5=$AY$3,((INDEX('Tables - Part 2'!$AX$17:$BA$24,MATCH(HSC_Hydrofluoric_Acid!$T5,'Tables - Part 2'!$AV$6:$AV$13,0),MATCH(HSC_Hydrofluoric_Acid!$R5,'Tables - Part 2'!$AX$5:$BA$5,0)))+(((INDEX('Tables - Part 2'!$AX$17:$BA$24,MATCH(HSC_Hydrofluoric_Acid!$T5,'Tables - Part 2'!$AV$6:$AV$13,0),MATCH(HSC_Hydrofluoric_Acid!$R5,'Tables - Part 2'!$AX$5:$BA$5,0)))+(INDEX('Tables - Part 2'!$AX$17:$BA$24,MATCH(HSC_Hydrofluoric_Acid!$T5,'Tables - Part 2'!$AV$6:$AV$13,0),MATCH(HSC_Hydrofluoric_Acid!$R5,'Tables - Part 2'!$AX$5:$BA$5,0))+INDEX('Tables - Part 2'!$BB$17:$BE$24,MATCH(HSC_Hydrofluoric_Acid!$T5,'Tables - Part 2'!$AV$6:$AV$13,0),MATCH(HSC_Hydrofluoric_Acid!$R5,'Tables - Part 2'!$AX$5:$BA$5,0)))/2)/2))/2,0)</f>
        <v>0</v>
      </c>
      <c r="AZ5" s="248">
        <f>IF($Q5=$AZ$3,((INDEX('Tables - Part 2'!$AX$17:$BA$24,MATCH(HSC_Hydrofluoric_Acid!$T5,'Tables - Part 2'!$AV$6:$AV$13,0),MATCH(HSC_Hydrofluoric_Acid!$R5,'Tables - Part 2'!$AX$5:$BA$5,0)))+(INDEX('Tables - Part 2'!$AX$17:$BA$24,MATCH(HSC_Hydrofluoric_Acid!$T5,'Tables - Part 2'!$AV$6:$AV$13,0),MATCH(HSC_Hydrofluoric_Acid!$R5,'Tables - Part 2'!$AX$5:$BA$5,0))+INDEX('Tables - Part 2'!$BB$17:$BE$24,MATCH(HSC_Hydrofluoric_Acid!$T5,'Tables - Part 2'!$AV$6:$AV$13,0),MATCH(HSC_Hydrofluoric_Acid!$R5,'Tables - Part 2'!$AX$5:$BA$5,0)))/2)/2,0)</f>
        <v>0</v>
      </c>
      <c r="BA5" s="248">
        <f>IF($Q5=$BA$3,((((INDEX('Tables - Part 2'!$AX$17:$BA$24,MATCH(HSC_Hydrofluoric_Acid!$T5,'Tables - Part 2'!$AV$6:$AV$13,0),MATCH(HSC_Hydrofluoric_Acid!$R5,'Tables - Part 2'!$AX$5:$BA$5,0)))+(INDEX('Tables - Part 2'!$AX$17:$BA$24,MATCH(HSC_Hydrofluoric_Acid!$T5,'Tables - Part 2'!$AV$6:$AV$13,0),MATCH(HSC_Hydrofluoric_Acid!$R5,'Tables - Part 2'!$AX$5:$BA$5,0))+INDEX('Tables - Part 2'!$BB$17:$BE$24,MATCH(HSC_Hydrofluoric_Acid!$T5,'Tables - Part 2'!$AV$6:$AV$13,0),MATCH(HSC_Hydrofluoric_Acid!$R5,'Tables - Part 2'!$AX$5:$BA$5,0)))/2)/2)+((INDEX('Tables - Part 2'!$AX$17:$BA$24,MATCH(HSC_Hydrofluoric_Acid!$T5,'Tables - Part 2'!$AV$6:$AV$13,0),MATCH(HSC_Hydrofluoric_Acid!$R5,'Tables - Part 2'!$AX$5:$BA$5,0))+INDEX('Tables - Part 2'!$BB$17:$BE$24,MATCH(HSC_Hydrofluoric_Acid!$T5,'Tables - Part 2'!$AV$6:$AV$13,0),MATCH(HSC_Hydrofluoric_Acid!$R5,'Tables - Part 2'!$AX$5:$BA$5,0)))/2))/2,0)</f>
        <v>0</v>
      </c>
      <c r="BB5" s="248">
        <f>IF($Q5=$BB$3,(INDEX('Tables - Part 2'!$AX$17:$BA$24,MATCH(HSC_Hydrofluoric_Acid!$T5,'Tables - Part 2'!$AV$6:$AV$13,0),MATCH(HSC_Hydrofluoric_Acid!$R5,'Tables - Part 2'!$AX$5:$BA$5,0))+INDEX('Tables - Part 2'!$BB$17:$BE$24,MATCH(HSC_Hydrofluoric_Acid!$T5,'Tables - Part 2'!$AV$6:$AV$13,0),MATCH(HSC_Hydrofluoric_Acid!$R5,'Tables - Part 2'!$AX$5:$BA$5,0)))/2,0)</f>
        <v>0</v>
      </c>
      <c r="BC5" s="248">
        <f>IF($Q5=$BC$3,(((INDEX('Tables - Part 2'!$AX$17:$BA$24,MATCH(HSC_Hydrofluoric_Acid!$T5,'Tables - Part 2'!$AV$6:$AV$13,0),MATCH(HSC_Hydrofluoric_Acid!$R5,'Tables - Part 2'!$AX$5:$BA$5,0))+INDEX('Tables - Part 2'!$BB$17:$BE$24,MATCH(HSC_Hydrofluoric_Acid!$T5,'Tables - Part 2'!$AV$6:$AV$13,0),MATCH(HSC_Hydrofluoric_Acid!$R5,'Tables - Part 2'!$AX$5:$BA$5,0)))/2)+((((INDEX('Tables - Part 2'!$AX$17:$BA$24,MATCH(HSC_Hydrofluoric_Acid!$T5,'Tables - Part 2'!$AV$6:$AV$13,0),MATCH(HSC_Hydrofluoric_Acid!$R5,'Tables - Part 2'!$AX$5:$BA$5,0))+INDEX('Tables - Part 2'!$BB$17:$BE$24,MATCH(HSC_Hydrofluoric_Acid!$T5,'Tables - Part 2'!$AV$6:$AV$13,0),MATCH(HSC_Hydrofluoric_Acid!$R5,'Tables - Part 2'!$AX$5:$BA$5,0)))/2)+INDEX('Tables - Part 2'!$BB$17:$BE$24,MATCH(HSC_Hydrofluoric_Acid!$T5,'Tables - Part 2'!$AV$6:$AV$13,0),MATCH(HSC_Hydrofluoric_Acid!$R5,'Tables - Part 2'!$AX$5:$BA$5,0)))/2))/2,0)</f>
        <v>0</v>
      </c>
      <c r="BD5" s="248">
        <f>IF($Q5=$BD$3,(((INDEX('Tables - Part 2'!$AX$17:$BA$24,MATCH(HSC_Hydrofluoric_Acid!$T5,'Tables - Part 2'!$AV$6:$AV$13,0),MATCH(HSC_Hydrofluoric_Acid!$R5,'Tables - Part 2'!$AX$5:$BA$5,0))+INDEX('Tables - Part 2'!$BB$17:$BE$24,MATCH(HSC_Hydrofluoric_Acid!$T5,'Tables - Part 2'!$AV$6:$AV$13,0),MATCH(HSC_Hydrofluoric_Acid!$R5,'Tables - Part 2'!$AX$5:$BA$5,0)))/2)+INDEX('Tables - Part 2'!$BB$17:$BE$24,MATCH(HSC_Hydrofluoric_Acid!$T5,'Tables - Part 2'!$AV$6:$AV$13,0),MATCH(HSC_Hydrofluoric_Acid!$R5,'Tables - Part 2'!$AX$5:$BA$5,0)))/2,0)</f>
        <v>0</v>
      </c>
      <c r="BE5" s="248">
        <f>IF($Q5=$BE$3,(((((INDEX('Tables - Part 2'!$AX$17:$BA$24,MATCH(HSC_Hydrofluoric_Acid!$T5,'Tables - Part 2'!$AV$6:$AV$13,0),MATCH(HSC_Hydrofluoric_Acid!$R5,'Tables - Part 2'!$AX$5:$BA$5,0))+INDEX('Tables - Part 2'!$BB$17:$BE$24,MATCH(HSC_Hydrofluoric_Acid!$T5,'Tables - Part 2'!$AV$6:$AV$13,0),MATCH(HSC_Hydrofluoric_Acid!$R5,'Tables - Part 2'!$AX$5:$BA$5,0)))/2)+INDEX('Tables - Part 2'!$BB$17:$BE$24,MATCH(HSC_Hydrofluoric_Acid!$T5,'Tables - Part 2'!$AV$6:$AV$13,0),MATCH(HSC_Hydrofluoric_Acid!$R5,'Tables - Part 2'!$AX$5:$BA$5,0)))/2)+(INDEX('Tables - Part 2'!$BB$17:$BE$24,MATCH(HSC_Hydrofluoric_Acid!$T5,'Tables - Part 2'!$AV$6:$AV$13,0),MATCH(HSC_Hydrofluoric_Acid!$R5,'Tables - Part 2'!$AX$5:$BA$5,0))))/2,0)</f>
        <v>0</v>
      </c>
      <c r="BF5" s="248">
        <f>IF($Q5=$BF$3,INDEX('Tables - Part 2'!$BB$17:$BE$24,MATCH(HSC_Hydrofluoric_Acid!$T5,'Tables - Part 2'!$AV$6:$AV$13,0),MATCH(HSC_Hydrofluoric_Acid!$R5,'Tables - Part 2'!$AX$5:$BA$5,0)),0)</f>
        <v>0</v>
      </c>
      <c r="BG5" s="248">
        <f>IF($Q5=$BG$3,((INDEX('Tables - Part 2'!$BB$17:$BE$24,MATCH(HSC_Hydrofluoric_Acid!$T5,'Tables - Part 2'!$AV$6:$AV$13,0),MATCH(HSC_Hydrofluoric_Acid!$R5,'Tables - Part 2'!$AX$5:$BA$5,0)))+(((INDEX('Tables - Part 2'!$BB$17:$BE$24,MATCH(HSC_Hydrofluoric_Acid!$T5,'Tables - Part 2'!$AV$6:$AV$13,0),MATCH(HSC_Hydrofluoric_Acid!$R5,'Tables - Part 2'!$AX$5:$BA$5,0)))+(INDEX('Tables - Part 2'!$BB$17:$BE$24,MATCH(HSC_Hydrofluoric_Acid!$T5,'Tables - Part 2'!$AV$6:$AV$13,0),MATCH(HSC_Hydrofluoric_Acid!$R5,'Tables - Part 2'!$AX$5:$BA$5,0))+INDEX('Tables - Part 2'!$BF$17:$BI$24,MATCH(HSC_Hydrofluoric_Acid!$T5,'Tables - Part 2'!$AV$6:$AV$13,0),MATCH(HSC_Hydrofluoric_Acid!$R5,'Tables - Part 2'!$AX$5:$BA$5,0)))/2)/2))/2,0)</f>
        <v>0</v>
      </c>
      <c r="BH5" s="248">
        <f>IF($Q5=$BH$3,((INDEX('Tables - Part 2'!$BB$17:$BE$24,MATCH(HSC_Hydrofluoric_Acid!$T5,'Tables - Part 2'!$AV$6:$AV$13,0),MATCH(HSC_Hydrofluoric_Acid!$R5,'Tables - Part 2'!$AX$5:$BA$5,0)))+(INDEX('Tables - Part 2'!$BB$17:$BE$24,MATCH(HSC_Hydrofluoric_Acid!$T5,'Tables - Part 2'!$AV$6:$AV$13,0),MATCH(HSC_Hydrofluoric_Acid!$R5,'Tables - Part 2'!$AX$5:$BA$5,0))+INDEX('Tables - Part 2'!$BF$17:$BI$24,MATCH(HSC_Hydrofluoric_Acid!$T5,'Tables - Part 2'!$AV$6:$AV$13,0),MATCH(HSC_Hydrofluoric_Acid!$R5,'Tables - Part 2'!$AX$5:$BA$5,0)))/2)/2,0)</f>
        <v>0</v>
      </c>
      <c r="BI5" s="248">
        <f>IF($Q5=$BI$3,((((INDEX('Tables - Part 2'!$BB$17:$BE$24,MATCH(HSC_Hydrofluoric_Acid!$T5,'Tables - Part 2'!$AV$6:$AV$13,0),MATCH(HSC_Hydrofluoric_Acid!$R5,'Tables - Part 2'!$AX$5:$BA$5,0)))+(INDEX('Tables - Part 2'!$BB$17:$BE$24,MATCH(HSC_Hydrofluoric_Acid!$T5,'Tables - Part 2'!$AV$6:$AV$13,0),MATCH(HSC_Hydrofluoric_Acid!$R5,'Tables - Part 2'!$AX$5:$BA$5,0))+INDEX('Tables - Part 2'!$BF$17:$BI$24,MATCH(HSC_Hydrofluoric_Acid!$T5,'Tables - Part 2'!$AV$6:$AV$13,0),MATCH(HSC_Hydrofluoric_Acid!$R5,'Tables - Part 2'!$AX$5:$BA$5,0)))/2)/2)+((INDEX('Tables - Part 2'!$BB$17:$BE$24,MATCH(HSC_Hydrofluoric_Acid!$T5,'Tables - Part 2'!$AV$6:$AV$13,0),MATCH(HSC_Hydrofluoric_Acid!$R5,'Tables - Part 2'!$AX$5:$BA$5,0))+INDEX('Tables - Part 2'!$BF$17:$BI$24,MATCH(HSC_Hydrofluoric_Acid!$T5,'Tables - Part 2'!$AV$6:$AV$13,0),MATCH(HSC_Hydrofluoric_Acid!$R5,'Tables - Part 2'!$AX$5:$BA$5,0)))/2))/2,0)</f>
        <v>0</v>
      </c>
      <c r="BJ5" s="248">
        <f>IF($Q5=$BJ$3,(INDEX('Tables - Part 2'!$BB$17:$BE$24,MATCH(HSC_Hydrofluoric_Acid!$T5,'Tables - Part 2'!$AV$6:$AV$13,0),MATCH(HSC_Hydrofluoric_Acid!$R5,'Tables - Part 2'!$AX$5:$BA$5,0))+INDEX('Tables - Part 2'!$BF$17:$BI$24,MATCH(HSC_Hydrofluoric_Acid!$T5,'Tables - Part 2'!$AV$6:$AV$13,0),MATCH(HSC_Hydrofluoric_Acid!$R5,'Tables - Part 2'!$AX$5:$BA$5,0)))/2,0)</f>
        <v>0</v>
      </c>
      <c r="BK5" s="248">
        <f>IF($Q5=$BK$3,(((INDEX('Tables - Part 2'!$BB$17:$BE$24,MATCH(HSC_Hydrofluoric_Acid!$T5,'Tables - Part 2'!$AV$6:$AV$13,0),MATCH(HSC_Hydrofluoric_Acid!$R5,'Tables - Part 2'!$AX$5:$BA$5,0))+INDEX('Tables - Part 2'!$BF$17:$BI$24,MATCH(HSC_Hydrofluoric_Acid!$T5,'Tables - Part 2'!$AV$6:$AV$13,0),MATCH(HSC_Hydrofluoric_Acid!$R5,'Tables - Part 2'!$AX$5:$BA$5,0)))/2)+((((INDEX('Tables - Part 2'!$BB$17:$BE$24,MATCH(HSC_Hydrofluoric_Acid!$T5,'Tables - Part 2'!$AV$6:$AV$13,0),MATCH(HSC_Hydrofluoric_Acid!$R5,'Tables - Part 2'!$AX$5:$BA$5,0))+INDEX('Tables - Part 2'!$BF$17:$BI$24,MATCH(HSC_Hydrofluoric_Acid!$T5,'Tables - Part 2'!$AV$6:$AV$13,0),MATCH(HSC_Hydrofluoric_Acid!$R5,'Tables - Part 2'!$AX$5:$BA$5,0)))/2)+INDEX('Tables - Part 2'!$BF$17:$BI$24,MATCH(HSC_Hydrofluoric_Acid!$T5,'Tables - Part 2'!$AV$6:$AV$13,0),MATCH(HSC_Hydrofluoric_Acid!$R5,'Tables - Part 2'!$AX$5:$BA$5,0)))/2))/2,0)</f>
        <v>0</v>
      </c>
      <c r="BL5" s="248">
        <f>IF($Q5=$BL$3,(((INDEX('Tables - Part 2'!$BB$17:$BE$24,MATCH(HSC_Hydrofluoric_Acid!$T5,'Tables - Part 2'!$AV$6:$AV$13,0),MATCH(HSC_Hydrofluoric_Acid!$R5,'Tables - Part 2'!$AX$5:$BA$5,0))+INDEX('Tables - Part 2'!$BF$17:$BI$24,MATCH(HSC_Hydrofluoric_Acid!$T5,'Tables - Part 2'!$AV$6:$AV$13,0),MATCH(HSC_Hydrofluoric_Acid!$R5,'Tables - Part 2'!$AX$5:$BA$5,0)))/2)+INDEX('Tables - Part 2'!$BF$17:$BI$24,MATCH(HSC_Hydrofluoric_Acid!$T5,'Tables - Part 2'!$AV$6:$AV$13,0),MATCH(HSC_Hydrofluoric_Acid!$R5,'Tables - Part 2'!$AX$5:$BA$5,0)))/2,0)</f>
        <v>0</v>
      </c>
      <c r="BM5" s="248">
        <f>IF($Q5=$BM$3,(((((INDEX('Tables - Part 2'!$BB$17:$BE$24,MATCH(HSC_Hydrofluoric_Acid!$T5,'Tables - Part 2'!$AV$6:$AV$13,0),MATCH(HSC_Hydrofluoric_Acid!$R5,'Tables - Part 2'!$AX$5:$BA$5,0))+INDEX('Tables - Part 2'!$BF$17:$BI$24,MATCH(HSC_Hydrofluoric_Acid!$T5,'Tables - Part 2'!$AV$6:$AV$13,0),MATCH(HSC_Hydrofluoric_Acid!$R5,'Tables - Part 2'!$AX$5:$BA$5,0)))/2)+INDEX('Tables - Part 2'!$BF$17:$BI$24,MATCH(HSC_Hydrofluoric_Acid!$T5,'Tables - Part 2'!$AV$6:$AV$13,0),MATCH(HSC_Hydrofluoric_Acid!$R5,'Tables - Part 2'!$AX$5:$BA$5,0)))/2)+(INDEX('Tables - Part 2'!$BF$17:$BI$24,MATCH(HSC_Hydrofluoric_Acid!$T5,'Tables - Part 2'!$AV$6:$AV$13,0),MATCH(HSC_Hydrofluoric_Acid!$R5,'Tables - Part 2'!$AX$5:$BA$5,0))))/2,0)</f>
        <v>0</v>
      </c>
      <c r="BN5" s="248">
        <f>IF($Q5=$BN$3,INDEX('Tables - Part 2'!$BF$17:$BI$24,MATCH(HSC_Hydrofluoric_Acid!$T5,'Tables - Part 2'!$AV$6:$AV$13,0),MATCH(HSC_Hydrofluoric_Acid!$R5,'Tables - Part 2'!$AX$5:$BA$5,0)),0)</f>
        <v>0</v>
      </c>
      <c r="BO5" s="248">
        <f t="shared" si="6"/>
        <v>0</v>
      </c>
      <c r="BP5" s="238">
        <f t="shared" ref="BP5:BP21" si="8">SUM(Z5:BO5)</f>
        <v>1</v>
      </c>
      <c r="BQ5" s="238">
        <f t="shared" si="7"/>
        <v>17.357540291215013</v>
      </c>
      <c r="BT5" s="438" t="s">
        <v>898</v>
      </c>
    </row>
    <row r="6" spans="2:82" x14ac:dyDescent="0.35">
      <c r="B6" s="161" t="str">
        <f>'Tratamento de Dados'!B14</f>
        <v>V-10</v>
      </c>
      <c r="C6" s="161" t="str">
        <f>'Tratamento de Dados'!D14</f>
        <v>Casco</v>
      </c>
      <c r="D6" s="209" t="s">
        <v>245</v>
      </c>
      <c r="E6" s="209" t="s">
        <v>61</v>
      </c>
      <c r="F6" s="209" t="s">
        <v>244</v>
      </c>
      <c r="G6" s="209" t="s">
        <v>244</v>
      </c>
      <c r="H6" s="209" t="s">
        <v>1112</v>
      </c>
      <c r="I6" s="209" t="s">
        <v>245</v>
      </c>
      <c r="J6" s="210">
        <v>39092</v>
      </c>
      <c r="K6" s="209">
        <v>0</v>
      </c>
      <c r="L6" s="209">
        <v>1</v>
      </c>
      <c r="M6" s="209">
        <v>1</v>
      </c>
      <c r="N6" s="209">
        <v>4</v>
      </c>
      <c r="O6" s="253">
        <f>'Tratamento de Dados'!DA14</f>
        <v>0</v>
      </c>
      <c r="P6" s="253">
        <f>'Tratamento de Dados'!DB14</f>
        <v>0</v>
      </c>
      <c r="Q6" s="256">
        <f t="shared" si="0"/>
        <v>2.5</v>
      </c>
      <c r="R6" s="246" t="str">
        <f t="shared" si="1"/>
        <v>B</v>
      </c>
      <c r="S6" s="238" t="str" cm="1">
        <f t="array" ref="S6">IF(D6=$BV$2,$BT$4,IF(OR(F6=$BV$3,G6=$BV$3),$BT$5,INDEX(IF(I6=$BV$2,'Tables - Part 2'!$EA$5:$EC$5,'Tables - Part 2'!$DX$5:$DZ$5),,MATCH(HSC_Hydrofluoric_Acid!H6,'Tables - Part 2'!$DX$4:$DZ$4,0))))</f>
        <v>Low</v>
      </c>
      <c r="T6" s="238">
        <f>IF(AND(D6=$BV$2,E6&lt;&gt;$BV$2),"Fitness-For-Service",INDEX('Tables - Part 2'!$EF$4:$EF$7,MATCH(HSC_Hydrofluoric_Acid!S6,'Tables - Part 2'!$EE$4:$EE$7,0),))</f>
        <v>1</v>
      </c>
      <c r="U6" s="238">
        <f>IF(J6=0,(Thinning!G7-Thinning!F7)/365.25,(Thinning!G7-J6)/365.25)</f>
        <v>12.980150581793293</v>
      </c>
      <c r="V6" s="248">
        <f t="shared" si="2"/>
        <v>0</v>
      </c>
      <c r="W6" s="248">
        <f t="shared" si="3"/>
        <v>2.5</v>
      </c>
      <c r="X6" s="248">
        <f t="shared" si="4"/>
        <v>3</v>
      </c>
      <c r="Y6" s="247">
        <f t="shared" si="5"/>
        <v>4</v>
      </c>
      <c r="Z6" s="248">
        <f>IF($Q6=$Z$3,INDEX('Tables - Part 2'!$AX$6:$BA$13,MATCH(HSC_Hydrofluoric_Acid!T6,'Tables - Part 2'!$AV$6:$AV$13,0),MATCH(HSC_Hydrofluoric_Acid!R6,'Tables - Part 2'!$AX$5:$BA$5,0)),0)</f>
        <v>0</v>
      </c>
      <c r="AA6" s="248">
        <f>IF($Q6=$AA$3,(INDEX('Tables - Part 2'!$AX$6:$BA$13,MATCH(HSC_Hydrofluoric_Acid!T6,'Tables - Part 2'!$AV$6:$AV$13,0),MATCH(HSC_Hydrofluoric_Acid!R6,'Tables - Part 2'!$AX$5:$BA$5,0))+(INDEX('Tables - Part 2'!$AX$6:$BA$13,MATCH(HSC_Hydrofluoric_Acid!T6,'Tables - Part 2'!$AV$6:$AV$13,0),MATCH(HSC_Hydrofluoric_Acid!R6,'Tables - Part 2'!$AX$5:$BA$5,0))+((INDEX('Tables - Part 2'!$AX$6:$BA$13,MATCH(HSC_Hydrofluoric_Acid!T6,'Tables - Part 2'!$AV$6:$AV$13,0),MATCH(HSC_Hydrofluoric_Acid!R6,'Tables - Part 2'!$AX$5:$BA$5,0))+INDEX('Tables - Part 2'!$BB$6:$BE$13,MATCH(HSC_Hydrofluoric_Acid!$T6,'Tables - Part 2'!$AV$6:$AV$13,0),MATCH(HSC_Hydrofluoric_Acid!$R6,'Tables - Part 2'!$AX$5:$BA$5,0)))/2))/2)/2,0)</f>
        <v>0</v>
      </c>
      <c r="AB6" s="248">
        <f>IF($Q6=$AB$3,(INDEX('Tables - Part 2'!$AX$6:$BA$13,MATCH(HSC_Hydrofluoric_Acid!T6,'Tables - Part 2'!$AV$6:$AV$13,0),MATCH(HSC_Hydrofluoric_Acid!R6,'Tables - Part 2'!$AX$5:$BA$5,0))+((INDEX('Tables - Part 2'!$AX$6:$BA$13,MATCH(HSC_Hydrofluoric_Acid!T6,'Tables - Part 2'!$AV$6:$AV$13,0),MATCH(HSC_Hydrofluoric_Acid!R6,'Tables - Part 2'!$AX$5:$BA$5,0))+INDEX('Tables - Part 2'!$BB$6:$BE$13,MATCH(HSC_Hydrofluoric_Acid!$T6,'Tables - Part 2'!$AV$6:$AV$13,0),MATCH(HSC_Hydrofluoric_Acid!$R6,'Tables - Part 2'!$AX$5:$BA$5,0)))/2))/2,0)</f>
        <v>0</v>
      </c>
      <c r="AC6" s="248">
        <f>IF($Q6=$AC$3,(((INDEX('Tables - Part 2'!$AX$6:$BA$13,MATCH(HSC_Hydrofluoric_Acid!T6,'Tables - Part 2'!$AV$6:$AV$13,0),MATCH(HSC_Hydrofluoric_Acid!R6,'Tables - Part 2'!$AX$5:$BA$5,0))+((INDEX('Tables - Part 2'!$AX$6:$BA$13,MATCH(HSC_Hydrofluoric_Acid!T6,'Tables - Part 2'!$AV$6:$AV$13,0),MATCH(HSC_Hydrofluoric_Acid!R6,'Tables - Part 2'!$AX$5:$BA$5,0))+INDEX('Tables - Part 2'!$BB$6:$BE$13,MATCH(HSC_Hydrofluoric_Acid!$T6,'Tables - Part 2'!$AV$6:$AV$13,0),MATCH(HSC_Hydrofluoric_Acid!$R6,'Tables - Part 2'!$AX$5:$BA$5,0)))/2))/2)+(INDEX('Tables - Part 2'!$AX$6:$BA$13,MATCH(HSC_Hydrofluoric_Acid!T6,'Tables - Part 2'!$AV$6:$AV$13,0),MATCH(HSC_Hydrofluoric_Acid!R6,'Tables - Part 2'!$AX$5:$BA$5,0))+INDEX('Tables - Part 2'!$BB$6:$BE$13,MATCH(HSC_Hydrofluoric_Acid!$T6,'Tables - Part 2'!$AV$6:$AV$13,0),MATCH(HSC_Hydrofluoric_Acid!$R6,'Tables - Part 2'!$AX$5:$BA$5,0)))/2)/2,0)</f>
        <v>0</v>
      </c>
      <c r="AD6" s="248">
        <f>IF($Q6=$AD$3,(INDEX('Tables - Part 2'!$AX$6:$BA$13,MATCH(HSC_Hydrofluoric_Acid!T6,'Tables - Part 2'!$AV$6:$AV$13,0),MATCH(HSC_Hydrofluoric_Acid!R6,'Tables - Part 2'!$AX$5:$BA$5,0))+INDEX('Tables - Part 2'!$BB$6:$BE$13,MATCH(HSC_Hydrofluoric_Acid!$T6,'Tables - Part 2'!$AV$6:$AV$13,0),MATCH(HSC_Hydrofluoric_Acid!$R6,'Tables - Part 2'!$AX$5:$BA$5,0)))/2,0)</f>
        <v>0</v>
      </c>
      <c r="AE6" s="248">
        <f>IF($Q6=$AE$3,(((INDEX('Tables - Part 2'!$AX$6:$BA$13,MATCH(HSC_Hydrofluoric_Acid!T6,'Tables - Part 2'!$AV$6:$AV$13,0),MATCH(HSC_Hydrofluoric_Acid!R6,'Tables - Part 2'!$AX$5:$BA$5,0))+INDEX('Tables - Part 2'!$BB$6:$BE$13,MATCH(HSC_Hydrofluoric_Acid!$T6,'Tables - Part 2'!$AV$6:$AV$13,0),MATCH(HSC_Hydrofluoric_Acid!$R6,'Tables - Part 2'!$AX$5:$BA$5,0)))/2)+(((INDEX('Tables - Part 2'!$AX$6:$BA$13,MATCH(HSC_Hydrofluoric_Acid!T6,'Tables - Part 2'!$AV$6:$AV$13,0),MATCH(HSC_Hydrofluoric_Acid!R6,'Tables - Part 2'!$AX$5:$BA$5,0))+INDEX('Tables - Part 2'!$BB$6:$BE$13,MATCH(HSC_Hydrofluoric_Acid!$T6,'Tables - Part 2'!$AV$6:$AV$13,0),MATCH(HSC_Hydrofluoric_Acid!$R6,'Tables - Part 2'!$AX$5:$BA$5,0)))/2)+INDEX('Tables - Part 2'!$BB$6:$BE$13,MATCH(HSC_Hydrofluoric_Acid!$T6,'Tables - Part 2'!$AV$6:$AV$13,0),MATCH(HSC_Hydrofluoric_Acid!$R6,'Tables - Part 2'!$AX$5:$BA$5,0)))/2)/2,0)</f>
        <v>0</v>
      </c>
      <c r="AF6" s="248">
        <f>IF($Q6=$AF$3,(((INDEX('Tables - Part 2'!$AX$6:$BA$13,MATCH(HSC_Hydrofluoric_Acid!T6,'Tables - Part 2'!$AV$6:$AV$13,0),MATCH(HSC_Hydrofluoric_Acid!R6,'Tables - Part 2'!$AX$5:$BA$5,0))+INDEX('Tables - Part 2'!$BB$6:$BE$13,MATCH(HSC_Hydrofluoric_Acid!$T6,'Tables - Part 2'!$AV$6:$AV$13,0),MATCH(HSC_Hydrofluoric_Acid!$R6,'Tables - Part 2'!$AX$5:$BA$5,0)))/2)+INDEX('Tables - Part 2'!$BB$6:$BE$13,MATCH(HSC_Hydrofluoric_Acid!$T6,'Tables - Part 2'!$AV$6:$AV$13,0),MATCH(HSC_Hydrofluoric_Acid!$R6,'Tables - Part 2'!$AX$5:$BA$5,0)))/2,0)</f>
        <v>0</v>
      </c>
      <c r="AG6" s="248">
        <f>IF($Q6=$AG$3,(((((INDEX('Tables - Part 2'!$AX$6:$BA$13,MATCH(HSC_Hydrofluoric_Acid!T6,'Tables - Part 2'!$AV$6:$AV$13,0),MATCH(HSC_Hydrofluoric_Acid!R6,'Tables - Part 2'!$AX$5:$BA$5,0))+INDEX('Tables - Part 2'!$BB$6:$BE$13,MATCH(HSC_Hydrofluoric_Acid!$T6,'Tables - Part 2'!$AV$6:$AV$13,0),MATCH(HSC_Hydrofluoric_Acid!$R6,'Tables - Part 2'!$AX$5:$BA$5,0)))/2)+INDEX('Tables - Part 2'!$BB$6:$BE$13,MATCH(HSC_Hydrofluoric_Acid!$T6,'Tables - Part 2'!$AV$6:$AV$13,0),MATCH(HSC_Hydrofluoric_Acid!$R6,'Tables - Part 2'!$AX$5:$BA$5,0)))/2)+INDEX('Tables - Part 2'!$BB$6:$BE$13,MATCH(HSC_Hydrofluoric_Acid!$T6,'Tables - Part 2'!$AV$6:$AV$13,0),MATCH(HSC_Hydrofluoric_Acid!$R6,'Tables - Part 2'!$AX$5:$BA$5,0)))/2,0)</f>
        <v>0</v>
      </c>
      <c r="AH6" s="248">
        <f>IF($Q6=$AH$3,INDEX('Tables - Part 2'!$BB$6:$BE$13,MATCH(HSC_Hydrofluoric_Acid!$T6,'Tables - Part 2'!$AV$6:$AV$13,0),MATCH(HSC_Hydrofluoric_Acid!$R6,'Tables - Part 2'!$AX$5:$BA$5,0)),0)</f>
        <v>0</v>
      </c>
      <c r="AI6" s="248">
        <f>IF($Q6=$AI$3,((INDEX('Tables - Part 2'!$BB$6:$BE$13,MATCH(HSC_Hydrofluoric_Acid!$T6,'Tables - Part 2'!$AV$6:$AV$13,0),MATCH(HSC_Hydrofluoric_Acid!$R6,'Tables - Part 2'!$AX$5:$BA$5,0)))+(INDEX('Tables - Part 2'!$BB$6:$BE$13,MATCH(HSC_Hydrofluoric_Acid!$T6,'Tables - Part 2'!$AV$6:$AV$13,0),MATCH(HSC_Hydrofluoric_Acid!$R6,'Tables - Part 2'!$AX$5:$BA$5,0))+(INDEX('Tables - Part 2'!$BB$6:$BE$13,MATCH(HSC_Hydrofluoric_Acid!$T6,'Tables - Part 2'!$AV$6:$AV$13,0),MATCH(HSC_Hydrofluoric_Acid!$R6,'Tables - Part 2'!$AX$5:$BA$5,0))+INDEX('Tables - Part 2'!$BF$6:$BI$13,MATCH(HSC_Hydrofluoric_Acid!$T6,'Tables - Part 2'!$AV$6:$AV$13,0),MATCH(HSC_Hydrofluoric_Acid!$R6,'Tables - Part 2'!$AX$5:$BA$5,0)))/2)/2)/2,0)</f>
        <v>0</v>
      </c>
      <c r="AJ6" s="248">
        <f>IF($Q6=$AJ$3,(INDEX('Tables - Part 2'!$BB$6:$BE$13,MATCH(HSC_Hydrofluoric_Acid!$T6,'Tables - Part 2'!$AV$6:$AV$13,0),MATCH(HSC_Hydrofluoric_Acid!$R6,'Tables - Part 2'!$AX$5:$BA$5,0))+(INDEX('Tables - Part 2'!$BB$6:$BE$13,MATCH(HSC_Hydrofluoric_Acid!$T6,'Tables - Part 2'!$AV$6:$AV$13,0),MATCH(HSC_Hydrofluoric_Acid!$R6,'Tables - Part 2'!$AX$5:$BA$5,0))+INDEX('Tables - Part 2'!$BF$6:$BI$13,MATCH(HSC_Hydrofluoric_Acid!$T6,'Tables - Part 2'!$AV$6:$AV$13,0),MATCH(HSC_Hydrofluoric_Acid!$R6,'Tables - Part 2'!$AX$5:$BA$5,0)))/2)/2,0)</f>
        <v>0</v>
      </c>
      <c r="AK6" s="248">
        <f>IF($Q6=$AK$3,(((INDEX('Tables - Part 2'!$BB$6:$BE$13,MATCH(HSC_Hydrofluoric_Acid!$T6,'Tables - Part 2'!$AV$6:$AV$13,0),MATCH(HSC_Hydrofluoric_Acid!$R6,'Tables - Part 2'!$AX$5:$BA$5,0))+(INDEX('Tables - Part 2'!$BB$6:$BE$13,MATCH(HSC_Hydrofluoric_Acid!$T6,'Tables - Part 2'!$AV$6:$AV$13,0),MATCH(HSC_Hydrofluoric_Acid!$R6,'Tables - Part 2'!$AX$5:$BA$5,0))+INDEX('Tables - Part 2'!$BF$6:$BI$13,MATCH(HSC_Hydrofluoric_Acid!$T6,'Tables - Part 2'!$AV$6:$AV$13,0),MATCH(HSC_Hydrofluoric_Acid!$R6,'Tables - Part 2'!$AX$5:$BA$5,0)))/2)/2)+((INDEX('Tables - Part 2'!$BB$6:$BE$13,MATCH(HSC_Hydrofluoric_Acid!$T6,'Tables - Part 2'!$AV$6:$AV$13,0),MATCH(HSC_Hydrofluoric_Acid!$R6,'Tables - Part 2'!$AX$5:$BA$5,0))+INDEX('Tables - Part 2'!$BF$6:$BI$13,MATCH(HSC_Hydrofluoric_Acid!$T6,'Tables - Part 2'!$AV$6:$AV$13,0),MATCH(HSC_Hydrofluoric_Acid!$R6,'Tables - Part 2'!$AX$5:$BA$5,0)))/2))/2,0)</f>
        <v>0</v>
      </c>
      <c r="AL6" s="248">
        <f>IF($Q6=$AL$3,(INDEX('Tables - Part 2'!$BB$6:$BE$13,MATCH(HSC_Hydrofluoric_Acid!$T6,'Tables - Part 2'!$AV$6:$AV$13,0),MATCH(HSC_Hydrofluoric_Acid!$R6,'Tables - Part 2'!$AX$5:$BA$5,0))+INDEX('Tables - Part 2'!$BF$6:$BI$13,MATCH(HSC_Hydrofluoric_Acid!$T6,'Tables - Part 2'!$AV$6:$AV$13,0),MATCH(HSC_Hydrofluoric_Acid!$R6,'Tables - Part 2'!$AX$5:$BA$5,0)))/2,0)</f>
        <v>1</v>
      </c>
      <c r="AM6" s="248">
        <f>IF($Q6=$AM$3,(((INDEX('Tables - Part 2'!$BB$6:$BE$13,MATCH(HSC_Hydrofluoric_Acid!$T6,'Tables - Part 2'!$AV$6:$AV$13,0),MATCH(HSC_Hydrofluoric_Acid!$R6,'Tables - Part 2'!$AX$5:$BA$5,0))+INDEX('Tables - Part 2'!$BF$6:$BI$13,MATCH(HSC_Hydrofluoric_Acid!$T6,'Tables - Part 2'!$AV$6:$AV$13,0),MATCH(HSC_Hydrofluoric_Acid!$R6,'Tables - Part 2'!$AX$5:$BA$5,0)))/2)+((((INDEX('Tables - Part 2'!$BB$6:$BE$13,MATCH(HSC_Hydrofluoric_Acid!$T6,'Tables - Part 2'!$AV$6:$AV$13,0),MATCH(HSC_Hydrofluoric_Acid!$R6,'Tables - Part 2'!$AX$5:$BA$5,0))+INDEX('Tables - Part 2'!$BF$6:$BI$13,MATCH(HSC_Hydrofluoric_Acid!$T6,'Tables - Part 2'!$AV$6:$AV$13,0),MATCH(HSC_Hydrofluoric_Acid!$R6,'Tables - Part 2'!$AX$5:$BA$5,0)))/2)+INDEX('Tables - Part 2'!$BF$6:$BI$13,MATCH(HSC_Hydrofluoric_Acid!$T6,'Tables - Part 2'!$AV$6:$AV$13,0),MATCH(HSC_Hydrofluoric_Acid!$R6,'Tables - Part 2'!$AX$5:$BA$5,0)))/2))/2,0)</f>
        <v>0</v>
      </c>
      <c r="AN6" s="248">
        <f>IF($Q6=$AN$3,(((INDEX('Tables - Part 2'!$BB$6:$BE$13,MATCH(HSC_Hydrofluoric_Acid!$T6,'Tables - Part 2'!$AV$6:$AV$13,0),MATCH(HSC_Hydrofluoric_Acid!$R6,'Tables - Part 2'!$AX$5:$BA$5,0))+INDEX('Tables - Part 2'!$BF$6:$BI$13,MATCH(HSC_Hydrofluoric_Acid!$T6,'Tables - Part 2'!$AV$6:$AV$13,0),MATCH(HSC_Hydrofluoric_Acid!$R6,'Tables - Part 2'!$AX$5:$BA$5,0)))/2)+INDEX('Tables - Part 2'!$BF$6:$BI$13,MATCH(HSC_Hydrofluoric_Acid!$T6,'Tables - Part 2'!$AV$6:$AV$13,0),MATCH(HSC_Hydrofluoric_Acid!$R6,'Tables - Part 2'!$AX$5:$BA$5,0)))/2,0)</f>
        <v>0</v>
      </c>
      <c r="AO6" s="248">
        <f>IF($Q6=$AO$3,(((((INDEX('Tables - Part 2'!$BB$6:$BE$13,MATCH(HSC_Hydrofluoric_Acid!$T6,'Tables - Part 2'!$AV$6:$AV$13,0),MATCH(HSC_Hydrofluoric_Acid!$R6,'Tables - Part 2'!$AX$5:$BA$5,0))+INDEX('Tables - Part 2'!$BF$6:$BI$13,MATCH(HSC_Hydrofluoric_Acid!$T6,'Tables - Part 2'!$AV$6:$AV$13,0),MATCH(HSC_Hydrofluoric_Acid!$R6,'Tables - Part 2'!$AX$5:$BA$5,0)))/2)+INDEX('Tables - Part 2'!$BF$6:$BI$13,MATCH(HSC_Hydrofluoric_Acid!$T6,'Tables - Part 2'!$AV$6:$AV$13,0),MATCH(HSC_Hydrofluoric_Acid!$R6,'Tables - Part 2'!$AX$5:$BA$5,0)))/2)+INDEX('Tables - Part 2'!$BF$6:$BI$13,MATCH(HSC_Hydrofluoric_Acid!$T6,'Tables - Part 2'!$AV$6:$AV$13,0),MATCH(HSC_Hydrofluoric_Acid!$R6,'Tables - Part 2'!$AX$5:$BA$5,0)))/2,0)</f>
        <v>0</v>
      </c>
      <c r="AP6" s="248">
        <f>IF($Q6=$AP$3,INDEX('Tables - Part 2'!$BF$6:$BI$13,MATCH(HSC_Hydrofluoric_Acid!$T6,'Tables - Part 2'!$AV$6:$AV$13,0),MATCH(HSC_Hydrofluoric_Acid!$R6,'Tables - Part 2'!$AX$5:$BA$5,0)),0)</f>
        <v>0</v>
      </c>
      <c r="AQ6" s="248">
        <f>IF($Q6=$AQ$3,(INDEX('Tables - Part 2'!$BF$6:$BI$13,MATCH(HSC_Hydrofluoric_Acid!$T6,'Tables - Part 2'!$AV$6:$AV$13,0),MATCH(HSC_Hydrofluoric_Acid!$R6,'Tables - Part 2'!$AX$5:$BA$5,0))+((INDEX('Tables - Part 2'!$BF$6:$BI$13,MATCH(HSC_Hydrofluoric_Acid!$T6,'Tables - Part 2'!$AV$6:$AV$13,0),MATCH(HSC_Hydrofluoric_Acid!$R6,'Tables - Part 2'!$AX$5:$BA$5,0))+(INDEX('Tables - Part 2'!$BF$6:$BI$13,MATCH(HSC_Hydrofluoric_Acid!$T6,'Tables - Part 2'!$AV$6:$AV$13,0),MATCH(HSC_Hydrofluoric_Acid!$R6,'Tables - Part 2'!$AX$5:$BA$5,0))+INDEX('Tables - Part 2'!$AX$17:$BA$24,MATCH(HSC_Hydrofluoric_Acid!$T6,'Tables - Part 2'!$AV$6:$AV$13,0),MATCH(HSC_Hydrofluoric_Acid!$R6,'Tables - Part 2'!$AX$5:$BA$5,0)))/2)/2))/2,0)</f>
        <v>0</v>
      </c>
      <c r="AR6" s="248">
        <f>IF($Q6=$AR$3,(INDEX('Tables - Part 2'!$BF$6:$BI$13,MATCH(HSC_Hydrofluoric_Acid!$T6,'Tables - Part 2'!$AV$6:$AV$13,0),MATCH(HSC_Hydrofluoric_Acid!$R6,'Tables - Part 2'!$AX$5:$BA$5,0))+(INDEX('Tables - Part 2'!$BF$6:$BI$13,MATCH(HSC_Hydrofluoric_Acid!$T6,'Tables - Part 2'!$AV$6:$AV$13,0),MATCH(HSC_Hydrofluoric_Acid!$R6,'Tables - Part 2'!$AX$5:$BA$5,0))+INDEX('Tables - Part 2'!$AX$17:$BA$24,MATCH(HSC_Hydrofluoric_Acid!$T6,'Tables - Part 2'!$AV$6:$AV$13,0),MATCH(HSC_Hydrofluoric_Acid!$R6,'Tables - Part 2'!$AX$5:$BA$5,0)))/2)/2,0)</f>
        <v>0</v>
      </c>
      <c r="AS6" s="248">
        <f>IF($Q6=$AS$3,(((INDEX('Tables - Part 2'!$BF$6:$BI$13,MATCH(HSC_Hydrofluoric_Acid!$T6,'Tables - Part 2'!$AV$6:$AV$13,0),MATCH(HSC_Hydrofluoric_Acid!$R6,'Tables - Part 2'!$AX$5:$BA$5,0))+(INDEX('Tables - Part 2'!$BF$6:$BI$13,MATCH(HSC_Hydrofluoric_Acid!$T6,'Tables - Part 2'!$AV$6:$AV$13,0),MATCH(HSC_Hydrofluoric_Acid!$R6,'Tables - Part 2'!$AX$5:$BA$5,0))+INDEX('Tables - Part 2'!$AX$17:$BA$24,MATCH(HSC_Hydrofluoric_Acid!$T6,'Tables - Part 2'!$AV$6:$AV$13,0),MATCH(HSC_Hydrofluoric_Acid!$R6,'Tables - Part 2'!$AX$5:$BA$5,0)))/2)/2)+((INDEX('Tables - Part 2'!$BF$6:$BI$13,MATCH(HSC_Hydrofluoric_Acid!$T6,'Tables - Part 2'!$AV$6:$AV$13,0),MATCH(HSC_Hydrofluoric_Acid!$R6,'Tables - Part 2'!$AX$5:$BA$5,0))+INDEX('Tables - Part 2'!$AX$17:$BA$24,MATCH(HSC_Hydrofluoric_Acid!$T6,'Tables - Part 2'!$AV$6:$AV$13,0),MATCH(HSC_Hydrofluoric_Acid!$R6,'Tables - Part 2'!$AX$5:$BA$5,0)))/2))/2,0)</f>
        <v>0</v>
      </c>
      <c r="AT6" s="248">
        <f>IF($Q6=$AT$3,(INDEX('Tables - Part 2'!$BF$6:$BI$13,MATCH(HSC_Hydrofluoric_Acid!$T6,'Tables - Part 2'!$AV$6:$AV$13,0),MATCH(HSC_Hydrofluoric_Acid!$R6,'Tables - Part 2'!$AX$5:$BA$5,0))+INDEX('Tables - Part 2'!$AX$17:$BA$24,MATCH(HSC_Hydrofluoric_Acid!$T6,'Tables - Part 2'!$AV$6:$AV$13,0),MATCH(HSC_Hydrofluoric_Acid!$R6,'Tables - Part 2'!$AX$5:$BA$5,0)))/2,0)</f>
        <v>0</v>
      </c>
      <c r="AU6" s="248">
        <f>IF($Q6=$AU$3,(((INDEX('Tables - Part 2'!$BF$6:$BI$13,MATCH(HSC_Hydrofluoric_Acid!$T6,'Tables - Part 2'!$AV$6:$AV$13,0),MATCH(HSC_Hydrofluoric_Acid!$R6,'Tables - Part 2'!$AX$5:$BA$5,0))+INDEX('Tables - Part 2'!$AX$17:$BA$24,MATCH(HSC_Hydrofluoric_Acid!$T6,'Tables - Part 2'!$AV$6:$AV$13,0),MATCH(HSC_Hydrofluoric_Acid!$R6,'Tables - Part 2'!$AX$5:$BA$5,0)))/2)+((((INDEX('Tables - Part 2'!$BF$6:$BI$13,MATCH(HSC_Hydrofluoric_Acid!$T6,'Tables - Part 2'!$AV$6:$AV$13,0),MATCH(HSC_Hydrofluoric_Acid!$R6,'Tables - Part 2'!$AX$5:$BA$5,0))+INDEX('Tables - Part 2'!$AX$17:$BA$24,MATCH(HSC_Hydrofluoric_Acid!$T6,'Tables - Part 2'!$AV$6:$AV$13,0),MATCH(HSC_Hydrofluoric_Acid!$R6,'Tables - Part 2'!$AX$5:$BA$5,0)))/2)+INDEX('Tables - Part 2'!$AX$17:$BA$24,MATCH(HSC_Hydrofluoric_Acid!$T6,'Tables - Part 2'!$AV$6:$AV$13,0),MATCH(HSC_Hydrofluoric_Acid!$R6,'Tables - Part 2'!$AX$5:$BA$5,0)))/2))/2,0)</f>
        <v>0</v>
      </c>
      <c r="AV6" s="248">
        <f>IF($Q6=$AV$3,(((INDEX('Tables - Part 2'!$BF$6:$BI$13,MATCH(HSC_Hydrofluoric_Acid!$T6,'Tables - Part 2'!$AV$6:$AV$13,0),MATCH(HSC_Hydrofluoric_Acid!$R6,'Tables - Part 2'!$AX$5:$BA$5,0))+INDEX('Tables - Part 2'!$AX$17:$BA$24,MATCH(HSC_Hydrofluoric_Acid!$T6,'Tables - Part 2'!$AV$6:$AV$13,0),MATCH(HSC_Hydrofluoric_Acid!$R6,'Tables - Part 2'!$AX$5:$BA$5,0)))/2)+INDEX('Tables - Part 2'!$AX$17:$BA$24,MATCH(HSC_Hydrofluoric_Acid!$T6,'Tables - Part 2'!$AV$6:$AV$13,0),MATCH(HSC_Hydrofluoric_Acid!$R6,'Tables - Part 2'!$AX$5:$BA$5,0)))/2,0)</f>
        <v>0</v>
      </c>
      <c r="AW6" s="248">
        <f>IF($Q6=$AW$3,(((((INDEX('Tables - Part 2'!$BF$6:$BI$13,MATCH(HSC_Hydrofluoric_Acid!$T6,'Tables - Part 2'!$AV$6:$AV$13,0),MATCH(HSC_Hydrofluoric_Acid!$R6,'Tables - Part 2'!$AX$5:$BA$5,0))+INDEX('Tables - Part 2'!$AX$17:$BA$24,MATCH(HSC_Hydrofluoric_Acid!$T6,'Tables - Part 2'!$AV$6:$AV$13,0),MATCH(HSC_Hydrofluoric_Acid!$R6,'Tables - Part 2'!$AX$5:$BA$5,0)))/2)+INDEX('Tables - Part 2'!$AX$17:$BA$24,MATCH(HSC_Hydrofluoric_Acid!$T6,'Tables - Part 2'!$AV$6:$AV$13,0),MATCH(HSC_Hydrofluoric_Acid!$R6,'Tables - Part 2'!$AX$5:$BA$5,0)))/2)+(INDEX('Tables - Part 2'!$AX$17:$BA$24,MATCH(HSC_Hydrofluoric_Acid!$T6,'Tables - Part 2'!$AV$6:$AV$13,0),MATCH(HSC_Hydrofluoric_Acid!$R6,'Tables - Part 2'!$AX$5:$BA$5,0))))/2,0)</f>
        <v>0</v>
      </c>
      <c r="AX6" s="248">
        <f>IF($Q6=$AX$3,INDEX('Tables - Part 2'!$AX$17:$BA$24,MATCH(HSC_Hydrofluoric_Acid!$T6,'Tables - Part 2'!$AV$6:$AV$13,0),MATCH(HSC_Hydrofluoric_Acid!$R6,'Tables - Part 2'!$AX$5:$BA$5,0)),0)</f>
        <v>0</v>
      </c>
      <c r="AY6" s="248">
        <f>IF($Q6=$AY$3,((INDEX('Tables - Part 2'!$AX$17:$BA$24,MATCH(HSC_Hydrofluoric_Acid!$T6,'Tables - Part 2'!$AV$6:$AV$13,0),MATCH(HSC_Hydrofluoric_Acid!$R6,'Tables - Part 2'!$AX$5:$BA$5,0)))+(((INDEX('Tables - Part 2'!$AX$17:$BA$24,MATCH(HSC_Hydrofluoric_Acid!$T6,'Tables - Part 2'!$AV$6:$AV$13,0),MATCH(HSC_Hydrofluoric_Acid!$R6,'Tables - Part 2'!$AX$5:$BA$5,0)))+(INDEX('Tables - Part 2'!$AX$17:$BA$24,MATCH(HSC_Hydrofluoric_Acid!$T6,'Tables - Part 2'!$AV$6:$AV$13,0),MATCH(HSC_Hydrofluoric_Acid!$R6,'Tables - Part 2'!$AX$5:$BA$5,0))+INDEX('Tables - Part 2'!$BB$17:$BE$24,MATCH(HSC_Hydrofluoric_Acid!$T6,'Tables - Part 2'!$AV$6:$AV$13,0),MATCH(HSC_Hydrofluoric_Acid!$R6,'Tables - Part 2'!$AX$5:$BA$5,0)))/2)/2))/2,0)</f>
        <v>0</v>
      </c>
      <c r="AZ6" s="248">
        <f>IF($Q6=$AZ$3,((INDEX('Tables - Part 2'!$AX$17:$BA$24,MATCH(HSC_Hydrofluoric_Acid!$T6,'Tables - Part 2'!$AV$6:$AV$13,0),MATCH(HSC_Hydrofluoric_Acid!$R6,'Tables - Part 2'!$AX$5:$BA$5,0)))+(INDEX('Tables - Part 2'!$AX$17:$BA$24,MATCH(HSC_Hydrofluoric_Acid!$T6,'Tables - Part 2'!$AV$6:$AV$13,0),MATCH(HSC_Hydrofluoric_Acid!$R6,'Tables - Part 2'!$AX$5:$BA$5,0))+INDEX('Tables - Part 2'!$BB$17:$BE$24,MATCH(HSC_Hydrofluoric_Acid!$T6,'Tables - Part 2'!$AV$6:$AV$13,0),MATCH(HSC_Hydrofluoric_Acid!$R6,'Tables - Part 2'!$AX$5:$BA$5,0)))/2)/2,0)</f>
        <v>0</v>
      </c>
      <c r="BA6" s="248">
        <f>IF($Q6=$BA$3,((((INDEX('Tables - Part 2'!$AX$17:$BA$24,MATCH(HSC_Hydrofluoric_Acid!$T6,'Tables - Part 2'!$AV$6:$AV$13,0),MATCH(HSC_Hydrofluoric_Acid!$R6,'Tables - Part 2'!$AX$5:$BA$5,0)))+(INDEX('Tables - Part 2'!$AX$17:$BA$24,MATCH(HSC_Hydrofluoric_Acid!$T6,'Tables - Part 2'!$AV$6:$AV$13,0),MATCH(HSC_Hydrofluoric_Acid!$R6,'Tables - Part 2'!$AX$5:$BA$5,0))+INDEX('Tables - Part 2'!$BB$17:$BE$24,MATCH(HSC_Hydrofluoric_Acid!$T6,'Tables - Part 2'!$AV$6:$AV$13,0),MATCH(HSC_Hydrofluoric_Acid!$R6,'Tables - Part 2'!$AX$5:$BA$5,0)))/2)/2)+((INDEX('Tables - Part 2'!$AX$17:$BA$24,MATCH(HSC_Hydrofluoric_Acid!$T6,'Tables - Part 2'!$AV$6:$AV$13,0),MATCH(HSC_Hydrofluoric_Acid!$R6,'Tables - Part 2'!$AX$5:$BA$5,0))+INDEX('Tables - Part 2'!$BB$17:$BE$24,MATCH(HSC_Hydrofluoric_Acid!$T6,'Tables - Part 2'!$AV$6:$AV$13,0),MATCH(HSC_Hydrofluoric_Acid!$R6,'Tables - Part 2'!$AX$5:$BA$5,0)))/2))/2,0)</f>
        <v>0</v>
      </c>
      <c r="BB6" s="248">
        <f>IF($Q6=$BB$3,(INDEX('Tables - Part 2'!$AX$17:$BA$24,MATCH(HSC_Hydrofluoric_Acid!$T6,'Tables - Part 2'!$AV$6:$AV$13,0),MATCH(HSC_Hydrofluoric_Acid!$R6,'Tables - Part 2'!$AX$5:$BA$5,0))+INDEX('Tables - Part 2'!$BB$17:$BE$24,MATCH(HSC_Hydrofluoric_Acid!$T6,'Tables - Part 2'!$AV$6:$AV$13,0),MATCH(HSC_Hydrofluoric_Acid!$R6,'Tables - Part 2'!$AX$5:$BA$5,0)))/2,0)</f>
        <v>0</v>
      </c>
      <c r="BC6" s="248">
        <f>IF($Q6=$BC$3,(((INDEX('Tables - Part 2'!$AX$17:$BA$24,MATCH(HSC_Hydrofluoric_Acid!$T6,'Tables - Part 2'!$AV$6:$AV$13,0),MATCH(HSC_Hydrofluoric_Acid!$R6,'Tables - Part 2'!$AX$5:$BA$5,0))+INDEX('Tables - Part 2'!$BB$17:$BE$24,MATCH(HSC_Hydrofluoric_Acid!$T6,'Tables - Part 2'!$AV$6:$AV$13,0),MATCH(HSC_Hydrofluoric_Acid!$R6,'Tables - Part 2'!$AX$5:$BA$5,0)))/2)+((((INDEX('Tables - Part 2'!$AX$17:$BA$24,MATCH(HSC_Hydrofluoric_Acid!$T6,'Tables - Part 2'!$AV$6:$AV$13,0),MATCH(HSC_Hydrofluoric_Acid!$R6,'Tables - Part 2'!$AX$5:$BA$5,0))+INDEX('Tables - Part 2'!$BB$17:$BE$24,MATCH(HSC_Hydrofluoric_Acid!$T6,'Tables - Part 2'!$AV$6:$AV$13,0),MATCH(HSC_Hydrofluoric_Acid!$R6,'Tables - Part 2'!$AX$5:$BA$5,0)))/2)+INDEX('Tables - Part 2'!$BB$17:$BE$24,MATCH(HSC_Hydrofluoric_Acid!$T6,'Tables - Part 2'!$AV$6:$AV$13,0),MATCH(HSC_Hydrofluoric_Acid!$R6,'Tables - Part 2'!$AX$5:$BA$5,0)))/2))/2,0)</f>
        <v>0</v>
      </c>
      <c r="BD6" s="248">
        <f>IF($Q6=$BD$3,(((INDEX('Tables - Part 2'!$AX$17:$BA$24,MATCH(HSC_Hydrofluoric_Acid!$T6,'Tables - Part 2'!$AV$6:$AV$13,0),MATCH(HSC_Hydrofluoric_Acid!$R6,'Tables - Part 2'!$AX$5:$BA$5,0))+INDEX('Tables - Part 2'!$BB$17:$BE$24,MATCH(HSC_Hydrofluoric_Acid!$T6,'Tables - Part 2'!$AV$6:$AV$13,0),MATCH(HSC_Hydrofluoric_Acid!$R6,'Tables - Part 2'!$AX$5:$BA$5,0)))/2)+INDEX('Tables - Part 2'!$BB$17:$BE$24,MATCH(HSC_Hydrofluoric_Acid!$T6,'Tables - Part 2'!$AV$6:$AV$13,0),MATCH(HSC_Hydrofluoric_Acid!$R6,'Tables - Part 2'!$AX$5:$BA$5,0)))/2,0)</f>
        <v>0</v>
      </c>
      <c r="BE6" s="248">
        <f>IF($Q6=$BE$3,(((((INDEX('Tables - Part 2'!$AX$17:$BA$24,MATCH(HSC_Hydrofluoric_Acid!$T6,'Tables - Part 2'!$AV$6:$AV$13,0),MATCH(HSC_Hydrofluoric_Acid!$R6,'Tables - Part 2'!$AX$5:$BA$5,0))+INDEX('Tables - Part 2'!$BB$17:$BE$24,MATCH(HSC_Hydrofluoric_Acid!$T6,'Tables - Part 2'!$AV$6:$AV$13,0),MATCH(HSC_Hydrofluoric_Acid!$R6,'Tables - Part 2'!$AX$5:$BA$5,0)))/2)+INDEX('Tables - Part 2'!$BB$17:$BE$24,MATCH(HSC_Hydrofluoric_Acid!$T6,'Tables - Part 2'!$AV$6:$AV$13,0),MATCH(HSC_Hydrofluoric_Acid!$R6,'Tables - Part 2'!$AX$5:$BA$5,0)))/2)+(INDEX('Tables - Part 2'!$BB$17:$BE$24,MATCH(HSC_Hydrofluoric_Acid!$T6,'Tables - Part 2'!$AV$6:$AV$13,0),MATCH(HSC_Hydrofluoric_Acid!$R6,'Tables - Part 2'!$AX$5:$BA$5,0))))/2,0)</f>
        <v>0</v>
      </c>
      <c r="BF6" s="248">
        <f>IF($Q6=$BF$3,INDEX('Tables - Part 2'!$BB$17:$BE$24,MATCH(HSC_Hydrofluoric_Acid!$T6,'Tables - Part 2'!$AV$6:$AV$13,0),MATCH(HSC_Hydrofluoric_Acid!$R6,'Tables - Part 2'!$AX$5:$BA$5,0)),0)</f>
        <v>0</v>
      </c>
      <c r="BG6" s="248">
        <f>IF($Q6=$BG$3,((INDEX('Tables - Part 2'!$BB$17:$BE$24,MATCH(HSC_Hydrofluoric_Acid!$T6,'Tables - Part 2'!$AV$6:$AV$13,0),MATCH(HSC_Hydrofluoric_Acid!$R6,'Tables - Part 2'!$AX$5:$BA$5,0)))+(((INDEX('Tables - Part 2'!$BB$17:$BE$24,MATCH(HSC_Hydrofluoric_Acid!$T6,'Tables - Part 2'!$AV$6:$AV$13,0),MATCH(HSC_Hydrofluoric_Acid!$R6,'Tables - Part 2'!$AX$5:$BA$5,0)))+(INDEX('Tables - Part 2'!$BB$17:$BE$24,MATCH(HSC_Hydrofluoric_Acid!$T6,'Tables - Part 2'!$AV$6:$AV$13,0),MATCH(HSC_Hydrofluoric_Acid!$R6,'Tables - Part 2'!$AX$5:$BA$5,0))+INDEX('Tables - Part 2'!$BF$17:$BI$24,MATCH(HSC_Hydrofluoric_Acid!$T6,'Tables - Part 2'!$AV$6:$AV$13,0),MATCH(HSC_Hydrofluoric_Acid!$R6,'Tables - Part 2'!$AX$5:$BA$5,0)))/2)/2))/2,0)</f>
        <v>0</v>
      </c>
      <c r="BH6" s="248">
        <f>IF($Q6=$BH$3,((INDEX('Tables - Part 2'!$BB$17:$BE$24,MATCH(HSC_Hydrofluoric_Acid!$T6,'Tables - Part 2'!$AV$6:$AV$13,0),MATCH(HSC_Hydrofluoric_Acid!$R6,'Tables - Part 2'!$AX$5:$BA$5,0)))+(INDEX('Tables - Part 2'!$BB$17:$BE$24,MATCH(HSC_Hydrofluoric_Acid!$T6,'Tables - Part 2'!$AV$6:$AV$13,0),MATCH(HSC_Hydrofluoric_Acid!$R6,'Tables - Part 2'!$AX$5:$BA$5,0))+INDEX('Tables - Part 2'!$BF$17:$BI$24,MATCH(HSC_Hydrofluoric_Acid!$T6,'Tables - Part 2'!$AV$6:$AV$13,0),MATCH(HSC_Hydrofluoric_Acid!$R6,'Tables - Part 2'!$AX$5:$BA$5,0)))/2)/2,0)</f>
        <v>0</v>
      </c>
      <c r="BI6" s="248">
        <f>IF($Q6=$BI$3,((((INDEX('Tables - Part 2'!$BB$17:$BE$24,MATCH(HSC_Hydrofluoric_Acid!$T6,'Tables - Part 2'!$AV$6:$AV$13,0),MATCH(HSC_Hydrofluoric_Acid!$R6,'Tables - Part 2'!$AX$5:$BA$5,0)))+(INDEX('Tables - Part 2'!$BB$17:$BE$24,MATCH(HSC_Hydrofluoric_Acid!$T6,'Tables - Part 2'!$AV$6:$AV$13,0),MATCH(HSC_Hydrofluoric_Acid!$R6,'Tables - Part 2'!$AX$5:$BA$5,0))+INDEX('Tables - Part 2'!$BF$17:$BI$24,MATCH(HSC_Hydrofluoric_Acid!$T6,'Tables - Part 2'!$AV$6:$AV$13,0),MATCH(HSC_Hydrofluoric_Acid!$R6,'Tables - Part 2'!$AX$5:$BA$5,0)))/2)/2)+((INDEX('Tables - Part 2'!$BB$17:$BE$24,MATCH(HSC_Hydrofluoric_Acid!$T6,'Tables - Part 2'!$AV$6:$AV$13,0),MATCH(HSC_Hydrofluoric_Acid!$R6,'Tables - Part 2'!$AX$5:$BA$5,0))+INDEX('Tables - Part 2'!$BF$17:$BI$24,MATCH(HSC_Hydrofluoric_Acid!$T6,'Tables - Part 2'!$AV$6:$AV$13,0),MATCH(HSC_Hydrofluoric_Acid!$R6,'Tables - Part 2'!$AX$5:$BA$5,0)))/2))/2,0)</f>
        <v>0</v>
      </c>
      <c r="BJ6" s="248">
        <f>IF($Q6=$BJ$3,(INDEX('Tables - Part 2'!$BB$17:$BE$24,MATCH(HSC_Hydrofluoric_Acid!$T6,'Tables - Part 2'!$AV$6:$AV$13,0),MATCH(HSC_Hydrofluoric_Acid!$R6,'Tables - Part 2'!$AX$5:$BA$5,0))+INDEX('Tables - Part 2'!$BF$17:$BI$24,MATCH(HSC_Hydrofluoric_Acid!$T6,'Tables - Part 2'!$AV$6:$AV$13,0),MATCH(HSC_Hydrofluoric_Acid!$R6,'Tables - Part 2'!$AX$5:$BA$5,0)))/2,0)</f>
        <v>0</v>
      </c>
      <c r="BK6" s="248">
        <f>IF($Q6=$BK$3,(((INDEX('Tables - Part 2'!$BB$17:$BE$24,MATCH(HSC_Hydrofluoric_Acid!$T6,'Tables - Part 2'!$AV$6:$AV$13,0),MATCH(HSC_Hydrofluoric_Acid!$R6,'Tables - Part 2'!$AX$5:$BA$5,0))+INDEX('Tables - Part 2'!$BF$17:$BI$24,MATCH(HSC_Hydrofluoric_Acid!$T6,'Tables - Part 2'!$AV$6:$AV$13,0),MATCH(HSC_Hydrofluoric_Acid!$R6,'Tables - Part 2'!$AX$5:$BA$5,0)))/2)+((((INDEX('Tables - Part 2'!$BB$17:$BE$24,MATCH(HSC_Hydrofluoric_Acid!$T6,'Tables - Part 2'!$AV$6:$AV$13,0),MATCH(HSC_Hydrofluoric_Acid!$R6,'Tables - Part 2'!$AX$5:$BA$5,0))+INDEX('Tables - Part 2'!$BF$17:$BI$24,MATCH(HSC_Hydrofluoric_Acid!$T6,'Tables - Part 2'!$AV$6:$AV$13,0),MATCH(HSC_Hydrofluoric_Acid!$R6,'Tables - Part 2'!$AX$5:$BA$5,0)))/2)+INDEX('Tables - Part 2'!$BF$17:$BI$24,MATCH(HSC_Hydrofluoric_Acid!$T6,'Tables - Part 2'!$AV$6:$AV$13,0),MATCH(HSC_Hydrofluoric_Acid!$R6,'Tables - Part 2'!$AX$5:$BA$5,0)))/2))/2,0)</f>
        <v>0</v>
      </c>
      <c r="BL6" s="248">
        <f>IF($Q6=$BL$3,(((INDEX('Tables - Part 2'!$BB$17:$BE$24,MATCH(HSC_Hydrofluoric_Acid!$T6,'Tables - Part 2'!$AV$6:$AV$13,0),MATCH(HSC_Hydrofluoric_Acid!$R6,'Tables - Part 2'!$AX$5:$BA$5,0))+INDEX('Tables - Part 2'!$BF$17:$BI$24,MATCH(HSC_Hydrofluoric_Acid!$T6,'Tables - Part 2'!$AV$6:$AV$13,0),MATCH(HSC_Hydrofluoric_Acid!$R6,'Tables - Part 2'!$AX$5:$BA$5,0)))/2)+INDEX('Tables - Part 2'!$BF$17:$BI$24,MATCH(HSC_Hydrofluoric_Acid!$T6,'Tables - Part 2'!$AV$6:$AV$13,0),MATCH(HSC_Hydrofluoric_Acid!$R6,'Tables - Part 2'!$AX$5:$BA$5,0)))/2,0)</f>
        <v>0</v>
      </c>
      <c r="BM6" s="248">
        <f>IF($Q6=$BM$3,(((((INDEX('Tables - Part 2'!$BB$17:$BE$24,MATCH(HSC_Hydrofluoric_Acid!$T6,'Tables - Part 2'!$AV$6:$AV$13,0),MATCH(HSC_Hydrofluoric_Acid!$R6,'Tables - Part 2'!$AX$5:$BA$5,0))+INDEX('Tables - Part 2'!$BF$17:$BI$24,MATCH(HSC_Hydrofluoric_Acid!$T6,'Tables - Part 2'!$AV$6:$AV$13,0),MATCH(HSC_Hydrofluoric_Acid!$R6,'Tables - Part 2'!$AX$5:$BA$5,0)))/2)+INDEX('Tables - Part 2'!$BF$17:$BI$24,MATCH(HSC_Hydrofluoric_Acid!$T6,'Tables - Part 2'!$AV$6:$AV$13,0),MATCH(HSC_Hydrofluoric_Acid!$R6,'Tables - Part 2'!$AX$5:$BA$5,0)))/2)+(INDEX('Tables - Part 2'!$BF$17:$BI$24,MATCH(HSC_Hydrofluoric_Acid!$T6,'Tables - Part 2'!$AV$6:$AV$13,0),MATCH(HSC_Hydrofluoric_Acid!$R6,'Tables - Part 2'!$AX$5:$BA$5,0))))/2,0)</f>
        <v>0</v>
      </c>
      <c r="BN6" s="248">
        <f>IF($Q6=$BN$3,INDEX('Tables - Part 2'!$BF$17:$BI$24,MATCH(HSC_Hydrofluoric_Acid!$T6,'Tables - Part 2'!$AV$6:$AV$13,0),MATCH(HSC_Hydrofluoric_Acid!$R6,'Tables - Part 2'!$AX$5:$BA$5,0)),0)</f>
        <v>0</v>
      </c>
      <c r="BO6" s="248">
        <f t="shared" si="6"/>
        <v>0</v>
      </c>
      <c r="BP6" s="238">
        <f t="shared" si="8"/>
        <v>1</v>
      </c>
      <c r="BQ6" s="238">
        <f t="shared" si="7"/>
        <v>16.77288246840839</v>
      </c>
    </row>
    <row r="7" spans="2:82" x14ac:dyDescent="0.35">
      <c r="B7" s="161" t="str">
        <f>'Tratamento de Dados'!B15</f>
        <v>V-11</v>
      </c>
      <c r="C7" s="161" t="str">
        <f>'Tratamento de Dados'!D15</f>
        <v>Casco</v>
      </c>
      <c r="D7" s="209" t="s">
        <v>245</v>
      </c>
      <c r="E7" s="209" t="s">
        <v>61</v>
      </c>
      <c r="F7" s="209" t="s">
        <v>244</v>
      </c>
      <c r="G7" s="209" t="s">
        <v>244</v>
      </c>
      <c r="H7" s="209" t="s">
        <v>1112</v>
      </c>
      <c r="I7" s="209" t="s">
        <v>245</v>
      </c>
      <c r="J7" s="210">
        <v>39092</v>
      </c>
      <c r="K7" s="209">
        <v>0</v>
      </c>
      <c r="L7" s="209">
        <v>1</v>
      </c>
      <c r="M7" s="209">
        <v>1</v>
      </c>
      <c r="N7" s="209">
        <v>4</v>
      </c>
      <c r="O7" s="253">
        <f>'Tratamento de Dados'!DA15</f>
        <v>0</v>
      </c>
      <c r="P7" s="253">
        <f>'Tratamento de Dados'!DB15</f>
        <v>0</v>
      </c>
      <c r="Q7" s="256">
        <f t="shared" si="0"/>
        <v>2.5</v>
      </c>
      <c r="R7" s="246" t="str">
        <f t="shared" si="1"/>
        <v>B</v>
      </c>
      <c r="S7" s="238" t="str" cm="1">
        <f t="array" ref="S7">IF(D7=$BV$2,$BT$4,IF(OR(F7=$BV$3,G7=$BV$3),$BT$5,INDEX(IF(I7=$BV$2,'Tables - Part 2'!$EA$5:$EC$5,'Tables - Part 2'!$DX$5:$DZ$5),,MATCH(HSC_Hydrofluoric_Acid!H7,'Tables - Part 2'!$DX$4:$DZ$4,0))))</f>
        <v>Low</v>
      </c>
      <c r="T7" s="238">
        <f>IF(AND(D7=$BV$2,E7&lt;&gt;$BV$2),"Fitness-For-Service",INDEX('Tables - Part 2'!$EF$4:$EF$7,MATCH(HSC_Hydrofluoric_Acid!S7,'Tables - Part 2'!$EE$4:$EE$7,0),))</f>
        <v>1</v>
      </c>
      <c r="U7" s="238">
        <f>IF(J7=0,(Thinning!G8-Thinning!F8)/365.25,(Thinning!G8-J7)/365.25)</f>
        <v>12.980150581793293</v>
      </c>
      <c r="V7" s="248">
        <f t="shared" si="2"/>
        <v>0</v>
      </c>
      <c r="W7" s="248">
        <f t="shared" si="3"/>
        <v>2.5</v>
      </c>
      <c r="X7" s="248">
        <f t="shared" si="4"/>
        <v>3</v>
      </c>
      <c r="Y7" s="247">
        <f t="shared" si="5"/>
        <v>4</v>
      </c>
      <c r="Z7" s="248">
        <f>IF($Q7=$Z$3,INDEX('Tables - Part 2'!$AX$6:$BA$13,MATCH(HSC_Hydrofluoric_Acid!T7,'Tables - Part 2'!$AV$6:$AV$13,0),MATCH(HSC_Hydrofluoric_Acid!R7,'Tables - Part 2'!$AX$5:$BA$5,0)),0)</f>
        <v>0</v>
      </c>
      <c r="AA7" s="248">
        <f>IF($Q7=$AA$3,(INDEX('Tables - Part 2'!$AX$6:$BA$13,MATCH(HSC_Hydrofluoric_Acid!T7,'Tables - Part 2'!$AV$6:$AV$13,0),MATCH(HSC_Hydrofluoric_Acid!R7,'Tables - Part 2'!$AX$5:$BA$5,0))+(INDEX('Tables - Part 2'!$AX$6:$BA$13,MATCH(HSC_Hydrofluoric_Acid!T7,'Tables - Part 2'!$AV$6:$AV$13,0),MATCH(HSC_Hydrofluoric_Acid!R7,'Tables - Part 2'!$AX$5:$BA$5,0))+((INDEX('Tables - Part 2'!$AX$6:$BA$13,MATCH(HSC_Hydrofluoric_Acid!T7,'Tables - Part 2'!$AV$6:$AV$13,0),MATCH(HSC_Hydrofluoric_Acid!R7,'Tables - Part 2'!$AX$5:$BA$5,0))+INDEX('Tables - Part 2'!$BB$6:$BE$13,MATCH(HSC_Hydrofluoric_Acid!$T7,'Tables - Part 2'!$AV$6:$AV$13,0),MATCH(HSC_Hydrofluoric_Acid!$R7,'Tables - Part 2'!$AX$5:$BA$5,0)))/2))/2)/2,0)</f>
        <v>0</v>
      </c>
      <c r="AB7" s="248">
        <f>IF($Q7=$AB$3,(INDEX('Tables - Part 2'!$AX$6:$BA$13,MATCH(HSC_Hydrofluoric_Acid!T7,'Tables - Part 2'!$AV$6:$AV$13,0),MATCH(HSC_Hydrofluoric_Acid!R7,'Tables - Part 2'!$AX$5:$BA$5,0))+((INDEX('Tables - Part 2'!$AX$6:$BA$13,MATCH(HSC_Hydrofluoric_Acid!T7,'Tables - Part 2'!$AV$6:$AV$13,0),MATCH(HSC_Hydrofluoric_Acid!R7,'Tables - Part 2'!$AX$5:$BA$5,0))+INDEX('Tables - Part 2'!$BB$6:$BE$13,MATCH(HSC_Hydrofluoric_Acid!$T7,'Tables - Part 2'!$AV$6:$AV$13,0),MATCH(HSC_Hydrofluoric_Acid!$R7,'Tables - Part 2'!$AX$5:$BA$5,0)))/2))/2,0)</f>
        <v>0</v>
      </c>
      <c r="AC7" s="248">
        <f>IF($Q7=$AC$3,(((INDEX('Tables - Part 2'!$AX$6:$BA$13,MATCH(HSC_Hydrofluoric_Acid!T7,'Tables - Part 2'!$AV$6:$AV$13,0),MATCH(HSC_Hydrofluoric_Acid!R7,'Tables - Part 2'!$AX$5:$BA$5,0))+((INDEX('Tables - Part 2'!$AX$6:$BA$13,MATCH(HSC_Hydrofluoric_Acid!T7,'Tables - Part 2'!$AV$6:$AV$13,0),MATCH(HSC_Hydrofluoric_Acid!R7,'Tables - Part 2'!$AX$5:$BA$5,0))+INDEX('Tables - Part 2'!$BB$6:$BE$13,MATCH(HSC_Hydrofluoric_Acid!$T7,'Tables - Part 2'!$AV$6:$AV$13,0),MATCH(HSC_Hydrofluoric_Acid!$R7,'Tables - Part 2'!$AX$5:$BA$5,0)))/2))/2)+(INDEX('Tables - Part 2'!$AX$6:$BA$13,MATCH(HSC_Hydrofluoric_Acid!T7,'Tables - Part 2'!$AV$6:$AV$13,0),MATCH(HSC_Hydrofluoric_Acid!R7,'Tables - Part 2'!$AX$5:$BA$5,0))+INDEX('Tables - Part 2'!$BB$6:$BE$13,MATCH(HSC_Hydrofluoric_Acid!$T7,'Tables - Part 2'!$AV$6:$AV$13,0),MATCH(HSC_Hydrofluoric_Acid!$R7,'Tables - Part 2'!$AX$5:$BA$5,0)))/2)/2,0)</f>
        <v>0</v>
      </c>
      <c r="AD7" s="248">
        <f>IF($Q7=$AD$3,(INDEX('Tables - Part 2'!$AX$6:$BA$13,MATCH(HSC_Hydrofluoric_Acid!T7,'Tables - Part 2'!$AV$6:$AV$13,0),MATCH(HSC_Hydrofluoric_Acid!R7,'Tables - Part 2'!$AX$5:$BA$5,0))+INDEX('Tables - Part 2'!$BB$6:$BE$13,MATCH(HSC_Hydrofluoric_Acid!$T7,'Tables - Part 2'!$AV$6:$AV$13,0),MATCH(HSC_Hydrofluoric_Acid!$R7,'Tables - Part 2'!$AX$5:$BA$5,0)))/2,0)</f>
        <v>0</v>
      </c>
      <c r="AE7" s="248">
        <f>IF($Q7=$AE$3,(((INDEX('Tables - Part 2'!$AX$6:$BA$13,MATCH(HSC_Hydrofluoric_Acid!T7,'Tables - Part 2'!$AV$6:$AV$13,0),MATCH(HSC_Hydrofluoric_Acid!R7,'Tables - Part 2'!$AX$5:$BA$5,0))+INDEX('Tables - Part 2'!$BB$6:$BE$13,MATCH(HSC_Hydrofluoric_Acid!$T7,'Tables - Part 2'!$AV$6:$AV$13,0),MATCH(HSC_Hydrofluoric_Acid!$R7,'Tables - Part 2'!$AX$5:$BA$5,0)))/2)+(((INDEX('Tables - Part 2'!$AX$6:$BA$13,MATCH(HSC_Hydrofluoric_Acid!T7,'Tables - Part 2'!$AV$6:$AV$13,0),MATCH(HSC_Hydrofluoric_Acid!R7,'Tables - Part 2'!$AX$5:$BA$5,0))+INDEX('Tables - Part 2'!$BB$6:$BE$13,MATCH(HSC_Hydrofluoric_Acid!$T7,'Tables - Part 2'!$AV$6:$AV$13,0),MATCH(HSC_Hydrofluoric_Acid!$R7,'Tables - Part 2'!$AX$5:$BA$5,0)))/2)+INDEX('Tables - Part 2'!$BB$6:$BE$13,MATCH(HSC_Hydrofluoric_Acid!$T7,'Tables - Part 2'!$AV$6:$AV$13,0),MATCH(HSC_Hydrofluoric_Acid!$R7,'Tables - Part 2'!$AX$5:$BA$5,0)))/2)/2,0)</f>
        <v>0</v>
      </c>
      <c r="AF7" s="248">
        <f>IF($Q7=$AF$3,(((INDEX('Tables - Part 2'!$AX$6:$BA$13,MATCH(HSC_Hydrofluoric_Acid!T7,'Tables - Part 2'!$AV$6:$AV$13,0),MATCH(HSC_Hydrofluoric_Acid!R7,'Tables - Part 2'!$AX$5:$BA$5,0))+INDEX('Tables - Part 2'!$BB$6:$BE$13,MATCH(HSC_Hydrofluoric_Acid!$T7,'Tables - Part 2'!$AV$6:$AV$13,0),MATCH(HSC_Hydrofluoric_Acid!$R7,'Tables - Part 2'!$AX$5:$BA$5,0)))/2)+INDEX('Tables - Part 2'!$BB$6:$BE$13,MATCH(HSC_Hydrofluoric_Acid!$T7,'Tables - Part 2'!$AV$6:$AV$13,0),MATCH(HSC_Hydrofluoric_Acid!$R7,'Tables - Part 2'!$AX$5:$BA$5,0)))/2,0)</f>
        <v>0</v>
      </c>
      <c r="AG7" s="248">
        <f>IF($Q7=$AG$3,(((((INDEX('Tables - Part 2'!$AX$6:$BA$13,MATCH(HSC_Hydrofluoric_Acid!T7,'Tables - Part 2'!$AV$6:$AV$13,0),MATCH(HSC_Hydrofluoric_Acid!R7,'Tables - Part 2'!$AX$5:$BA$5,0))+INDEX('Tables - Part 2'!$BB$6:$BE$13,MATCH(HSC_Hydrofluoric_Acid!$T7,'Tables - Part 2'!$AV$6:$AV$13,0),MATCH(HSC_Hydrofluoric_Acid!$R7,'Tables - Part 2'!$AX$5:$BA$5,0)))/2)+INDEX('Tables - Part 2'!$BB$6:$BE$13,MATCH(HSC_Hydrofluoric_Acid!$T7,'Tables - Part 2'!$AV$6:$AV$13,0),MATCH(HSC_Hydrofluoric_Acid!$R7,'Tables - Part 2'!$AX$5:$BA$5,0)))/2)+INDEX('Tables - Part 2'!$BB$6:$BE$13,MATCH(HSC_Hydrofluoric_Acid!$T7,'Tables - Part 2'!$AV$6:$AV$13,0),MATCH(HSC_Hydrofluoric_Acid!$R7,'Tables - Part 2'!$AX$5:$BA$5,0)))/2,0)</f>
        <v>0</v>
      </c>
      <c r="AH7" s="248">
        <f>IF($Q7=$AH$3,INDEX('Tables - Part 2'!$BB$6:$BE$13,MATCH(HSC_Hydrofluoric_Acid!$T7,'Tables - Part 2'!$AV$6:$AV$13,0),MATCH(HSC_Hydrofluoric_Acid!$R7,'Tables - Part 2'!$AX$5:$BA$5,0)),0)</f>
        <v>0</v>
      </c>
      <c r="AI7" s="248">
        <f>IF($Q7=$AI$3,((INDEX('Tables - Part 2'!$BB$6:$BE$13,MATCH(HSC_Hydrofluoric_Acid!$T7,'Tables - Part 2'!$AV$6:$AV$13,0),MATCH(HSC_Hydrofluoric_Acid!$R7,'Tables - Part 2'!$AX$5:$BA$5,0)))+(INDEX('Tables - Part 2'!$BB$6:$BE$13,MATCH(HSC_Hydrofluoric_Acid!$T7,'Tables - Part 2'!$AV$6:$AV$13,0),MATCH(HSC_Hydrofluoric_Acid!$R7,'Tables - Part 2'!$AX$5:$BA$5,0))+(INDEX('Tables - Part 2'!$BB$6:$BE$13,MATCH(HSC_Hydrofluoric_Acid!$T7,'Tables - Part 2'!$AV$6:$AV$13,0),MATCH(HSC_Hydrofluoric_Acid!$R7,'Tables - Part 2'!$AX$5:$BA$5,0))+INDEX('Tables - Part 2'!$BF$6:$BI$13,MATCH(HSC_Hydrofluoric_Acid!$T7,'Tables - Part 2'!$AV$6:$AV$13,0),MATCH(HSC_Hydrofluoric_Acid!$R7,'Tables - Part 2'!$AX$5:$BA$5,0)))/2)/2)/2,0)</f>
        <v>0</v>
      </c>
      <c r="AJ7" s="248">
        <f>IF($Q7=$AJ$3,(INDEX('Tables - Part 2'!$BB$6:$BE$13,MATCH(HSC_Hydrofluoric_Acid!$T7,'Tables - Part 2'!$AV$6:$AV$13,0),MATCH(HSC_Hydrofluoric_Acid!$R7,'Tables - Part 2'!$AX$5:$BA$5,0))+(INDEX('Tables - Part 2'!$BB$6:$BE$13,MATCH(HSC_Hydrofluoric_Acid!$T7,'Tables - Part 2'!$AV$6:$AV$13,0),MATCH(HSC_Hydrofluoric_Acid!$R7,'Tables - Part 2'!$AX$5:$BA$5,0))+INDEX('Tables - Part 2'!$BF$6:$BI$13,MATCH(HSC_Hydrofluoric_Acid!$T7,'Tables - Part 2'!$AV$6:$AV$13,0),MATCH(HSC_Hydrofluoric_Acid!$R7,'Tables - Part 2'!$AX$5:$BA$5,0)))/2)/2,0)</f>
        <v>0</v>
      </c>
      <c r="AK7" s="248">
        <f>IF($Q7=$AK$3,(((INDEX('Tables - Part 2'!$BB$6:$BE$13,MATCH(HSC_Hydrofluoric_Acid!$T7,'Tables - Part 2'!$AV$6:$AV$13,0),MATCH(HSC_Hydrofluoric_Acid!$R7,'Tables - Part 2'!$AX$5:$BA$5,0))+(INDEX('Tables - Part 2'!$BB$6:$BE$13,MATCH(HSC_Hydrofluoric_Acid!$T7,'Tables - Part 2'!$AV$6:$AV$13,0),MATCH(HSC_Hydrofluoric_Acid!$R7,'Tables - Part 2'!$AX$5:$BA$5,0))+INDEX('Tables - Part 2'!$BF$6:$BI$13,MATCH(HSC_Hydrofluoric_Acid!$T7,'Tables - Part 2'!$AV$6:$AV$13,0),MATCH(HSC_Hydrofluoric_Acid!$R7,'Tables - Part 2'!$AX$5:$BA$5,0)))/2)/2)+((INDEX('Tables - Part 2'!$BB$6:$BE$13,MATCH(HSC_Hydrofluoric_Acid!$T7,'Tables - Part 2'!$AV$6:$AV$13,0),MATCH(HSC_Hydrofluoric_Acid!$R7,'Tables - Part 2'!$AX$5:$BA$5,0))+INDEX('Tables - Part 2'!$BF$6:$BI$13,MATCH(HSC_Hydrofluoric_Acid!$T7,'Tables - Part 2'!$AV$6:$AV$13,0),MATCH(HSC_Hydrofluoric_Acid!$R7,'Tables - Part 2'!$AX$5:$BA$5,0)))/2))/2,0)</f>
        <v>0</v>
      </c>
      <c r="AL7" s="248">
        <f>IF($Q7=$AL$3,(INDEX('Tables - Part 2'!$BB$6:$BE$13,MATCH(HSC_Hydrofluoric_Acid!$T7,'Tables - Part 2'!$AV$6:$AV$13,0),MATCH(HSC_Hydrofluoric_Acid!$R7,'Tables - Part 2'!$AX$5:$BA$5,0))+INDEX('Tables - Part 2'!$BF$6:$BI$13,MATCH(HSC_Hydrofluoric_Acid!$T7,'Tables - Part 2'!$AV$6:$AV$13,0),MATCH(HSC_Hydrofluoric_Acid!$R7,'Tables - Part 2'!$AX$5:$BA$5,0)))/2,0)</f>
        <v>1</v>
      </c>
      <c r="AM7" s="248">
        <f>IF($Q7=$AM$3,(((INDEX('Tables - Part 2'!$BB$6:$BE$13,MATCH(HSC_Hydrofluoric_Acid!$T7,'Tables - Part 2'!$AV$6:$AV$13,0),MATCH(HSC_Hydrofluoric_Acid!$R7,'Tables - Part 2'!$AX$5:$BA$5,0))+INDEX('Tables - Part 2'!$BF$6:$BI$13,MATCH(HSC_Hydrofluoric_Acid!$T7,'Tables - Part 2'!$AV$6:$AV$13,0),MATCH(HSC_Hydrofluoric_Acid!$R7,'Tables - Part 2'!$AX$5:$BA$5,0)))/2)+((((INDEX('Tables - Part 2'!$BB$6:$BE$13,MATCH(HSC_Hydrofluoric_Acid!$T7,'Tables - Part 2'!$AV$6:$AV$13,0),MATCH(HSC_Hydrofluoric_Acid!$R7,'Tables - Part 2'!$AX$5:$BA$5,0))+INDEX('Tables - Part 2'!$BF$6:$BI$13,MATCH(HSC_Hydrofluoric_Acid!$T7,'Tables - Part 2'!$AV$6:$AV$13,0),MATCH(HSC_Hydrofluoric_Acid!$R7,'Tables - Part 2'!$AX$5:$BA$5,0)))/2)+INDEX('Tables - Part 2'!$BF$6:$BI$13,MATCH(HSC_Hydrofluoric_Acid!$T7,'Tables - Part 2'!$AV$6:$AV$13,0),MATCH(HSC_Hydrofluoric_Acid!$R7,'Tables - Part 2'!$AX$5:$BA$5,0)))/2))/2,0)</f>
        <v>0</v>
      </c>
      <c r="AN7" s="248">
        <f>IF($Q7=$AN$3,(((INDEX('Tables - Part 2'!$BB$6:$BE$13,MATCH(HSC_Hydrofluoric_Acid!$T7,'Tables - Part 2'!$AV$6:$AV$13,0),MATCH(HSC_Hydrofluoric_Acid!$R7,'Tables - Part 2'!$AX$5:$BA$5,0))+INDEX('Tables - Part 2'!$BF$6:$BI$13,MATCH(HSC_Hydrofluoric_Acid!$T7,'Tables - Part 2'!$AV$6:$AV$13,0),MATCH(HSC_Hydrofluoric_Acid!$R7,'Tables - Part 2'!$AX$5:$BA$5,0)))/2)+INDEX('Tables - Part 2'!$BF$6:$BI$13,MATCH(HSC_Hydrofluoric_Acid!$T7,'Tables - Part 2'!$AV$6:$AV$13,0),MATCH(HSC_Hydrofluoric_Acid!$R7,'Tables - Part 2'!$AX$5:$BA$5,0)))/2,0)</f>
        <v>0</v>
      </c>
      <c r="AO7" s="248">
        <f>IF($Q7=$AO$3,(((((INDEX('Tables - Part 2'!$BB$6:$BE$13,MATCH(HSC_Hydrofluoric_Acid!$T7,'Tables - Part 2'!$AV$6:$AV$13,0),MATCH(HSC_Hydrofluoric_Acid!$R7,'Tables - Part 2'!$AX$5:$BA$5,0))+INDEX('Tables - Part 2'!$BF$6:$BI$13,MATCH(HSC_Hydrofluoric_Acid!$T7,'Tables - Part 2'!$AV$6:$AV$13,0),MATCH(HSC_Hydrofluoric_Acid!$R7,'Tables - Part 2'!$AX$5:$BA$5,0)))/2)+INDEX('Tables - Part 2'!$BF$6:$BI$13,MATCH(HSC_Hydrofluoric_Acid!$T7,'Tables - Part 2'!$AV$6:$AV$13,0),MATCH(HSC_Hydrofluoric_Acid!$R7,'Tables - Part 2'!$AX$5:$BA$5,0)))/2)+INDEX('Tables - Part 2'!$BF$6:$BI$13,MATCH(HSC_Hydrofluoric_Acid!$T7,'Tables - Part 2'!$AV$6:$AV$13,0),MATCH(HSC_Hydrofluoric_Acid!$R7,'Tables - Part 2'!$AX$5:$BA$5,0)))/2,0)</f>
        <v>0</v>
      </c>
      <c r="AP7" s="248">
        <f>IF($Q7=$AP$3,INDEX('Tables - Part 2'!$BF$6:$BI$13,MATCH(HSC_Hydrofluoric_Acid!$T7,'Tables - Part 2'!$AV$6:$AV$13,0),MATCH(HSC_Hydrofluoric_Acid!$R7,'Tables - Part 2'!$AX$5:$BA$5,0)),0)</f>
        <v>0</v>
      </c>
      <c r="AQ7" s="248">
        <f>IF($Q7=$AQ$3,(INDEX('Tables - Part 2'!$BF$6:$BI$13,MATCH(HSC_Hydrofluoric_Acid!$T7,'Tables - Part 2'!$AV$6:$AV$13,0),MATCH(HSC_Hydrofluoric_Acid!$R7,'Tables - Part 2'!$AX$5:$BA$5,0))+((INDEX('Tables - Part 2'!$BF$6:$BI$13,MATCH(HSC_Hydrofluoric_Acid!$T7,'Tables - Part 2'!$AV$6:$AV$13,0),MATCH(HSC_Hydrofluoric_Acid!$R7,'Tables - Part 2'!$AX$5:$BA$5,0))+(INDEX('Tables - Part 2'!$BF$6:$BI$13,MATCH(HSC_Hydrofluoric_Acid!$T7,'Tables - Part 2'!$AV$6:$AV$13,0),MATCH(HSC_Hydrofluoric_Acid!$R7,'Tables - Part 2'!$AX$5:$BA$5,0))+INDEX('Tables - Part 2'!$AX$17:$BA$24,MATCH(HSC_Hydrofluoric_Acid!$T7,'Tables - Part 2'!$AV$6:$AV$13,0),MATCH(HSC_Hydrofluoric_Acid!$R7,'Tables - Part 2'!$AX$5:$BA$5,0)))/2)/2))/2,0)</f>
        <v>0</v>
      </c>
      <c r="AR7" s="248">
        <f>IF($Q7=$AR$3,(INDEX('Tables - Part 2'!$BF$6:$BI$13,MATCH(HSC_Hydrofluoric_Acid!$T7,'Tables - Part 2'!$AV$6:$AV$13,0),MATCH(HSC_Hydrofluoric_Acid!$R7,'Tables - Part 2'!$AX$5:$BA$5,0))+(INDEX('Tables - Part 2'!$BF$6:$BI$13,MATCH(HSC_Hydrofluoric_Acid!$T7,'Tables - Part 2'!$AV$6:$AV$13,0),MATCH(HSC_Hydrofluoric_Acid!$R7,'Tables - Part 2'!$AX$5:$BA$5,0))+INDEX('Tables - Part 2'!$AX$17:$BA$24,MATCH(HSC_Hydrofluoric_Acid!$T7,'Tables - Part 2'!$AV$6:$AV$13,0),MATCH(HSC_Hydrofluoric_Acid!$R7,'Tables - Part 2'!$AX$5:$BA$5,0)))/2)/2,0)</f>
        <v>0</v>
      </c>
      <c r="AS7" s="248">
        <f>IF($Q7=$AS$3,(((INDEX('Tables - Part 2'!$BF$6:$BI$13,MATCH(HSC_Hydrofluoric_Acid!$T7,'Tables - Part 2'!$AV$6:$AV$13,0),MATCH(HSC_Hydrofluoric_Acid!$R7,'Tables - Part 2'!$AX$5:$BA$5,0))+(INDEX('Tables - Part 2'!$BF$6:$BI$13,MATCH(HSC_Hydrofluoric_Acid!$T7,'Tables - Part 2'!$AV$6:$AV$13,0),MATCH(HSC_Hydrofluoric_Acid!$R7,'Tables - Part 2'!$AX$5:$BA$5,0))+INDEX('Tables - Part 2'!$AX$17:$BA$24,MATCH(HSC_Hydrofluoric_Acid!$T7,'Tables - Part 2'!$AV$6:$AV$13,0),MATCH(HSC_Hydrofluoric_Acid!$R7,'Tables - Part 2'!$AX$5:$BA$5,0)))/2)/2)+((INDEX('Tables - Part 2'!$BF$6:$BI$13,MATCH(HSC_Hydrofluoric_Acid!$T7,'Tables - Part 2'!$AV$6:$AV$13,0),MATCH(HSC_Hydrofluoric_Acid!$R7,'Tables - Part 2'!$AX$5:$BA$5,0))+INDEX('Tables - Part 2'!$AX$17:$BA$24,MATCH(HSC_Hydrofluoric_Acid!$T7,'Tables - Part 2'!$AV$6:$AV$13,0),MATCH(HSC_Hydrofluoric_Acid!$R7,'Tables - Part 2'!$AX$5:$BA$5,0)))/2))/2,0)</f>
        <v>0</v>
      </c>
      <c r="AT7" s="248">
        <f>IF($Q7=$AT$3,(INDEX('Tables - Part 2'!$BF$6:$BI$13,MATCH(HSC_Hydrofluoric_Acid!$T7,'Tables - Part 2'!$AV$6:$AV$13,0),MATCH(HSC_Hydrofluoric_Acid!$R7,'Tables - Part 2'!$AX$5:$BA$5,0))+INDEX('Tables - Part 2'!$AX$17:$BA$24,MATCH(HSC_Hydrofluoric_Acid!$T7,'Tables - Part 2'!$AV$6:$AV$13,0),MATCH(HSC_Hydrofluoric_Acid!$R7,'Tables - Part 2'!$AX$5:$BA$5,0)))/2,0)</f>
        <v>0</v>
      </c>
      <c r="AU7" s="248">
        <f>IF($Q7=$AU$3,(((INDEX('Tables - Part 2'!$BF$6:$BI$13,MATCH(HSC_Hydrofluoric_Acid!$T7,'Tables - Part 2'!$AV$6:$AV$13,0),MATCH(HSC_Hydrofluoric_Acid!$R7,'Tables - Part 2'!$AX$5:$BA$5,0))+INDEX('Tables - Part 2'!$AX$17:$BA$24,MATCH(HSC_Hydrofluoric_Acid!$T7,'Tables - Part 2'!$AV$6:$AV$13,0),MATCH(HSC_Hydrofluoric_Acid!$R7,'Tables - Part 2'!$AX$5:$BA$5,0)))/2)+((((INDEX('Tables - Part 2'!$BF$6:$BI$13,MATCH(HSC_Hydrofluoric_Acid!$T7,'Tables - Part 2'!$AV$6:$AV$13,0),MATCH(HSC_Hydrofluoric_Acid!$R7,'Tables - Part 2'!$AX$5:$BA$5,0))+INDEX('Tables - Part 2'!$AX$17:$BA$24,MATCH(HSC_Hydrofluoric_Acid!$T7,'Tables - Part 2'!$AV$6:$AV$13,0),MATCH(HSC_Hydrofluoric_Acid!$R7,'Tables - Part 2'!$AX$5:$BA$5,0)))/2)+INDEX('Tables - Part 2'!$AX$17:$BA$24,MATCH(HSC_Hydrofluoric_Acid!$T7,'Tables - Part 2'!$AV$6:$AV$13,0),MATCH(HSC_Hydrofluoric_Acid!$R7,'Tables - Part 2'!$AX$5:$BA$5,0)))/2))/2,0)</f>
        <v>0</v>
      </c>
      <c r="AV7" s="248">
        <f>IF($Q7=$AV$3,(((INDEX('Tables - Part 2'!$BF$6:$BI$13,MATCH(HSC_Hydrofluoric_Acid!$T7,'Tables - Part 2'!$AV$6:$AV$13,0),MATCH(HSC_Hydrofluoric_Acid!$R7,'Tables - Part 2'!$AX$5:$BA$5,0))+INDEX('Tables - Part 2'!$AX$17:$BA$24,MATCH(HSC_Hydrofluoric_Acid!$T7,'Tables - Part 2'!$AV$6:$AV$13,0),MATCH(HSC_Hydrofluoric_Acid!$R7,'Tables - Part 2'!$AX$5:$BA$5,0)))/2)+INDEX('Tables - Part 2'!$AX$17:$BA$24,MATCH(HSC_Hydrofluoric_Acid!$T7,'Tables - Part 2'!$AV$6:$AV$13,0),MATCH(HSC_Hydrofluoric_Acid!$R7,'Tables - Part 2'!$AX$5:$BA$5,0)))/2,0)</f>
        <v>0</v>
      </c>
      <c r="AW7" s="248">
        <f>IF($Q7=$AW$3,(((((INDEX('Tables - Part 2'!$BF$6:$BI$13,MATCH(HSC_Hydrofluoric_Acid!$T7,'Tables - Part 2'!$AV$6:$AV$13,0),MATCH(HSC_Hydrofluoric_Acid!$R7,'Tables - Part 2'!$AX$5:$BA$5,0))+INDEX('Tables - Part 2'!$AX$17:$BA$24,MATCH(HSC_Hydrofluoric_Acid!$T7,'Tables - Part 2'!$AV$6:$AV$13,0),MATCH(HSC_Hydrofluoric_Acid!$R7,'Tables - Part 2'!$AX$5:$BA$5,0)))/2)+INDEX('Tables - Part 2'!$AX$17:$BA$24,MATCH(HSC_Hydrofluoric_Acid!$T7,'Tables - Part 2'!$AV$6:$AV$13,0),MATCH(HSC_Hydrofluoric_Acid!$R7,'Tables - Part 2'!$AX$5:$BA$5,0)))/2)+(INDEX('Tables - Part 2'!$AX$17:$BA$24,MATCH(HSC_Hydrofluoric_Acid!$T7,'Tables - Part 2'!$AV$6:$AV$13,0),MATCH(HSC_Hydrofluoric_Acid!$R7,'Tables - Part 2'!$AX$5:$BA$5,0))))/2,0)</f>
        <v>0</v>
      </c>
      <c r="AX7" s="248">
        <f>IF($Q7=$AX$3,INDEX('Tables - Part 2'!$AX$17:$BA$24,MATCH(HSC_Hydrofluoric_Acid!$T7,'Tables - Part 2'!$AV$6:$AV$13,0),MATCH(HSC_Hydrofluoric_Acid!$R7,'Tables - Part 2'!$AX$5:$BA$5,0)),0)</f>
        <v>0</v>
      </c>
      <c r="AY7" s="248">
        <f>IF($Q7=$AY$3,((INDEX('Tables - Part 2'!$AX$17:$BA$24,MATCH(HSC_Hydrofluoric_Acid!$T7,'Tables - Part 2'!$AV$6:$AV$13,0),MATCH(HSC_Hydrofluoric_Acid!$R7,'Tables - Part 2'!$AX$5:$BA$5,0)))+(((INDEX('Tables - Part 2'!$AX$17:$BA$24,MATCH(HSC_Hydrofluoric_Acid!$T7,'Tables - Part 2'!$AV$6:$AV$13,0),MATCH(HSC_Hydrofluoric_Acid!$R7,'Tables - Part 2'!$AX$5:$BA$5,0)))+(INDEX('Tables - Part 2'!$AX$17:$BA$24,MATCH(HSC_Hydrofluoric_Acid!$T7,'Tables - Part 2'!$AV$6:$AV$13,0),MATCH(HSC_Hydrofluoric_Acid!$R7,'Tables - Part 2'!$AX$5:$BA$5,0))+INDEX('Tables - Part 2'!$BB$17:$BE$24,MATCH(HSC_Hydrofluoric_Acid!$T7,'Tables - Part 2'!$AV$6:$AV$13,0),MATCH(HSC_Hydrofluoric_Acid!$R7,'Tables - Part 2'!$AX$5:$BA$5,0)))/2)/2))/2,0)</f>
        <v>0</v>
      </c>
      <c r="AZ7" s="248">
        <f>IF($Q7=$AZ$3,((INDEX('Tables - Part 2'!$AX$17:$BA$24,MATCH(HSC_Hydrofluoric_Acid!$T7,'Tables - Part 2'!$AV$6:$AV$13,0),MATCH(HSC_Hydrofluoric_Acid!$R7,'Tables - Part 2'!$AX$5:$BA$5,0)))+(INDEX('Tables - Part 2'!$AX$17:$BA$24,MATCH(HSC_Hydrofluoric_Acid!$T7,'Tables - Part 2'!$AV$6:$AV$13,0),MATCH(HSC_Hydrofluoric_Acid!$R7,'Tables - Part 2'!$AX$5:$BA$5,0))+INDEX('Tables - Part 2'!$BB$17:$BE$24,MATCH(HSC_Hydrofluoric_Acid!$T7,'Tables - Part 2'!$AV$6:$AV$13,0),MATCH(HSC_Hydrofluoric_Acid!$R7,'Tables - Part 2'!$AX$5:$BA$5,0)))/2)/2,0)</f>
        <v>0</v>
      </c>
      <c r="BA7" s="248">
        <f>IF($Q7=$BA$3,((((INDEX('Tables - Part 2'!$AX$17:$BA$24,MATCH(HSC_Hydrofluoric_Acid!$T7,'Tables - Part 2'!$AV$6:$AV$13,0),MATCH(HSC_Hydrofluoric_Acid!$R7,'Tables - Part 2'!$AX$5:$BA$5,0)))+(INDEX('Tables - Part 2'!$AX$17:$BA$24,MATCH(HSC_Hydrofluoric_Acid!$T7,'Tables - Part 2'!$AV$6:$AV$13,0),MATCH(HSC_Hydrofluoric_Acid!$R7,'Tables - Part 2'!$AX$5:$BA$5,0))+INDEX('Tables - Part 2'!$BB$17:$BE$24,MATCH(HSC_Hydrofluoric_Acid!$T7,'Tables - Part 2'!$AV$6:$AV$13,0),MATCH(HSC_Hydrofluoric_Acid!$R7,'Tables - Part 2'!$AX$5:$BA$5,0)))/2)/2)+((INDEX('Tables - Part 2'!$AX$17:$BA$24,MATCH(HSC_Hydrofluoric_Acid!$T7,'Tables - Part 2'!$AV$6:$AV$13,0),MATCH(HSC_Hydrofluoric_Acid!$R7,'Tables - Part 2'!$AX$5:$BA$5,0))+INDEX('Tables - Part 2'!$BB$17:$BE$24,MATCH(HSC_Hydrofluoric_Acid!$T7,'Tables - Part 2'!$AV$6:$AV$13,0),MATCH(HSC_Hydrofluoric_Acid!$R7,'Tables - Part 2'!$AX$5:$BA$5,0)))/2))/2,0)</f>
        <v>0</v>
      </c>
      <c r="BB7" s="248">
        <f>IF($Q7=$BB$3,(INDEX('Tables - Part 2'!$AX$17:$BA$24,MATCH(HSC_Hydrofluoric_Acid!$T7,'Tables - Part 2'!$AV$6:$AV$13,0),MATCH(HSC_Hydrofluoric_Acid!$R7,'Tables - Part 2'!$AX$5:$BA$5,0))+INDEX('Tables - Part 2'!$BB$17:$BE$24,MATCH(HSC_Hydrofluoric_Acid!$T7,'Tables - Part 2'!$AV$6:$AV$13,0),MATCH(HSC_Hydrofluoric_Acid!$R7,'Tables - Part 2'!$AX$5:$BA$5,0)))/2,0)</f>
        <v>0</v>
      </c>
      <c r="BC7" s="248">
        <f>IF($Q7=$BC$3,(((INDEX('Tables - Part 2'!$AX$17:$BA$24,MATCH(HSC_Hydrofluoric_Acid!$T7,'Tables - Part 2'!$AV$6:$AV$13,0),MATCH(HSC_Hydrofluoric_Acid!$R7,'Tables - Part 2'!$AX$5:$BA$5,0))+INDEX('Tables - Part 2'!$BB$17:$BE$24,MATCH(HSC_Hydrofluoric_Acid!$T7,'Tables - Part 2'!$AV$6:$AV$13,0),MATCH(HSC_Hydrofluoric_Acid!$R7,'Tables - Part 2'!$AX$5:$BA$5,0)))/2)+((((INDEX('Tables - Part 2'!$AX$17:$BA$24,MATCH(HSC_Hydrofluoric_Acid!$T7,'Tables - Part 2'!$AV$6:$AV$13,0),MATCH(HSC_Hydrofluoric_Acid!$R7,'Tables - Part 2'!$AX$5:$BA$5,0))+INDEX('Tables - Part 2'!$BB$17:$BE$24,MATCH(HSC_Hydrofluoric_Acid!$T7,'Tables - Part 2'!$AV$6:$AV$13,0),MATCH(HSC_Hydrofluoric_Acid!$R7,'Tables - Part 2'!$AX$5:$BA$5,0)))/2)+INDEX('Tables - Part 2'!$BB$17:$BE$24,MATCH(HSC_Hydrofluoric_Acid!$T7,'Tables - Part 2'!$AV$6:$AV$13,0),MATCH(HSC_Hydrofluoric_Acid!$R7,'Tables - Part 2'!$AX$5:$BA$5,0)))/2))/2,0)</f>
        <v>0</v>
      </c>
      <c r="BD7" s="248">
        <f>IF($Q7=$BD$3,(((INDEX('Tables - Part 2'!$AX$17:$BA$24,MATCH(HSC_Hydrofluoric_Acid!$T7,'Tables - Part 2'!$AV$6:$AV$13,0),MATCH(HSC_Hydrofluoric_Acid!$R7,'Tables - Part 2'!$AX$5:$BA$5,0))+INDEX('Tables - Part 2'!$BB$17:$BE$24,MATCH(HSC_Hydrofluoric_Acid!$T7,'Tables - Part 2'!$AV$6:$AV$13,0),MATCH(HSC_Hydrofluoric_Acid!$R7,'Tables - Part 2'!$AX$5:$BA$5,0)))/2)+INDEX('Tables - Part 2'!$BB$17:$BE$24,MATCH(HSC_Hydrofluoric_Acid!$T7,'Tables - Part 2'!$AV$6:$AV$13,0),MATCH(HSC_Hydrofluoric_Acid!$R7,'Tables - Part 2'!$AX$5:$BA$5,0)))/2,0)</f>
        <v>0</v>
      </c>
      <c r="BE7" s="248">
        <f>IF($Q7=$BE$3,(((((INDEX('Tables - Part 2'!$AX$17:$BA$24,MATCH(HSC_Hydrofluoric_Acid!$T7,'Tables - Part 2'!$AV$6:$AV$13,0),MATCH(HSC_Hydrofluoric_Acid!$R7,'Tables - Part 2'!$AX$5:$BA$5,0))+INDEX('Tables - Part 2'!$BB$17:$BE$24,MATCH(HSC_Hydrofluoric_Acid!$T7,'Tables - Part 2'!$AV$6:$AV$13,0),MATCH(HSC_Hydrofluoric_Acid!$R7,'Tables - Part 2'!$AX$5:$BA$5,0)))/2)+INDEX('Tables - Part 2'!$BB$17:$BE$24,MATCH(HSC_Hydrofluoric_Acid!$T7,'Tables - Part 2'!$AV$6:$AV$13,0),MATCH(HSC_Hydrofluoric_Acid!$R7,'Tables - Part 2'!$AX$5:$BA$5,0)))/2)+(INDEX('Tables - Part 2'!$BB$17:$BE$24,MATCH(HSC_Hydrofluoric_Acid!$T7,'Tables - Part 2'!$AV$6:$AV$13,0),MATCH(HSC_Hydrofluoric_Acid!$R7,'Tables - Part 2'!$AX$5:$BA$5,0))))/2,0)</f>
        <v>0</v>
      </c>
      <c r="BF7" s="248">
        <f>IF($Q7=$BF$3,INDEX('Tables - Part 2'!$BB$17:$BE$24,MATCH(HSC_Hydrofluoric_Acid!$T7,'Tables - Part 2'!$AV$6:$AV$13,0),MATCH(HSC_Hydrofluoric_Acid!$R7,'Tables - Part 2'!$AX$5:$BA$5,0)),0)</f>
        <v>0</v>
      </c>
      <c r="BG7" s="248">
        <f>IF($Q7=$BG$3,((INDEX('Tables - Part 2'!$BB$17:$BE$24,MATCH(HSC_Hydrofluoric_Acid!$T7,'Tables - Part 2'!$AV$6:$AV$13,0),MATCH(HSC_Hydrofluoric_Acid!$R7,'Tables - Part 2'!$AX$5:$BA$5,0)))+(((INDEX('Tables - Part 2'!$BB$17:$BE$24,MATCH(HSC_Hydrofluoric_Acid!$T7,'Tables - Part 2'!$AV$6:$AV$13,0),MATCH(HSC_Hydrofluoric_Acid!$R7,'Tables - Part 2'!$AX$5:$BA$5,0)))+(INDEX('Tables - Part 2'!$BB$17:$BE$24,MATCH(HSC_Hydrofluoric_Acid!$T7,'Tables - Part 2'!$AV$6:$AV$13,0),MATCH(HSC_Hydrofluoric_Acid!$R7,'Tables - Part 2'!$AX$5:$BA$5,0))+INDEX('Tables - Part 2'!$BF$17:$BI$24,MATCH(HSC_Hydrofluoric_Acid!$T7,'Tables - Part 2'!$AV$6:$AV$13,0),MATCH(HSC_Hydrofluoric_Acid!$R7,'Tables - Part 2'!$AX$5:$BA$5,0)))/2)/2))/2,0)</f>
        <v>0</v>
      </c>
      <c r="BH7" s="248">
        <f>IF($Q7=$BH$3,((INDEX('Tables - Part 2'!$BB$17:$BE$24,MATCH(HSC_Hydrofluoric_Acid!$T7,'Tables - Part 2'!$AV$6:$AV$13,0),MATCH(HSC_Hydrofluoric_Acid!$R7,'Tables - Part 2'!$AX$5:$BA$5,0)))+(INDEX('Tables - Part 2'!$BB$17:$BE$24,MATCH(HSC_Hydrofluoric_Acid!$T7,'Tables - Part 2'!$AV$6:$AV$13,0),MATCH(HSC_Hydrofluoric_Acid!$R7,'Tables - Part 2'!$AX$5:$BA$5,0))+INDEX('Tables - Part 2'!$BF$17:$BI$24,MATCH(HSC_Hydrofluoric_Acid!$T7,'Tables - Part 2'!$AV$6:$AV$13,0),MATCH(HSC_Hydrofluoric_Acid!$R7,'Tables - Part 2'!$AX$5:$BA$5,0)))/2)/2,0)</f>
        <v>0</v>
      </c>
      <c r="BI7" s="248">
        <f>IF($Q7=$BI$3,((((INDEX('Tables - Part 2'!$BB$17:$BE$24,MATCH(HSC_Hydrofluoric_Acid!$T7,'Tables - Part 2'!$AV$6:$AV$13,0),MATCH(HSC_Hydrofluoric_Acid!$R7,'Tables - Part 2'!$AX$5:$BA$5,0)))+(INDEX('Tables - Part 2'!$BB$17:$BE$24,MATCH(HSC_Hydrofluoric_Acid!$T7,'Tables - Part 2'!$AV$6:$AV$13,0),MATCH(HSC_Hydrofluoric_Acid!$R7,'Tables - Part 2'!$AX$5:$BA$5,0))+INDEX('Tables - Part 2'!$BF$17:$BI$24,MATCH(HSC_Hydrofluoric_Acid!$T7,'Tables - Part 2'!$AV$6:$AV$13,0),MATCH(HSC_Hydrofluoric_Acid!$R7,'Tables - Part 2'!$AX$5:$BA$5,0)))/2)/2)+((INDEX('Tables - Part 2'!$BB$17:$BE$24,MATCH(HSC_Hydrofluoric_Acid!$T7,'Tables - Part 2'!$AV$6:$AV$13,0),MATCH(HSC_Hydrofluoric_Acid!$R7,'Tables - Part 2'!$AX$5:$BA$5,0))+INDEX('Tables - Part 2'!$BF$17:$BI$24,MATCH(HSC_Hydrofluoric_Acid!$T7,'Tables - Part 2'!$AV$6:$AV$13,0),MATCH(HSC_Hydrofluoric_Acid!$R7,'Tables - Part 2'!$AX$5:$BA$5,0)))/2))/2,0)</f>
        <v>0</v>
      </c>
      <c r="BJ7" s="248">
        <f>IF($Q7=$BJ$3,(INDEX('Tables - Part 2'!$BB$17:$BE$24,MATCH(HSC_Hydrofluoric_Acid!$T7,'Tables - Part 2'!$AV$6:$AV$13,0),MATCH(HSC_Hydrofluoric_Acid!$R7,'Tables - Part 2'!$AX$5:$BA$5,0))+INDEX('Tables - Part 2'!$BF$17:$BI$24,MATCH(HSC_Hydrofluoric_Acid!$T7,'Tables - Part 2'!$AV$6:$AV$13,0),MATCH(HSC_Hydrofluoric_Acid!$R7,'Tables - Part 2'!$AX$5:$BA$5,0)))/2,0)</f>
        <v>0</v>
      </c>
      <c r="BK7" s="248">
        <f>IF($Q7=$BK$3,(((INDEX('Tables - Part 2'!$BB$17:$BE$24,MATCH(HSC_Hydrofluoric_Acid!$T7,'Tables - Part 2'!$AV$6:$AV$13,0),MATCH(HSC_Hydrofluoric_Acid!$R7,'Tables - Part 2'!$AX$5:$BA$5,0))+INDEX('Tables - Part 2'!$BF$17:$BI$24,MATCH(HSC_Hydrofluoric_Acid!$T7,'Tables - Part 2'!$AV$6:$AV$13,0),MATCH(HSC_Hydrofluoric_Acid!$R7,'Tables - Part 2'!$AX$5:$BA$5,0)))/2)+((((INDEX('Tables - Part 2'!$BB$17:$BE$24,MATCH(HSC_Hydrofluoric_Acid!$T7,'Tables - Part 2'!$AV$6:$AV$13,0),MATCH(HSC_Hydrofluoric_Acid!$R7,'Tables - Part 2'!$AX$5:$BA$5,0))+INDEX('Tables - Part 2'!$BF$17:$BI$24,MATCH(HSC_Hydrofluoric_Acid!$T7,'Tables - Part 2'!$AV$6:$AV$13,0),MATCH(HSC_Hydrofluoric_Acid!$R7,'Tables - Part 2'!$AX$5:$BA$5,0)))/2)+INDEX('Tables - Part 2'!$BF$17:$BI$24,MATCH(HSC_Hydrofluoric_Acid!$T7,'Tables - Part 2'!$AV$6:$AV$13,0),MATCH(HSC_Hydrofluoric_Acid!$R7,'Tables - Part 2'!$AX$5:$BA$5,0)))/2))/2,0)</f>
        <v>0</v>
      </c>
      <c r="BL7" s="248">
        <f>IF($Q7=$BL$3,(((INDEX('Tables - Part 2'!$BB$17:$BE$24,MATCH(HSC_Hydrofluoric_Acid!$T7,'Tables - Part 2'!$AV$6:$AV$13,0),MATCH(HSC_Hydrofluoric_Acid!$R7,'Tables - Part 2'!$AX$5:$BA$5,0))+INDEX('Tables - Part 2'!$BF$17:$BI$24,MATCH(HSC_Hydrofluoric_Acid!$T7,'Tables - Part 2'!$AV$6:$AV$13,0),MATCH(HSC_Hydrofluoric_Acid!$R7,'Tables - Part 2'!$AX$5:$BA$5,0)))/2)+INDEX('Tables - Part 2'!$BF$17:$BI$24,MATCH(HSC_Hydrofluoric_Acid!$T7,'Tables - Part 2'!$AV$6:$AV$13,0),MATCH(HSC_Hydrofluoric_Acid!$R7,'Tables - Part 2'!$AX$5:$BA$5,0)))/2,0)</f>
        <v>0</v>
      </c>
      <c r="BM7" s="248">
        <f>IF($Q7=$BM$3,(((((INDEX('Tables - Part 2'!$BB$17:$BE$24,MATCH(HSC_Hydrofluoric_Acid!$T7,'Tables - Part 2'!$AV$6:$AV$13,0),MATCH(HSC_Hydrofluoric_Acid!$R7,'Tables - Part 2'!$AX$5:$BA$5,0))+INDEX('Tables - Part 2'!$BF$17:$BI$24,MATCH(HSC_Hydrofluoric_Acid!$T7,'Tables - Part 2'!$AV$6:$AV$13,0),MATCH(HSC_Hydrofluoric_Acid!$R7,'Tables - Part 2'!$AX$5:$BA$5,0)))/2)+INDEX('Tables - Part 2'!$BF$17:$BI$24,MATCH(HSC_Hydrofluoric_Acid!$T7,'Tables - Part 2'!$AV$6:$AV$13,0),MATCH(HSC_Hydrofluoric_Acid!$R7,'Tables - Part 2'!$AX$5:$BA$5,0)))/2)+(INDEX('Tables - Part 2'!$BF$17:$BI$24,MATCH(HSC_Hydrofluoric_Acid!$T7,'Tables - Part 2'!$AV$6:$AV$13,0),MATCH(HSC_Hydrofluoric_Acid!$R7,'Tables - Part 2'!$AX$5:$BA$5,0))))/2,0)</f>
        <v>0</v>
      </c>
      <c r="BN7" s="248">
        <f>IF($Q7=$BN$3,INDEX('Tables - Part 2'!$BF$17:$BI$24,MATCH(HSC_Hydrofluoric_Acid!$T7,'Tables - Part 2'!$AV$6:$AV$13,0),MATCH(HSC_Hydrofluoric_Acid!$R7,'Tables - Part 2'!$AX$5:$BA$5,0)),0)</f>
        <v>0</v>
      </c>
      <c r="BO7" s="248">
        <f t="shared" si="6"/>
        <v>0</v>
      </c>
      <c r="BP7" s="238">
        <f t="shared" si="8"/>
        <v>1</v>
      </c>
      <c r="BQ7" s="238">
        <f t="shared" si="7"/>
        <v>16.77288246840839</v>
      </c>
    </row>
    <row r="8" spans="2:82" x14ac:dyDescent="0.35">
      <c r="B8" s="161" t="str">
        <f>'Tratamento de Dados'!B16</f>
        <v>V-13</v>
      </c>
      <c r="C8" s="161" t="str">
        <f>'Tratamento de Dados'!D16</f>
        <v>Casco</v>
      </c>
      <c r="D8" s="209" t="s">
        <v>245</v>
      </c>
      <c r="E8" s="209" t="s">
        <v>61</v>
      </c>
      <c r="F8" s="209" t="s">
        <v>244</v>
      </c>
      <c r="G8" s="209" t="s">
        <v>244</v>
      </c>
      <c r="H8" s="209" t="s">
        <v>1112</v>
      </c>
      <c r="I8" s="209" t="s">
        <v>245</v>
      </c>
      <c r="J8" s="210">
        <v>39092</v>
      </c>
      <c r="K8" s="209">
        <v>0</v>
      </c>
      <c r="L8" s="209">
        <v>1</v>
      </c>
      <c r="M8" s="209">
        <v>1</v>
      </c>
      <c r="N8" s="209">
        <v>4</v>
      </c>
      <c r="O8" s="253">
        <f>'Tratamento de Dados'!DA16</f>
        <v>0</v>
      </c>
      <c r="P8" s="253">
        <f>'Tratamento de Dados'!DB16</f>
        <v>0</v>
      </c>
      <c r="Q8" s="256">
        <f t="shared" si="0"/>
        <v>2.5</v>
      </c>
      <c r="R8" s="246" t="str">
        <f t="shared" si="1"/>
        <v>B</v>
      </c>
      <c r="S8" s="238" t="str" cm="1">
        <f t="array" ref="S8">IF(D8=$BV$2,$BT$4,IF(OR(F8=$BV$3,G8=$BV$3),$BT$5,INDEX(IF(I8=$BV$2,'Tables - Part 2'!$EA$5:$EC$5,'Tables - Part 2'!$DX$5:$DZ$5),,MATCH(HSC_Hydrofluoric_Acid!H8,'Tables - Part 2'!$DX$4:$DZ$4,0))))</f>
        <v>Low</v>
      </c>
      <c r="T8" s="238">
        <f>IF(AND(D8=$BV$2,E8&lt;&gt;$BV$2),"Fitness-For-Service",INDEX('Tables - Part 2'!$EF$4:$EF$7,MATCH(HSC_Hydrofluoric_Acid!S8,'Tables - Part 2'!$EE$4:$EE$7,0),))</f>
        <v>1</v>
      </c>
      <c r="U8" s="238">
        <f>IF(J8=0,(Thinning!G9-Thinning!F9)/365.25,(Thinning!G9-J8)/365.25)</f>
        <v>12.980150581793293</v>
      </c>
      <c r="V8" s="248">
        <f t="shared" si="2"/>
        <v>0</v>
      </c>
      <c r="W8" s="248">
        <f t="shared" si="3"/>
        <v>2.5</v>
      </c>
      <c r="X8" s="248">
        <f t="shared" si="4"/>
        <v>3</v>
      </c>
      <c r="Y8" s="247">
        <f t="shared" si="5"/>
        <v>4</v>
      </c>
      <c r="Z8" s="248">
        <f>IF($Q8=$Z$3,INDEX('Tables - Part 2'!$AX$6:$BA$13,MATCH(HSC_Hydrofluoric_Acid!T8,'Tables - Part 2'!$AV$6:$AV$13,0),MATCH(HSC_Hydrofluoric_Acid!R8,'Tables - Part 2'!$AX$5:$BA$5,0)),0)</f>
        <v>0</v>
      </c>
      <c r="AA8" s="248">
        <f>IF($Q8=$AA$3,(INDEX('Tables - Part 2'!$AX$6:$BA$13,MATCH(HSC_Hydrofluoric_Acid!T8,'Tables - Part 2'!$AV$6:$AV$13,0),MATCH(HSC_Hydrofluoric_Acid!R8,'Tables - Part 2'!$AX$5:$BA$5,0))+(INDEX('Tables - Part 2'!$AX$6:$BA$13,MATCH(HSC_Hydrofluoric_Acid!T8,'Tables - Part 2'!$AV$6:$AV$13,0),MATCH(HSC_Hydrofluoric_Acid!R8,'Tables - Part 2'!$AX$5:$BA$5,0))+((INDEX('Tables - Part 2'!$AX$6:$BA$13,MATCH(HSC_Hydrofluoric_Acid!T8,'Tables - Part 2'!$AV$6:$AV$13,0),MATCH(HSC_Hydrofluoric_Acid!R8,'Tables - Part 2'!$AX$5:$BA$5,0))+INDEX('Tables - Part 2'!$BB$6:$BE$13,MATCH(HSC_Hydrofluoric_Acid!$T8,'Tables - Part 2'!$AV$6:$AV$13,0),MATCH(HSC_Hydrofluoric_Acid!$R8,'Tables - Part 2'!$AX$5:$BA$5,0)))/2))/2)/2,0)</f>
        <v>0</v>
      </c>
      <c r="AB8" s="248">
        <f>IF($Q8=$AB$3,(INDEX('Tables - Part 2'!$AX$6:$BA$13,MATCH(HSC_Hydrofluoric_Acid!T8,'Tables - Part 2'!$AV$6:$AV$13,0),MATCH(HSC_Hydrofluoric_Acid!R8,'Tables - Part 2'!$AX$5:$BA$5,0))+((INDEX('Tables - Part 2'!$AX$6:$BA$13,MATCH(HSC_Hydrofluoric_Acid!T8,'Tables - Part 2'!$AV$6:$AV$13,0),MATCH(HSC_Hydrofluoric_Acid!R8,'Tables - Part 2'!$AX$5:$BA$5,0))+INDEX('Tables - Part 2'!$BB$6:$BE$13,MATCH(HSC_Hydrofluoric_Acid!$T8,'Tables - Part 2'!$AV$6:$AV$13,0),MATCH(HSC_Hydrofluoric_Acid!$R8,'Tables - Part 2'!$AX$5:$BA$5,0)))/2))/2,0)</f>
        <v>0</v>
      </c>
      <c r="AC8" s="248">
        <f>IF($Q8=$AC$3,(((INDEX('Tables - Part 2'!$AX$6:$BA$13,MATCH(HSC_Hydrofluoric_Acid!T8,'Tables - Part 2'!$AV$6:$AV$13,0),MATCH(HSC_Hydrofluoric_Acid!R8,'Tables - Part 2'!$AX$5:$BA$5,0))+((INDEX('Tables - Part 2'!$AX$6:$BA$13,MATCH(HSC_Hydrofluoric_Acid!T8,'Tables - Part 2'!$AV$6:$AV$13,0),MATCH(HSC_Hydrofluoric_Acid!R8,'Tables - Part 2'!$AX$5:$BA$5,0))+INDEX('Tables - Part 2'!$BB$6:$BE$13,MATCH(HSC_Hydrofluoric_Acid!$T8,'Tables - Part 2'!$AV$6:$AV$13,0),MATCH(HSC_Hydrofluoric_Acid!$R8,'Tables - Part 2'!$AX$5:$BA$5,0)))/2))/2)+(INDEX('Tables - Part 2'!$AX$6:$BA$13,MATCH(HSC_Hydrofluoric_Acid!T8,'Tables - Part 2'!$AV$6:$AV$13,0),MATCH(HSC_Hydrofluoric_Acid!R8,'Tables - Part 2'!$AX$5:$BA$5,0))+INDEX('Tables - Part 2'!$BB$6:$BE$13,MATCH(HSC_Hydrofluoric_Acid!$T8,'Tables - Part 2'!$AV$6:$AV$13,0),MATCH(HSC_Hydrofluoric_Acid!$R8,'Tables - Part 2'!$AX$5:$BA$5,0)))/2)/2,0)</f>
        <v>0</v>
      </c>
      <c r="AD8" s="248">
        <f>IF($Q8=$AD$3,(INDEX('Tables - Part 2'!$AX$6:$BA$13,MATCH(HSC_Hydrofluoric_Acid!T8,'Tables - Part 2'!$AV$6:$AV$13,0),MATCH(HSC_Hydrofluoric_Acid!R8,'Tables - Part 2'!$AX$5:$BA$5,0))+INDEX('Tables - Part 2'!$BB$6:$BE$13,MATCH(HSC_Hydrofluoric_Acid!$T8,'Tables - Part 2'!$AV$6:$AV$13,0),MATCH(HSC_Hydrofluoric_Acid!$R8,'Tables - Part 2'!$AX$5:$BA$5,0)))/2,0)</f>
        <v>0</v>
      </c>
      <c r="AE8" s="248">
        <f>IF($Q8=$AE$3,(((INDEX('Tables - Part 2'!$AX$6:$BA$13,MATCH(HSC_Hydrofluoric_Acid!T8,'Tables - Part 2'!$AV$6:$AV$13,0),MATCH(HSC_Hydrofluoric_Acid!R8,'Tables - Part 2'!$AX$5:$BA$5,0))+INDEX('Tables - Part 2'!$BB$6:$BE$13,MATCH(HSC_Hydrofluoric_Acid!$T8,'Tables - Part 2'!$AV$6:$AV$13,0),MATCH(HSC_Hydrofluoric_Acid!$R8,'Tables - Part 2'!$AX$5:$BA$5,0)))/2)+(((INDEX('Tables - Part 2'!$AX$6:$BA$13,MATCH(HSC_Hydrofluoric_Acid!T8,'Tables - Part 2'!$AV$6:$AV$13,0),MATCH(HSC_Hydrofluoric_Acid!R8,'Tables - Part 2'!$AX$5:$BA$5,0))+INDEX('Tables - Part 2'!$BB$6:$BE$13,MATCH(HSC_Hydrofluoric_Acid!$T8,'Tables - Part 2'!$AV$6:$AV$13,0),MATCH(HSC_Hydrofluoric_Acid!$R8,'Tables - Part 2'!$AX$5:$BA$5,0)))/2)+INDEX('Tables - Part 2'!$BB$6:$BE$13,MATCH(HSC_Hydrofluoric_Acid!$T8,'Tables - Part 2'!$AV$6:$AV$13,0),MATCH(HSC_Hydrofluoric_Acid!$R8,'Tables - Part 2'!$AX$5:$BA$5,0)))/2)/2,0)</f>
        <v>0</v>
      </c>
      <c r="AF8" s="248">
        <f>IF($Q8=$AF$3,(((INDEX('Tables - Part 2'!$AX$6:$BA$13,MATCH(HSC_Hydrofluoric_Acid!T8,'Tables - Part 2'!$AV$6:$AV$13,0),MATCH(HSC_Hydrofluoric_Acid!R8,'Tables - Part 2'!$AX$5:$BA$5,0))+INDEX('Tables - Part 2'!$BB$6:$BE$13,MATCH(HSC_Hydrofluoric_Acid!$T8,'Tables - Part 2'!$AV$6:$AV$13,0),MATCH(HSC_Hydrofluoric_Acid!$R8,'Tables - Part 2'!$AX$5:$BA$5,0)))/2)+INDEX('Tables - Part 2'!$BB$6:$BE$13,MATCH(HSC_Hydrofluoric_Acid!$T8,'Tables - Part 2'!$AV$6:$AV$13,0),MATCH(HSC_Hydrofluoric_Acid!$R8,'Tables - Part 2'!$AX$5:$BA$5,0)))/2,0)</f>
        <v>0</v>
      </c>
      <c r="AG8" s="248">
        <f>IF($Q8=$AG$3,(((((INDEX('Tables - Part 2'!$AX$6:$BA$13,MATCH(HSC_Hydrofluoric_Acid!T8,'Tables - Part 2'!$AV$6:$AV$13,0),MATCH(HSC_Hydrofluoric_Acid!R8,'Tables - Part 2'!$AX$5:$BA$5,0))+INDEX('Tables - Part 2'!$BB$6:$BE$13,MATCH(HSC_Hydrofluoric_Acid!$T8,'Tables - Part 2'!$AV$6:$AV$13,0),MATCH(HSC_Hydrofluoric_Acid!$R8,'Tables - Part 2'!$AX$5:$BA$5,0)))/2)+INDEX('Tables - Part 2'!$BB$6:$BE$13,MATCH(HSC_Hydrofluoric_Acid!$T8,'Tables - Part 2'!$AV$6:$AV$13,0),MATCH(HSC_Hydrofluoric_Acid!$R8,'Tables - Part 2'!$AX$5:$BA$5,0)))/2)+INDEX('Tables - Part 2'!$BB$6:$BE$13,MATCH(HSC_Hydrofluoric_Acid!$T8,'Tables - Part 2'!$AV$6:$AV$13,0),MATCH(HSC_Hydrofluoric_Acid!$R8,'Tables - Part 2'!$AX$5:$BA$5,0)))/2,0)</f>
        <v>0</v>
      </c>
      <c r="AH8" s="248">
        <f>IF($Q8=$AH$3,INDEX('Tables - Part 2'!$BB$6:$BE$13,MATCH(HSC_Hydrofluoric_Acid!$T8,'Tables - Part 2'!$AV$6:$AV$13,0),MATCH(HSC_Hydrofluoric_Acid!$R8,'Tables - Part 2'!$AX$5:$BA$5,0)),0)</f>
        <v>0</v>
      </c>
      <c r="AI8" s="248">
        <f>IF($Q8=$AI$3,((INDEX('Tables - Part 2'!$BB$6:$BE$13,MATCH(HSC_Hydrofluoric_Acid!$T8,'Tables - Part 2'!$AV$6:$AV$13,0),MATCH(HSC_Hydrofluoric_Acid!$R8,'Tables - Part 2'!$AX$5:$BA$5,0)))+(INDEX('Tables - Part 2'!$BB$6:$BE$13,MATCH(HSC_Hydrofluoric_Acid!$T8,'Tables - Part 2'!$AV$6:$AV$13,0),MATCH(HSC_Hydrofluoric_Acid!$R8,'Tables - Part 2'!$AX$5:$BA$5,0))+(INDEX('Tables - Part 2'!$BB$6:$BE$13,MATCH(HSC_Hydrofluoric_Acid!$T8,'Tables - Part 2'!$AV$6:$AV$13,0),MATCH(HSC_Hydrofluoric_Acid!$R8,'Tables - Part 2'!$AX$5:$BA$5,0))+INDEX('Tables - Part 2'!$BF$6:$BI$13,MATCH(HSC_Hydrofluoric_Acid!$T8,'Tables - Part 2'!$AV$6:$AV$13,0),MATCH(HSC_Hydrofluoric_Acid!$R8,'Tables - Part 2'!$AX$5:$BA$5,0)))/2)/2)/2,0)</f>
        <v>0</v>
      </c>
      <c r="AJ8" s="248">
        <f>IF($Q8=$AJ$3,(INDEX('Tables - Part 2'!$BB$6:$BE$13,MATCH(HSC_Hydrofluoric_Acid!$T8,'Tables - Part 2'!$AV$6:$AV$13,0),MATCH(HSC_Hydrofluoric_Acid!$R8,'Tables - Part 2'!$AX$5:$BA$5,0))+(INDEX('Tables - Part 2'!$BB$6:$BE$13,MATCH(HSC_Hydrofluoric_Acid!$T8,'Tables - Part 2'!$AV$6:$AV$13,0),MATCH(HSC_Hydrofluoric_Acid!$R8,'Tables - Part 2'!$AX$5:$BA$5,0))+INDEX('Tables - Part 2'!$BF$6:$BI$13,MATCH(HSC_Hydrofluoric_Acid!$T8,'Tables - Part 2'!$AV$6:$AV$13,0),MATCH(HSC_Hydrofluoric_Acid!$R8,'Tables - Part 2'!$AX$5:$BA$5,0)))/2)/2,0)</f>
        <v>0</v>
      </c>
      <c r="AK8" s="248">
        <f>IF($Q8=$AK$3,(((INDEX('Tables - Part 2'!$BB$6:$BE$13,MATCH(HSC_Hydrofluoric_Acid!$T8,'Tables - Part 2'!$AV$6:$AV$13,0),MATCH(HSC_Hydrofluoric_Acid!$R8,'Tables - Part 2'!$AX$5:$BA$5,0))+(INDEX('Tables - Part 2'!$BB$6:$BE$13,MATCH(HSC_Hydrofluoric_Acid!$T8,'Tables - Part 2'!$AV$6:$AV$13,0),MATCH(HSC_Hydrofluoric_Acid!$R8,'Tables - Part 2'!$AX$5:$BA$5,0))+INDEX('Tables - Part 2'!$BF$6:$BI$13,MATCH(HSC_Hydrofluoric_Acid!$T8,'Tables - Part 2'!$AV$6:$AV$13,0),MATCH(HSC_Hydrofluoric_Acid!$R8,'Tables - Part 2'!$AX$5:$BA$5,0)))/2)/2)+((INDEX('Tables - Part 2'!$BB$6:$BE$13,MATCH(HSC_Hydrofluoric_Acid!$T8,'Tables - Part 2'!$AV$6:$AV$13,0),MATCH(HSC_Hydrofluoric_Acid!$R8,'Tables - Part 2'!$AX$5:$BA$5,0))+INDEX('Tables - Part 2'!$BF$6:$BI$13,MATCH(HSC_Hydrofluoric_Acid!$T8,'Tables - Part 2'!$AV$6:$AV$13,0),MATCH(HSC_Hydrofluoric_Acid!$R8,'Tables - Part 2'!$AX$5:$BA$5,0)))/2))/2,0)</f>
        <v>0</v>
      </c>
      <c r="AL8" s="248">
        <f>IF($Q8=$AL$3,(INDEX('Tables - Part 2'!$BB$6:$BE$13,MATCH(HSC_Hydrofluoric_Acid!$T8,'Tables - Part 2'!$AV$6:$AV$13,0),MATCH(HSC_Hydrofluoric_Acid!$R8,'Tables - Part 2'!$AX$5:$BA$5,0))+INDEX('Tables - Part 2'!$BF$6:$BI$13,MATCH(HSC_Hydrofluoric_Acid!$T8,'Tables - Part 2'!$AV$6:$AV$13,0),MATCH(HSC_Hydrofluoric_Acid!$R8,'Tables - Part 2'!$AX$5:$BA$5,0)))/2,0)</f>
        <v>1</v>
      </c>
      <c r="AM8" s="248">
        <f>IF($Q8=$AM$3,(((INDEX('Tables - Part 2'!$BB$6:$BE$13,MATCH(HSC_Hydrofluoric_Acid!$T8,'Tables - Part 2'!$AV$6:$AV$13,0),MATCH(HSC_Hydrofluoric_Acid!$R8,'Tables - Part 2'!$AX$5:$BA$5,0))+INDEX('Tables - Part 2'!$BF$6:$BI$13,MATCH(HSC_Hydrofluoric_Acid!$T8,'Tables - Part 2'!$AV$6:$AV$13,0),MATCH(HSC_Hydrofluoric_Acid!$R8,'Tables - Part 2'!$AX$5:$BA$5,0)))/2)+((((INDEX('Tables - Part 2'!$BB$6:$BE$13,MATCH(HSC_Hydrofluoric_Acid!$T8,'Tables - Part 2'!$AV$6:$AV$13,0),MATCH(HSC_Hydrofluoric_Acid!$R8,'Tables - Part 2'!$AX$5:$BA$5,0))+INDEX('Tables - Part 2'!$BF$6:$BI$13,MATCH(HSC_Hydrofluoric_Acid!$T8,'Tables - Part 2'!$AV$6:$AV$13,0),MATCH(HSC_Hydrofluoric_Acid!$R8,'Tables - Part 2'!$AX$5:$BA$5,0)))/2)+INDEX('Tables - Part 2'!$BF$6:$BI$13,MATCH(HSC_Hydrofluoric_Acid!$T8,'Tables - Part 2'!$AV$6:$AV$13,0),MATCH(HSC_Hydrofluoric_Acid!$R8,'Tables - Part 2'!$AX$5:$BA$5,0)))/2))/2,0)</f>
        <v>0</v>
      </c>
      <c r="AN8" s="248">
        <f>IF($Q8=$AN$3,(((INDEX('Tables - Part 2'!$BB$6:$BE$13,MATCH(HSC_Hydrofluoric_Acid!$T8,'Tables - Part 2'!$AV$6:$AV$13,0),MATCH(HSC_Hydrofluoric_Acid!$R8,'Tables - Part 2'!$AX$5:$BA$5,0))+INDEX('Tables - Part 2'!$BF$6:$BI$13,MATCH(HSC_Hydrofluoric_Acid!$T8,'Tables - Part 2'!$AV$6:$AV$13,0),MATCH(HSC_Hydrofluoric_Acid!$R8,'Tables - Part 2'!$AX$5:$BA$5,0)))/2)+INDEX('Tables - Part 2'!$BF$6:$BI$13,MATCH(HSC_Hydrofluoric_Acid!$T8,'Tables - Part 2'!$AV$6:$AV$13,0),MATCH(HSC_Hydrofluoric_Acid!$R8,'Tables - Part 2'!$AX$5:$BA$5,0)))/2,0)</f>
        <v>0</v>
      </c>
      <c r="AO8" s="248">
        <f>IF($Q8=$AO$3,(((((INDEX('Tables - Part 2'!$BB$6:$BE$13,MATCH(HSC_Hydrofluoric_Acid!$T8,'Tables - Part 2'!$AV$6:$AV$13,0),MATCH(HSC_Hydrofluoric_Acid!$R8,'Tables - Part 2'!$AX$5:$BA$5,0))+INDEX('Tables - Part 2'!$BF$6:$BI$13,MATCH(HSC_Hydrofluoric_Acid!$T8,'Tables - Part 2'!$AV$6:$AV$13,0),MATCH(HSC_Hydrofluoric_Acid!$R8,'Tables - Part 2'!$AX$5:$BA$5,0)))/2)+INDEX('Tables - Part 2'!$BF$6:$BI$13,MATCH(HSC_Hydrofluoric_Acid!$T8,'Tables - Part 2'!$AV$6:$AV$13,0),MATCH(HSC_Hydrofluoric_Acid!$R8,'Tables - Part 2'!$AX$5:$BA$5,0)))/2)+INDEX('Tables - Part 2'!$BF$6:$BI$13,MATCH(HSC_Hydrofluoric_Acid!$T8,'Tables - Part 2'!$AV$6:$AV$13,0),MATCH(HSC_Hydrofluoric_Acid!$R8,'Tables - Part 2'!$AX$5:$BA$5,0)))/2,0)</f>
        <v>0</v>
      </c>
      <c r="AP8" s="248">
        <f>IF($Q8=$AP$3,INDEX('Tables - Part 2'!$BF$6:$BI$13,MATCH(HSC_Hydrofluoric_Acid!$T8,'Tables - Part 2'!$AV$6:$AV$13,0),MATCH(HSC_Hydrofluoric_Acid!$R8,'Tables - Part 2'!$AX$5:$BA$5,0)),0)</f>
        <v>0</v>
      </c>
      <c r="AQ8" s="248">
        <f>IF($Q8=$AQ$3,(INDEX('Tables - Part 2'!$BF$6:$BI$13,MATCH(HSC_Hydrofluoric_Acid!$T8,'Tables - Part 2'!$AV$6:$AV$13,0),MATCH(HSC_Hydrofluoric_Acid!$R8,'Tables - Part 2'!$AX$5:$BA$5,0))+((INDEX('Tables - Part 2'!$BF$6:$BI$13,MATCH(HSC_Hydrofluoric_Acid!$T8,'Tables - Part 2'!$AV$6:$AV$13,0),MATCH(HSC_Hydrofluoric_Acid!$R8,'Tables - Part 2'!$AX$5:$BA$5,0))+(INDEX('Tables - Part 2'!$BF$6:$BI$13,MATCH(HSC_Hydrofluoric_Acid!$T8,'Tables - Part 2'!$AV$6:$AV$13,0),MATCH(HSC_Hydrofluoric_Acid!$R8,'Tables - Part 2'!$AX$5:$BA$5,0))+INDEX('Tables - Part 2'!$AX$17:$BA$24,MATCH(HSC_Hydrofluoric_Acid!$T8,'Tables - Part 2'!$AV$6:$AV$13,0),MATCH(HSC_Hydrofluoric_Acid!$R8,'Tables - Part 2'!$AX$5:$BA$5,0)))/2)/2))/2,0)</f>
        <v>0</v>
      </c>
      <c r="AR8" s="248">
        <f>IF($Q8=$AR$3,(INDEX('Tables - Part 2'!$BF$6:$BI$13,MATCH(HSC_Hydrofluoric_Acid!$T8,'Tables - Part 2'!$AV$6:$AV$13,0),MATCH(HSC_Hydrofluoric_Acid!$R8,'Tables - Part 2'!$AX$5:$BA$5,0))+(INDEX('Tables - Part 2'!$BF$6:$BI$13,MATCH(HSC_Hydrofluoric_Acid!$T8,'Tables - Part 2'!$AV$6:$AV$13,0),MATCH(HSC_Hydrofluoric_Acid!$R8,'Tables - Part 2'!$AX$5:$BA$5,0))+INDEX('Tables - Part 2'!$AX$17:$BA$24,MATCH(HSC_Hydrofluoric_Acid!$T8,'Tables - Part 2'!$AV$6:$AV$13,0),MATCH(HSC_Hydrofluoric_Acid!$R8,'Tables - Part 2'!$AX$5:$BA$5,0)))/2)/2,0)</f>
        <v>0</v>
      </c>
      <c r="AS8" s="248">
        <f>IF($Q8=$AS$3,(((INDEX('Tables - Part 2'!$BF$6:$BI$13,MATCH(HSC_Hydrofluoric_Acid!$T8,'Tables - Part 2'!$AV$6:$AV$13,0),MATCH(HSC_Hydrofluoric_Acid!$R8,'Tables - Part 2'!$AX$5:$BA$5,0))+(INDEX('Tables - Part 2'!$BF$6:$BI$13,MATCH(HSC_Hydrofluoric_Acid!$T8,'Tables - Part 2'!$AV$6:$AV$13,0),MATCH(HSC_Hydrofluoric_Acid!$R8,'Tables - Part 2'!$AX$5:$BA$5,0))+INDEX('Tables - Part 2'!$AX$17:$BA$24,MATCH(HSC_Hydrofluoric_Acid!$T8,'Tables - Part 2'!$AV$6:$AV$13,0),MATCH(HSC_Hydrofluoric_Acid!$R8,'Tables - Part 2'!$AX$5:$BA$5,0)))/2)/2)+((INDEX('Tables - Part 2'!$BF$6:$BI$13,MATCH(HSC_Hydrofluoric_Acid!$T8,'Tables - Part 2'!$AV$6:$AV$13,0),MATCH(HSC_Hydrofluoric_Acid!$R8,'Tables - Part 2'!$AX$5:$BA$5,0))+INDEX('Tables - Part 2'!$AX$17:$BA$24,MATCH(HSC_Hydrofluoric_Acid!$T8,'Tables - Part 2'!$AV$6:$AV$13,0),MATCH(HSC_Hydrofluoric_Acid!$R8,'Tables - Part 2'!$AX$5:$BA$5,0)))/2))/2,0)</f>
        <v>0</v>
      </c>
      <c r="AT8" s="248">
        <f>IF($Q8=$AT$3,(INDEX('Tables - Part 2'!$BF$6:$BI$13,MATCH(HSC_Hydrofluoric_Acid!$T8,'Tables - Part 2'!$AV$6:$AV$13,0),MATCH(HSC_Hydrofluoric_Acid!$R8,'Tables - Part 2'!$AX$5:$BA$5,0))+INDEX('Tables - Part 2'!$AX$17:$BA$24,MATCH(HSC_Hydrofluoric_Acid!$T8,'Tables - Part 2'!$AV$6:$AV$13,0),MATCH(HSC_Hydrofluoric_Acid!$R8,'Tables - Part 2'!$AX$5:$BA$5,0)))/2,0)</f>
        <v>0</v>
      </c>
      <c r="AU8" s="248">
        <f>IF($Q8=$AU$3,(((INDEX('Tables - Part 2'!$BF$6:$BI$13,MATCH(HSC_Hydrofluoric_Acid!$T8,'Tables - Part 2'!$AV$6:$AV$13,0),MATCH(HSC_Hydrofluoric_Acid!$R8,'Tables - Part 2'!$AX$5:$BA$5,0))+INDEX('Tables - Part 2'!$AX$17:$BA$24,MATCH(HSC_Hydrofluoric_Acid!$T8,'Tables - Part 2'!$AV$6:$AV$13,0),MATCH(HSC_Hydrofluoric_Acid!$R8,'Tables - Part 2'!$AX$5:$BA$5,0)))/2)+((((INDEX('Tables - Part 2'!$BF$6:$BI$13,MATCH(HSC_Hydrofluoric_Acid!$T8,'Tables - Part 2'!$AV$6:$AV$13,0),MATCH(HSC_Hydrofluoric_Acid!$R8,'Tables - Part 2'!$AX$5:$BA$5,0))+INDEX('Tables - Part 2'!$AX$17:$BA$24,MATCH(HSC_Hydrofluoric_Acid!$T8,'Tables - Part 2'!$AV$6:$AV$13,0),MATCH(HSC_Hydrofluoric_Acid!$R8,'Tables - Part 2'!$AX$5:$BA$5,0)))/2)+INDEX('Tables - Part 2'!$AX$17:$BA$24,MATCH(HSC_Hydrofluoric_Acid!$T8,'Tables - Part 2'!$AV$6:$AV$13,0),MATCH(HSC_Hydrofluoric_Acid!$R8,'Tables - Part 2'!$AX$5:$BA$5,0)))/2))/2,0)</f>
        <v>0</v>
      </c>
      <c r="AV8" s="248">
        <f>IF($Q8=$AV$3,(((INDEX('Tables - Part 2'!$BF$6:$BI$13,MATCH(HSC_Hydrofluoric_Acid!$T8,'Tables - Part 2'!$AV$6:$AV$13,0),MATCH(HSC_Hydrofluoric_Acid!$R8,'Tables - Part 2'!$AX$5:$BA$5,0))+INDEX('Tables - Part 2'!$AX$17:$BA$24,MATCH(HSC_Hydrofluoric_Acid!$T8,'Tables - Part 2'!$AV$6:$AV$13,0),MATCH(HSC_Hydrofluoric_Acid!$R8,'Tables - Part 2'!$AX$5:$BA$5,0)))/2)+INDEX('Tables - Part 2'!$AX$17:$BA$24,MATCH(HSC_Hydrofluoric_Acid!$T8,'Tables - Part 2'!$AV$6:$AV$13,0),MATCH(HSC_Hydrofluoric_Acid!$R8,'Tables - Part 2'!$AX$5:$BA$5,0)))/2,0)</f>
        <v>0</v>
      </c>
      <c r="AW8" s="248">
        <f>IF($Q8=$AW$3,(((((INDEX('Tables - Part 2'!$BF$6:$BI$13,MATCH(HSC_Hydrofluoric_Acid!$T8,'Tables - Part 2'!$AV$6:$AV$13,0),MATCH(HSC_Hydrofluoric_Acid!$R8,'Tables - Part 2'!$AX$5:$BA$5,0))+INDEX('Tables - Part 2'!$AX$17:$BA$24,MATCH(HSC_Hydrofluoric_Acid!$T8,'Tables - Part 2'!$AV$6:$AV$13,0),MATCH(HSC_Hydrofluoric_Acid!$R8,'Tables - Part 2'!$AX$5:$BA$5,0)))/2)+INDEX('Tables - Part 2'!$AX$17:$BA$24,MATCH(HSC_Hydrofluoric_Acid!$T8,'Tables - Part 2'!$AV$6:$AV$13,0),MATCH(HSC_Hydrofluoric_Acid!$R8,'Tables - Part 2'!$AX$5:$BA$5,0)))/2)+(INDEX('Tables - Part 2'!$AX$17:$BA$24,MATCH(HSC_Hydrofluoric_Acid!$T8,'Tables - Part 2'!$AV$6:$AV$13,0),MATCH(HSC_Hydrofluoric_Acid!$R8,'Tables - Part 2'!$AX$5:$BA$5,0))))/2,0)</f>
        <v>0</v>
      </c>
      <c r="AX8" s="248">
        <f>IF($Q8=$AX$3,INDEX('Tables - Part 2'!$AX$17:$BA$24,MATCH(HSC_Hydrofluoric_Acid!$T8,'Tables - Part 2'!$AV$6:$AV$13,0),MATCH(HSC_Hydrofluoric_Acid!$R8,'Tables - Part 2'!$AX$5:$BA$5,0)),0)</f>
        <v>0</v>
      </c>
      <c r="AY8" s="248">
        <f>IF($Q8=$AY$3,((INDEX('Tables - Part 2'!$AX$17:$BA$24,MATCH(HSC_Hydrofluoric_Acid!$T8,'Tables - Part 2'!$AV$6:$AV$13,0),MATCH(HSC_Hydrofluoric_Acid!$R8,'Tables - Part 2'!$AX$5:$BA$5,0)))+(((INDEX('Tables - Part 2'!$AX$17:$BA$24,MATCH(HSC_Hydrofluoric_Acid!$T8,'Tables - Part 2'!$AV$6:$AV$13,0),MATCH(HSC_Hydrofluoric_Acid!$R8,'Tables - Part 2'!$AX$5:$BA$5,0)))+(INDEX('Tables - Part 2'!$AX$17:$BA$24,MATCH(HSC_Hydrofluoric_Acid!$T8,'Tables - Part 2'!$AV$6:$AV$13,0),MATCH(HSC_Hydrofluoric_Acid!$R8,'Tables - Part 2'!$AX$5:$BA$5,0))+INDEX('Tables - Part 2'!$BB$17:$BE$24,MATCH(HSC_Hydrofluoric_Acid!$T8,'Tables - Part 2'!$AV$6:$AV$13,0),MATCH(HSC_Hydrofluoric_Acid!$R8,'Tables - Part 2'!$AX$5:$BA$5,0)))/2)/2))/2,0)</f>
        <v>0</v>
      </c>
      <c r="AZ8" s="248">
        <f>IF($Q8=$AZ$3,((INDEX('Tables - Part 2'!$AX$17:$BA$24,MATCH(HSC_Hydrofluoric_Acid!$T8,'Tables - Part 2'!$AV$6:$AV$13,0),MATCH(HSC_Hydrofluoric_Acid!$R8,'Tables - Part 2'!$AX$5:$BA$5,0)))+(INDEX('Tables - Part 2'!$AX$17:$BA$24,MATCH(HSC_Hydrofluoric_Acid!$T8,'Tables - Part 2'!$AV$6:$AV$13,0),MATCH(HSC_Hydrofluoric_Acid!$R8,'Tables - Part 2'!$AX$5:$BA$5,0))+INDEX('Tables - Part 2'!$BB$17:$BE$24,MATCH(HSC_Hydrofluoric_Acid!$T8,'Tables - Part 2'!$AV$6:$AV$13,0),MATCH(HSC_Hydrofluoric_Acid!$R8,'Tables - Part 2'!$AX$5:$BA$5,0)))/2)/2,0)</f>
        <v>0</v>
      </c>
      <c r="BA8" s="248">
        <f>IF($Q8=$BA$3,((((INDEX('Tables - Part 2'!$AX$17:$BA$24,MATCH(HSC_Hydrofluoric_Acid!$T8,'Tables - Part 2'!$AV$6:$AV$13,0),MATCH(HSC_Hydrofluoric_Acid!$R8,'Tables - Part 2'!$AX$5:$BA$5,0)))+(INDEX('Tables - Part 2'!$AX$17:$BA$24,MATCH(HSC_Hydrofluoric_Acid!$T8,'Tables - Part 2'!$AV$6:$AV$13,0),MATCH(HSC_Hydrofluoric_Acid!$R8,'Tables - Part 2'!$AX$5:$BA$5,0))+INDEX('Tables - Part 2'!$BB$17:$BE$24,MATCH(HSC_Hydrofluoric_Acid!$T8,'Tables - Part 2'!$AV$6:$AV$13,0),MATCH(HSC_Hydrofluoric_Acid!$R8,'Tables - Part 2'!$AX$5:$BA$5,0)))/2)/2)+((INDEX('Tables - Part 2'!$AX$17:$BA$24,MATCH(HSC_Hydrofluoric_Acid!$T8,'Tables - Part 2'!$AV$6:$AV$13,0),MATCH(HSC_Hydrofluoric_Acid!$R8,'Tables - Part 2'!$AX$5:$BA$5,0))+INDEX('Tables - Part 2'!$BB$17:$BE$24,MATCH(HSC_Hydrofluoric_Acid!$T8,'Tables - Part 2'!$AV$6:$AV$13,0),MATCH(HSC_Hydrofluoric_Acid!$R8,'Tables - Part 2'!$AX$5:$BA$5,0)))/2))/2,0)</f>
        <v>0</v>
      </c>
      <c r="BB8" s="248">
        <f>IF($Q8=$BB$3,(INDEX('Tables - Part 2'!$AX$17:$BA$24,MATCH(HSC_Hydrofluoric_Acid!$T8,'Tables - Part 2'!$AV$6:$AV$13,0),MATCH(HSC_Hydrofluoric_Acid!$R8,'Tables - Part 2'!$AX$5:$BA$5,0))+INDEX('Tables - Part 2'!$BB$17:$BE$24,MATCH(HSC_Hydrofluoric_Acid!$T8,'Tables - Part 2'!$AV$6:$AV$13,0),MATCH(HSC_Hydrofluoric_Acid!$R8,'Tables - Part 2'!$AX$5:$BA$5,0)))/2,0)</f>
        <v>0</v>
      </c>
      <c r="BC8" s="248">
        <f>IF($Q8=$BC$3,(((INDEX('Tables - Part 2'!$AX$17:$BA$24,MATCH(HSC_Hydrofluoric_Acid!$T8,'Tables - Part 2'!$AV$6:$AV$13,0),MATCH(HSC_Hydrofluoric_Acid!$R8,'Tables - Part 2'!$AX$5:$BA$5,0))+INDEX('Tables - Part 2'!$BB$17:$BE$24,MATCH(HSC_Hydrofluoric_Acid!$T8,'Tables - Part 2'!$AV$6:$AV$13,0),MATCH(HSC_Hydrofluoric_Acid!$R8,'Tables - Part 2'!$AX$5:$BA$5,0)))/2)+((((INDEX('Tables - Part 2'!$AX$17:$BA$24,MATCH(HSC_Hydrofluoric_Acid!$T8,'Tables - Part 2'!$AV$6:$AV$13,0),MATCH(HSC_Hydrofluoric_Acid!$R8,'Tables - Part 2'!$AX$5:$BA$5,0))+INDEX('Tables - Part 2'!$BB$17:$BE$24,MATCH(HSC_Hydrofluoric_Acid!$T8,'Tables - Part 2'!$AV$6:$AV$13,0),MATCH(HSC_Hydrofluoric_Acid!$R8,'Tables - Part 2'!$AX$5:$BA$5,0)))/2)+INDEX('Tables - Part 2'!$BB$17:$BE$24,MATCH(HSC_Hydrofluoric_Acid!$T8,'Tables - Part 2'!$AV$6:$AV$13,0),MATCH(HSC_Hydrofluoric_Acid!$R8,'Tables - Part 2'!$AX$5:$BA$5,0)))/2))/2,0)</f>
        <v>0</v>
      </c>
      <c r="BD8" s="248">
        <f>IF($Q8=$BD$3,(((INDEX('Tables - Part 2'!$AX$17:$BA$24,MATCH(HSC_Hydrofluoric_Acid!$T8,'Tables - Part 2'!$AV$6:$AV$13,0),MATCH(HSC_Hydrofluoric_Acid!$R8,'Tables - Part 2'!$AX$5:$BA$5,0))+INDEX('Tables - Part 2'!$BB$17:$BE$24,MATCH(HSC_Hydrofluoric_Acid!$T8,'Tables - Part 2'!$AV$6:$AV$13,0),MATCH(HSC_Hydrofluoric_Acid!$R8,'Tables - Part 2'!$AX$5:$BA$5,0)))/2)+INDEX('Tables - Part 2'!$BB$17:$BE$24,MATCH(HSC_Hydrofluoric_Acid!$T8,'Tables - Part 2'!$AV$6:$AV$13,0),MATCH(HSC_Hydrofluoric_Acid!$R8,'Tables - Part 2'!$AX$5:$BA$5,0)))/2,0)</f>
        <v>0</v>
      </c>
      <c r="BE8" s="248">
        <f>IF($Q8=$BE$3,(((((INDEX('Tables - Part 2'!$AX$17:$BA$24,MATCH(HSC_Hydrofluoric_Acid!$T8,'Tables - Part 2'!$AV$6:$AV$13,0),MATCH(HSC_Hydrofluoric_Acid!$R8,'Tables - Part 2'!$AX$5:$BA$5,0))+INDEX('Tables - Part 2'!$BB$17:$BE$24,MATCH(HSC_Hydrofluoric_Acid!$T8,'Tables - Part 2'!$AV$6:$AV$13,0),MATCH(HSC_Hydrofluoric_Acid!$R8,'Tables - Part 2'!$AX$5:$BA$5,0)))/2)+INDEX('Tables - Part 2'!$BB$17:$BE$24,MATCH(HSC_Hydrofluoric_Acid!$T8,'Tables - Part 2'!$AV$6:$AV$13,0),MATCH(HSC_Hydrofluoric_Acid!$R8,'Tables - Part 2'!$AX$5:$BA$5,0)))/2)+(INDEX('Tables - Part 2'!$BB$17:$BE$24,MATCH(HSC_Hydrofluoric_Acid!$T8,'Tables - Part 2'!$AV$6:$AV$13,0),MATCH(HSC_Hydrofluoric_Acid!$R8,'Tables - Part 2'!$AX$5:$BA$5,0))))/2,0)</f>
        <v>0</v>
      </c>
      <c r="BF8" s="248">
        <f>IF($Q8=$BF$3,INDEX('Tables - Part 2'!$BB$17:$BE$24,MATCH(HSC_Hydrofluoric_Acid!$T8,'Tables - Part 2'!$AV$6:$AV$13,0),MATCH(HSC_Hydrofluoric_Acid!$R8,'Tables - Part 2'!$AX$5:$BA$5,0)),0)</f>
        <v>0</v>
      </c>
      <c r="BG8" s="248">
        <f>IF($Q8=$BG$3,((INDEX('Tables - Part 2'!$BB$17:$BE$24,MATCH(HSC_Hydrofluoric_Acid!$T8,'Tables - Part 2'!$AV$6:$AV$13,0),MATCH(HSC_Hydrofluoric_Acid!$R8,'Tables - Part 2'!$AX$5:$BA$5,0)))+(((INDEX('Tables - Part 2'!$BB$17:$BE$24,MATCH(HSC_Hydrofluoric_Acid!$T8,'Tables - Part 2'!$AV$6:$AV$13,0),MATCH(HSC_Hydrofluoric_Acid!$R8,'Tables - Part 2'!$AX$5:$BA$5,0)))+(INDEX('Tables - Part 2'!$BB$17:$BE$24,MATCH(HSC_Hydrofluoric_Acid!$T8,'Tables - Part 2'!$AV$6:$AV$13,0),MATCH(HSC_Hydrofluoric_Acid!$R8,'Tables - Part 2'!$AX$5:$BA$5,0))+INDEX('Tables - Part 2'!$BF$17:$BI$24,MATCH(HSC_Hydrofluoric_Acid!$T8,'Tables - Part 2'!$AV$6:$AV$13,0),MATCH(HSC_Hydrofluoric_Acid!$R8,'Tables - Part 2'!$AX$5:$BA$5,0)))/2)/2))/2,0)</f>
        <v>0</v>
      </c>
      <c r="BH8" s="248">
        <f>IF($Q8=$BH$3,((INDEX('Tables - Part 2'!$BB$17:$BE$24,MATCH(HSC_Hydrofluoric_Acid!$T8,'Tables - Part 2'!$AV$6:$AV$13,0),MATCH(HSC_Hydrofluoric_Acid!$R8,'Tables - Part 2'!$AX$5:$BA$5,0)))+(INDEX('Tables - Part 2'!$BB$17:$BE$24,MATCH(HSC_Hydrofluoric_Acid!$T8,'Tables - Part 2'!$AV$6:$AV$13,0),MATCH(HSC_Hydrofluoric_Acid!$R8,'Tables - Part 2'!$AX$5:$BA$5,0))+INDEX('Tables - Part 2'!$BF$17:$BI$24,MATCH(HSC_Hydrofluoric_Acid!$T8,'Tables - Part 2'!$AV$6:$AV$13,0),MATCH(HSC_Hydrofluoric_Acid!$R8,'Tables - Part 2'!$AX$5:$BA$5,0)))/2)/2,0)</f>
        <v>0</v>
      </c>
      <c r="BI8" s="248">
        <f>IF($Q8=$BI$3,((((INDEX('Tables - Part 2'!$BB$17:$BE$24,MATCH(HSC_Hydrofluoric_Acid!$T8,'Tables - Part 2'!$AV$6:$AV$13,0),MATCH(HSC_Hydrofluoric_Acid!$R8,'Tables - Part 2'!$AX$5:$BA$5,0)))+(INDEX('Tables - Part 2'!$BB$17:$BE$24,MATCH(HSC_Hydrofluoric_Acid!$T8,'Tables - Part 2'!$AV$6:$AV$13,0),MATCH(HSC_Hydrofluoric_Acid!$R8,'Tables - Part 2'!$AX$5:$BA$5,0))+INDEX('Tables - Part 2'!$BF$17:$BI$24,MATCH(HSC_Hydrofluoric_Acid!$T8,'Tables - Part 2'!$AV$6:$AV$13,0),MATCH(HSC_Hydrofluoric_Acid!$R8,'Tables - Part 2'!$AX$5:$BA$5,0)))/2)/2)+((INDEX('Tables - Part 2'!$BB$17:$BE$24,MATCH(HSC_Hydrofluoric_Acid!$T8,'Tables - Part 2'!$AV$6:$AV$13,0),MATCH(HSC_Hydrofluoric_Acid!$R8,'Tables - Part 2'!$AX$5:$BA$5,0))+INDEX('Tables - Part 2'!$BF$17:$BI$24,MATCH(HSC_Hydrofluoric_Acid!$T8,'Tables - Part 2'!$AV$6:$AV$13,0),MATCH(HSC_Hydrofluoric_Acid!$R8,'Tables - Part 2'!$AX$5:$BA$5,0)))/2))/2,0)</f>
        <v>0</v>
      </c>
      <c r="BJ8" s="248">
        <f>IF($Q8=$BJ$3,(INDEX('Tables - Part 2'!$BB$17:$BE$24,MATCH(HSC_Hydrofluoric_Acid!$T8,'Tables - Part 2'!$AV$6:$AV$13,0),MATCH(HSC_Hydrofluoric_Acid!$R8,'Tables - Part 2'!$AX$5:$BA$5,0))+INDEX('Tables - Part 2'!$BF$17:$BI$24,MATCH(HSC_Hydrofluoric_Acid!$T8,'Tables - Part 2'!$AV$6:$AV$13,0),MATCH(HSC_Hydrofluoric_Acid!$R8,'Tables - Part 2'!$AX$5:$BA$5,0)))/2,0)</f>
        <v>0</v>
      </c>
      <c r="BK8" s="248">
        <f>IF($Q8=$BK$3,(((INDEX('Tables - Part 2'!$BB$17:$BE$24,MATCH(HSC_Hydrofluoric_Acid!$T8,'Tables - Part 2'!$AV$6:$AV$13,0),MATCH(HSC_Hydrofluoric_Acid!$R8,'Tables - Part 2'!$AX$5:$BA$5,0))+INDEX('Tables - Part 2'!$BF$17:$BI$24,MATCH(HSC_Hydrofluoric_Acid!$T8,'Tables - Part 2'!$AV$6:$AV$13,0),MATCH(HSC_Hydrofluoric_Acid!$R8,'Tables - Part 2'!$AX$5:$BA$5,0)))/2)+((((INDEX('Tables - Part 2'!$BB$17:$BE$24,MATCH(HSC_Hydrofluoric_Acid!$T8,'Tables - Part 2'!$AV$6:$AV$13,0),MATCH(HSC_Hydrofluoric_Acid!$R8,'Tables - Part 2'!$AX$5:$BA$5,0))+INDEX('Tables - Part 2'!$BF$17:$BI$24,MATCH(HSC_Hydrofluoric_Acid!$T8,'Tables - Part 2'!$AV$6:$AV$13,0),MATCH(HSC_Hydrofluoric_Acid!$R8,'Tables - Part 2'!$AX$5:$BA$5,0)))/2)+INDEX('Tables - Part 2'!$BF$17:$BI$24,MATCH(HSC_Hydrofluoric_Acid!$T8,'Tables - Part 2'!$AV$6:$AV$13,0),MATCH(HSC_Hydrofluoric_Acid!$R8,'Tables - Part 2'!$AX$5:$BA$5,0)))/2))/2,0)</f>
        <v>0</v>
      </c>
      <c r="BL8" s="248">
        <f>IF($Q8=$BL$3,(((INDEX('Tables - Part 2'!$BB$17:$BE$24,MATCH(HSC_Hydrofluoric_Acid!$T8,'Tables - Part 2'!$AV$6:$AV$13,0),MATCH(HSC_Hydrofluoric_Acid!$R8,'Tables - Part 2'!$AX$5:$BA$5,0))+INDEX('Tables - Part 2'!$BF$17:$BI$24,MATCH(HSC_Hydrofluoric_Acid!$T8,'Tables - Part 2'!$AV$6:$AV$13,0),MATCH(HSC_Hydrofluoric_Acid!$R8,'Tables - Part 2'!$AX$5:$BA$5,0)))/2)+INDEX('Tables - Part 2'!$BF$17:$BI$24,MATCH(HSC_Hydrofluoric_Acid!$T8,'Tables - Part 2'!$AV$6:$AV$13,0),MATCH(HSC_Hydrofluoric_Acid!$R8,'Tables - Part 2'!$AX$5:$BA$5,0)))/2,0)</f>
        <v>0</v>
      </c>
      <c r="BM8" s="248">
        <f>IF($Q8=$BM$3,(((((INDEX('Tables - Part 2'!$BB$17:$BE$24,MATCH(HSC_Hydrofluoric_Acid!$T8,'Tables - Part 2'!$AV$6:$AV$13,0),MATCH(HSC_Hydrofluoric_Acid!$R8,'Tables - Part 2'!$AX$5:$BA$5,0))+INDEX('Tables - Part 2'!$BF$17:$BI$24,MATCH(HSC_Hydrofluoric_Acid!$T8,'Tables - Part 2'!$AV$6:$AV$13,0),MATCH(HSC_Hydrofluoric_Acid!$R8,'Tables - Part 2'!$AX$5:$BA$5,0)))/2)+INDEX('Tables - Part 2'!$BF$17:$BI$24,MATCH(HSC_Hydrofluoric_Acid!$T8,'Tables - Part 2'!$AV$6:$AV$13,0),MATCH(HSC_Hydrofluoric_Acid!$R8,'Tables - Part 2'!$AX$5:$BA$5,0)))/2)+(INDEX('Tables - Part 2'!$BF$17:$BI$24,MATCH(HSC_Hydrofluoric_Acid!$T8,'Tables - Part 2'!$AV$6:$AV$13,0),MATCH(HSC_Hydrofluoric_Acid!$R8,'Tables - Part 2'!$AX$5:$BA$5,0))))/2,0)</f>
        <v>0</v>
      </c>
      <c r="BN8" s="248">
        <f>IF($Q8=$BN$3,INDEX('Tables - Part 2'!$BF$17:$BI$24,MATCH(HSC_Hydrofluoric_Acid!$T8,'Tables - Part 2'!$AV$6:$AV$13,0),MATCH(HSC_Hydrofluoric_Acid!$R8,'Tables - Part 2'!$AX$5:$BA$5,0)),0)</f>
        <v>0</v>
      </c>
      <c r="BO8" s="248">
        <f t="shared" si="6"/>
        <v>0</v>
      </c>
      <c r="BP8" s="238">
        <f t="shared" si="8"/>
        <v>1</v>
      </c>
      <c r="BQ8" s="238">
        <f t="shared" si="7"/>
        <v>16.77288246840839</v>
      </c>
    </row>
    <row r="9" spans="2:82" x14ac:dyDescent="0.35">
      <c r="B9" s="161" t="str">
        <f>'Tratamento de Dados'!B17</f>
        <v>V-14</v>
      </c>
      <c r="C9" s="161" t="str">
        <f>'Tratamento de Dados'!D17</f>
        <v>Casco</v>
      </c>
      <c r="D9" s="209" t="s">
        <v>245</v>
      </c>
      <c r="E9" s="209" t="s">
        <v>61</v>
      </c>
      <c r="F9" s="209" t="s">
        <v>244</v>
      </c>
      <c r="G9" s="209" t="s">
        <v>244</v>
      </c>
      <c r="H9" s="209" t="s">
        <v>1112</v>
      </c>
      <c r="I9" s="209" t="s">
        <v>245</v>
      </c>
      <c r="J9" s="210">
        <v>39092</v>
      </c>
      <c r="K9" s="209">
        <v>0</v>
      </c>
      <c r="L9" s="209">
        <v>1</v>
      </c>
      <c r="M9" s="209">
        <v>1</v>
      </c>
      <c r="N9" s="209">
        <v>4</v>
      </c>
      <c r="O9" s="253">
        <f>'Tratamento de Dados'!DA17</f>
        <v>0</v>
      </c>
      <c r="P9" s="253">
        <f>'Tratamento de Dados'!DB17</f>
        <v>0</v>
      </c>
      <c r="Q9" s="256">
        <f t="shared" si="0"/>
        <v>2.5</v>
      </c>
      <c r="R9" s="246" t="str">
        <f t="shared" si="1"/>
        <v>B</v>
      </c>
      <c r="S9" s="238" t="str" cm="1">
        <f t="array" ref="S9">IF(D9=$BV$2,$BT$4,IF(OR(F9=$BV$3,G9=$BV$3),$BT$5,INDEX(IF(I9=$BV$2,'Tables - Part 2'!$EA$5:$EC$5,'Tables - Part 2'!$DX$5:$DZ$5),,MATCH(HSC_Hydrofluoric_Acid!H9,'Tables - Part 2'!$DX$4:$DZ$4,0))))</f>
        <v>Low</v>
      </c>
      <c r="T9" s="238">
        <f>IF(AND(D9=$BV$2,E9&lt;&gt;$BV$2),"Fitness-For-Service",INDEX('Tables - Part 2'!$EF$4:$EF$7,MATCH(HSC_Hydrofluoric_Acid!S9,'Tables - Part 2'!$EE$4:$EE$7,0),))</f>
        <v>1</v>
      </c>
      <c r="U9" s="238">
        <f>IF(J9=0,(Thinning!G10-Thinning!F10)/365.25,(Thinning!G10-J9)/365.25)</f>
        <v>12.980150581793293</v>
      </c>
      <c r="V9" s="248">
        <f t="shared" si="2"/>
        <v>0</v>
      </c>
      <c r="W9" s="248">
        <f t="shared" si="3"/>
        <v>2.5</v>
      </c>
      <c r="X9" s="248">
        <f t="shared" si="4"/>
        <v>3</v>
      </c>
      <c r="Y9" s="247">
        <f t="shared" si="5"/>
        <v>4</v>
      </c>
      <c r="Z9" s="248">
        <f>IF($Q9=$Z$3,INDEX('Tables - Part 2'!$AX$6:$BA$13,MATCH(HSC_Hydrofluoric_Acid!T9,'Tables - Part 2'!$AV$6:$AV$13,0),MATCH(HSC_Hydrofluoric_Acid!R9,'Tables - Part 2'!$AX$5:$BA$5,0)),0)</f>
        <v>0</v>
      </c>
      <c r="AA9" s="248">
        <f>IF($Q9=$AA$3,(INDEX('Tables - Part 2'!$AX$6:$BA$13,MATCH(HSC_Hydrofluoric_Acid!T9,'Tables - Part 2'!$AV$6:$AV$13,0),MATCH(HSC_Hydrofluoric_Acid!R9,'Tables - Part 2'!$AX$5:$BA$5,0))+(INDEX('Tables - Part 2'!$AX$6:$BA$13,MATCH(HSC_Hydrofluoric_Acid!T9,'Tables - Part 2'!$AV$6:$AV$13,0),MATCH(HSC_Hydrofluoric_Acid!R9,'Tables - Part 2'!$AX$5:$BA$5,0))+((INDEX('Tables - Part 2'!$AX$6:$BA$13,MATCH(HSC_Hydrofluoric_Acid!T9,'Tables - Part 2'!$AV$6:$AV$13,0),MATCH(HSC_Hydrofluoric_Acid!R9,'Tables - Part 2'!$AX$5:$BA$5,0))+INDEX('Tables - Part 2'!$BB$6:$BE$13,MATCH(HSC_Hydrofluoric_Acid!$T9,'Tables - Part 2'!$AV$6:$AV$13,0),MATCH(HSC_Hydrofluoric_Acid!$R9,'Tables - Part 2'!$AX$5:$BA$5,0)))/2))/2)/2,0)</f>
        <v>0</v>
      </c>
      <c r="AB9" s="248">
        <f>IF($Q9=$AB$3,(INDEX('Tables - Part 2'!$AX$6:$BA$13,MATCH(HSC_Hydrofluoric_Acid!T9,'Tables - Part 2'!$AV$6:$AV$13,0),MATCH(HSC_Hydrofluoric_Acid!R9,'Tables - Part 2'!$AX$5:$BA$5,0))+((INDEX('Tables - Part 2'!$AX$6:$BA$13,MATCH(HSC_Hydrofluoric_Acid!T9,'Tables - Part 2'!$AV$6:$AV$13,0),MATCH(HSC_Hydrofluoric_Acid!R9,'Tables - Part 2'!$AX$5:$BA$5,0))+INDEX('Tables - Part 2'!$BB$6:$BE$13,MATCH(HSC_Hydrofluoric_Acid!$T9,'Tables - Part 2'!$AV$6:$AV$13,0),MATCH(HSC_Hydrofluoric_Acid!$R9,'Tables - Part 2'!$AX$5:$BA$5,0)))/2))/2,0)</f>
        <v>0</v>
      </c>
      <c r="AC9" s="248">
        <f>IF($Q9=$AC$3,(((INDEX('Tables - Part 2'!$AX$6:$BA$13,MATCH(HSC_Hydrofluoric_Acid!T9,'Tables - Part 2'!$AV$6:$AV$13,0),MATCH(HSC_Hydrofluoric_Acid!R9,'Tables - Part 2'!$AX$5:$BA$5,0))+((INDEX('Tables - Part 2'!$AX$6:$BA$13,MATCH(HSC_Hydrofluoric_Acid!T9,'Tables - Part 2'!$AV$6:$AV$13,0),MATCH(HSC_Hydrofluoric_Acid!R9,'Tables - Part 2'!$AX$5:$BA$5,0))+INDEX('Tables - Part 2'!$BB$6:$BE$13,MATCH(HSC_Hydrofluoric_Acid!$T9,'Tables - Part 2'!$AV$6:$AV$13,0),MATCH(HSC_Hydrofluoric_Acid!$R9,'Tables - Part 2'!$AX$5:$BA$5,0)))/2))/2)+(INDEX('Tables - Part 2'!$AX$6:$BA$13,MATCH(HSC_Hydrofluoric_Acid!T9,'Tables - Part 2'!$AV$6:$AV$13,0),MATCH(HSC_Hydrofluoric_Acid!R9,'Tables - Part 2'!$AX$5:$BA$5,0))+INDEX('Tables - Part 2'!$BB$6:$BE$13,MATCH(HSC_Hydrofluoric_Acid!$T9,'Tables - Part 2'!$AV$6:$AV$13,0),MATCH(HSC_Hydrofluoric_Acid!$R9,'Tables - Part 2'!$AX$5:$BA$5,0)))/2)/2,0)</f>
        <v>0</v>
      </c>
      <c r="AD9" s="248">
        <f>IF($Q9=$AD$3,(INDEX('Tables - Part 2'!$AX$6:$BA$13,MATCH(HSC_Hydrofluoric_Acid!T9,'Tables - Part 2'!$AV$6:$AV$13,0),MATCH(HSC_Hydrofluoric_Acid!R9,'Tables - Part 2'!$AX$5:$BA$5,0))+INDEX('Tables - Part 2'!$BB$6:$BE$13,MATCH(HSC_Hydrofluoric_Acid!$T9,'Tables - Part 2'!$AV$6:$AV$13,0),MATCH(HSC_Hydrofluoric_Acid!$R9,'Tables - Part 2'!$AX$5:$BA$5,0)))/2,0)</f>
        <v>0</v>
      </c>
      <c r="AE9" s="248">
        <f>IF($Q9=$AE$3,(((INDEX('Tables - Part 2'!$AX$6:$BA$13,MATCH(HSC_Hydrofluoric_Acid!T9,'Tables - Part 2'!$AV$6:$AV$13,0),MATCH(HSC_Hydrofluoric_Acid!R9,'Tables - Part 2'!$AX$5:$BA$5,0))+INDEX('Tables - Part 2'!$BB$6:$BE$13,MATCH(HSC_Hydrofluoric_Acid!$T9,'Tables - Part 2'!$AV$6:$AV$13,0),MATCH(HSC_Hydrofluoric_Acid!$R9,'Tables - Part 2'!$AX$5:$BA$5,0)))/2)+(((INDEX('Tables - Part 2'!$AX$6:$BA$13,MATCH(HSC_Hydrofluoric_Acid!T9,'Tables - Part 2'!$AV$6:$AV$13,0),MATCH(HSC_Hydrofluoric_Acid!R9,'Tables - Part 2'!$AX$5:$BA$5,0))+INDEX('Tables - Part 2'!$BB$6:$BE$13,MATCH(HSC_Hydrofluoric_Acid!$T9,'Tables - Part 2'!$AV$6:$AV$13,0),MATCH(HSC_Hydrofluoric_Acid!$R9,'Tables - Part 2'!$AX$5:$BA$5,0)))/2)+INDEX('Tables - Part 2'!$BB$6:$BE$13,MATCH(HSC_Hydrofluoric_Acid!$T9,'Tables - Part 2'!$AV$6:$AV$13,0),MATCH(HSC_Hydrofluoric_Acid!$R9,'Tables - Part 2'!$AX$5:$BA$5,0)))/2)/2,0)</f>
        <v>0</v>
      </c>
      <c r="AF9" s="248">
        <f>IF($Q9=$AF$3,(((INDEX('Tables - Part 2'!$AX$6:$BA$13,MATCH(HSC_Hydrofluoric_Acid!T9,'Tables - Part 2'!$AV$6:$AV$13,0),MATCH(HSC_Hydrofluoric_Acid!R9,'Tables - Part 2'!$AX$5:$BA$5,0))+INDEX('Tables - Part 2'!$BB$6:$BE$13,MATCH(HSC_Hydrofluoric_Acid!$T9,'Tables - Part 2'!$AV$6:$AV$13,0),MATCH(HSC_Hydrofluoric_Acid!$R9,'Tables - Part 2'!$AX$5:$BA$5,0)))/2)+INDEX('Tables - Part 2'!$BB$6:$BE$13,MATCH(HSC_Hydrofluoric_Acid!$T9,'Tables - Part 2'!$AV$6:$AV$13,0),MATCH(HSC_Hydrofluoric_Acid!$R9,'Tables - Part 2'!$AX$5:$BA$5,0)))/2,0)</f>
        <v>0</v>
      </c>
      <c r="AG9" s="248">
        <f>IF($Q9=$AG$3,(((((INDEX('Tables - Part 2'!$AX$6:$BA$13,MATCH(HSC_Hydrofluoric_Acid!T9,'Tables - Part 2'!$AV$6:$AV$13,0),MATCH(HSC_Hydrofluoric_Acid!R9,'Tables - Part 2'!$AX$5:$BA$5,0))+INDEX('Tables - Part 2'!$BB$6:$BE$13,MATCH(HSC_Hydrofluoric_Acid!$T9,'Tables - Part 2'!$AV$6:$AV$13,0),MATCH(HSC_Hydrofluoric_Acid!$R9,'Tables - Part 2'!$AX$5:$BA$5,0)))/2)+INDEX('Tables - Part 2'!$BB$6:$BE$13,MATCH(HSC_Hydrofluoric_Acid!$T9,'Tables - Part 2'!$AV$6:$AV$13,0),MATCH(HSC_Hydrofluoric_Acid!$R9,'Tables - Part 2'!$AX$5:$BA$5,0)))/2)+INDEX('Tables - Part 2'!$BB$6:$BE$13,MATCH(HSC_Hydrofluoric_Acid!$T9,'Tables - Part 2'!$AV$6:$AV$13,0),MATCH(HSC_Hydrofluoric_Acid!$R9,'Tables - Part 2'!$AX$5:$BA$5,0)))/2,0)</f>
        <v>0</v>
      </c>
      <c r="AH9" s="248">
        <f>IF($Q9=$AH$3,INDEX('Tables - Part 2'!$BB$6:$BE$13,MATCH(HSC_Hydrofluoric_Acid!$T9,'Tables - Part 2'!$AV$6:$AV$13,0),MATCH(HSC_Hydrofluoric_Acid!$R9,'Tables - Part 2'!$AX$5:$BA$5,0)),0)</f>
        <v>0</v>
      </c>
      <c r="AI9" s="248">
        <f>IF($Q9=$AI$3,((INDEX('Tables - Part 2'!$BB$6:$BE$13,MATCH(HSC_Hydrofluoric_Acid!$T9,'Tables - Part 2'!$AV$6:$AV$13,0),MATCH(HSC_Hydrofluoric_Acid!$R9,'Tables - Part 2'!$AX$5:$BA$5,0)))+(INDEX('Tables - Part 2'!$BB$6:$BE$13,MATCH(HSC_Hydrofluoric_Acid!$T9,'Tables - Part 2'!$AV$6:$AV$13,0),MATCH(HSC_Hydrofluoric_Acid!$R9,'Tables - Part 2'!$AX$5:$BA$5,0))+(INDEX('Tables - Part 2'!$BB$6:$BE$13,MATCH(HSC_Hydrofluoric_Acid!$T9,'Tables - Part 2'!$AV$6:$AV$13,0),MATCH(HSC_Hydrofluoric_Acid!$R9,'Tables - Part 2'!$AX$5:$BA$5,0))+INDEX('Tables - Part 2'!$BF$6:$BI$13,MATCH(HSC_Hydrofluoric_Acid!$T9,'Tables - Part 2'!$AV$6:$AV$13,0),MATCH(HSC_Hydrofluoric_Acid!$R9,'Tables - Part 2'!$AX$5:$BA$5,0)))/2)/2)/2,0)</f>
        <v>0</v>
      </c>
      <c r="AJ9" s="248">
        <f>IF($Q9=$AJ$3,(INDEX('Tables - Part 2'!$BB$6:$BE$13,MATCH(HSC_Hydrofluoric_Acid!$T9,'Tables - Part 2'!$AV$6:$AV$13,0),MATCH(HSC_Hydrofluoric_Acid!$R9,'Tables - Part 2'!$AX$5:$BA$5,0))+(INDEX('Tables - Part 2'!$BB$6:$BE$13,MATCH(HSC_Hydrofluoric_Acid!$T9,'Tables - Part 2'!$AV$6:$AV$13,0),MATCH(HSC_Hydrofluoric_Acid!$R9,'Tables - Part 2'!$AX$5:$BA$5,0))+INDEX('Tables - Part 2'!$BF$6:$BI$13,MATCH(HSC_Hydrofluoric_Acid!$T9,'Tables - Part 2'!$AV$6:$AV$13,0),MATCH(HSC_Hydrofluoric_Acid!$R9,'Tables - Part 2'!$AX$5:$BA$5,0)))/2)/2,0)</f>
        <v>0</v>
      </c>
      <c r="AK9" s="248">
        <f>IF($Q9=$AK$3,(((INDEX('Tables - Part 2'!$BB$6:$BE$13,MATCH(HSC_Hydrofluoric_Acid!$T9,'Tables - Part 2'!$AV$6:$AV$13,0),MATCH(HSC_Hydrofluoric_Acid!$R9,'Tables - Part 2'!$AX$5:$BA$5,0))+(INDEX('Tables - Part 2'!$BB$6:$BE$13,MATCH(HSC_Hydrofluoric_Acid!$T9,'Tables - Part 2'!$AV$6:$AV$13,0),MATCH(HSC_Hydrofluoric_Acid!$R9,'Tables - Part 2'!$AX$5:$BA$5,0))+INDEX('Tables - Part 2'!$BF$6:$BI$13,MATCH(HSC_Hydrofluoric_Acid!$T9,'Tables - Part 2'!$AV$6:$AV$13,0),MATCH(HSC_Hydrofluoric_Acid!$R9,'Tables - Part 2'!$AX$5:$BA$5,0)))/2)/2)+((INDEX('Tables - Part 2'!$BB$6:$BE$13,MATCH(HSC_Hydrofluoric_Acid!$T9,'Tables - Part 2'!$AV$6:$AV$13,0),MATCH(HSC_Hydrofluoric_Acid!$R9,'Tables - Part 2'!$AX$5:$BA$5,0))+INDEX('Tables - Part 2'!$BF$6:$BI$13,MATCH(HSC_Hydrofluoric_Acid!$T9,'Tables - Part 2'!$AV$6:$AV$13,0),MATCH(HSC_Hydrofluoric_Acid!$R9,'Tables - Part 2'!$AX$5:$BA$5,0)))/2))/2,0)</f>
        <v>0</v>
      </c>
      <c r="AL9" s="248">
        <f>IF($Q9=$AL$3,(INDEX('Tables - Part 2'!$BB$6:$BE$13,MATCH(HSC_Hydrofluoric_Acid!$T9,'Tables - Part 2'!$AV$6:$AV$13,0),MATCH(HSC_Hydrofluoric_Acid!$R9,'Tables - Part 2'!$AX$5:$BA$5,0))+INDEX('Tables - Part 2'!$BF$6:$BI$13,MATCH(HSC_Hydrofluoric_Acid!$T9,'Tables - Part 2'!$AV$6:$AV$13,0),MATCH(HSC_Hydrofluoric_Acid!$R9,'Tables - Part 2'!$AX$5:$BA$5,0)))/2,0)</f>
        <v>1</v>
      </c>
      <c r="AM9" s="248">
        <f>IF($Q9=$AM$3,(((INDEX('Tables - Part 2'!$BB$6:$BE$13,MATCH(HSC_Hydrofluoric_Acid!$T9,'Tables - Part 2'!$AV$6:$AV$13,0),MATCH(HSC_Hydrofluoric_Acid!$R9,'Tables - Part 2'!$AX$5:$BA$5,0))+INDEX('Tables - Part 2'!$BF$6:$BI$13,MATCH(HSC_Hydrofluoric_Acid!$T9,'Tables - Part 2'!$AV$6:$AV$13,0),MATCH(HSC_Hydrofluoric_Acid!$R9,'Tables - Part 2'!$AX$5:$BA$5,0)))/2)+((((INDEX('Tables - Part 2'!$BB$6:$BE$13,MATCH(HSC_Hydrofluoric_Acid!$T9,'Tables - Part 2'!$AV$6:$AV$13,0),MATCH(HSC_Hydrofluoric_Acid!$R9,'Tables - Part 2'!$AX$5:$BA$5,0))+INDEX('Tables - Part 2'!$BF$6:$BI$13,MATCH(HSC_Hydrofluoric_Acid!$T9,'Tables - Part 2'!$AV$6:$AV$13,0),MATCH(HSC_Hydrofluoric_Acid!$R9,'Tables - Part 2'!$AX$5:$BA$5,0)))/2)+INDEX('Tables - Part 2'!$BF$6:$BI$13,MATCH(HSC_Hydrofluoric_Acid!$T9,'Tables - Part 2'!$AV$6:$AV$13,0),MATCH(HSC_Hydrofluoric_Acid!$R9,'Tables - Part 2'!$AX$5:$BA$5,0)))/2))/2,0)</f>
        <v>0</v>
      </c>
      <c r="AN9" s="248">
        <f>IF($Q9=$AN$3,(((INDEX('Tables - Part 2'!$BB$6:$BE$13,MATCH(HSC_Hydrofluoric_Acid!$T9,'Tables - Part 2'!$AV$6:$AV$13,0),MATCH(HSC_Hydrofluoric_Acid!$R9,'Tables - Part 2'!$AX$5:$BA$5,0))+INDEX('Tables - Part 2'!$BF$6:$BI$13,MATCH(HSC_Hydrofluoric_Acid!$T9,'Tables - Part 2'!$AV$6:$AV$13,0),MATCH(HSC_Hydrofluoric_Acid!$R9,'Tables - Part 2'!$AX$5:$BA$5,0)))/2)+INDEX('Tables - Part 2'!$BF$6:$BI$13,MATCH(HSC_Hydrofluoric_Acid!$T9,'Tables - Part 2'!$AV$6:$AV$13,0),MATCH(HSC_Hydrofluoric_Acid!$R9,'Tables - Part 2'!$AX$5:$BA$5,0)))/2,0)</f>
        <v>0</v>
      </c>
      <c r="AO9" s="248">
        <f>IF($Q9=$AO$3,(((((INDEX('Tables - Part 2'!$BB$6:$BE$13,MATCH(HSC_Hydrofluoric_Acid!$T9,'Tables - Part 2'!$AV$6:$AV$13,0),MATCH(HSC_Hydrofluoric_Acid!$R9,'Tables - Part 2'!$AX$5:$BA$5,0))+INDEX('Tables - Part 2'!$BF$6:$BI$13,MATCH(HSC_Hydrofluoric_Acid!$T9,'Tables - Part 2'!$AV$6:$AV$13,0),MATCH(HSC_Hydrofluoric_Acid!$R9,'Tables - Part 2'!$AX$5:$BA$5,0)))/2)+INDEX('Tables - Part 2'!$BF$6:$BI$13,MATCH(HSC_Hydrofluoric_Acid!$T9,'Tables - Part 2'!$AV$6:$AV$13,0),MATCH(HSC_Hydrofluoric_Acid!$R9,'Tables - Part 2'!$AX$5:$BA$5,0)))/2)+INDEX('Tables - Part 2'!$BF$6:$BI$13,MATCH(HSC_Hydrofluoric_Acid!$T9,'Tables - Part 2'!$AV$6:$AV$13,0),MATCH(HSC_Hydrofluoric_Acid!$R9,'Tables - Part 2'!$AX$5:$BA$5,0)))/2,0)</f>
        <v>0</v>
      </c>
      <c r="AP9" s="248">
        <f>IF($Q9=$AP$3,INDEX('Tables - Part 2'!$BF$6:$BI$13,MATCH(HSC_Hydrofluoric_Acid!$T9,'Tables - Part 2'!$AV$6:$AV$13,0),MATCH(HSC_Hydrofluoric_Acid!$R9,'Tables - Part 2'!$AX$5:$BA$5,0)),0)</f>
        <v>0</v>
      </c>
      <c r="AQ9" s="248">
        <f>IF($Q9=$AQ$3,(INDEX('Tables - Part 2'!$BF$6:$BI$13,MATCH(HSC_Hydrofluoric_Acid!$T9,'Tables - Part 2'!$AV$6:$AV$13,0),MATCH(HSC_Hydrofluoric_Acid!$R9,'Tables - Part 2'!$AX$5:$BA$5,0))+((INDEX('Tables - Part 2'!$BF$6:$BI$13,MATCH(HSC_Hydrofluoric_Acid!$T9,'Tables - Part 2'!$AV$6:$AV$13,0),MATCH(HSC_Hydrofluoric_Acid!$R9,'Tables - Part 2'!$AX$5:$BA$5,0))+(INDEX('Tables - Part 2'!$BF$6:$BI$13,MATCH(HSC_Hydrofluoric_Acid!$T9,'Tables - Part 2'!$AV$6:$AV$13,0),MATCH(HSC_Hydrofluoric_Acid!$R9,'Tables - Part 2'!$AX$5:$BA$5,0))+INDEX('Tables - Part 2'!$AX$17:$BA$24,MATCH(HSC_Hydrofluoric_Acid!$T9,'Tables - Part 2'!$AV$6:$AV$13,0),MATCH(HSC_Hydrofluoric_Acid!$R9,'Tables - Part 2'!$AX$5:$BA$5,0)))/2)/2))/2,0)</f>
        <v>0</v>
      </c>
      <c r="AR9" s="248">
        <f>IF($Q9=$AR$3,(INDEX('Tables - Part 2'!$BF$6:$BI$13,MATCH(HSC_Hydrofluoric_Acid!$T9,'Tables - Part 2'!$AV$6:$AV$13,0),MATCH(HSC_Hydrofluoric_Acid!$R9,'Tables - Part 2'!$AX$5:$BA$5,0))+(INDEX('Tables - Part 2'!$BF$6:$BI$13,MATCH(HSC_Hydrofluoric_Acid!$T9,'Tables - Part 2'!$AV$6:$AV$13,0),MATCH(HSC_Hydrofluoric_Acid!$R9,'Tables - Part 2'!$AX$5:$BA$5,0))+INDEX('Tables - Part 2'!$AX$17:$BA$24,MATCH(HSC_Hydrofluoric_Acid!$T9,'Tables - Part 2'!$AV$6:$AV$13,0),MATCH(HSC_Hydrofluoric_Acid!$R9,'Tables - Part 2'!$AX$5:$BA$5,0)))/2)/2,0)</f>
        <v>0</v>
      </c>
      <c r="AS9" s="248">
        <f>IF($Q9=$AS$3,(((INDEX('Tables - Part 2'!$BF$6:$BI$13,MATCH(HSC_Hydrofluoric_Acid!$T9,'Tables - Part 2'!$AV$6:$AV$13,0),MATCH(HSC_Hydrofluoric_Acid!$R9,'Tables - Part 2'!$AX$5:$BA$5,0))+(INDEX('Tables - Part 2'!$BF$6:$BI$13,MATCH(HSC_Hydrofluoric_Acid!$T9,'Tables - Part 2'!$AV$6:$AV$13,0),MATCH(HSC_Hydrofluoric_Acid!$R9,'Tables - Part 2'!$AX$5:$BA$5,0))+INDEX('Tables - Part 2'!$AX$17:$BA$24,MATCH(HSC_Hydrofluoric_Acid!$T9,'Tables - Part 2'!$AV$6:$AV$13,0),MATCH(HSC_Hydrofluoric_Acid!$R9,'Tables - Part 2'!$AX$5:$BA$5,0)))/2)/2)+((INDEX('Tables - Part 2'!$BF$6:$BI$13,MATCH(HSC_Hydrofluoric_Acid!$T9,'Tables - Part 2'!$AV$6:$AV$13,0),MATCH(HSC_Hydrofluoric_Acid!$R9,'Tables - Part 2'!$AX$5:$BA$5,0))+INDEX('Tables - Part 2'!$AX$17:$BA$24,MATCH(HSC_Hydrofluoric_Acid!$T9,'Tables - Part 2'!$AV$6:$AV$13,0),MATCH(HSC_Hydrofluoric_Acid!$R9,'Tables - Part 2'!$AX$5:$BA$5,0)))/2))/2,0)</f>
        <v>0</v>
      </c>
      <c r="AT9" s="248">
        <f>IF($Q9=$AT$3,(INDEX('Tables - Part 2'!$BF$6:$BI$13,MATCH(HSC_Hydrofluoric_Acid!$T9,'Tables - Part 2'!$AV$6:$AV$13,0),MATCH(HSC_Hydrofluoric_Acid!$R9,'Tables - Part 2'!$AX$5:$BA$5,0))+INDEX('Tables - Part 2'!$AX$17:$BA$24,MATCH(HSC_Hydrofluoric_Acid!$T9,'Tables - Part 2'!$AV$6:$AV$13,0),MATCH(HSC_Hydrofluoric_Acid!$R9,'Tables - Part 2'!$AX$5:$BA$5,0)))/2,0)</f>
        <v>0</v>
      </c>
      <c r="AU9" s="248">
        <f>IF($Q9=$AU$3,(((INDEX('Tables - Part 2'!$BF$6:$BI$13,MATCH(HSC_Hydrofluoric_Acid!$T9,'Tables - Part 2'!$AV$6:$AV$13,0),MATCH(HSC_Hydrofluoric_Acid!$R9,'Tables - Part 2'!$AX$5:$BA$5,0))+INDEX('Tables - Part 2'!$AX$17:$BA$24,MATCH(HSC_Hydrofluoric_Acid!$T9,'Tables - Part 2'!$AV$6:$AV$13,0),MATCH(HSC_Hydrofluoric_Acid!$R9,'Tables - Part 2'!$AX$5:$BA$5,0)))/2)+((((INDEX('Tables - Part 2'!$BF$6:$BI$13,MATCH(HSC_Hydrofluoric_Acid!$T9,'Tables - Part 2'!$AV$6:$AV$13,0),MATCH(HSC_Hydrofluoric_Acid!$R9,'Tables - Part 2'!$AX$5:$BA$5,0))+INDEX('Tables - Part 2'!$AX$17:$BA$24,MATCH(HSC_Hydrofluoric_Acid!$T9,'Tables - Part 2'!$AV$6:$AV$13,0),MATCH(HSC_Hydrofluoric_Acid!$R9,'Tables - Part 2'!$AX$5:$BA$5,0)))/2)+INDEX('Tables - Part 2'!$AX$17:$BA$24,MATCH(HSC_Hydrofluoric_Acid!$T9,'Tables - Part 2'!$AV$6:$AV$13,0),MATCH(HSC_Hydrofluoric_Acid!$R9,'Tables - Part 2'!$AX$5:$BA$5,0)))/2))/2,0)</f>
        <v>0</v>
      </c>
      <c r="AV9" s="248">
        <f>IF($Q9=$AV$3,(((INDEX('Tables - Part 2'!$BF$6:$BI$13,MATCH(HSC_Hydrofluoric_Acid!$T9,'Tables - Part 2'!$AV$6:$AV$13,0),MATCH(HSC_Hydrofluoric_Acid!$R9,'Tables - Part 2'!$AX$5:$BA$5,0))+INDEX('Tables - Part 2'!$AX$17:$BA$24,MATCH(HSC_Hydrofluoric_Acid!$T9,'Tables - Part 2'!$AV$6:$AV$13,0),MATCH(HSC_Hydrofluoric_Acid!$R9,'Tables - Part 2'!$AX$5:$BA$5,0)))/2)+INDEX('Tables - Part 2'!$AX$17:$BA$24,MATCH(HSC_Hydrofluoric_Acid!$T9,'Tables - Part 2'!$AV$6:$AV$13,0),MATCH(HSC_Hydrofluoric_Acid!$R9,'Tables - Part 2'!$AX$5:$BA$5,0)))/2,0)</f>
        <v>0</v>
      </c>
      <c r="AW9" s="248">
        <f>IF($Q9=$AW$3,(((((INDEX('Tables - Part 2'!$BF$6:$BI$13,MATCH(HSC_Hydrofluoric_Acid!$T9,'Tables - Part 2'!$AV$6:$AV$13,0),MATCH(HSC_Hydrofluoric_Acid!$R9,'Tables - Part 2'!$AX$5:$BA$5,0))+INDEX('Tables - Part 2'!$AX$17:$BA$24,MATCH(HSC_Hydrofluoric_Acid!$T9,'Tables - Part 2'!$AV$6:$AV$13,0),MATCH(HSC_Hydrofluoric_Acid!$R9,'Tables - Part 2'!$AX$5:$BA$5,0)))/2)+INDEX('Tables - Part 2'!$AX$17:$BA$24,MATCH(HSC_Hydrofluoric_Acid!$T9,'Tables - Part 2'!$AV$6:$AV$13,0),MATCH(HSC_Hydrofluoric_Acid!$R9,'Tables - Part 2'!$AX$5:$BA$5,0)))/2)+(INDEX('Tables - Part 2'!$AX$17:$BA$24,MATCH(HSC_Hydrofluoric_Acid!$T9,'Tables - Part 2'!$AV$6:$AV$13,0),MATCH(HSC_Hydrofluoric_Acid!$R9,'Tables - Part 2'!$AX$5:$BA$5,0))))/2,0)</f>
        <v>0</v>
      </c>
      <c r="AX9" s="248">
        <f>IF($Q9=$AX$3,INDEX('Tables - Part 2'!$AX$17:$BA$24,MATCH(HSC_Hydrofluoric_Acid!$T9,'Tables - Part 2'!$AV$6:$AV$13,0),MATCH(HSC_Hydrofluoric_Acid!$R9,'Tables - Part 2'!$AX$5:$BA$5,0)),0)</f>
        <v>0</v>
      </c>
      <c r="AY9" s="248">
        <f>IF($Q9=$AY$3,((INDEX('Tables - Part 2'!$AX$17:$BA$24,MATCH(HSC_Hydrofluoric_Acid!$T9,'Tables - Part 2'!$AV$6:$AV$13,0),MATCH(HSC_Hydrofluoric_Acid!$R9,'Tables - Part 2'!$AX$5:$BA$5,0)))+(((INDEX('Tables - Part 2'!$AX$17:$BA$24,MATCH(HSC_Hydrofluoric_Acid!$T9,'Tables - Part 2'!$AV$6:$AV$13,0),MATCH(HSC_Hydrofluoric_Acid!$R9,'Tables - Part 2'!$AX$5:$BA$5,0)))+(INDEX('Tables - Part 2'!$AX$17:$BA$24,MATCH(HSC_Hydrofluoric_Acid!$T9,'Tables - Part 2'!$AV$6:$AV$13,0),MATCH(HSC_Hydrofluoric_Acid!$R9,'Tables - Part 2'!$AX$5:$BA$5,0))+INDEX('Tables - Part 2'!$BB$17:$BE$24,MATCH(HSC_Hydrofluoric_Acid!$T9,'Tables - Part 2'!$AV$6:$AV$13,0),MATCH(HSC_Hydrofluoric_Acid!$R9,'Tables - Part 2'!$AX$5:$BA$5,0)))/2)/2))/2,0)</f>
        <v>0</v>
      </c>
      <c r="AZ9" s="248">
        <f>IF($Q9=$AZ$3,((INDEX('Tables - Part 2'!$AX$17:$BA$24,MATCH(HSC_Hydrofluoric_Acid!$T9,'Tables - Part 2'!$AV$6:$AV$13,0),MATCH(HSC_Hydrofluoric_Acid!$R9,'Tables - Part 2'!$AX$5:$BA$5,0)))+(INDEX('Tables - Part 2'!$AX$17:$BA$24,MATCH(HSC_Hydrofluoric_Acid!$T9,'Tables - Part 2'!$AV$6:$AV$13,0),MATCH(HSC_Hydrofluoric_Acid!$R9,'Tables - Part 2'!$AX$5:$BA$5,0))+INDEX('Tables - Part 2'!$BB$17:$BE$24,MATCH(HSC_Hydrofluoric_Acid!$T9,'Tables - Part 2'!$AV$6:$AV$13,0),MATCH(HSC_Hydrofluoric_Acid!$R9,'Tables - Part 2'!$AX$5:$BA$5,0)))/2)/2,0)</f>
        <v>0</v>
      </c>
      <c r="BA9" s="248">
        <f>IF($Q9=$BA$3,((((INDEX('Tables - Part 2'!$AX$17:$BA$24,MATCH(HSC_Hydrofluoric_Acid!$T9,'Tables - Part 2'!$AV$6:$AV$13,0),MATCH(HSC_Hydrofluoric_Acid!$R9,'Tables - Part 2'!$AX$5:$BA$5,0)))+(INDEX('Tables - Part 2'!$AX$17:$BA$24,MATCH(HSC_Hydrofluoric_Acid!$T9,'Tables - Part 2'!$AV$6:$AV$13,0),MATCH(HSC_Hydrofluoric_Acid!$R9,'Tables - Part 2'!$AX$5:$BA$5,0))+INDEX('Tables - Part 2'!$BB$17:$BE$24,MATCH(HSC_Hydrofluoric_Acid!$T9,'Tables - Part 2'!$AV$6:$AV$13,0),MATCH(HSC_Hydrofluoric_Acid!$R9,'Tables - Part 2'!$AX$5:$BA$5,0)))/2)/2)+((INDEX('Tables - Part 2'!$AX$17:$BA$24,MATCH(HSC_Hydrofluoric_Acid!$T9,'Tables - Part 2'!$AV$6:$AV$13,0),MATCH(HSC_Hydrofluoric_Acid!$R9,'Tables - Part 2'!$AX$5:$BA$5,0))+INDEX('Tables - Part 2'!$BB$17:$BE$24,MATCH(HSC_Hydrofluoric_Acid!$T9,'Tables - Part 2'!$AV$6:$AV$13,0),MATCH(HSC_Hydrofluoric_Acid!$R9,'Tables - Part 2'!$AX$5:$BA$5,0)))/2))/2,0)</f>
        <v>0</v>
      </c>
      <c r="BB9" s="248">
        <f>IF($Q9=$BB$3,(INDEX('Tables - Part 2'!$AX$17:$BA$24,MATCH(HSC_Hydrofluoric_Acid!$T9,'Tables - Part 2'!$AV$6:$AV$13,0),MATCH(HSC_Hydrofluoric_Acid!$R9,'Tables - Part 2'!$AX$5:$BA$5,0))+INDEX('Tables - Part 2'!$BB$17:$BE$24,MATCH(HSC_Hydrofluoric_Acid!$T9,'Tables - Part 2'!$AV$6:$AV$13,0),MATCH(HSC_Hydrofluoric_Acid!$R9,'Tables - Part 2'!$AX$5:$BA$5,0)))/2,0)</f>
        <v>0</v>
      </c>
      <c r="BC9" s="248">
        <f>IF($Q9=$BC$3,(((INDEX('Tables - Part 2'!$AX$17:$BA$24,MATCH(HSC_Hydrofluoric_Acid!$T9,'Tables - Part 2'!$AV$6:$AV$13,0),MATCH(HSC_Hydrofluoric_Acid!$R9,'Tables - Part 2'!$AX$5:$BA$5,0))+INDEX('Tables - Part 2'!$BB$17:$BE$24,MATCH(HSC_Hydrofluoric_Acid!$T9,'Tables - Part 2'!$AV$6:$AV$13,0),MATCH(HSC_Hydrofluoric_Acid!$R9,'Tables - Part 2'!$AX$5:$BA$5,0)))/2)+((((INDEX('Tables - Part 2'!$AX$17:$BA$24,MATCH(HSC_Hydrofluoric_Acid!$T9,'Tables - Part 2'!$AV$6:$AV$13,0),MATCH(HSC_Hydrofluoric_Acid!$R9,'Tables - Part 2'!$AX$5:$BA$5,0))+INDEX('Tables - Part 2'!$BB$17:$BE$24,MATCH(HSC_Hydrofluoric_Acid!$T9,'Tables - Part 2'!$AV$6:$AV$13,0),MATCH(HSC_Hydrofluoric_Acid!$R9,'Tables - Part 2'!$AX$5:$BA$5,0)))/2)+INDEX('Tables - Part 2'!$BB$17:$BE$24,MATCH(HSC_Hydrofluoric_Acid!$T9,'Tables - Part 2'!$AV$6:$AV$13,0),MATCH(HSC_Hydrofluoric_Acid!$R9,'Tables - Part 2'!$AX$5:$BA$5,0)))/2))/2,0)</f>
        <v>0</v>
      </c>
      <c r="BD9" s="248">
        <f>IF($Q9=$BD$3,(((INDEX('Tables - Part 2'!$AX$17:$BA$24,MATCH(HSC_Hydrofluoric_Acid!$T9,'Tables - Part 2'!$AV$6:$AV$13,0),MATCH(HSC_Hydrofluoric_Acid!$R9,'Tables - Part 2'!$AX$5:$BA$5,0))+INDEX('Tables - Part 2'!$BB$17:$BE$24,MATCH(HSC_Hydrofluoric_Acid!$T9,'Tables - Part 2'!$AV$6:$AV$13,0),MATCH(HSC_Hydrofluoric_Acid!$R9,'Tables - Part 2'!$AX$5:$BA$5,0)))/2)+INDEX('Tables - Part 2'!$BB$17:$BE$24,MATCH(HSC_Hydrofluoric_Acid!$T9,'Tables - Part 2'!$AV$6:$AV$13,0),MATCH(HSC_Hydrofluoric_Acid!$R9,'Tables - Part 2'!$AX$5:$BA$5,0)))/2,0)</f>
        <v>0</v>
      </c>
      <c r="BE9" s="248">
        <f>IF($Q9=$BE$3,(((((INDEX('Tables - Part 2'!$AX$17:$BA$24,MATCH(HSC_Hydrofluoric_Acid!$T9,'Tables - Part 2'!$AV$6:$AV$13,0),MATCH(HSC_Hydrofluoric_Acid!$R9,'Tables - Part 2'!$AX$5:$BA$5,0))+INDEX('Tables - Part 2'!$BB$17:$BE$24,MATCH(HSC_Hydrofluoric_Acid!$T9,'Tables - Part 2'!$AV$6:$AV$13,0),MATCH(HSC_Hydrofluoric_Acid!$R9,'Tables - Part 2'!$AX$5:$BA$5,0)))/2)+INDEX('Tables - Part 2'!$BB$17:$BE$24,MATCH(HSC_Hydrofluoric_Acid!$T9,'Tables - Part 2'!$AV$6:$AV$13,0),MATCH(HSC_Hydrofluoric_Acid!$R9,'Tables - Part 2'!$AX$5:$BA$5,0)))/2)+(INDEX('Tables - Part 2'!$BB$17:$BE$24,MATCH(HSC_Hydrofluoric_Acid!$T9,'Tables - Part 2'!$AV$6:$AV$13,0),MATCH(HSC_Hydrofluoric_Acid!$R9,'Tables - Part 2'!$AX$5:$BA$5,0))))/2,0)</f>
        <v>0</v>
      </c>
      <c r="BF9" s="248">
        <f>IF($Q9=$BF$3,INDEX('Tables - Part 2'!$BB$17:$BE$24,MATCH(HSC_Hydrofluoric_Acid!$T9,'Tables - Part 2'!$AV$6:$AV$13,0),MATCH(HSC_Hydrofluoric_Acid!$R9,'Tables - Part 2'!$AX$5:$BA$5,0)),0)</f>
        <v>0</v>
      </c>
      <c r="BG9" s="248">
        <f>IF($Q9=$BG$3,((INDEX('Tables - Part 2'!$BB$17:$BE$24,MATCH(HSC_Hydrofluoric_Acid!$T9,'Tables - Part 2'!$AV$6:$AV$13,0),MATCH(HSC_Hydrofluoric_Acid!$R9,'Tables - Part 2'!$AX$5:$BA$5,0)))+(((INDEX('Tables - Part 2'!$BB$17:$BE$24,MATCH(HSC_Hydrofluoric_Acid!$T9,'Tables - Part 2'!$AV$6:$AV$13,0),MATCH(HSC_Hydrofluoric_Acid!$R9,'Tables - Part 2'!$AX$5:$BA$5,0)))+(INDEX('Tables - Part 2'!$BB$17:$BE$24,MATCH(HSC_Hydrofluoric_Acid!$T9,'Tables - Part 2'!$AV$6:$AV$13,0),MATCH(HSC_Hydrofluoric_Acid!$R9,'Tables - Part 2'!$AX$5:$BA$5,0))+INDEX('Tables - Part 2'!$BF$17:$BI$24,MATCH(HSC_Hydrofluoric_Acid!$T9,'Tables - Part 2'!$AV$6:$AV$13,0),MATCH(HSC_Hydrofluoric_Acid!$R9,'Tables - Part 2'!$AX$5:$BA$5,0)))/2)/2))/2,0)</f>
        <v>0</v>
      </c>
      <c r="BH9" s="248">
        <f>IF($Q9=$BH$3,((INDEX('Tables - Part 2'!$BB$17:$BE$24,MATCH(HSC_Hydrofluoric_Acid!$T9,'Tables - Part 2'!$AV$6:$AV$13,0),MATCH(HSC_Hydrofluoric_Acid!$R9,'Tables - Part 2'!$AX$5:$BA$5,0)))+(INDEX('Tables - Part 2'!$BB$17:$BE$24,MATCH(HSC_Hydrofluoric_Acid!$T9,'Tables - Part 2'!$AV$6:$AV$13,0),MATCH(HSC_Hydrofluoric_Acid!$R9,'Tables - Part 2'!$AX$5:$BA$5,0))+INDEX('Tables - Part 2'!$BF$17:$BI$24,MATCH(HSC_Hydrofluoric_Acid!$T9,'Tables - Part 2'!$AV$6:$AV$13,0),MATCH(HSC_Hydrofluoric_Acid!$R9,'Tables - Part 2'!$AX$5:$BA$5,0)))/2)/2,0)</f>
        <v>0</v>
      </c>
      <c r="BI9" s="248">
        <f>IF($Q9=$BI$3,((((INDEX('Tables - Part 2'!$BB$17:$BE$24,MATCH(HSC_Hydrofluoric_Acid!$T9,'Tables - Part 2'!$AV$6:$AV$13,0),MATCH(HSC_Hydrofluoric_Acid!$R9,'Tables - Part 2'!$AX$5:$BA$5,0)))+(INDEX('Tables - Part 2'!$BB$17:$BE$24,MATCH(HSC_Hydrofluoric_Acid!$T9,'Tables - Part 2'!$AV$6:$AV$13,0),MATCH(HSC_Hydrofluoric_Acid!$R9,'Tables - Part 2'!$AX$5:$BA$5,0))+INDEX('Tables - Part 2'!$BF$17:$BI$24,MATCH(HSC_Hydrofluoric_Acid!$T9,'Tables - Part 2'!$AV$6:$AV$13,0),MATCH(HSC_Hydrofluoric_Acid!$R9,'Tables - Part 2'!$AX$5:$BA$5,0)))/2)/2)+((INDEX('Tables - Part 2'!$BB$17:$BE$24,MATCH(HSC_Hydrofluoric_Acid!$T9,'Tables - Part 2'!$AV$6:$AV$13,0),MATCH(HSC_Hydrofluoric_Acid!$R9,'Tables - Part 2'!$AX$5:$BA$5,0))+INDEX('Tables - Part 2'!$BF$17:$BI$24,MATCH(HSC_Hydrofluoric_Acid!$T9,'Tables - Part 2'!$AV$6:$AV$13,0),MATCH(HSC_Hydrofluoric_Acid!$R9,'Tables - Part 2'!$AX$5:$BA$5,0)))/2))/2,0)</f>
        <v>0</v>
      </c>
      <c r="BJ9" s="248">
        <f>IF($Q9=$BJ$3,(INDEX('Tables - Part 2'!$BB$17:$BE$24,MATCH(HSC_Hydrofluoric_Acid!$T9,'Tables - Part 2'!$AV$6:$AV$13,0),MATCH(HSC_Hydrofluoric_Acid!$R9,'Tables - Part 2'!$AX$5:$BA$5,0))+INDEX('Tables - Part 2'!$BF$17:$BI$24,MATCH(HSC_Hydrofluoric_Acid!$T9,'Tables - Part 2'!$AV$6:$AV$13,0),MATCH(HSC_Hydrofluoric_Acid!$R9,'Tables - Part 2'!$AX$5:$BA$5,0)))/2,0)</f>
        <v>0</v>
      </c>
      <c r="BK9" s="248">
        <f>IF($Q9=$BK$3,(((INDEX('Tables - Part 2'!$BB$17:$BE$24,MATCH(HSC_Hydrofluoric_Acid!$T9,'Tables - Part 2'!$AV$6:$AV$13,0),MATCH(HSC_Hydrofluoric_Acid!$R9,'Tables - Part 2'!$AX$5:$BA$5,0))+INDEX('Tables - Part 2'!$BF$17:$BI$24,MATCH(HSC_Hydrofluoric_Acid!$T9,'Tables - Part 2'!$AV$6:$AV$13,0),MATCH(HSC_Hydrofluoric_Acid!$R9,'Tables - Part 2'!$AX$5:$BA$5,0)))/2)+((((INDEX('Tables - Part 2'!$BB$17:$BE$24,MATCH(HSC_Hydrofluoric_Acid!$T9,'Tables - Part 2'!$AV$6:$AV$13,0),MATCH(HSC_Hydrofluoric_Acid!$R9,'Tables - Part 2'!$AX$5:$BA$5,0))+INDEX('Tables - Part 2'!$BF$17:$BI$24,MATCH(HSC_Hydrofluoric_Acid!$T9,'Tables - Part 2'!$AV$6:$AV$13,0),MATCH(HSC_Hydrofluoric_Acid!$R9,'Tables - Part 2'!$AX$5:$BA$5,0)))/2)+INDEX('Tables - Part 2'!$BF$17:$BI$24,MATCH(HSC_Hydrofluoric_Acid!$T9,'Tables - Part 2'!$AV$6:$AV$13,0),MATCH(HSC_Hydrofluoric_Acid!$R9,'Tables - Part 2'!$AX$5:$BA$5,0)))/2))/2,0)</f>
        <v>0</v>
      </c>
      <c r="BL9" s="248">
        <f>IF($Q9=$BL$3,(((INDEX('Tables - Part 2'!$BB$17:$BE$24,MATCH(HSC_Hydrofluoric_Acid!$T9,'Tables - Part 2'!$AV$6:$AV$13,0),MATCH(HSC_Hydrofluoric_Acid!$R9,'Tables - Part 2'!$AX$5:$BA$5,0))+INDEX('Tables - Part 2'!$BF$17:$BI$24,MATCH(HSC_Hydrofluoric_Acid!$T9,'Tables - Part 2'!$AV$6:$AV$13,0),MATCH(HSC_Hydrofluoric_Acid!$R9,'Tables - Part 2'!$AX$5:$BA$5,0)))/2)+INDEX('Tables - Part 2'!$BF$17:$BI$24,MATCH(HSC_Hydrofluoric_Acid!$T9,'Tables - Part 2'!$AV$6:$AV$13,0),MATCH(HSC_Hydrofluoric_Acid!$R9,'Tables - Part 2'!$AX$5:$BA$5,0)))/2,0)</f>
        <v>0</v>
      </c>
      <c r="BM9" s="248">
        <f>IF($Q9=$BM$3,(((((INDEX('Tables - Part 2'!$BB$17:$BE$24,MATCH(HSC_Hydrofluoric_Acid!$T9,'Tables - Part 2'!$AV$6:$AV$13,0),MATCH(HSC_Hydrofluoric_Acid!$R9,'Tables - Part 2'!$AX$5:$BA$5,0))+INDEX('Tables - Part 2'!$BF$17:$BI$24,MATCH(HSC_Hydrofluoric_Acid!$T9,'Tables - Part 2'!$AV$6:$AV$13,0),MATCH(HSC_Hydrofluoric_Acid!$R9,'Tables - Part 2'!$AX$5:$BA$5,0)))/2)+INDEX('Tables - Part 2'!$BF$17:$BI$24,MATCH(HSC_Hydrofluoric_Acid!$T9,'Tables - Part 2'!$AV$6:$AV$13,0),MATCH(HSC_Hydrofluoric_Acid!$R9,'Tables - Part 2'!$AX$5:$BA$5,0)))/2)+(INDEX('Tables - Part 2'!$BF$17:$BI$24,MATCH(HSC_Hydrofluoric_Acid!$T9,'Tables - Part 2'!$AV$6:$AV$13,0),MATCH(HSC_Hydrofluoric_Acid!$R9,'Tables - Part 2'!$AX$5:$BA$5,0))))/2,0)</f>
        <v>0</v>
      </c>
      <c r="BN9" s="248">
        <f>IF($Q9=$BN$3,INDEX('Tables - Part 2'!$BF$17:$BI$24,MATCH(HSC_Hydrofluoric_Acid!$T9,'Tables - Part 2'!$AV$6:$AV$13,0),MATCH(HSC_Hydrofluoric_Acid!$R9,'Tables - Part 2'!$AX$5:$BA$5,0)),0)</f>
        <v>0</v>
      </c>
      <c r="BO9" s="248">
        <f t="shared" si="6"/>
        <v>0</v>
      </c>
      <c r="BP9" s="238">
        <f t="shared" si="8"/>
        <v>1</v>
      </c>
      <c r="BQ9" s="238">
        <f t="shared" si="7"/>
        <v>16.77288246840839</v>
      </c>
    </row>
    <row r="10" spans="2:82" x14ac:dyDescent="0.35">
      <c r="B10" s="161" t="str">
        <f>'Tratamento de Dados'!B18</f>
        <v>V-1</v>
      </c>
      <c r="C10" s="161" t="str">
        <f>'Tratamento de Dados'!D18</f>
        <v>Casco</v>
      </c>
      <c r="D10" s="209" t="s">
        <v>245</v>
      </c>
      <c r="E10" s="209" t="s">
        <v>61</v>
      </c>
      <c r="F10" s="209" t="s">
        <v>244</v>
      </c>
      <c r="G10" s="209" t="s">
        <v>244</v>
      </c>
      <c r="H10" s="209" t="s">
        <v>1112</v>
      </c>
      <c r="I10" s="209" t="s">
        <v>245</v>
      </c>
      <c r="J10" s="210">
        <v>39092</v>
      </c>
      <c r="K10" s="209">
        <v>0</v>
      </c>
      <c r="L10" s="209">
        <v>1</v>
      </c>
      <c r="M10" s="209">
        <v>1</v>
      </c>
      <c r="N10" s="209">
        <v>4</v>
      </c>
      <c r="O10" s="253">
        <f>'Tratamento de Dados'!DA18</f>
        <v>0</v>
      </c>
      <c r="P10" s="253">
        <f>'Tratamento de Dados'!DB18</f>
        <v>0</v>
      </c>
      <c r="Q10" s="256">
        <f t="shared" si="0"/>
        <v>2.5</v>
      </c>
      <c r="R10" s="246" t="str">
        <f t="shared" si="1"/>
        <v>B</v>
      </c>
      <c r="S10" s="238" t="str" cm="1">
        <f t="array" ref="S10">IF(D10=$BV$2,$BT$4,IF(OR(F10=$BV$3,G10=$BV$3),$BT$5,INDEX(IF(I10=$BV$2,'Tables - Part 2'!$EA$5:$EC$5,'Tables - Part 2'!$DX$5:$DZ$5),,MATCH(HSC_Hydrofluoric_Acid!H10,'Tables - Part 2'!$DX$4:$DZ$4,0))))</f>
        <v>Low</v>
      </c>
      <c r="T10" s="238">
        <f>IF(AND(D10=$BV$2,E10&lt;&gt;$BV$2),"Fitness-For-Service",INDEX('Tables - Part 2'!$EF$4:$EF$7,MATCH(HSC_Hydrofluoric_Acid!S10,'Tables - Part 2'!$EE$4:$EE$7,0),))</f>
        <v>1</v>
      </c>
      <c r="U10" s="238">
        <f>IF(J10=0,(Thinning!G11-Thinning!F11)/365.25,(Thinning!G11-J10)/365.25)</f>
        <v>12.980150581793293</v>
      </c>
      <c r="V10" s="248">
        <f t="shared" si="2"/>
        <v>0</v>
      </c>
      <c r="W10" s="248">
        <f t="shared" si="3"/>
        <v>2.5</v>
      </c>
      <c r="X10" s="248">
        <f t="shared" si="4"/>
        <v>3</v>
      </c>
      <c r="Y10" s="247">
        <f t="shared" si="5"/>
        <v>4</v>
      </c>
      <c r="Z10" s="248">
        <f>IF($Q10=$Z$3,INDEX('Tables - Part 2'!$AX$6:$BA$13,MATCH(HSC_Hydrofluoric_Acid!T10,'Tables - Part 2'!$AV$6:$AV$13,0),MATCH(HSC_Hydrofluoric_Acid!R10,'Tables - Part 2'!$AX$5:$BA$5,0)),0)</f>
        <v>0</v>
      </c>
      <c r="AA10" s="248">
        <f>IF($Q10=$AA$3,(INDEX('Tables - Part 2'!$AX$6:$BA$13,MATCH(HSC_Hydrofluoric_Acid!T10,'Tables - Part 2'!$AV$6:$AV$13,0),MATCH(HSC_Hydrofluoric_Acid!R10,'Tables - Part 2'!$AX$5:$BA$5,0))+(INDEX('Tables - Part 2'!$AX$6:$BA$13,MATCH(HSC_Hydrofluoric_Acid!T10,'Tables - Part 2'!$AV$6:$AV$13,0),MATCH(HSC_Hydrofluoric_Acid!R10,'Tables - Part 2'!$AX$5:$BA$5,0))+((INDEX('Tables - Part 2'!$AX$6:$BA$13,MATCH(HSC_Hydrofluoric_Acid!T10,'Tables - Part 2'!$AV$6:$AV$13,0),MATCH(HSC_Hydrofluoric_Acid!R10,'Tables - Part 2'!$AX$5:$BA$5,0))+INDEX('Tables - Part 2'!$BB$6:$BE$13,MATCH(HSC_Hydrofluoric_Acid!$T10,'Tables - Part 2'!$AV$6:$AV$13,0),MATCH(HSC_Hydrofluoric_Acid!$R10,'Tables - Part 2'!$AX$5:$BA$5,0)))/2))/2)/2,0)</f>
        <v>0</v>
      </c>
      <c r="AB10" s="248">
        <f>IF($Q10=$AB$3,(INDEX('Tables - Part 2'!$AX$6:$BA$13,MATCH(HSC_Hydrofluoric_Acid!T10,'Tables - Part 2'!$AV$6:$AV$13,0),MATCH(HSC_Hydrofluoric_Acid!R10,'Tables - Part 2'!$AX$5:$BA$5,0))+((INDEX('Tables - Part 2'!$AX$6:$BA$13,MATCH(HSC_Hydrofluoric_Acid!T10,'Tables - Part 2'!$AV$6:$AV$13,0),MATCH(HSC_Hydrofluoric_Acid!R10,'Tables - Part 2'!$AX$5:$BA$5,0))+INDEX('Tables - Part 2'!$BB$6:$BE$13,MATCH(HSC_Hydrofluoric_Acid!$T10,'Tables - Part 2'!$AV$6:$AV$13,0),MATCH(HSC_Hydrofluoric_Acid!$R10,'Tables - Part 2'!$AX$5:$BA$5,0)))/2))/2,0)</f>
        <v>0</v>
      </c>
      <c r="AC10" s="248">
        <f>IF($Q10=$AC$3,(((INDEX('Tables - Part 2'!$AX$6:$BA$13,MATCH(HSC_Hydrofluoric_Acid!T10,'Tables - Part 2'!$AV$6:$AV$13,0),MATCH(HSC_Hydrofluoric_Acid!R10,'Tables - Part 2'!$AX$5:$BA$5,0))+((INDEX('Tables - Part 2'!$AX$6:$BA$13,MATCH(HSC_Hydrofluoric_Acid!T10,'Tables - Part 2'!$AV$6:$AV$13,0),MATCH(HSC_Hydrofluoric_Acid!R10,'Tables - Part 2'!$AX$5:$BA$5,0))+INDEX('Tables - Part 2'!$BB$6:$BE$13,MATCH(HSC_Hydrofluoric_Acid!$T10,'Tables - Part 2'!$AV$6:$AV$13,0),MATCH(HSC_Hydrofluoric_Acid!$R10,'Tables - Part 2'!$AX$5:$BA$5,0)))/2))/2)+(INDEX('Tables - Part 2'!$AX$6:$BA$13,MATCH(HSC_Hydrofluoric_Acid!T10,'Tables - Part 2'!$AV$6:$AV$13,0),MATCH(HSC_Hydrofluoric_Acid!R10,'Tables - Part 2'!$AX$5:$BA$5,0))+INDEX('Tables - Part 2'!$BB$6:$BE$13,MATCH(HSC_Hydrofluoric_Acid!$T10,'Tables - Part 2'!$AV$6:$AV$13,0),MATCH(HSC_Hydrofluoric_Acid!$R10,'Tables - Part 2'!$AX$5:$BA$5,0)))/2)/2,0)</f>
        <v>0</v>
      </c>
      <c r="AD10" s="248">
        <f>IF($Q10=$AD$3,(INDEX('Tables - Part 2'!$AX$6:$BA$13,MATCH(HSC_Hydrofluoric_Acid!T10,'Tables - Part 2'!$AV$6:$AV$13,0),MATCH(HSC_Hydrofluoric_Acid!R10,'Tables - Part 2'!$AX$5:$BA$5,0))+INDEX('Tables - Part 2'!$BB$6:$BE$13,MATCH(HSC_Hydrofluoric_Acid!$T10,'Tables - Part 2'!$AV$6:$AV$13,0),MATCH(HSC_Hydrofluoric_Acid!$R10,'Tables - Part 2'!$AX$5:$BA$5,0)))/2,0)</f>
        <v>0</v>
      </c>
      <c r="AE10" s="248">
        <f>IF($Q10=$AE$3,(((INDEX('Tables - Part 2'!$AX$6:$BA$13,MATCH(HSC_Hydrofluoric_Acid!T10,'Tables - Part 2'!$AV$6:$AV$13,0),MATCH(HSC_Hydrofluoric_Acid!R10,'Tables - Part 2'!$AX$5:$BA$5,0))+INDEX('Tables - Part 2'!$BB$6:$BE$13,MATCH(HSC_Hydrofluoric_Acid!$T10,'Tables - Part 2'!$AV$6:$AV$13,0),MATCH(HSC_Hydrofluoric_Acid!$R10,'Tables - Part 2'!$AX$5:$BA$5,0)))/2)+(((INDEX('Tables - Part 2'!$AX$6:$BA$13,MATCH(HSC_Hydrofluoric_Acid!T10,'Tables - Part 2'!$AV$6:$AV$13,0),MATCH(HSC_Hydrofluoric_Acid!R10,'Tables - Part 2'!$AX$5:$BA$5,0))+INDEX('Tables - Part 2'!$BB$6:$BE$13,MATCH(HSC_Hydrofluoric_Acid!$T10,'Tables - Part 2'!$AV$6:$AV$13,0),MATCH(HSC_Hydrofluoric_Acid!$R10,'Tables - Part 2'!$AX$5:$BA$5,0)))/2)+INDEX('Tables - Part 2'!$BB$6:$BE$13,MATCH(HSC_Hydrofluoric_Acid!$T10,'Tables - Part 2'!$AV$6:$AV$13,0),MATCH(HSC_Hydrofluoric_Acid!$R10,'Tables - Part 2'!$AX$5:$BA$5,0)))/2)/2,0)</f>
        <v>0</v>
      </c>
      <c r="AF10" s="248">
        <f>IF($Q10=$AF$3,(((INDEX('Tables - Part 2'!$AX$6:$BA$13,MATCH(HSC_Hydrofluoric_Acid!T10,'Tables - Part 2'!$AV$6:$AV$13,0),MATCH(HSC_Hydrofluoric_Acid!R10,'Tables - Part 2'!$AX$5:$BA$5,0))+INDEX('Tables - Part 2'!$BB$6:$BE$13,MATCH(HSC_Hydrofluoric_Acid!$T10,'Tables - Part 2'!$AV$6:$AV$13,0),MATCH(HSC_Hydrofluoric_Acid!$R10,'Tables - Part 2'!$AX$5:$BA$5,0)))/2)+INDEX('Tables - Part 2'!$BB$6:$BE$13,MATCH(HSC_Hydrofluoric_Acid!$T10,'Tables - Part 2'!$AV$6:$AV$13,0),MATCH(HSC_Hydrofluoric_Acid!$R10,'Tables - Part 2'!$AX$5:$BA$5,0)))/2,0)</f>
        <v>0</v>
      </c>
      <c r="AG10" s="248">
        <f>IF($Q10=$AG$3,(((((INDEX('Tables - Part 2'!$AX$6:$BA$13,MATCH(HSC_Hydrofluoric_Acid!T10,'Tables - Part 2'!$AV$6:$AV$13,0),MATCH(HSC_Hydrofluoric_Acid!R10,'Tables - Part 2'!$AX$5:$BA$5,0))+INDEX('Tables - Part 2'!$BB$6:$BE$13,MATCH(HSC_Hydrofluoric_Acid!$T10,'Tables - Part 2'!$AV$6:$AV$13,0),MATCH(HSC_Hydrofluoric_Acid!$R10,'Tables - Part 2'!$AX$5:$BA$5,0)))/2)+INDEX('Tables - Part 2'!$BB$6:$BE$13,MATCH(HSC_Hydrofluoric_Acid!$T10,'Tables - Part 2'!$AV$6:$AV$13,0),MATCH(HSC_Hydrofluoric_Acid!$R10,'Tables - Part 2'!$AX$5:$BA$5,0)))/2)+INDEX('Tables - Part 2'!$BB$6:$BE$13,MATCH(HSC_Hydrofluoric_Acid!$T10,'Tables - Part 2'!$AV$6:$AV$13,0),MATCH(HSC_Hydrofluoric_Acid!$R10,'Tables - Part 2'!$AX$5:$BA$5,0)))/2,0)</f>
        <v>0</v>
      </c>
      <c r="AH10" s="248">
        <f>IF($Q10=$AH$3,INDEX('Tables - Part 2'!$BB$6:$BE$13,MATCH(HSC_Hydrofluoric_Acid!$T10,'Tables - Part 2'!$AV$6:$AV$13,0),MATCH(HSC_Hydrofluoric_Acid!$R10,'Tables - Part 2'!$AX$5:$BA$5,0)),0)</f>
        <v>0</v>
      </c>
      <c r="AI10" s="248">
        <f>IF($Q10=$AI$3,((INDEX('Tables - Part 2'!$BB$6:$BE$13,MATCH(HSC_Hydrofluoric_Acid!$T10,'Tables - Part 2'!$AV$6:$AV$13,0),MATCH(HSC_Hydrofluoric_Acid!$R10,'Tables - Part 2'!$AX$5:$BA$5,0)))+(INDEX('Tables - Part 2'!$BB$6:$BE$13,MATCH(HSC_Hydrofluoric_Acid!$T10,'Tables - Part 2'!$AV$6:$AV$13,0),MATCH(HSC_Hydrofluoric_Acid!$R10,'Tables - Part 2'!$AX$5:$BA$5,0))+(INDEX('Tables - Part 2'!$BB$6:$BE$13,MATCH(HSC_Hydrofluoric_Acid!$T10,'Tables - Part 2'!$AV$6:$AV$13,0),MATCH(HSC_Hydrofluoric_Acid!$R10,'Tables - Part 2'!$AX$5:$BA$5,0))+INDEX('Tables - Part 2'!$BF$6:$BI$13,MATCH(HSC_Hydrofluoric_Acid!$T10,'Tables - Part 2'!$AV$6:$AV$13,0),MATCH(HSC_Hydrofluoric_Acid!$R10,'Tables - Part 2'!$AX$5:$BA$5,0)))/2)/2)/2,0)</f>
        <v>0</v>
      </c>
      <c r="AJ10" s="248">
        <f>IF($Q10=$AJ$3,(INDEX('Tables - Part 2'!$BB$6:$BE$13,MATCH(HSC_Hydrofluoric_Acid!$T10,'Tables - Part 2'!$AV$6:$AV$13,0),MATCH(HSC_Hydrofluoric_Acid!$R10,'Tables - Part 2'!$AX$5:$BA$5,0))+(INDEX('Tables - Part 2'!$BB$6:$BE$13,MATCH(HSC_Hydrofluoric_Acid!$T10,'Tables - Part 2'!$AV$6:$AV$13,0),MATCH(HSC_Hydrofluoric_Acid!$R10,'Tables - Part 2'!$AX$5:$BA$5,0))+INDEX('Tables - Part 2'!$BF$6:$BI$13,MATCH(HSC_Hydrofluoric_Acid!$T10,'Tables - Part 2'!$AV$6:$AV$13,0),MATCH(HSC_Hydrofluoric_Acid!$R10,'Tables - Part 2'!$AX$5:$BA$5,0)))/2)/2,0)</f>
        <v>0</v>
      </c>
      <c r="AK10" s="248">
        <f>IF($Q10=$AK$3,(((INDEX('Tables - Part 2'!$BB$6:$BE$13,MATCH(HSC_Hydrofluoric_Acid!$T10,'Tables - Part 2'!$AV$6:$AV$13,0),MATCH(HSC_Hydrofluoric_Acid!$R10,'Tables - Part 2'!$AX$5:$BA$5,0))+(INDEX('Tables - Part 2'!$BB$6:$BE$13,MATCH(HSC_Hydrofluoric_Acid!$T10,'Tables - Part 2'!$AV$6:$AV$13,0),MATCH(HSC_Hydrofluoric_Acid!$R10,'Tables - Part 2'!$AX$5:$BA$5,0))+INDEX('Tables - Part 2'!$BF$6:$BI$13,MATCH(HSC_Hydrofluoric_Acid!$T10,'Tables - Part 2'!$AV$6:$AV$13,0),MATCH(HSC_Hydrofluoric_Acid!$R10,'Tables - Part 2'!$AX$5:$BA$5,0)))/2)/2)+((INDEX('Tables - Part 2'!$BB$6:$BE$13,MATCH(HSC_Hydrofluoric_Acid!$T10,'Tables - Part 2'!$AV$6:$AV$13,0),MATCH(HSC_Hydrofluoric_Acid!$R10,'Tables - Part 2'!$AX$5:$BA$5,0))+INDEX('Tables - Part 2'!$BF$6:$BI$13,MATCH(HSC_Hydrofluoric_Acid!$T10,'Tables - Part 2'!$AV$6:$AV$13,0),MATCH(HSC_Hydrofluoric_Acid!$R10,'Tables - Part 2'!$AX$5:$BA$5,0)))/2))/2,0)</f>
        <v>0</v>
      </c>
      <c r="AL10" s="248">
        <f>IF($Q10=$AL$3,(INDEX('Tables - Part 2'!$BB$6:$BE$13,MATCH(HSC_Hydrofluoric_Acid!$T10,'Tables - Part 2'!$AV$6:$AV$13,0),MATCH(HSC_Hydrofluoric_Acid!$R10,'Tables - Part 2'!$AX$5:$BA$5,0))+INDEX('Tables - Part 2'!$BF$6:$BI$13,MATCH(HSC_Hydrofluoric_Acid!$T10,'Tables - Part 2'!$AV$6:$AV$13,0),MATCH(HSC_Hydrofluoric_Acid!$R10,'Tables - Part 2'!$AX$5:$BA$5,0)))/2,0)</f>
        <v>1</v>
      </c>
      <c r="AM10" s="248">
        <f>IF($Q10=$AM$3,(((INDEX('Tables - Part 2'!$BB$6:$BE$13,MATCH(HSC_Hydrofluoric_Acid!$T10,'Tables - Part 2'!$AV$6:$AV$13,0),MATCH(HSC_Hydrofluoric_Acid!$R10,'Tables - Part 2'!$AX$5:$BA$5,0))+INDEX('Tables - Part 2'!$BF$6:$BI$13,MATCH(HSC_Hydrofluoric_Acid!$T10,'Tables - Part 2'!$AV$6:$AV$13,0),MATCH(HSC_Hydrofluoric_Acid!$R10,'Tables - Part 2'!$AX$5:$BA$5,0)))/2)+((((INDEX('Tables - Part 2'!$BB$6:$BE$13,MATCH(HSC_Hydrofluoric_Acid!$T10,'Tables - Part 2'!$AV$6:$AV$13,0),MATCH(HSC_Hydrofluoric_Acid!$R10,'Tables - Part 2'!$AX$5:$BA$5,0))+INDEX('Tables - Part 2'!$BF$6:$BI$13,MATCH(HSC_Hydrofluoric_Acid!$T10,'Tables - Part 2'!$AV$6:$AV$13,0),MATCH(HSC_Hydrofluoric_Acid!$R10,'Tables - Part 2'!$AX$5:$BA$5,0)))/2)+INDEX('Tables - Part 2'!$BF$6:$BI$13,MATCH(HSC_Hydrofluoric_Acid!$T10,'Tables - Part 2'!$AV$6:$AV$13,0),MATCH(HSC_Hydrofluoric_Acid!$R10,'Tables - Part 2'!$AX$5:$BA$5,0)))/2))/2,0)</f>
        <v>0</v>
      </c>
      <c r="AN10" s="248">
        <f>IF($Q10=$AN$3,(((INDEX('Tables - Part 2'!$BB$6:$BE$13,MATCH(HSC_Hydrofluoric_Acid!$T10,'Tables - Part 2'!$AV$6:$AV$13,0),MATCH(HSC_Hydrofluoric_Acid!$R10,'Tables - Part 2'!$AX$5:$BA$5,0))+INDEX('Tables - Part 2'!$BF$6:$BI$13,MATCH(HSC_Hydrofluoric_Acid!$T10,'Tables - Part 2'!$AV$6:$AV$13,0),MATCH(HSC_Hydrofluoric_Acid!$R10,'Tables - Part 2'!$AX$5:$BA$5,0)))/2)+INDEX('Tables - Part 2'!$BF$6:$BI$13,MATCH(HSC_Hydrofluoric_Acid!$T10,'Tables - Part 2'!$AV$6:$AV$13,0),MATCH(HSC_Hydrofluoric_Acid!$R10,'Tables - Part 2'!$AX$5:$BA$5,0)))/2,0)</f>
        <v>0</v>
      </c>
      <c r="AO10" s="248">
        <f>IF($Q10=$AO$3,(((((INDEX('Tables - Part 2'!$BB$6:$BE$13,MATCH(HSC_Hydrofluoric_Acid!$T10,'Tables - Part 2'!$AV$6:$AV$13,0),MATCH(HSC_Hydrofluoric_Acid!$R10,'Tables - Part 2'!$AX$5:$BA$5,0))+INDEX('Tables - Part 2'!$BF$6:$BI$13,MATCH(HSC_Hydrofluoric_Acid!$T10,'Tables - Part 2'!$AV$6:$AV$13,0),MATCH(HSC_Hydrofluoric_Acid!$R10,'Tables - Part 2'!$AX$5:$BA$5,0)))/2)+INDEX('Tables - Part 2'!$BF$6:$BI$13,MATCH(HSC_Hydrofluoric_Acid!$T10,'Tables - Part 2'!$AV$6:$AV$13,0),MATCH(HSC_Hydrofluoric_Acid!$R10,'Tables - Part 2'!$AX$5:$BA$5,0)))/2)+INDEX('Tables - Part 2'!$BF$6:$BI$13,MATCH(HSC_Hydrofluoric_Acid!$T10,'Tables - Part 2'!$AV$6:$AV$13,0),MATCH(HSC_Hydrofluoric_Acid!$R10,'Tables - Part 2'!$AX$5:$BA$5,0)))/2,0)</f>
        <v>0</v>
      </c>
      <c r="AP10" s="248">
        <f>IF($Q10=$AP$3,INDEX('Tables - Part 2'!$BF$6:$BI$13,MATCH(HSC_Hydrofluoric_Acid!$T10,'Tables - Part 2'!$AV$6:$AV$13,0),MATCH(HSC_Hydrofluoric_Acid!$R10,'Tables - Part 2'!$AX$5:$BA$5,0)),0)</f>
        <v>0</v>
      </c>
      <c r="AQ10" s="248">
        <f>IF($Q10=$AQ$3,(INDEX('Tables - Part 2'!$BF$6:$BI$13,MATCH(HSC_Hydrofluoric_Acid!$T10,'Tables - Part 2'!$AV$6:$AV$13,0),MATCH(HSC_Hydrofluoric_Acid!$R10,'Tables - Part 2'!$AX$5:$BA$5,0))+((INDEX('Tables - Part 2'!$BF$6:$BI$13,MATCH(HSC_Hydrofluoric_Acid!$T10,'Tables - Part 2'!$AV$6:$AV$13,0),MATCH(HSC_Hydrofluoric_Acid!$R10,'Tables - Part 2'!$AX$5:$BA$5,0))+(INDEX('Tables - Part 2'!$BF$6:$BI$13,MATCH(HSC_Hydrofluoric_Acid!$T10,'Tables - Part 2'!$AV$6:$AV$13,0),MATCH(HSC_Hydrofluoric_Acid!$R10,'Tables - Part 2'!$AX$5:$BA$5,0))+INDEX('Tables - Part 2'!$AX$17:$BA$24,MATCH(HSC_Hydrofluoric_Acid!$T10,'Tables - Part 2'!$AV$6:$AV$13,0),MATCH(HSC_Hydrofluoric_Acid!$R10,'Tables - Part 2'!$AX$5:$BA$5,0)))/2)/2))/2,0)</f>
        <v>0</v>
      </c>
      <c r="AR10" s="248">
        <f>IF($Q10=$AR$3,(INDEX('Tables - Part 2'!$BF$6:$BI$13,MATCH(HSC_Hydrofluoric_Acid!$T10,'Tables - Part 2'!$AV$6:$AV$13,0),MATCH(HSC_Hydrofluoric_Acid!$R10,'Tables - Part 2'!$AX$5:$BA$5,0))+(INDEX('Tables - Part 2'!$BF$6:$BI$13,MATCH(HSC_Hydrofluoric_Acid!$T10,'Tables - Part 2'!$AV$6:$AV$13,0),MATCH(HSC_Hydrofluoric_Acid!$R10,'Tables - Part 2'!$AX$5:$BA$5,0))+INDEX('Tables - Part 2'!$AX$17:$BA$24,MATCH(HSC_Hydrofluoric_Acid!$T10,'Tables - Part 2'!$AV$6:$AV$13,0),MATCH(HSC_Hydrofluoric_Acid!$R10,'Tables - Part 2'!$AX$5:$BA$5,0)))/2)/2,0)</f>
        <v>0</v>
      </c>
      <c r="AS10" s="248">
        <f>IF($Q10=$AS$3,(((INDEX('Tables - Part 2'!$BF$6:$BI$13,MATCH(HSC_Hydrofluoric_Acid!$T10,'Tables - Part 2'!$AV$6:$AV$13,0),MATCH(HSC_Hydrofluoric_Acid!$R10,'Tables - Part 2'!$AX$5:$BA$5,0))+(INDEX('Tables - Part 2'!$BF$6:$BI$13,MATCH(HSC_Hydrofluoric_Acid!$T10,'Tables - Part 2'!$AV$6:$AV$13,0),MATCH(HSC_Hydrofluoric_Acid!$R10,'Tables - Part 2'!$AX$5:$BA$5,0))+INDEX('Tables - Part 2'!$AX$17:$BA$24,MATCH(HSC_Hydrofluoric_Acid!$T10,'Tables - Part 2'!$AV$6:$AV$13,0),MATCH(HSC_Hydrofluoric_Acid!$R10,'Tables - Part 2'!$AX$5:$BA$5,0)))/2)/2)+((INDEX('Tables - Part 2'!$BF$6:$BI$13,MATCH(HSC_Hydrofluoric_Acid!$T10,'Tables - Part 2'!$AV$6:$AV$13,0),MATCH(HSC_Hydrofluoric_Acid!$R10,'Tables - Part 2'!$AX$5:$BA$5,0))+INDEX('Tables - Part 2'!$AX$17:$BA$24,MATCH(HSC_Hydrofluoric_Acid!$T10,'Tables - Part 2'!$AV$6:$AV$13,0),MATCH(HSC_Hydrofluoric_Acid!$R10,'Tables - Part 2'!$AX$5:$BA$5,0)))/2))/2,0)</f>
        <v>0</v>
      </c>
      <c r="AT10" s="248">
        <f>IF($Q10=$AT$3,(INDEX('Tables - Part 2'!$BF$6:$BI$13,MATCH(HSC_Hydrofluoric_Acid!$T10,'Tables - Part 2'!$AV$6:$AV$13,0),MATCH(HSC_Hydrofluoric_Acid!$R10,'Tables - Part 2'!$AX$5:$BA$5,0))+INDEX('Tables - Part 2'!$AX$17:$BA$24,MATCH(HSC_Hydrofluoric_Acid!$T10,'Tables - Part 2'!$AV$6:$AV$13,0),MATCH(HSC_Hydrofluoric_Acid!$R10,'Tables - Part 2'!$AX$5:$BA$5,0)))/2,0)</f>
        <v>0</v>
      </c>
      <c r="AU10" s="248">
        <f>IF($Q10=$AU$3,(((INDEX('Tables - Part 2'!$BF$6:$BI$13,MATCH(HSC_Hydrofluoric_Acid!$T10,'Tables - Part 2'!$AV$6:$AV$13,0),MATCH(HSC_Hydrofluoric_Acid!$R10,'Tables - Part 2'!$AX$5:$BA$5,0))+INDEX('Tables - Part 2'!$AX$17:$BA$24,MATCH(HSC_Hydrofluoric_Acid!$T10,'Tables - Part 2'!$AV$6:$AV$13,0),MATCH(HSC_Hydrofluoric_Acid!$R10,'Tables - Part 2'!$AX$5:$BA$5,0)))/2)+((((INDEX('Tables - Part 2'!$BF$6:$BI$13,MATCH(HSC_Hydrofluoric_Acid!$T10,'Tables - Part 2'!$AV$6:$AV$13,0),MATCH(HSC_Hydrofluoric_Acid!$R10,'Tables - Part 2'!$AX$5:$BA$5,0))+INDEX('Tables - Part 2'!$AX$17:$BA$24,MATCH(HSC_Hydrofluoric_Acid!$T10,'Tables - Part 2'!$AV$6:$AV$13,0),MATCH(HSC_Hydrofluoric_Acid!$R10,'Tables - Part 2'!$AX$5:$BA$5,0)))/2)+INDEX('Tables - Part 2'!$AX$17:$BA$24,MATCH(HSC_Hydrofluoric_Acid!$T10,'Tables - Part 2'!$AV$6:$AV$13,0),MATCH(HSC_Hydrofluoric_Acid!$R10,'Tables - Part 2'!$AX$5:$BA$5,0)))/2))/2,0)</f>
        <v>0</v>
      </c>
      <c r="AV10" s="248">
        <f>IF($Q10=$AV$3,(((INDEX('Tables - Part 2'!$BF$6:$BI$13,MATCH(HSC_Hydrofluoric_Acid!$T10,'Tables - Part 2'!$AV$6:$AV$13,0),MATCH(HSC_Hydrofluoric_Acid!$R10,'Tables - Part 2'!$AX$5:$BA$5,0))+INDEX('Tables - Part 2'!$AX$17:$BA$24,MATCH(HSC_Hydrofluoric_Acid!$T10,'Tables - Part 2'!$AV$6:$AV$13,0),MATCH(HSC_Hydrofluoric_Acid!$R10,'Tables - Part 2'!$AX$5:$BA$5,0)))/2)+INDEX('Tables - Part 2'!$AX$17:$BA$24,MATCH(HSC_Hydrofluoric_Acid!$T10,'Tables - Part 2'!$AV$6:$AV$13,0),MATCH(HSC_Hydrofluoric_Acid!$R10,'Tables - Part 2'!$AX$5:$BA$5,0)))/2,0)</f>
        <v>0</v>
      </c>
      <c r="AW10" s="248">
        <f>IF($Q10=$AW$3,(((((INDEX('Tables - Part 2'!$BF$6:$BI$13,MATCH(HSC_Hydrofluoric_Acid!$T10,'Tables - Part 2'!$AV$6:$AV$13,0),MATCH(HSC_Hydrofluoric_Acid!$R10,'Tables - Part 2'!$AX$5:$BA$5,0))+INDEX('Tables - Part 2'!$AX$17:$BA$24,MATCH(HSC_Hydrofluoric_Acid!$T10,'Tables - Part 2'!$AV$6:$AV$13,0),MATCH(HSC_Hydrofluoric_Acid!$R10,'Tables - Part 2'!$AX$5:$BA$5,0)))/2)+INDEX('Tables - Part 2'!$AX$17:$BA$24,MATCH(HSC_Hydrofluoric_Acid!$T10,'Tables - Part 2'!$AV$6:$AV$13,0),MATCH(HSC_Hydrofluoric_Acid!$R10,'Tables - Part 2'!$AX$5:$BA$5,0)))/2)+(INDEX('Tables - Part 2'!$AX$17:$BA$24,MATCH(HSC_Hydrofluoric_Acid!$T10,'Tables - Part 2'!$AV$6:$AV$13,0),MATCH(HSC_Hydrofluoric_Acid!$R10,'Tables - Part 2'!$AX$5:$BA$5,0))))/2,0)</f>
        <v>0</v>
      </c>
      <c r="AX10" s="248">
        <f>IF($Q10=$AX$3,INDEX('Tables - Part 2'!$AX$17:$BA$24,MATCH(HSC_Hydrofluoric_Acid!$T10,'Tables - Part 2'!$AV$6:$AV$13,0),MATCH(HSC_Hydrofluoric_Acid!$R10,'Tables - Part 2'!$AX$5:$BA$5,0)),0)</f>
        <v>0</v>
      </c>
      <c r="AY10" s="248">
        <f>IF($Q10=$AY$3,((INDEX('Tables - Part 2'!$AX$17:$BA$24,MATCH(HSC_Hydrofluoric_Acid!$T10,'Tables - Part 2'!$AV$6:$AV$13,0),MATCH(HSC_Hydrofluoric_Acid!$R10,'Tables - Part 2'!$AX$5:$BA$5,0)))+(((INDEX('Tables - Part 2'!$AX$17:$BA$24,MATCH(HSC_Hydrofluoric_Acid!$T10,'Tables - Part 2'!$AV$6:$AV$13,0),MATCH(HSC_Hydrofluoric_Acid!$R10,'Tables - Part 2'!$AX$5:$BA$5,0)))+(INDEX('Tables - Part 2'!$AX$17:$BA$24,MATCH(HSC_Hydrofluoric_Acid!$T10,'Tables - Part 2'!$AV$6:$AV$13,0),MATCH(HSC_Hydrofluoric_Acid!$R10,'Tables - Part 2'!$AX$5:$BA$5,0))+INDEX('Tables - Part 2'!$BB$17:$BE$24,MATCH(HSC_Hydrofluoric_Acid!$T10,'Tables - Part 2'!$AV$6:$AV$13,0),MATCH(HSC_Hydrofluoric_Acid!$R10,'Tables - Part 2'!$AX$5:$BA$5,0)))/2)/2))/2,0)</f>
        <v>0</v>
      </c>
      <c r="AZ10" s="248">
        <f>IF($Q10=$AZ$3,((INDEX('Tables - Part 2'!$AX$17:$BA$24,MATCH(HSC_Hydrofluoric_Acid!$T10,'Tables - Part 2'!$AV$6:$AV$13,0),MATCH(HSC_Hydrofluoric_Acid!$R10,'Tables - Part 2'!$AX$5:$BA$5,0)))+(INDEX('Tables - Part 2'!$AX$17:$BA$24,MATCH(HSC_Hydrofluoric_Acid!$T10,'Tables - Part 2'!$AV$6:$AV$13,0),MATCH(HSC_Hydrofluoric_Acid!$R10,'Tables - Part 2'!$AX$5:$BA$5,0))+INDEX('Tables - Part 2'!$BB$17:$BE$24,MATCH(HSC_Hydrofluoric_Acid!$T10,'Tables - Part 2'!$AV$6:$AV$13,0),MATCH(HSC_Hydrofluoric_Acid!$R10,'Tables - Part 2'!$AX$5:$BA$5,0)))/2)/2,0)</f>
        <v>0</v>
      </c>
      <c r="BA10" s="248">
        <f>IF($Q10=$BA$3,((((INDEX('Tables - Part 2'!$AX$17:$BA$24,MATCH(HSC_Hydrofluoric_Acid!$T10,'Tables - Part 2'!$AV$6:$AV$13,0),MATCH(HSC_Hydrofluoric_Acid!$R10,'Tables - Part 2'!$AX$5:$BA$5,0)))+(INDEX('Tables - Part 2'!$AX$17:$BA$24,MATCH(HSC_Hydrofluoric_Acid!$T10,'Tables - Part 2'!$AV$6:$AV$13,0),MATCH(HSC_Hydrofluoric_Acid!$R10,'Tables - Part 2'!$AX$5:$BA$5,0))+INDEX('Tables - Part 2'!$BB$17:$BE$24,MATCH(HSC_Hydrofluoric_Acid!$T10,'Tables - Part 2'!$AV$6:$AV$13,0),MATCH(HSC_Hydrofluoric_Acid!$R10,'Tables - Part 2'!$AX$5:$BA$5,0)))/2)/2)+((INDEX('Tables - Part 2'!$AX$17:$BA$24,MATCH(HSC_Hydrofluoric_Acid!$T10,'Tables - Part 2'!$AV$6:$AV$13,0),MATCH(HSC_Hydrofluoric_Acid!$R10,'Tables - Part 2'!$AX$5:$BA$5,0))+INDEX('Tables - Part 2'!$BB$17:$BE$24,MATCH(HSC_Hydrofluoric_Acid!$T10,'Tables - Part 2'!$AV$6:$AV$13,0),MATCH(HSC_Hydrofluoric_Acid!$R10,'Tables - Part 2'!$AX$5:$BA$5,0)))/2))/2,0)</f>
        <v>0</v>
      </c>
      <c r="BB10" s="248">
        <f>IF($Q10=$BB$3,(INDEX('Tables - Part 2'!$AX$17:$BA$24,MATCH(HSC_Hydrofluoric_Acid!$T10,'Tables - Part 2'!$AV$6:$AV$13,0),MATCH(HSC_Hydrofluoric_Acid!$R10,'Tables - Part 2'!$AX$5:$BA$5,0))+INDEX('Tables - Part 2'!$BB$17:$BE$24,MATCH(HSC_Hydrofluoric_Acid!$T10,'Tables - Part 2'!$AV$6:$AV$13,0),MATCH(HSC_Hydrofluoric_Acid!$R10,'Tables - Part 2'!$AX$5:$BA$5,0)))/2,0)</f>
        <v>0</v>
      </c>
      <c r="BC10" s="248">
        <f>IF($Q10=$BC$3,(((INDEX('Tables - Part 2'!$AX$17:$BA$24,MATCH(HSC_Hydrofluoric_Acid!$T10,'Tables - Part 2'!$AV$6:$AV$13,0),MATCH(HSC_Hydrofluoric_Acid!$R10,'Tables - Part 2'!$AX$5:$BA$5,0))+INDEX('Tables - Part 2'!$BB$17:$BE$24,MATCH(HSC_Hydrofluoric_Acid!$T10,'Tables - Part 2'!$AV$6:$AV$13,0),MATCH(HSC_Hydrofluoric_Acid!$R10,'Tables - Part 2'!$AX$5:$BA$5,0)))/2)+((((INDEX('Tables - Part 2'!$AX$17:$BA$24,MATCH(HSC_Hydrofluoric_Acid!$T10,'Tables - Part 2'!$AV$6:$AV$13,0),MATCH(HSC_Hydrofluoric_Acid!$R10,'Tables - Part 2'!$AX$5:$BA$5,0))+INDEX('Tables - Part 2'!$BB$17:$BE$24,MATCH(HSC_Hydrofluoric_Acid!$T10,'Tables - Part 2'!$AV$6:$AV$13,0),MATCH(HSC_Hydrofluoric_Acid!$R10,'Tables - Part 2'!$AX$5:$BA$5,0)))/2)+INDEX('Tables - Part 2'!$BB$17:$BE$24,MATCH(HSC_Hydrofluoric_Acid!$T10,'Tables - Part 2'!$AV$6:$AV$13,0),MATCH(HSC_Hydrofluoric_Acid!$R10,'Tables - Part 2'!$AX$5:$BA$5,0)))/2))/2,0)</f>
        <v>0</v>
      </c>
      <c r="BD10" s="248">
        <f>IF($Q10=$BD$3,(((INDEX('Tables - Part 2'!$AX$17:$BA$24,MATCH(HSC_Hydrofluoric_Acid!$T10,'Tables - Part 2'!$AV$6:$AV$13,0),MATCH(HSC_Hydrofluoric_Acid!$R10,'Tables - Part 2'!$AX$5:$BA$5,0))+INDEX('Tables - Part 2'!$BB$17:$BE$24,MATCH(HSC_Hydrofluoric_Acid!$T10,'Tables - Part 2'!$AV$6:$AV$13,0),MATCH(HSC_Hydrofluoric_Acid!$R10,'Tables - Part 2'!$AX$5:$BA$5,0)))/2)+INDEX('Tables - Part 2'!$BB$17:$BE$24,MATCH(HSC_Hydrofluoric_Acid!$T10,'Tables - Part 2'!$AV$6:$AV$13,0),MATCH(HSC_Hydrofluoric_Acid!$R10,'Tables - Part 2'!$AX$5:$BA$5,0)))/2,0)</f>
        <v>0</v>
      </c>
      <c r="BE10" s="248">
        <f>IF($Q10=$BE$3,(((((INDEX('Tables - Part 2'!$AX$17:$BA$24,MATCH(HSC_Hydrofluoric_Acid!$T10,'Tables - Part 2'!$AV$6:$AV$13,0),MATCH(HSC_Hydrofluoric_Acid!$R10,'Tables - Part 2'!$AX$5:$BA$5,0))+INDEX('Tables - Part 2'!$BB$17:$BE$24,MATCH(HSC_Hydrofluoric_Acid!$T10,'Tables - Part 2'!$AV$6:$AV$13,0),MATCH(HSC_Hydrofluoric_Acid!$R10,'Tables - Part 2'!$AX$5:$BA$5,0)))/2)+INDEX('Tables - Part 2'!$BB$17:$BE$24,MATCH(HSC_Hydrofluoric_Acid!$T10,'Tables - Part 2'!$AV$6:$AV$13,0),MATCH(HSC_Hydrofluoric_Acid!$R10,'Tables - Part 2'!$AX$5:$BA$5,0)))/2)+(INDEX('Tables - Part 2'!$BB$17:$BE$24,MATCH(HSC_Hydrofluoric_Acid!$T10,'Tables - Part 2'!$AV$6:$AV$13,0),MATCH(HSC_Hydrofluoric_Acid!$R10,'Tables - Part 2'!$AX$5:$BA$5,0))))/2,0)</f>
        <v>0</v>
      </c>
      <c r="BF10" s="248">
        <f>IF($Q10=$BF$3,INDEX('Tables - Part 2'!$BB$17:$BE$24,MATCH(HSC_Hydrofluoric_Acid!$T10,'Tables - Part 2'!$AV$6:$AV$13,0),MATCH(HSC_Hydrofluoric_Acid!$R10,'Tables - Part 2'!$AX$5:$BA$5,0)),0)</f>
        <v>0</v>
      </c>
      <c r="BG10" s="248">
        <f>IF($Q10=$BG$3,((INDEX('Tables - Part 2'!$BB$17:$BE$24,MATCH(HSC_Hydrofluoric_Acid!$T10,'Tables - Part 2'!$AV$6:$AV$13,0),MATCH(HSC_Hydrofluoric_Acid!$R10,'Tables - Part 2'!$AX$5:$BA$5,0)))+(((INDEX('Tables - Part 2'!$BB$17:$BE$24,MATCH(HSC_Hydrofluoric_Acid!$T10,'Tables - Part 2'!$AV$6:$AV$13,0),MATCH(HSC_Hydrofluoric_Acid!$R10,'Tables - Part 2'!$AX$5:$BA$5,0)))+(INDEX('Tables - Part 2'!$BB$17:$BE$24,MATCH(HSC_Hydrofluoric_Acid!$T10,'Tables - Part 2'!$AV$6:$AV$13,0),MATCH(HSC_Hydrofluoric_Acid!$R10,'Tables - Part 2'!$AX$5:$BA$5,0))+INDEX('Tables - Part 2'!$BF$17:$BI$24,MATCH(HSC_Hydrofluoric_Acid!$T10,'Tables - Part 2'!$AV$6:$AV$13,0),MATCH(HSC_Hydrofluoric_Acid!$R10,'Tables - Part 2'!$AX$5:$BA$5,0)))/2)/2))/2,0)</f>
        <v>0</v>
      </c>
      <c r="BH10" s="248">
        <f>IF($Q10=$BH$3,((INDEX('Tables - Part 2'!$BB$17:$BE$24,MATCH(HSC_Hydrofluoric_Acid!$T10,'Tables - Part 2'!$AV$6:$AV$13,0),MATCH(HSC_Hydrofluoric_Acid!$R10,'Tables - Part 2'!$AX$5:$BA$5,0)))+(INDEX('Tables - Part 2'!$BB$17:$BE$24,MATCH(HSC_Hydrofluoric_Acid!$T10,'Tables - Part 2'!$AV$6:$AV$13,0),MATCH(HSC_Hydrofluoric_Acid!$R10,'Tables - Part 2'!$AX$5:$BA$5,0))+INDEX('Tables - Part 2'!$BF$17:$BI$24,MATCH(HSC_Hydrofluoric_Acid!$T10,'Tables - Part 2'!$AV$6:$AV$13,0),MATCH(HSC_Hydrofluoric_Acid!$R10,'Tables - Part 2'!$AX$5:$BA$5,0)))/2)/2,0)</f>
        <v>0</v>
      </c>
      <c r="BI10" s="248">
        <f>IF($Q10=$BI$3,((((INDEX('Tables - Part 2'!$BB$17:$BE$24,MATCH(HSC_Hydrofluoric_Acid!$T10,'Tables - Part 2'!$AV$6:$AV$13,0),MATCH(HSC_Hydrofluoric_Acid!$R10,'Tables - Part 2'!$AX$5:$BA$5,0)))+(INDEX('Tables - Part 2'!$BB$17:$BE$24,MATCH(HSC_Hydrofluoric_Acid!$T10,'Tables - Part 2'!$AV$6:$AV$13,0),MATCH(HSC_Hydrofluoric_Acid!$R10,'Tables - Part 2'!$AX$5:$BA$5,0))+INDEX('Tables - Part 2'!$BF$17:$BI$24,MATCH(HSC_Hydrofluoric_Acid!$T10,'Tables - Part 2'!$AV$6:$AV$13,0),MATCH(HSC_Hydrofluoric_Acid!$R10,'Tables - Part 2'!$AX$5:$BA$5,0)))/2)/2)+((INDEX('Tables - Part 2'!$BB$17:$BE$24,MATCH(HSC_Hydrofluoric_Acid!$T10,'Tables - Part 2'!$AV$6:$AV$13,0),MATCH(HSC_Hydrofluoric_Acid!$R10,'Tables - Part 2'!$AX$5:$BA$5,0))+INDEX('Tables - Part 2'!$BF$17:$BI$24,MATCH(HSC_Hydrofluoric_Acid!$T10,'Tables - Part 2'!$AV$6:$AV$13,0),MATCH(HSC_Hydrofluoric_Acid!$R10,'Tables - Part 2'!$AX$5:$BA$5,0)))/2))/2,0)</f>
        <v>0</v>
      </c>
      <c r="BJ10" s="248">
        <f>IF($Q10=$BJ$3,(INDEX('Tables - Part 2'!$BB$17:$BE$24,MATCH(HSC_Hydrofluoric_Acid!$T10,'Tables - Part 2'!$AV$6:$AV$13,0),MATCH(HSC_Hydrofluoric_Acid!$R10,'Tables - Part 2'!$AX$5:$BA$5,0))+INDEX('Tables - Part 2'!$BF$17:$BI$24,MATCH(HSC_Hydrofluoric_Acid!$T10,'Tables - Part 2'!$AV$6:$AV$13,0),MATCH(HSC_Hydrofluoric_Acid!$R10,'Tables - Part 2'!$AX$5:$BA$5,0)))/2,0)</f>
        <v>0</v>
      </c>
      <c r="BK10" s="248">
        <f>IF($Q10=$BK$3,(((INDEX('Tables - Part 2'!$BB$17:$BE$24,MATCH(HSC_Hydrofluoric_Acid!$T10,'Tables - Part 2'!$AV$6:$AV$13,0),MATCH(HSC_Hydrofluoric_Acid!$R10,'Tables - Part 2'!$AX$5:$BA$5,0))+INDEX('Tables - Part 2'!$BF$17:$BI$24,MATCH(HSC_Hydrofluoric_Acid!$T10,'Tables - Part 2'!$AV$6:$AV$13,0),MATCH(HSC_Hydrofluoric_Acid!$R10,'Tables - Part 2'!$AX$5:$BA$5,0)))/2)+((((INDEX('Tables - Part 2'!$BB$17:$BE$24,MATCH(HSC_Hydrofluoric_Acid!$T10,'Tables - Part 2'!$AV$6:$AV$13,0),MATCH(HSC_Hydrofluoric_Acid!$R10,'Tables - Part 2'!$AX$5:$BA$5,0))+INDEX('Tables - Part 2'!$BF$17:$BI$24,MATCH(HSC_Hydrofluoric_Acid!$T10,'Tables - Part 2'!$AV$6:$AV$13,0),MATCH(HSC_Hydrofluoric_Acid!$R10,'Tables - Part 2'!$AX$5:$BA$5,0)))/2)+INDEX('Tables - Part 2'!$BF$17:$BI$24,MATCH(HSC_Hydrofluoric_Acid!$T10,'Tables - Part 2'!$AV$6:$AV$13,0),MATCH(HSC_Hydrofluoric_Acid!$R10,'Tables - Part 2'!$AX$5:$BA$5,0)))/2))/2,0)</f>
        <v>0</v>
      </c>
      <c r="BL10" s="248">
        <f>IF($Q10=$BL$3,(((INDEX('Tables - Part 2'!$BB$17:$BE$24,MATCH(HSC_Hydrofluoric_Acid!$T10,'Tables - Part 2'!$AV$6:$AV$13,0),MATCH(HSC_Hydrofluoric_Acid!$R10,'Tables - Part 2'!$AX$5:$BA$5,0))+INDEX('Tables - Part 2'!$BF$17:$BI$24,MATCH(HSC_Hydrofluoric_Acid!$T10,'Tables - Part 2'!$AV$6:$AV$13,0),MATCH(HSC_Hydrofluoric_Acid!$R10,'Tables - Part 2'!$AX$5:$BA$5,0)))/2)+INDEX('Tables - Part 2'!$BF$17:$BI$24,MATCH(HSC_Hydrofluoric_Acid!$T10,'Tables - Part 2'!$AV$6:$AV$13,0),MATCH(HSC_Hydrofluoric_Acid!$R10,'Tables - Part 2'!$AX$5:$BA$5,0)))/2,0)</f>
        <v>0</v>
      </c>
      <c r="BM10" s="248">
        <f>IF($Q10=$BM$3,(((((INDEX('Tables - Part 2'!$BB$17:$BE$24,MATCH(HSC_Hydrofluoric_Acid!$T10,'Tables - Part 2'!$AV$6:$AV$13,0),MATCH(HSC_Hydrofluoric_Acid!$R10,'Tables - Part 2'!$AX$5:$BA$5,0))+INDEX('Tables - Part 2'!$BF$17:$BI$24,MATCH(HSC_Hydrofluoric_Acid!$T10,'Tables - Part 2'!$AV$6:$AV$13,0),MATCH(HSC_Hydrofluoric_Acid!$R10,'Tables - Part 2'!$AX$5:$BA$5,0)))/2)+INDEX('Tables - Part 2'!$BF$17:$BI$24,MATCH(HSC_Hydrofluoric_Acid!$T10,'Tables - Part 2'!$AV$6:$AV$13,0),MATCH(HSC_Hydrofluoric_Acid!$R10,'Tables - Part 2'!$AX$5:$BA$5,0)))/2)+(INDEX('Tables - Part 2'!$BF$17:$BI$24,MATCH(HSC_Hydrofluoric_Acid!$T10,'Tables - Part 2'!$AV$6:$AV$13,0),MATCH(HSC_Hydrofluoric_Acid!$R10,'Tables - Part 2'!$AX$5:$BA$5,0))))/2,0)</f>
        <v>0</v>
      </c>
      <c r="BN10" s="248">
        <f>IF($Q10=$BN$3,INDEX('Tables - Part 2'!$BF$17:$BI$24,MATCH(HSC_Hydrofluoric_Acid!$T10,'Tables - Part 2'!$AV$6:$AV$13,0),MATCH(HSC_Hydrofluoric_Acid!$R10,'Tables - Part 2'!$AX$5:$BA$5,0)),0)</f>
        <v>0</v>
      </c>
      <c r="BO10" s="248">
        <f t="shared" si="6"/>
        <v>0</v>
      </c>
      <c r="BP10" s="238">
        <f t="shared" si="8"/>
        <v>1</v>
      </c>
      <c r="BQ10" s="238">
        <f t="shared" si="7"/>
        <v>16.77288246840839</v>
      </c>
    </row>
    <row r="11" spans="2:82" x14ac:dyDescent="0.35">
      <c r="B11" s="161" t="str">
        <f>'Tratamento de Dados'!B19</f>
        <v>V-2</v>
      </c>
      <c r="C11" s="161" t="str">
        <f>'Tratamento de Dados'!D19</f>
        <v>Casco</v>
      </c>
      <c r="D11" s="209" t="s">
        <v>245</v>
      </c>
      <c r="E11" s="209" t="s">
        <v>61</v>
      </c>
      <c r="F11" s="209" t="s">
        <v>244</v>
      </c>
      <c r="G11" s="209" t="s">
        <v>244</v>
      </c>
      <c r="H11" s="209" t="s">
        <v>1112</v>
      </c>
      <c r="I11" s="209" t="s">
        <v>245</v>
      </c>
      <c r="J11" s="210">
        <v>39092</v>
      </c>
      <c r="K11" s="209">
        <v>0</v>
      </c>
      <c r="L11" s="209">
        <v>1</v>
      </c>
      <c r="M11" s="209">
        <v>1</v>
      </c>
      <c r="N11" s="209">
        <v>4</v>
      </c>
      <c r="O11" s="253">
        <f>'Tratamento de Dados'!DA19</f>
        <v>0</v>
      </c>
      <c r="P11" s="253">
        <f>'Tratamento de Dados'!DB19</f>
        <v>0</v>
      </c>
      <c r="Q11" s="256">
        <f t="shared" si="0"/>
        <v>2.5</v>
      </c>
      <c r="R11" s="246" t="str">
        <f t="shared" si="1"/>
        <v>B</v>
      </c>
      <c r="S11" s="238" t="str" cm="1">
        <f t="array" ref="S11">IF(D11=$BV$2,$BT$4,IF(OR(F11=$BV$3,G11=$BV$3),$BT$5,INDEX(IF(I11=$BV$2,'Tables - Part 2'!$EA$5:$EC$5,'Tables - Part 2'!$DX$5:$DZ$5),,MATCH(HSC_Hydrofluoric_Acid!H11,'Tables - Part 2'!$DX$4:$DZ$4,0))))</f>
        <v>Low</v>
      </c>
      <c r="T11" s="238">
        <f>IF(AND(D11=$BV$2,E11&lt;&gt;$BV$2),"Fitness-For-Service",INDEX('Tables - Part 2'!$EF$4:$EF$7,MATCH(HSC_Hydrofluoric_Acid!S11,'Tables - Part 2'!$EE$4:$EE$7,0),))</f>
        <v>1</v>
      </c>
      <c r="U11" s="238">
        <f>IF(J11=0,(Thinning!G12-Thinning!F12)/365.25,(Thinning!G12-J11)/365.25)</f>
        <v>12.980150581793293</v>
      </c>
      <c r="V11" s="248">
        <f t="shared" si="2"/>
        <v>0</v>
      </c>
      <c r="W11" s="248">
        <f t="shared" si="3"/>
        <v>2.5</v>
      </c>
      <c r="X11" s="248">
        <f t="shared" si="4"/>
        <v>3</v>
      </c>
      <c r="Y11" s="247">
        <f t="shared" si="5"/>
        <v>4</v>
      </c>
      <c r="Z11" s="248">
        <f>IF($Q11=$Z$3,INDEX('Tables - Part 2'!$AX$6:$BA$13,MATCH(HSC_Hydrofluoric_Acid!T11,'Tables - Part 2'!$AV$6:$AV$13,0),MATCH(HSC_Hydrofluoric_Acid!R11,'Tables - Part 2'!$AX$5:$BA$5,0)),0)</f>
        <v>0</v>
      </c>
      <c r="AA11" s="248">
        <f>IF($Q11=$AA$3,(INDEX('Tables - Part 2'!$AX$6:$BA$13,MATCH(HSC_Hydrofluoric_Acid!T11,'Tables - Part 2'!$AV$6:$AV$13,0),MATCH(HSC_Hydrofluoric_Acid!R11,'Tables - Part 2'!$AX$5:$BA$5,0))+(INDEX('Tables - Part 2'!$AX$6:$BA$13,MATCH(HSC_Hydrofluoric_Acid!T11,'Tables - Part 2'!$AV$6:$AV$13,0),MATCH(HSC_Hydrofluoric_Acid!R11,'Tables - Part 2'!$AX$5:$BA$5,0))+((INDEX('Tables - Part 2'!$AX$6:$BA$13,MATCH(HSC_Hydrofluoric_Acid!T11,'Tables - Part 2'!$AV$6:$AV$13,0),MATCH(HSC_Hydrofluoric_Acid!R11,'Tables - Part 2'!$AX$5:$BA$5,0))+INDEX('Tables - Part 2'!$BB$6:$BE$13,MATCH(HSC_Hydrofluoric_Acid!$T11,'Tables - Part 2'!$AV$6:$AV$13,0),MATCH(HSC_Hydrofluoric_Acid!$R11,'Tables - Part 2'!$AX$5:$BA$5,0)))/2))/2)/2,0)</f>
        <v>0</v>
      </c>
      <c r="AB11" s="248">
        <f>IF($Q11=$AB$3,(INDEX('Tables - Part 2'!$AX$6:$BA$13,MATCH(HSC_Hydrofluoric_Acid!T11,'Tables - Part 2'!$AV$6:$AV$13,0),MATCH(HSC_Hydrofluoric_Acid!R11,'Tables - Part 2'!$AX$5:$BA$5,0))+((INDEX('Tables - Part 2'!$AX$6:$BA$13,MATCH(HSC_Hydrofluoric_Acid!T11,'Tables - Part 2'!$AV$6:$AV$13,0),MATCH(HSC_Hydrofluoric_Acid!R11,'Tables - Part 2'!$AX$5:$BA$5,0))+INDEX('Tables - Part 2'!$BB$6:$BE$13,MATCH(HSC_Hydrofluoric_Acid!$T11,'Tables - Part 2'!$AV$6:$AV$13,0),MATCH(HSC_Hydrofluoric_Acid!$R11,'Tables - Part 2'!$AX$5:$BA$5,0)))/2))/2,0)</f>
        <v>0</v>
      </c>
      <c r="AC11" s="248">
        <f>IF($Q11=$AC$3,(((INDEX('Tables - Part 2'!$AX$6:$BA$13,MATCH(HSC_Hydrofluoric_Acid!T11,'Tables - Part 2'!$AV$6:$AV$13,0),MATCH(HSC_Hydrofluoric_Acid!R11,'Tables - Part 2'!$AX$5:$BA$5,0))+((INDEX('Tables - Part 2'!$AX$6:$BA$13,MATCH(HSC_Hydrofluoric_Acid!T11,'Tables - Part 2'!$AV$6:$AV$13,0),MATCH(HSC_Hydrofluoric_Acid!R11,'Tables - Part 2'!$AX$5:$BA$5,0))+INDEX('Tables - Part 2'!$BB$6:$BE$13,MATCH(HSC_Hydrofluoric_Acid!$T11,'Tables - Part 2'!$AV$6:$AV$13,0),MATCH(HSC_Hydrofluoric_Acid!$R11,'Tables - Part 2'!$AX$5:$BA$5,0)))/2))/2)+(INDEX('Tables - Part 2'!$AX$6:$BA$13,MATCH(HSC_Hydrofluoric_Acid!T11,'Tables - Part 2'!$AV$6:$AV$13,0),MATCH(HSC_Hydrofluoric_Acid!R11,'Tables - Part 2'!$AX$5:$BA$5,0))+INDEX('Tables - Part 2'!$BB$6:$BE$13,MATCH(HSC_Hydrofluoric_Acid!$T11,'Tables - Part 2'!$AV$6:$AV$13,0),MATCH(HSC_Hydrofluoric_Acid!$R11,'Tables - Part 2'!$AX$5:$BA$5,0)))/2)/2,0)</f>
        <v>0</v>
      </c>
      <c r="AD11" s="248">
        <f>IF($Q11=$AD$3,(INDEX('Tables - Part 2'!$AX$6:$BA$13,MATCH(HSC_Hydrofluoric_Acid!T11,'Tables - Part 2'!$AV$6:$AV$13,0),MATCH(HSC_Hydrofluoric_Acid!R11,'Tables - Part 2'!$AX$5:$BA$5,0))+INDEX('Tables - Part 2'!$BB$6:$BE$13,MATCH(HSC_Hydrofluoric_Acid!$T11,'Tables - Part 2'!$AV$6:$AV$13,0),MATCH(HSC_Hydrofluoric_Acid!$R11,'Tables - Part 2'!$AX$5:$BA$5,0)))/2,0)</f>
        <v>0</v>
      </c>
      <c r="AE11" s="248">
        <f>IF($Q11=$AE$3,(((INDEX('Tables - Part 2'!$AX$6:$BA$13,MATCH(HSC_Hydrofluoric_Acid!T11,'Tables - Part 2'!$AV$6:$AV$13,0),MATCH(HSC_Hydrofluoric_Acid!R11,'Tables - Part 2'!$AX$5:$BA$5,0))+INDEX('Tables - Part 2'!$BB$6:$BE$13,MATCH(HSC_Hydrofluoric_Acid!$T11,'Tables - Part 2'!$AV$6:$AV$13,0),MATCH(HSC_Hydrofluoric_Acid!$R11,'Tables - Part 2'!$AX$5:$BA$5,0)))/2)+(((INDEX('Tables - Part 2'!$AX$6:$BA$13,MATCH(HSC_Hydrofluoric_Acid!T11,'Tables - Part 2'!$AV$6:$AV$13,0),MATCH(HSC_Hydrofluoric_Acid!R11,'Tables - Part 2'!$AX$5:$BA$5,0))+INDEX('Tables - Part 2'!$BB$6:$BE$13,MATCH(HSC_Hydrofluoric_Acid!$T11,'Tables - Part 2'!$AV$6:$AV$13,0),MATCH(HSC_Hydrofluoric_Acid!$R11,'Tables - Part 2'!$AX$5:$BA$5,0)))/2)+INDEX('Tables - Part 2'!$BB$6:$BE$13,MATCH(HSC_Hydrofluoric_Acid!$T11,'Tables - Part 2'!$AV$6:$AV$13,0),MATCH(HSC_Hydrofluoric_Acid!$R11,'Tables - Part 2'!$AX$5:$BA$5,0)))/2)/2,0)</f>
        <v>0</v>
      </c>
      <c r="AF11" s="248">
        <f>IF($Q11=$AF$3,(((INDEX('Tables - Part 2'!$AX$6:$BA$13,MATCH(HSC_Hydrofluoric_Acid!T11,'Tables - Part 2'!$AV$6:$AV$13,0),MATCH(HSC_Hydrofluoric_Acid!R11,'Tables - Part 2'!$AX$5:$BA$5,0))+INDEX('Tables - Part 2'!$BB$6:$BE$13,MATCH(HSC_Hydrofluoric_Acid!$T11,'Tables - Part 2'!$AV$6:$AV$13,0),MATCH(HSC_Hydrofluoric_Acid!$R11,'Tables - Part 2'!$AX$5:$BA$5,0)))/2)+INDEX('Tables - Part 2'!$BB$6:$BE$13,MATCH(HSC_Hydrofluoric_Acid!$T11,'Tables - Part 2'!$AV$6:$AV$13,0),MATCH(HSC_Hydrofluoric_Acid!$R11,'Tables - Part 2'!$AX$5:$BA$5,0)))/2,0)</f>
        <v>0</v>
      </c>
      <c r="AG11" s="248">
        <f>IF($Q11=$AG$3,(((((INDEX('Tables - Part 2'!$AX$6:$BA$13,MATCH(HSC_Hydrofluoric_Acid!T11,'Tables - Part 2'!$AV$6:$AV$13,0),MATCH(HSC_Hydrofluoric_Acid!R11,'Tables - Part 2'!$AX$5:$BA$5,0))+INDEX('Tables - Part 2'!$BB$6:$BE$13,MATCH(HSC_Hydrofluoric_Acid!$T11,'Tables - Part 2'!$AV$6:$AV$13,0),MATCH(HSC_Hydrofluoric_Acid!$R11,'Tables - Part 2'!$AX$5:$BA$5,0)))/2)+INDEX('Tables - Part 2'!$BB$6:$BE$13,MATCH(HSC_Hydrofluoric_Acid!$T11,'Tables - Part 2'!$AV$6:$AV$13,0),MATCH(HSC_Hydrofluoric_Acid!$R11,'Tables - Part 2'!$AX$5:$BA$5,0)))/2)+INDEX('Tables - Part 2'!$BB$6:$BE$13,MATCH(HSC_Hydrofluoric_Acid!$T11,'Tables - Part 2'!$AV$6:$AV$13,0),MATCH(HSC_Hydrofluoric_Acid!$R11,'Tables - Part 2'!$AX$5:$BA$5,0)))/2,0)</f>
        <v>0</v>
      </c>
      <c r="AH11" s="248">
        <f>IF($Q11=$AH$3,INDEX('Tables - Part 2'!$BB$6:$BE$13,MATCH(HSC_Hydrofluoric_Acid!$T11,'Tables - Part 2'!$AV$6:$AV$13,0),MATCH(HSC_Hydrofluoric_Acid!$R11,'Tables - Part 2'!$AX$5:$BA$5,0)),0)</f>
        <v>0</v>
      </c>
      <c r="AI11" s="248">
        <f>IF($Q11=$AI$3,((INDEX('Tables - Part 2'!$BB$6:$BE$13,MATCH(HSC_Hydrofluoric_Acid!$T11,'Tables - Part 2'!$AV$6:$AV$13,0),MATCH(HSC_Hydrofluoric_Acid!$R11,'Tables - Part 2'!$AX$5:$BA$5,0)))+(INDEX('Tables - Part 2'!$BB$6:$BE$13,MATCH(HSC_Hydrofluoric_Acid!$T11,'Tables - Part 2'!$AV$6:$AV$13,0),MATCH(HSC_Hydrofluoric_Acid!$R11,'Tables - Part 2'!$AX$5:$BA$5,0))+(INDEX('Tables - Part 2'!$BB$6:$BE$13,MATCH(HSC_Hydrofluoric_Acid!$T11,'Tables - Part 2'!$AV$6:$AV$13,0),MATCH(HSC_Hydrofluoric_Acid!$R11,'Tables - Part 2'!$AX$5:$BA$5,0))+INDEX('Tables - Part 2'!$BF$6:$BI$13,MATCH(HSC_Hydrofluoric_Acid!$T11,'Tables - Part 2'!$AV$6:$AV$13,0),MATCH(HSC_Hydrofluoric_Acid!$R11,'Tables - Part 2'!$AX$5:$BA$5,0)))/2)/2)/2,0)</f>
        <v>0</v>
      </c>
      <c r="AJ11" s="248">
        <f>IF($Q11=$AJ$3,(INDEX('Tables - Part 2'!$BB$6:$BE$13,MATCH(HSC_Hydrofluoric_Acid!$T11,'Tables - Part 2'!$AV$6:$AV$13,0),MATCH(HSC_Hydrofluoric_Acid!$R11,'Tables - Part 2'!$AX$5:$BA$5,0))+(INDEX('Tables - Part 2'!$BB$6:$BE$13,MATCH(HSC_Hydrofluoric_Acid!$T11,'Tables - Part 2'!$AV$6:$AV$13,0),MATCH(HSC_Hydrofluoric_Acid!$R11,'Tables - Part 2'!$AX$5:$BA$5,0))+INDEX('Tables - Part 2'!$BF$6:$BI$13,MATCH(HSC_Hydrofluoric_Acid!$T11,'Tables - Part 2'!$AV$6:$AV$13,0),MATCH(HSC_Hydrofluoric_Acid!$R11,'Tables - Part 2'!$AX$5:$BA$5,0)))/2)/2,0)</f>
        <v>0</v>
      </c>
      <c r="AK11" s="248">
        <f>IF($Q11=$AK$3,(((INDEX('Tables - Part 2'!$BB$6:$BE$13,MATCH(HSC_Hydrofluoric_Acid!$T11,'Tables - Part 2'!$AV$6:$AV$13,0),MATCH(HSC_Hydrofluoric_Acid!$R11,'Tables - Part 2'!$AX$5:$BA$5,0))+(INDEX('Tables - Part 2'!$BB$6:$BE$13,MATCH(HSC_Hydrofluoric_Acid!$T11,'Tables - Part 2'!$AV$6:$AV$13,0),MATCH(HSC_Hydrofluoric_Acid!$R11,'Tables - Part 2'!$AX$5:$BA$5,0))+INDEX('Tables - Part 2'!$BF$6:$BI$13,MATCH(HSC_Hydrofluoric_Acid!$T11,'Tables - Part 2'!$AV$6:$AV$13,0),MATCH(HSC_Hydrofluoric_Acid!$R11,'Tables - Part 2'!$AX$5:$BA$5,0)))/2)/2)+((INDEX('Tables - Part 2'!$BB$6:$BE$13,MATCH(HSC_Hydrofluoric_Acid!$T11,'Tables - Part 2'!$AV$6:$AV$13,0),MATCH(HSC_Hydrofluoric_Acid!$R11,'Tables - Part 2'!$AX$5:$BA$5,0))+INDEX('Tables - Part 2'!$BF$6:$BI$13,MATCH(HSC_Hydrofluoric_Acid!$T11,'Tables - Part 2'!$AV$6:$AV$13,0),MATCH(HSC_Hydrofluoric_Acid!$R11,'Tables - Part 2'!$AX$5:$BA$5,0)))/2))/2,0)</f>
        <v>0</v>
      </c>
      <c r="AL11" s="248">
        <f>IF($Q11=$AL$3,(INDEX('Tables - Part 2'!$BB$6:$BE$13,MATCH(HSC_Hydrofluoric_Acid!$T11,'Tables - Part 2'!$AV$6:$AV$13,0),MATCH(HSC_Hydrofluoric_Acid!$R11,'Tables - Part 2'!$AX$5:$BA$5,0))+INDEX('Tables - Part 2'!$BF$6:$BI$13,MATCH(HSC_Hydrofluoric_Acid!$T11,'Tables - Part 2'!$AV$6:$AV$13,0),MATCH(HSC_Hydrofluoric_Acid!$R11,'Tables - Part 2'!$AX$5:$BA$5,0)))/2,0)</f>
        <v>1</v>
      </c>
      <c r="AM11" s="248">
        <f>IF($Q11=$AM$3,(((INDEX('Tables - Part 2'!$BB$6:$BE$13,MATCH(HSC_Hydrofluoric_Acid!$T11,'Tables - Part 2'!$AV$6:$AV$13,0),MATCH(HSC_Hydrofluoric_Acid!$R11,'Tables - Part 2'!$AX$5:$BA$5,0))+INDEX('Tables - Part 2'!$BF$6:$BI$13,MATCH(HSC_Hydrofluoric_Acid!$T11,'Tables - Part 2'!$AV$6:$AV$13,0),MATCH(HSC_Hydrofluoric_Acid!$R11,'Tables - Part 2'!$AX$5:$BA$5,0)))/2)+((((INDEX('Tables - Part 2'!$BB$6:$BE$13,MATCH(HSC_Hydrofluoric_Acid!$T11,'Tables - Part 2'!$AV$6:$AV$13,0),MATCH(HSC_Hydrofluoric_Acid!$R11,'Tables - Part 2'!$AX$5:$BA$5,0))+INDEX('Tables - Part 2'!$BF$6:$BI$13,MATCH(HSC_Hydrofluoric_Acid!$T11,'Tables - Part 2'!$AV$6:$AV$13,0),MATCH(HSC_Hydrofluoric_Acid!$R11,'Tables - Part 2'!$AX$5:$BA$5,0)))/2)+INDEX('Tables - Part 2'!$BF$6:$BI$13,MATCH(HSC_Hydrofluoric_Acid!$T11,'Tables - Part 2'!$AV$6:$AV$13,0),MATCH(HSC_Hydrofluoric_Acid!$R11,'Tables - Part 2'!$AX$5:$BA$5,0)))/2))/2,0)</f>
        <v>0</v>
      </c>
      <c r="AN11" s="248">
        <f>IF($Q11=$AN$3,(((INDEX('Tables - Part 2'!$BB$6:$BE$13,MATCH(HSC_Hydrofluoric_Acid!$T11,'Tables - Part 2'!$AV$6:$AV$13,0),MATCH(HSC_Hydrofluoric_Acid!$R11,'Tables - Part 2'!$AX$5:$BA$5,0))+INDEX('Tables - Part 2'!$BF$6:$BI$13,MATCH(HSC_Hydrofluoric_Acid!$T11,'Tables - Part 2'!$AV$6:$AV$13,0),MATCH(HSC_Hydrofluoric_Acid!$R11,'Tables - Part 2'!$AX$5:$BA$5,0)))/2)+INDEX('Tables - Part 2'!$BF$6:$BI$13,MATCH(HSC_Hydrofluoric_Acid!$T11,'Tables - Part 2'!$AV$6:$AV$13,0),MATCH(HSC_Hydrofluoric_Acid!$R11,'Tables - Part 2'!$AX$5:$BA$5,0)))/2,0)</f>
        <v>0</v>
      </c>
      <c r="AO11" s="248">
        <f>IF($Q11=$AO$3,(((((INDEX('Tables - Part 2'!$BB$6:$BE$13,MATCH(HSC_Hydrofluoric_Acid!$T11,'Tables - Part 2'!$AV$6:$AV$13,0),MATCH(HSC_Hydrofluoric_Acid!$R11,'Tables - Part 2'!$AX$5:$BA$5,0))+INDEX('Tables - Part 2'!$BF$6:$BI$13,MATCH(HSC_Hydrofluoric_Acid!$T11,'Tables - Part 2'!$AV$6:$AV$13,0),MATCH(HSC_Hydrofluoric_Acid!$R11,'Tables - Part 2'!$AX$5:$BA$5,0)))/2)+INDEX('Tables - Part 2'!$BF$6:$BI$13,MATCH(HSC_Hydrofluoric_Acid!$T11,'Tables - Part 2'!$AV$6:$AV$13,0),MATCH(HSC_Hydrofluoric_Acid!$R11,'Tables - Part 2'!$AX$5:$BA$5,0)))/2)+INDEX('Tables - Part 2'!$BF$6:$BI$13,MATCH(HSC_Hydrofluoric_Acid!$T11,'Tables - Part 2'!$AV$6:$AV$13,0),MATCH(HSC_Hydrofluoric_Acid!$R11,'Tables - Part 2'!$AX$5:$BA$5,0)))/2,0)</f>
        <v>0</v>
      </c>
      <c r="AP11" s="248">
        <f>IF($Q11=$AP$3,INDEX('Tables - Part 2'!$BF$6:$BI$13,MATCH(HSC_Hydrofluoric_Acid!$T11,'Tables - Part 2'!$AV$6:$AV$13,0),MATCH(HSC_Hydrofluoric_Acid!$R11,'Tables - Part 2'!$AX$5:$BA$5,0)),0)</f>
        <v>0</v>
      </c>
      <c r="AQ11" s="248">
        <f>IF($Q11=$AQ$3,(INDEX('Tables - Part 2'!$BF$6:$BI$13,MATCH(HSC_Hydrofluoric_Acid!$T11,'Tables - Part 2'!$AV$6:$AV$13,0),MATCH(HSC_Hydrofluoric_Acid!$R11,'Tables - Part 2'!$AX$5:$BA$5,0))+((INDEX('Tables - Part 2'!$BF$6:$BI$13,MATCH(HSC_Hydrofluoric_Acid!$T11,'Tables - Part 2'!$AV$6:$AV$13,0),MATCH(HSC_Hydrofluoric_Acid!$R11,'Tables - Part 2'!$AX$5:$BA$5,0))+(INDEX('Tables - Part 2'!$BF$6:$BI$13,MATCH(HSC_Hydrofluoric_Acid!$T11,'Tables - Part 2'!$AV$6:$AV$13,0),MATCH(HSC_Hydrofluoric_Acid!$R11,'Tables - Part 2'!$AX$5:$BA$5,0))+INDEX('Tables - Part 2'!$AX$17:$BA$24,MATCH(HSC_Hydrofluoric_Acid!$T11,'Tables - Part 2'!$AV$6:$AV$13,0),MATCH(HSC_Hydrofluoric_Acid!$R11,'Tables - Part 2'!$AX$5:$BA$5,0)))/2)/2))/2,0)</f>
        <v>0</v>
      </c>
      <c r="AR11" s="248">
        <f>IF($Q11=$AR$3,(INDEX('Tables - Part 2'!$BF$6:$BI$13,MATCH(HSC_Hydrofluoric_Acid!$T11,'Tables - Part 2'!$AV$6:$AV$13,0),MATCH(HSC_Hydrofluoric_Acid!$R11,'Tables - Part 2'!$AX$5:$BA$5,0))+(INDEX('Tables - Part 2'!$BF$6:$BI$13,MATCH(HSC_Hydrofluoric_Acid!$T11,'Tables - Part 2'!$AV$6:$AV$13,0),MATCH(HSC_Hydrofluoric_Acid!$R11,'Tables - Part 2'!$AX$5:$BA$5,0))+INDEX('Tables - Part 2'!$AX$17:$BA$24,MATCH(HSC_Hydrofluoric_Acid!$T11,'Tables - Part 2'!$AV$6:$AV$13,0),MATCH(HSC_Hydrofluoric_Acid!$R11,'Tables - Part 2'!$AX$5:$BA$5,0)))/2)/2,0)</f>
        <v>0</v>
      </c>
      <c r="AS11" s="248">
        <f>IF($Q11=$AS$3,(((INDEX('Tables - Part 2'!$BF$6:$BI$13,MATCH(HSC_Hydrofluoric_Acid!$T11,'Tables - Part 2'!$AV$6:$AV$13,0),MATCH(HSC_Hydrofluoric_Acid!$R11,'Tables - Part 2'!$AX$5:$BA$5,0))+(INDEX('Tables - Part 2'!$BF$6:$BI$13,MATCH(HSC_Hydrofluoric_Acid!$T11,'Tables - Part 2'!$AV$6:$AV$13,0),MATCH(HSC_Hydrofluoric_Acid!$R11,'Tables - Part 2'!$AX$5:$BA$5,0))+INDEX('Tables - Part 2'!$AX$17:$BA$24,MATCH(HSC_Hydrofluoric_Acid!$T11,'Tables - Part 2'!$AV$6:$AV$13,0),MATCH(HSC_Hydrofluoric_Acid!$R11,'Tables - Part 2'!$AX$5:$BA$5,0)))/2)/2)+((INDEX('Tables - Part 2'!$BF$6:$BI$13,MATCH(HSC_Hydrofluoric_Acid!$T11,'Tables - Part 2'!$AV$6:$AV$13,0),MATCH(HSC_Hydrofluoric_Acid!$R11,'Tables - Part 2'!$AX$5:$BA$5,0))+INDEX('Tables - Part 2'!$AX$17:$BA$24,MATCH(HSC_Hydrofluoric_Acid!$T11,'Tables - Part 2'!$AV$6:$AV$13,0),MATCH(HSC_Hydrofluoric_Acid!$R11,'Tables - Part 2'!$AX$5:$BA$5,0)))/2))/2,0)</f>
        <v>0</v>
      </c>
      <c r="AT11" s="248">
        <f>IF($Q11=$AT$3,(INDEX('Tables - Part 2'!$BF$6:$BI$13,MATCH(HSC_Hydrofluoric_Acid!$T11,'Tables - Part 2'!$AV$6:$AV$13,0),MATCH(HSC_Hydrofluoric_Acid!$R11,'Tables - Part 2'!$AX$5:$BA$5,0))+INDEX('Tables - Part 2'!$AX$17:$BA$24,MATCH(HSC_Hydrofluoric_Acid!$T11,'Tables - Part 2'!$AV$6:$AV$13,0),MATCH(HSC_Hydrofluoric_Acid!$R11,'Tables - Part 2'!$AX$5:$BA$5,0)))/2,0)</f>
        <v>0</v>
      </c>
      <c r="AU11" s="248">
        <f>IF($Q11=$AU$3,(((INDEX('Tables - Part 2'!$BF$6:$BI$13,MATCH(HSC_Hydrofluoric_Acid!$T11,'Tables - Part 2'!$AV$6:$AV$13,0),MATCH(HSC_Hydrofluoric_Acid!$R11,'Tables - Part 2'!$AX$5:$BA$5,0))+INDEX('Tables - Part 2'!$AX$17:$BA$24,MATCH(HSC_Hydrofluoric_Acid!$T11,'Tables - Part 2'!$AV$6:$AV$13,0),MATCH(HSC_Hydrofluoric_Acid!$R11,'Tables - Part 2'!$AX$5:$BA$5,0)))/2)+((((INDEX('Tables - Part 2'!$BF$6:$BI$13,MATCH(HSC_Hydrofluoric_Acid!$T11,'Tables - Part 2'!$AV$6:$AV$13,0),MATCH(HSC_Hydrofluoric_Acid!$R11,'Tables - Part 2'!$AX$5:$BA$5,0))+INDEX('Tables - Part 2'!$AX$17:$BA$24,MATCH(HSC_Hydrofluoric_Acid!$T11,'Tables - Part 2'!$AV$6:$AV$13,0),MATCH(HSC_Hydrofluoric_Acid!$R11,'Tables - Part 2'!$AX$5:$BA$5,0)))/2)+INDEX('Tables - Part 2'!$AX$17:$BA$24,MATCH(HSC_Hydrofluoric_Acid!$T11,'Tables - Part 2'!$AV$6:$AV$13,0),MATCH(HSC_Hydrofluoric_Acid!$R11,'Tables - Part 2'!$AX$5:$BA$5,0)))/2))/2,0)</f>
        <v>0</v>
      </c>
      <c r="AV11" s="248">
        <f>IF($Q11=$AV$3,(((INDEX('Tables - Part 2'!$BF$6:$BI$13,MATCH(HSC_Hydrofluoric_Acid!$T11,'Tables - Part 2'!$AV$6:$AV$13,0),MATCH(HSC_Hydrofluoric_Acid!$R11,'Tables - Part 2'!$AX$5:$BA$5,0))+INDEX('Tables - Part 2'!$AX$17:$BA$24,MATCH(HSC_Hydrofluoric_Acid!$T11,'Tables - Part 2'!$AV$6:$AV$13,0),MATCH(HSC_Hydrofluoric_Acid!$R11,'Tables - Part 2'!$AX$5:$BA$5,0)))/2)+INDEX('Tables - Part 2'!$AX$17:$BA$24,MATCH(HSC_Hydrofluoric_Acid!$T11,'Tables - Part 2'!$AV$6:$AV$13,0),MATCH(HSC_Hydrofluoric_Acid!$R11,'Tables - Part 2'!$AX$5:$BA$5,0)))/2,0)</f>
        <v>0</v>
      </c>
      <c r="AW11" s="248">
        <f>IF($Q11=$AW$3,(((((INDEX('Tables - Part 2'!$BF$6:$BI$13,MATCH(HSC_Hydrofluoric_Acid!$T11,'Tables - Part 2'!$AV$6:$AV$13,0),MATCH(HSC_Hydrofluoric_Acid!$R11,'Tables - Part 2'!$AX$5:$BA$5,0))+INDEX('Tables - Part 2'!$AX$17:$BA$24,MATCH(HSC_Hydrofluoric_Acid!$T11,'Tables - Part 2'!$AV$6:$AV$13,0),MATCH(HSC_Hydrofluoric_Acid!$R11,'Tables - Part 2'!$AX$5:$BA$5,0)))/2)+INDEX('Tables - Part 2'!$AX$17:$BA$24,MATCH(HSC_Hydrofluoric_Acid!$T11,'Tables - Part 2'!$AV$6:$AV$13,0),MATCH(HSC_Hydrofluoric_Acid!$R11,'Tables - Part 2'!$AX$5:$BA$5,0)))/2)+(INDEX('Tables - Part 2'!$AX$17:$BA$24,MATCH(HSC_Hydrofluoric_Acid!$T11,'Tables - Part 2'!$AV$6:$AV$13,0),MATCH(HSC_Hydrofluoric_Acid!$R11,'Tables - Part 2'!$AX$5:$BA$5,0))))/2,0)</f>
        <v>0</v>
      </c>
      <c r="AX11" s="248">
        <f>IF($Q11=$AX$3,INDEX('Tables - Part 2'!$AX$17:$BA$24,MATCH(HSC_Hydrofluoric_Acid!$T11,'Tables - Part 2'!$AV$6:$AV$13,0),MATCH(HSC_Hydrofluoric_Acid!$R11,'Tables - Part 2'!$AX$5:$BA$5,0)),0)</f>
        <v>0</v>
      </c>
      <c r="AY11" s="248">
        <f>IF($Q11=$AY$3,((INDEX('Tables - Part 2'!$AX$17:$BA$24,MATCH(HSC_Hydrofluoric_Acid!$T11,'Tables - Part 2'!$AV$6:$AV$13,0),MATCH(HSC_Hydrofluoric_Acid!$R11,'Tables - Part 2'!$AX$5:$BA$5,0)))+(((INDEX('Tables - Part 2'!$AX$17:$BA$24,MATCH(HSC_Hydrofluoric_Acid!$T11,'Tables - Part 2'!$AV$6:$AV$13,0),MATCH(HSC_Hydrofluoric_Acid!$R11,'Tables - Part 2'!$AX$5:$BA$5,0)))+(INDEX('Tables - Part 2'!$AX$17:$BA$24,MATCH(HSC_Hydrofluoric_Acid!$T11,'Tables - Part 2'!$AV$6:$AV$13,0),MATCH(HSC_Hydrofluoric_Acid!$R11,'Tables - Part 2'!$AX$5:$BA$5,0))+INDEX('Tables - Part 2'!$BB$17:$BE$24,MATCH(HSC_Hydrofluoric_Acid!$T11,'Tables - Part 2'!$AV$6:$AV$13,0),MATCH(HSC_Hydrofluoric_Acid!$R11,'Tables - Part 2'!$AX$5:$BA$5,0)))/2)/2))/2,0)</f>
        <v>0</v>
      </c>
      <c r="AZ11" s="248">
        <f>IF($Q11=$AZ$3,((INDEX('Tables - Part 2'!$AX$17:$BA$24,MATCH(HSC_Hydrofluoric_Acid!$T11,'Tables - Part 2'!$AV$6:$AV$13,0),MATCH(HSC_Hydrofluoric_Acid!$R11,'Tables - Part 2'!$AX$5:$BA$5,0)))+(INDEX('Tables - Part 2'!$AX$17:$BA$24,MATCH(HSC_Hydrofluoric_Acid!$T11,'Tables - Part 2'!$AV$6:$AV$13,0),MATCH(HSC_Hydrofluoric_Acid!$R11,'Tables - Part 2'!$AX$5:$BA$5,0))+INDEX('Tables - Part 2'!$BB$17:$BE$24,MATCH(HSC_Hydrofluoric_Acid!$T11,'Tables - Part 2'!$AV$6:$AV$13,0),MATCH(HSC_Hydrofluoric_Acid!$R11,'Tables - Part 2'!$AX$5:$BA$5,0)))/2)/2,0)</f>
        <v>0</v>
      </c>
      <c r="BA11" s="248">
        <f>IF($Q11=$BA$3,((((INDEX('Tables - Part 2'!$AX$17:$BA$24,MATCH(HSC_Hydrofluoric_Acid!$T11,'Tables - Part 2'!$AV$6:$AV$13,0),MATCH(HSC_Hydrofluoric_Acid!$R11,'Tables - Part 2'!$AX$5:$BA$5,0)))+(INDEX('Tables - Part 2'!$AX$17:$BA$24,MATCH(HSC_Hydrofluoric_Acid!$T11,'Tables - Part 2'!$AV$6:$AV$13,0),MATCH(HSC_Hydrofluoric_Acid!$R11,'Tables - Part 2'!$AX$5:$BA$5,0))+INDEX('Tables - Part 2'!$BB$17:$BE$24,MATCH(HSC_Hydrofluoric_Acid!$T11,'Tables - Part 2'!$AV$6:$AV$13,0),MATCH(HSC_Hydrofluoric_Acid!$R11,'Tables - Part 2'!$AX$5:$BA$5,0)))/2)/2)+((INDEX('Tables - Part 2'!$AX$17:$BA$24,MATCH(HSC_Hydrofluoric_Acid!$T11,'Tables - Part 2'!$AV$6:$AV$13,0),MATCH(HSC_Hydrofluoric_Acid!$R11,'Tables - Part 2'!$AX$5:$BA$5,0))+INDEX('Tables - Part 2'!$BB$17:$BE$24,MATCH(HSC_Hydrofluoric_Acid!$T11,'Tables - Part 2'!$AV$6:$AV$13,0),MATCH(HSC_Hydrofluoric_Acid!$R11,'Tables - Part 2'!$AX$5:$BA$5,0)))/2))/2,0)</f>
        <v>0</v>
      </c>
      <c r="BB11" s="248">
        <f>IF($Q11=$BB$3,(INDEX('Tables - Part 2'!$AX$17:$BA$24,MATCH(HSC_Hydrofluoric_Acid!$T11,'Tables - Part 2'!$AV$6:$AV$13,0),MATCH(HSC_Hydrofluoric_Acid!$R11,'Tables - Part 2'!$AX$5:$BA$5,0))+INDEX('Tables - Part 2'!$BB$17:$BE$24,MATCH(HSC_Hydrofluoric_Acid!$T11,'Tables - Part 2'!$AV$6:$AV$13,0),MATCH(HSC_Hydrofluoric_Acid!$R11,'Tables - Part 2'!$AX$5:$BA$5,0)))/2,0)</f>
        <v>0</v>
      </c>
      <c r="BC11" s="248">
        <f>IF($Q11=$BC$3,(((INDEX('Tables - Part 2'!$AX$17:$BA$24,MATCH(HSC_Hydrofluoric_Acid!$T11,'Tables - Part 2'!$AV$6:$AV$13,0),MATCH(HSC_Hydrofluoric_Acid!$R11,'Tables - Part 2'!$AX$5:$BA$5,0))+INDEX('Tables - Part 2'!$BB$17:$BE$24,MATCH(HSC_Hydrofluoric_Acid!$T11,'Tables - Part 2'!$AV$6:$AV$13,0),MATCH(HSC_Hydrofluoric_Acid!$R11,'Tables - Part 2'!$AX$5:$BA$5,0)))/2)+((((INDEX('Tables - Part 2'!$AX$17:$BA$24,MATCH(HSC_Hydrofluoric_Acid!$T11,'Tables - Part 2'!$AV$6:$AV$13,0),MATCH(HSC_Hydrofluoric_Acid!$R11,'Tables - Part 2'!$AX$5:$BA$5,0))+INDEX('Tables - Part 2'!$BB$17:$BE$24,MATCH(HSC_Hydrofluoric_Acid!$T11,'Tables - Part 2'!$AV$6:$AV$13,0),MATCH(HSC_Hydrofluoric_Acid!$R11,'Tables - Part 2'!$AX$5:$BA$5,0)))/2)+INDEX('Tables - Part 2'!$BB$17:$BE$24,MATCH(HSC_Hydrofluoric_Acid!$T11,'Tables - Part 2'!$AV$6:$AV$13,0),MATCH(HSC_Hydrofluoric_Acid!$R11,'Tables - Part 2'!$AX$5:$BA$5,0)))/2))/2,0)</f>
        <v>0</v>
      </c>
      <c r="BD11" s="248">
        <f>IF($Q11=$BD$3,(((INDEX('Tables - Part 2'!$AX$17:$BA$24,MATCH(HSC_Hydrofluoric_Acid!$T11,'Tables - Part 2'!$AV$6:$AV$13,0),MATCH(HSC_Hydrofluoric_Acid!$R11,'Tables - Part 2'!$AX$5:$BA$5,0))+INDEX('Tables - Part 2'!$BB$17:$BE$24,MATCH(HSC_Hydrofluoric_Acid!$T11,'Tables - Part 2'!$AV$6:$AV$13,0),MATCH(HSC_Hydrofluoric_Acid!$R11,'Tables - Part 2'!$AX$5:$BA$5,0)))/2)+INDEX('Tables - Part 2'!$BB$17:$BE$24,MATCH(HSC_Hydrofluoric_Acid!$T11,'Tables - Part 2'!$AV$6:$AV$13,0),MATCH(HSC_Hydrofluoric_Acid!$R11,'Tables - Part 2'!$AX$5:$BA$5,0)))/2,0)</f>
        <v>0</v>
      </c>
      <c r="BE11" s="248">
        <f>IF($Q11=$BE$3,(((((INDEX('Tables - Part 2'!$AX$17:$BA$24,MATCH(HSC_Hydrofluoric_Acid!$T11,'Tables - Part 2'!$AV$6:$AV$13,0),MATCH(HSC_Hydrofluoric_Acid!$R11,'Tables - Part 2'!$AX$5:$BA$5,0))+INDEX('Tables - Part 2'!$BB$17:$BE$24,MATCH(HSC_Hydrofluoric_Acid!$T11,'Tables - Part 2'!$AV$6:$AV$13,0),MATCH(HSC_Hydrofluoric_Acid!$R11,'Tables - Part 2'!$AX$5:$BA$5,0)))/2)+INDEX('Tables - Part 2'!$BB$17:$BE$24,MATCH(HSC_Hydrofluoric_Acid!$T11,'Tables - Part 2'!$AV$6:$AV$13,0),MATCH(HSC_Hydrofluoric_Acid!$R11,'Tables - Part 2'!$AX$5:$BA$5,0)))/2)+(INDEX('Tables - Part 2'!$BB$17:$BE$24,MATCH(HSC_Hydrofluoric_Acid!$T11,'Tables - Part 2'!$AV$6:$AV$13,0),MATCH(HSC_Hydrofluoric_Acid!$R11,'Tables - Part 2'!$AX$5:$BA$5,0))))/2,0)</f>
        <v>0</v>
      </c>
      <c r="BF11" s="248">
        <f>IF($Q11=$BF$3,INDEX('Tables - Part 2'!$BB$17:$BE$24,MATCH(HSC_Hydrofluoric_Acid!$T11,'Tables - Part 2'!$AV$6:$AV$13,0),MATCH(HSC_Hydrofluoric_Acid!$R11,'Tables - Part 2'!$AX$5:$BA$5,0)),0)</f>
        <v>0</v>
      </c>
      <c r="BG11" s="248">
        <f>IF($Q11=$BG$3,((INDEX('Tables - Part 2'!$BB$17:$BE$24,MATCH(HSC_Hydrofluoric_Acid!$T11,'Tables - Part 2'!$AV$6:$AV$13,0),MATCH(HSC_Hydrofluoric_Acid!$R11,'Tables - Part 2'!$AX$5:$BA$5,0)))+(((INDEX('Tables - Part 2'!$BB$17:$BE$24,MATCH(HSC_Hydrofluoric_Acid!$T11,'Tables - Part 2'!$AV$6:$AV$13,0),MATCH(HSC_Hydrofluoric_Acid!$R11,'Tables - Part 2'!$AX$5:$BA$5,0)))+(INDEX('Tables - Part 2'!$BB$17:$BE$24,MATCH(HSC_Hydrofluoric_Acid!$T11,'Tables - Part 2'!$AV$6:$AV$13,0),MATCH(HSC_Hydrofluoric_Acid!$R11,'Tables - Part 2'!$AX$5:$BA$5,0))+INDEX('Tables - Part 2'!$BF$17:$BI$24,MATCH(HSC_Hydrofluoric_Acid!$T11,'Tables - Part 2'!$AV$6:$AV$13,0),MATCH(HSC_Hydrofluoric_Acid!$R11,'Tables - Part 2'!$AX$5:$BA$5,0)))/2)/2))/2,0)</f>
        <v>0</v>
      </c>
      <c r="BH11" s="248">
        <f>IF($Q11=$BH$3,((INDEX('Tables - Part 2'!$BB$17:$BE$24,MATCH(HSC_Hydrofluoric_Acid!$T11,'Tables - Part 2'!$AV$6:$AV$13,0),MATCH(HSC_Hydrofluoric_Acid!$R11,'Tables - Part 2'!$AX$5:$BA$5,0)))+(INDEX('Tables - Part 2'!$BB$17:$BE$24,MATCH(HSC_Hydrofluoric_Acid!$T11,'Tables - Part 2'!$AV$6:$AV$13,0),MATCH(HSC_Hydrofluoric_Acid!$R11,'Tables - Part 2'!$AX$5:$BA$5,0))+INDEX('Tables - Part 2'!$BF$17:$BI$24,MATCH(HSC_Hydrofluoric_Acid!$T11,'Tables - Part 2'!$AV$6:$AV$13,0),MATCH(HSC_Hydrofluoric_Acid!$R11,'Tables - Part 2'!$AX$5:$BA$5,0)))/2)/2,0)</f>
        <v>0</v>
      </c>
      <c r="BI11" s="248">
        <f>IF($Q11=$BI$3,((((INDEX('Tables - Part 2'!$BB$17:$BE$24,MATCH(HSC_Hydrofluoric_Acid!$T11,'Tables - Part 2'!$AV$6:$AV$13,0),MATCH(HSC_Hydrofluoric_Acid!$R11,'Tables - Part 2'!$AX$5:$BA$5,0)))+(INDEX('Tables - Part 2'!$BB$17:$BE$24,MATCH(HSC_Hydrofluoric_Acid!$T11,'Tables - Part 2'!$AV$6:$AV$13,0),MATCH(HSC_Hydrofluoric_Acid!$R11,'Tables - Part 2'!$AX$5:$BA$5,0))+INDEX('Tables - Part 2'!$BF$17:$BI$24,MATCH(HSC_Hydrofluoric_Acid!$T11,'Tables - Part 2'!$AV$6:$AV$13,0),MATCH(HSC_Hydrofluoric_Acid!$R11,'Tables - Part 2'!$AX$5:$BA$5,0)))/2)/2)+((INDEX('Tables - Part 2'!$BB$17:$BE$24,MATCH(HSC_Hydrofluoric_Acid!$T11,'Tables - Part 2'!$AV$6:$AV$13,0),MATCH(HSC_Hydrofluoric_Acid!$R11,'Tables - Part 2'!$AX$5:$BA$5,0))+INDEX('Tables - Part 2'!$BF$17:$BI$24,MATCH(HSC_Hydrofluoric_Acid!$T11,'Tables - Part 2'!$AV$6:$AV$13,0),MATCH(HSC_Hydrofluoric_Acid!$R11,'Tables - Part 2'!$AX$5:$BA$5,0)))/2))/2,0)</f>
        <v>0</v>
      </c>
      <c r="BJ11" s="248">
        <f>IF($Q11=$BJ$3,(INDEX('Tables - Part 2'!$BB$17:$BE$24,MATCH(HSC_Hydrofluoric_Acid!$T11,'Tables - Part 2'!$AV$6:$AV$13,0),MATCH(HSC_Hydrofluoric_Acid!$R11,'Tables - Part 2'!$AX$5:$BA$5,0))+INDEX('Tables - Part 2'!$BF$17:$BI$24,MATCH(HSC_Hydrofluoric_Acid!$T11,'Tables - Part 2'!$AV$6:$AV$13,0),MATCH(HSC_Hydrofluoric_Acid!$R11,'Tables - Part 2'!$AX$5:$BA$5,0)))/2,0)</f>
        <v>0</v>
      </c>
      <c r="BK11" s="248">
        <f>IF($Q11=$BK$3,(((INDEX('Tables - Part 2'!$BB$17:$BE$24,MATCH(HSC_Hydrofluoric_Acid!$T11,'Tables - Part 2'!$AV$6:$AV$13,0),MATCH(HSC_Hydrofluoric_Acid!$R11,'Tables - Part 2'!$AX$5:$BA$5,0))+INDEX('Tables - Part 2'!$BF$17:$BI$24,MATCH(HSC_Hydrofluoric_Acid!$T11,'Tables - Part 2'!$AV$6:$AV$13,0),MATCH(HSC_Hydrofluoric_Acid!$R11,'Tables - Part 2'!$AX$5:$BA$5,0)))/2)+((((INDEX('Tables - Part 2'!$BB$17:$BE$24,MATCH(HSC_Hydrofluoric_Acid!$T11,'Tables - Part 2'!$AV$6:$AV$13,0),MATCH(HSC_Hydrofluoric_Acid!$R11,'Tables - Part 2'!$AX$5:$BA$5,0))+INDEX('Tables - Part 2'!$BF$17:$BI$24,MATCH(HSC_Hydrofluoric_Acid!$T11,'Tables - Part 2'!$AV$6:$AV$13,0),MATCH(HSC_Hydrofluoric_Acid!$R11,'Tables - Part 2'!$AX$5:$BA$5,0)))/2)+INDEX('Tables - Part 2'!$BF$17:$BI$24,MATCH(HSC_Hydrofluoric_Acid!$T11,'Tables - Part 2'!$AV$6:$AV$13,0),MATCH(HSC_Hydrofluoric_Acid!$R11,'Tables - Part 2'!$AX$5:$BA$5,0)))/2))/2,0)</f>
        <v>0</v>
      </c>
      <c r="BL11" s="248">
        <f>IF($Q11=$BL$3,(((INDEX('Tables - Part 2'!$BB$17:$BE$24,MATCH(HSC_Hydrofluoric_Acid!$T11,'Tables - Part 2'!$AV$6:$AV$13,0),MATCH(HSC_Hydrofluoric_Acid!$R11,'Tables - Part 2'!$AX$5:$BA$5,0))+INDEX('Tables - Part 2'!$BF$17:$BI$24,MATCH(HSC_Hydrofluoric_Acid!$T11,'Tables - Part 2'!$AV$6:$AV$13,0),MATCH(HSC_Hydrofluoric_Acid!$R11,'Tables - Part 2'!$AX$5:$BA$5,0)))/2)+INDEX('Tables - Part 2'!$BF$17:$BI$24,MATCH(HSC_Hydrofluoric_Acid!$T11,'Tables - Part 2'!$AV$6:$AV$13,0),MATCH(HSC_Hydrofluoric_Acid!$R11,'Tables - Part 2'!$AX$5:$BA$5,0)))/2,0)</f>
        <v>0</v>
      </c>
      <c r="BM11" s="248">
        <f>IF($Q11=$BM$3,(((((INDEX('Tables - Part 2'!$BB$17:$BE$24,MATCH(HSC_Hydrofluoric_Acid!$T11,'Tables - Part 2'!$AV$6:$AV$13,0),MATCH(HSC_Hydrofluoric_Acid!$R11,'Tables - Part 2'!$AX$5:$BA$5,0))+INDEX('Tables - Part 2'!$BF$17:$BI$24,MATCH(HSC_Hydrofluoric_Acid!$T11,'Tables - Part 2'!$AV$6:$AV$13,0),MATCH(HSC_Hydrofluoric_Acid!$R11,'Tables - Part 2'!$AX$5:$BA$5,0)))/2)+INDEX('Tables - Part 2'!$BF$17:$BI$24,MATCH(HSC_Hydrofluoric_Acid!$T11,'Tables - Part 2'!$AV$6:$AV$13,0),MATCH(HSC_Hydrofluoric_Acid!$R11,'Tables - Part 2'!$AX$5:$BA$5,0)))/2)+(INDEX('Tables - Part 2'!$BF$17:$BI$24,MATCH(HSC_Hydrofluoric_Acid!$T11,'Tables - Part 2'!$AV$6:$AV$13,0),MATCH(HSC_Hydrofluoric_Acid!$R11,'Tables - Part 2'!$AX$5:$BA$5,0))))/2,0)</f>
        <v>0</v>
      </c>
      <c r="BN11" s="248">
        <f>IF($Q11=$BN$3,INDEX('Tables - Part 2'!$BF$17:$BI$24,MATCH(HSC_Hydrofluoric_Acid!$T11,'Tables - Part 2'!$AV$6:$AV$13,0),MATCH(HSC_Hydrofluoric_Acid!$R11,'Tables - Part 2'!$AX$5:$BA$5,0)),0)</f>
        <v>0</v>
      </c>
      <c r="BO11" s="248">
        <f t="shared" si="6"/>
        <v>0</v>
      </c>
      <c r="BP11" s="238">
        <f t="shared" si="8"/>
        <v>1</v>
      </c>
      <c r="BQ11" s="238">
        <f t="shared" si="7"/>
        <v>16.77288246840839</v>
      </c>
    </row>
    <row r="12" spans="2:82" x14ac:dyDescent="0.35">
      <c r="B12" s="161" t="str">
        <f>'Tratamento de Dados'!B20</f>
        <v>V-3</v>
      </c>
      <c r="C12" s="161" t="str">
        <f>'Tratamento de Dados'!D20</f>
        <v>Casco</v>
      </c>
      <c r="D12" s="209" t="s">
        <v>245</v>
      </c>
      <c r="E12" s="209" t="s">
        <v>61</v>
      </c>
      <c r="F12" s="209" t="s">
        <v>244</v>
      </c>
      <c r="G12" s="209" t="s">
        <v>244</v>
      </c>
      <c r="H12" s="209" t="s">
        <v>1112</v>
      </c>
      <c r="I12" s="209" t="s">
        <v>245</v>
      </c>
      <c r="J12" s="210">
        <v>39092</v>
      </c>
      <c r="K12" s="209">
        <v>0</v>
      </c>
      <c r="L12" s="209">
        <v>1</v>
      </c>
      <c r="M12" s="209">
        <v>1</v>
      </c>
      <c r="N12" s="209">
        <v>4</v>
      </c>
      <c r="O12" s="253">
        <f>'Tratamento de Dados'!DA20</f>
        <v>0</v>
      </c>
      <c r="P12" s="253">
        <f>'Tratamento de Dados'!DB20</f>
        <v>0</v>
      </c>
      <c r="Q12" s="256">
        <f t="shared" si="0"/>
        <v>2.5</v>
      </c>
      <c r="R12" s="246" t="str">
        <f t="shared" si="1"/>
        <v>B</v>
      </c>
      <c r="S12" s="238" t="str" cm="1">
        <f t="array" ref="S12">IF(D12=$BV$2,$BT$4,IF(OR(F12=$BV$3,G12=$BV$3),$BT$5,INDEX(IF(I12=$BV$2,'Tables - Part 2'!$EA$5:$EC$5,'Tables - Part 2'!$DX$5:$DZ$5),,MATCH(HSC_Hydrofluoric_Acid!H12,'Tables - Part 2'!$DX$4:$DZ$4,0))))</f>
        <v>Low</v>
      </c>
      <c r="T12" s="238">
        <f>IF(AND(D12=$BV$2,E12&lt;&gt;$BV$2),"Fitness-For-Service",INDEX('Tables - Part 2'!$EF$4:$EF$7,MATCH(HSC_Hydrofluoric_Acid!S12,'Tables - Part 2'!$EE$4:$EE$7,0),))</f>
        <v>1</v>
      </c>
      <c r="U12" s="238">
        <f>IF(J12=0,(Thinning!G13-Thinning!F13)/365.25,(Thinning!G13-J12)/365.25)</f>
        <v>12.980150581793293</v>
      </c>
      <c r="V12" s="248">
        <f t="shared" si="2"/>
        <v>0</v>
      </c>
      <c r="W12" s="248">
        <f t="shared" si="3"/>
        <v>2.5</v>
      </c>
      <c r="X12" s="248">
        <f t="shared" si="4"/>
        <v>3</v>
      </c>
      <c r="Y12" s="247">
        <f t="shared" si="5"/>
        <v>4</v>
      </c>
      <c r="Z12" s="248">
        <f>IF($Q12=$Z$3,INDEX('Tables - Part 2'!$AX$6:$BA$13,MATCH(HSC_Hydrofluoric_Acid!T12,'Tables - Part 2'!$AV$6:$AV$13,0),MATCH(HSC_Hydrofluoric_Acid!R12,'Tables - Part 2'!$AX$5:$BA$5,0)),0)</f>
        <v>0</v>
      </c>
      <c r="AA12" s="248">
        <f>IF($Q12=$AA$3,(INDEX('Tables - Part 2'!$AX$6:$BA$13,MATCH(HSC_Hydrofluoric_Acid!T12,'Tables - Part 2'!$AV$6:$AV$13,0),MATCH(HSC_Hydrofluoric_Acid!R12,'Tables - Part 2'!$AX$5:$BA$5,0))+(INDEX('Tables - Part 2'!$AX$6:$BA$13,MATCH(HSC_Hydrofluoric_Acid!T12,'Tables - Part 2'!$AV$6:$AV$13,0),MATCH(HSC_Hydrofluoric_Acid!R12,'Tables - Part 2'!$AX$5:$BA$5,0))+((INDEX('Tables - Part 2'!$AX$6:$BA$13,MATCH(HSC_Hydrofluoric_Acid!T12,'Tables - Part 2'!$AV$6:$AV$13,0),MATCH(HSC_Hydrofluoric_Acid!R12,'Tables - Part 2'!$AX$5:$BA$5,0))+INDEX('Tables - Part 2'!$BB$6:$BE$13,MATCH(HSC_Hydrofluoric_Acid!$T12,'Tables - Part 2'!$AV$6:$AV$13,0),MATCH(HSC_Hydrofluoric_Acid!$R12,'Tables - Part 2'!$AX$5:$BA$5,0)))/2))/2)/2,0)</f>
        <v>0</v>
      </c>
      <c r="AB12" s="248">
        <f>IF($Q12=$AB$3,(INDEX('Tables - Part 2'!$AX$6:$BA$13,MATCH(HSC_Hydrofluoric_Acid!T12,'Tables - Part 2'!$AV$6:$AV$13,0),MATCH(HSC_Hydrofluoric_Acid!R12,'Tables - Part 2'!$AX$5:$BA$5,0))+((INDEX('Tables - Part 2'!$AX$6:$BA$13,MATCH(HSC_Hydrofluoric_Acid!T12,'Tables - Part 2'!$AV$6:$AV$13,0),MATCH(HSC_Hydrofluoric_Acid!R12,'Tables - Part 2'!$AX$5:$BA$5,0))+INDEX('Tables - Part 2'!$BB$6:$BE$13,MATCH(HSC_Hydrofluoric_Acid!$T12,'Tables - Part 2'!$AV$6:$AV$13,0),MATCH(HSC_Hydrofluoric_Acid!$R12,'Tables - Part 2'!$AX$5:$BA$5,0)))/2))/2,0)</f>
        <v>0</v>
      </c>
      <c r="AC12" s="248">
        <f>IF($Q12=$AC$3,(((INDEX('Tables - Part 2'!$AX$6:$BA$13,MATCH(HSC_Hydrofluoric_Acid!T12,'Tables - Part 2'!$AV$6:$AV$13,0),MATCH(HSC_Hydrofluoric_Acid!R12,'Tables - Part 2'!$AX$5:$BA$5,0))+((INDEX('Tables - Part 2'!$AX$6:$BA$13,MATCH(HSC_Hydrofluoric_Acid!T12,'Tables - Part 2'!$AV$6:$AV$13,0),MATCH(HSC_Hydrofluoric_Acid!R12,'Tables - Part 2'!$AX$5:$BA$5,0))+INDEX('Tables - Part 2'!$BB$6:$BE$13,MATCH(HSC_Hydrofluoric_Acid!$T12,'Tables - Part 2'!$AV$6:$AV$13,0),MATCH(HSC_Hydrofluoric_Acid!$R12,'Tables - Part 2'!$AX$5:$BA$5,0)))/2))/2)+(INDEX('Tables - Part 2'!$AX$6:$BA$13,MATCH(HSC_Hydrofluoric_Acid!T12,'Tables - Part 2'!$AV$6:$AV$13,0),MATCH(HSC_Hydrofluoric_Acid!R12,'Tables - Part 2'!$AX$5:$BA$5,0))+INDEX('Tables - Part 2'!$BB$6:$BE$13,MATCH(HSC_Hydrofluoric_Acid!$T12,'Tables - Part 2'!$AV$6:$AV$13,0),MATCH(HSC_Hydrofluoric_Acid!$R12,'Tables - Part 2'!$AX$5:$BA$5,0)))/2)/2,0)</f>
        <v>0</v>
      </c>
      <c r="AD12" s="248">
        <f>IF($Q12=$AD$3,(INDEX('Tables - Part 2'!$AX$6:$BA$13,MATCH(HSC_Hydrofluoric_Acid!T12,'Tables - Part 2'!$AV$6:$AV$13,0),MATCH(HSC_Hydrofluoric_Acid!R12,'Tables - Part 2'!$AX$5:$BA$5,0))+INDEX('Tables - Part 2'!$BB$6:$BE$13,MATCH(HSC_Hydrofluoric_Acid!$T12,'Tables - Part 2'!$AV$6:$AV$13,0),MATCH(HSC_Hydrofluoric_Acid!$R12,'Tables - Part 2'!$AX$5:$BA$5,0)))/2,0)</f>
        <v>0</v>
      </c>
      <c r="AE12" s="248">
        <f>IF($Q12=$AE$3,(((INDEX('Tables - Part 2'!$AX$6:$BA$13,MATCH(HSC_Hydrofluoric_Acid!T12,'Tables - Part 2'!$AV$6:$AV$13,0),MATCH(HSC_Hydrofluoric_Acid!R12,'Tables - Part 2'!$AX$5:$BA$5,0))+INDEX('Tables - Part 2'!$BB$6:$BE$13,MATCH(HSC_Hydrofluoric_Acid!$T12,'Tables - Part 2'!$AV$6:$AV$13,0),MATCH(HSC_Hydrofluoric_Acid!$R12,'Tables - Part 2'!$AX$5:$BA$5,0)))/2)+(((INDEX('Tables - Part 2'!$AX$6:$BA$13,MATCH(HSC_Hydrofluoric_Acid!T12,'Tables - Part 2'!$AV$6:$AV$13,0),MATCH(HSC_Hydrofluoric_Acid!R12,'Tables - Part 2'!$AX$5:$BA$5,0))+INDEX('Tables - Part 2'!$BB$6:$BE$13,MATCH(HSC_Hydrofluoric_Acid!$T12,'Tables - Part 2'!$AV$6:$AV$13,0),MATCH(HSC_Hydrofluoric_Acid!$R12,'Tables - Part 2'!$AX$5:$BA$5,0)))/2)+INDEX('Tables - Part 2'!$BB$6:$BE$13,MATCH(HSC_Hydrofluoric_Acid!$T12,'Tables - Part 2'!$AV$6:$AV$13,0),MATCH(HSC_Hydrofluoric_Acid!$R12,'Tables - Part 2'!$AX$5:$BA$5,0)))/2)/2,0)</f>
        <v>0</v>
      </c>
      <c r="AF12" s="248">
        <f>IF($Q12=$AF$3,(((INDEX('Tables - Part 2'!$AX$6:$BA$13,MATCH(HSC_Hydrofluoric_Acid!T12,'Tables - Part 2'!$AV$6:$AV$13,0),MATCH(HSC_Hydrofluoric_Acid!R12,'Tables - Part 2'!$AX$5:$BA$5,0))+INDEX('Tables - Part 2'!$BB$6:$BE$13,MATCH(HSC_Hydrofluoric_Acid!$T12,'Tables - Part 2'!$AV$6:$AV$13,0),MATCH(HSC_Hydrofluoric_Acid!$R12,'Tables - Part 2'!$AX$5:$BA$5,0)))/2)+INDEX('Tables - Part 2'!$BB$6:$BE$13,MATCH(HSC_Hydrofluoric_Acid!$T12,'Tables - Part 2'!$AV$6:$AV$13,0),MATCH(HSC_Hydrofluoric_Acid!$R12,'Tables - Part 2'!$AX$5:$BA$5,0)))/2,0)</f>
        <v>0</v>
      </c>
      <c r="AG12" s="248">
        <f>IF($Q12=$AG$3,(((((INDEX('Tables - Part 2'!$AX$6:$BA$13,MATCH(HSC_Hydrofluoric_Acid!T12,'Tables - Part 2'!$AV$6:$AV$13,0),MATCH(HSC_Hydrofluoric_Acid!R12,'Tables - Part 2'!$AX$5:$BA$5,0))+INDEX('Tables - Part 2'!$BB$6:$BE$13,MATCH(HSC_Hydrofluoric_Acid!$T12,'Tables - Part 2'!$AV$6:$AV$13,0),MATCH(HSC_Hydrofluoric_Acid!$R12,'Tables - Part 2'!$AX$5:$BA$5,0)))/2)+INDEX('Tables - Part 2'!$BB$6:$BE$13,MATCH(HSC_Hydrofluoric_Acid!$T12,'Tables - Part 2'!$AV$6:$AV$13,0),MATCH(HSC_Hydrofluoric_Acid!$R12,'Tables - Part 2'!$AX$5:$BA$5,0)))/2)+INDEX('Tables - Part 2'!$BB$6:$BE$13,MATCH(HSC_Hydrofluoric_Acid!$T12,'Tables - Part 2'!$AV$6:$AV$13,0),MATCH(HSC_Hydrofluoric_Acid!$R12,'Tables - Part 2'!$AX$5:$BA$5,0)))/2,0)</f>
        <v>0</v>
      </c>
      <c r="AH12" s="248">
        <f>IF($Q12=$AH$3,INDEX('Tables - Part 2'!$BB$6:$BE$13,MATCH(HSC_Hydrofluoric_Acid!$T12,'Tables - Part 2'!$AV$6:$AV$13,0),MATCH(HSC_Hydrofluoric_Acid!$R12,'Tables - Part 2'!$AX$5:$BA$5,0)),0)</f>
        <v>0</v>
      </c>
      <c r="AI12" s="248">
        <f>IF($Q12=$AI$3,((INDEX('Tables - Part 2'!$BB$6:$BE$13,MATCH(HSC_Hydrofluoric_Acid!$T12,'Tables - Part 2'!$AV$6:$AV$13,0),MATCH(HSC_Hydrofluoric_Acid!$R12,'Tables - Part 2'!$AX$5:$BA$5,0)))+(INDEX('Tables - Part 2'!$BB$6:$BE$13,MATCH(HSC_Hydrofluoric_Acid!$T12,'Tables - Part 2'!$AV$6:$AV$13,0),MATCH(HSC_Hydrofluoric_Acid!$R12,'Tables - Part 2'!$AX$5:$BA$5,0))+(INDEX('Tables - Part 2'!$BB$6:$BE$13,MATCH(HSC_Hydrofluoric_Acid!$T12,'Tables - Part 2'!$AV$6:$AV$13,0),MATCH(HSC_Hydrofluoric_Acid!$R12,'Tables - Part 2'!$AX$5:$BA$5,0))+INDEX('Tables - Part 2'!$BF$6:$BI$13,MATCH(HSC_Hydrofluoric_Acid!$T12,'Tables - Part 2'!$AV$6:$AV$13,0),MATCH(HSC_Hydrofluoric_Acid!$R12,'Tables - Part 2'!$AX$5:$BA$5,0)))/2)/2)/2,0)</f>
        <v>0</v>
      </c>
      <c r="AJ12" s="248">
        <f>IF($Q12=$AJ$3,(INDEX('Tables - Part 2'!$BB$6:$BE$13,MATCH(HSC_Hydrofluoric_Acid!$T12,'Tables - Part 2'!$AV$6:$AV$13,0),MATCH(HSC_Hydrofluoric_Acid!$R12,'Tables - Part 2'!$AX$5:$BA$5,0))+(INDEX('Tables - Part 2'!$BB$6:$BE$13,MATCH(HSC_Hydrofluoric_Acid!$T12,'Tables - Part 2'!$AV$6:$AV$13,0),MATCH(HSC_Hydrofluoric_Acid!$R12,'Tables - Part 2'!$AX$5:$BA$5,0))+INDEX('Tables - Part 2'!$BF$6:$BI$13,MATCH(HSC_Hydrofluoric_Acid!$T12,'Tables - Part 2'!$AV$6:$AV$13,0),MATCH(HSC_Hydrofluoric_Acid!$R12,'Tables - Part 2'!$AX$5:$BA$5,0)))/2)/2,0)</f>
        <v>0</v>
      </c>
      <c r="AK12" s="248">
        <f>IF($Q12=$AK$3,(((INDEX('Tables - Part 2'!$BB$6:$BE$13,MATCH(HSC_Hydrofluoric_Acid!$T12,'Tables - Part 2'!$AV$6:$AV$13,0),MATCH(HSC_Hydrofluoric_Acid!$R12,'Tables - Part 2'!$AX$5:$BA$5,0))+(INDEX('Tables - Part 2'!$BB$6:$BE$13,MATCH(HSC_Hydrofluoric_Acid!$T12,'Tables - Part 2'!$AV$6:$AV$13,0),MATCH(HSC_Hydrofluoric_Acid!$R12,'Tables - Part 2'!$AX$5:$BA$5,0))+INDEX('Tables - Part 2'!$BF$6:$BI$13,MATCH(HSC_Hydrofluoric_Acid!$T12,'Tables - Part 2'!$AV$6:$AV$13,0),MATCH(HSC_Hydrofluoric_Acid!$R12,'Tables - Part 2'!$AX$5:$BA$5,0)))/2)/2)+((INDEX('Tables - Part 2'!$BB$6:$BE$13,MATCH(HSC_Hydrofluoric_Acid!$T12,'Tables - Part 2'!$AV$6:$AV$13,0),MATCH(HSC_Hydrofluoric_Acid!$R12,'Tables - Part 2'!$AX$5:$BA$5,0))+INDEX('Tables - Part 2'!$BF$6:$BI$13,MATCH(HSC_Hydrofluoric_Acid!$T12,'Tables - Part 2'!$AV$6:$AV$13,0),MATCH(HSC_Hydrofluoric_Acid!$R12,'Tables - Part 2'!$AX$5:$BA$5,0)))/2))/2,0)</f>
        <v>0</v>
      </c>
      <c r="AL12" s="248">
        <f>IF($Q12=$AL$3,(INDEX('Tables - Part 2'!$BB$6:$BE$13,MATCH(HSC_Hydrofluoric_Acid!$T12,'Tables - Part 2'!$AV$6:$AV$13,0),MATCH(HSC_Hydrofluoric_Acid!$R12,'Tables - Part 2'!$AX$5:$BA$5,0))+INDEX('Tables - Part 2'!$BF$6:$BI$13,MATCH(HSC_Hydrofluoric_Acid!$T12,'Tables - Part 2'!$AV$6:$AV$13,0),MATCH(HSC_Hydrofluoric_Acid!$R12,'Tables - Part 2'!$AX$5:$BA$5,0)))/2,0)</f>
        <v>1</v>
      </c>
      <c r="AM12" s="248">
        <f>IF($Q12=$AM$3,(((INDEX('Tables - Part 2'!$BB$6:$BE$13,MATCH(HSC_Hydrofluoric_Acid!$T12,'Tables - Part 2'!$AV$6:$AV$13,0),MATCH(HSC_Hydrofluoric_Acid!$R12,'Tables - Part 2'!$AX$5:$BA$5,0))+INDEX('Tables - Part 2'!$BF$6:$BI$13,MATCH(HSC_Hydrofluoric_Acid!$T12,'Tables - Part 2'!$AV$6:$AV$13,0),MATCH(HSC_Hydrofluoric_Acid!$R12,'Tables - Part 2'!$AX$5:$BA$5,0)))/2)+((((INDEX('Tables - Part 2'!$BB$6:$BE$13,MATCH(HSC_Hydrofluoric_Acid!$T12,'Tables - Part 2'!$AV$6:$AV$13,0),MATCH(HSC_Hydrofluoric_Acid!$R12,'Tables - Part 2'!$AX$5:$BA$5,0))+INDEX('Tables - Part 2'!$BF$6:$BI$13,MATCH(HSC_Hydrofluoric_Acid!$T12,'Tables - Part 2'!$AV$6:$AV$13,0),MATCH(HSC_Hydrofluoric_Acid!$R12,'Tables - Part 2'!$AX$5:$BA$5,0)))/2)+INDEX('Tables - Part 2'!$BF$6:$BI$13,MATCH(HSC_Hydrofluoric_Acid!$T12,'Tables - Part 2'!$AV$6:$AV$13,0),MATCH(HSC_Hydrofluoric_Acid!$R12,'Tables - Part 2'!$AX$5:$BA$5,0)))/2))/2,0)</f>
        <v>0</v>
      </c>
      <c r="AN12" s="248">
        <f>IF($Q12=$AN$3,(((INDEX('Tables - Part 2'!$BB$6:$BE$13,MATCH(HSC_Hydrofluoric_Acid!$T12,'Tables - Part 2'!$AV$6:$AV$13,0),MATCH(HSC_Hydrofluoric_Acid!$R12,'Tables - Part 2'!$AX$5:$BA$5,0))+INDEX('Tables - Part 2'!$BF$6:$BI$13,MATCH(HSC_Hydrofluoric_Acid!$T12,'Tables - Part 2'!$AV$6:$AV$13,0),MATCH(HSC_Hydrofluoric_Acid!$R12,'Tables - Part 2'!$AX$5:$BA$5,0)))/2)+INDEX('Tables - Part 2'!$BF$6:$BI$13,MATCH(HSC_Hydrofluoric_Acid!$T12,'Tables - Part 2'!$AV$6:$AV$13,0),MATCH(HSC_Hydrofluoric_Acid!$R12,'Tables - Part 2'!$AX$5:$BA$5,0)))/2,0)</f>
        <v>0</v>
      </c>
      <c r="AO12" s="248">
        <f>IF($Q12=$AO$3,(((((INDEX('Tables - Part 2'!$BB$6:$BE$13,MATCH(HSC_Hydrofluoric_Acid!$T12,'Tables - Part 2'!$AV$6:$AV$13,0),MATCH(HSC_Hydrofluoric_Acid!$R12,'Tables - Part 2'!$AX$5:$BA$5,0))+INDEX('Tables - Part 2'!$BF$6:$BI$13,MATCH(HSC_Hydrofluoric_Acid!$T12,'Tables - Part 2'!$AV$6:$AV$13,0),MATCH(HSC_Hydrofluoric_Acid!$R12,'Tables - Part 2'!$AX$5:$BA$5,0)))/2)+INDEX('Tables - Part 2'!$BF$6:$BI$13,MATCH(HSC_Hydrofluoric_Acid!$T12,'Tables - Part 2'!$AV$6:$AV$13,0),MATCH(HSC_Hydrofluoric_Acid!$R12,'Tables - Part 2'!$AX$5:$BA$5,0)))/2)+INDEX('Tables - Part 2'!$BF$6:$BI$13,MATCH(HSC_Hydrofluoric_Acid!$T12,'Tables - Part 2'!$AV$6:$AV$13,0),MATCH(HSC_Hydrofluoric_Acid!$R12,'Tables - Part 2'!$AX$5:$BA$5,0)))/2,0)</f>
        <v>0</v>
      </c>
      <c r="AP12" s="248">
        <f>IF($Q12=$AP$3,INDEX('Tables - Part 2'!$BF$6:$BI$13,MATCH(HSC_Hydrofluoric_Acid!$T12,'Tables - Part 2'!$AV$6:$AV$13,0),MATCH(HSC_Hydrofluoric_Acid!$R12,'Tables - Part 2'!$AX$5:$BA$5,0)),0)</f>
        <v>0</v>
      </c>
      <c r="AQ12" s="248">
        <f>IF($Q12=$AQ$3,(INDEX('Tables - Part 2'!$BF$6:$BI$13,MATCH(HSC_Hydrofluoric_Acid!$T12,'Tables - Part 2'!$AV$6:$AV$13,0),MATCH(HSC_Hydrofluoric_Acid!$R12,'Tables - Part 2'!$AX$5:$BA$5,0))+((INDEX('Tables - Part 2'!$BF$6:$BI$13,MATCH(HSC_Hydrofluoric_Acid!$T12,'Tables - Part 2'!$AV$6:$AV$13,0),MATCH(HSC_Hydrofluoric_Acid!$R12,'Tables - Part 2'!$AX$5:$BA$5,0))+(INDEX('Tables - Part 2'!$BF$6:$BI$13,MATCH(HSC_Hydrofluoric_Acid!$T12,'Tables - Part 2'!$AV$6:$AV$13,0),MATCH(HSC_Hydrofluoric_Acid!$R12,'Tables - Part 2'!$AX$5:$BA$5,0))+INDEX('Tables - Part 2'!$AX$17:$BA$24,MATCH(HSC_Hydrofluoric_Acid!$T12,'Tables - Part 2'!$AV$6:$AV$13,0),MATCH(HSC_Hydrofluoric_Acid!$R12,'Tables - Part 2'!$AX$5:$BA$5,0)))/2)/2))/2,0)</f>
        <v>0</v>
      </c>
      <c r="AR12" s="248">
        <f>IF($Q12=$AR$3,(INDEX('Tables - Part 2'!$BF$6:$BI$13,MATCH(HSC_Hydrofluoric_Acid!$T12,'Tables - Part 2'!$AV$6:$AV$13,0),MATCH(HSC_Hydrofluoric_Acid!$R12,'Tables - Part 2'!$AX$5:$BA$5,0))+(INDEX('Tables - Part 2'!$BF$6:$BI$13,MATCH(HSC_Hydrofluoric_Acid!$T12,'Tables - Part 2'!$AV$6:$AV$13,0),MATCH(HSC_Hydrofluoric_Acid!$R12,'Tables - Part 2'!$AX$5:$BA$5,0))+INDEX('Tables - Part 2'!$AX$17:$BA$24,MATCH(HSC_Hydrofluoric_Acid!$T12,'Tables - Part 2'!$AV$6:$AV$13,0),MATCH(HSC_Hydrofluoric_Acid!$R12,'Tables - Part 2'!$AX$5:$BA$5,0)))/2)/2,0)</f>
        <v>0</v>
      </c>
      <c r="AS12" s="248">
        <f>IF($Q12=$AS$3,(((INDEX('Tables - Part 2'!$BF$6:$BI$13,MATCH(HSC_Hydrofluoric_Acid!$T12,'Tables - Part 2'!$AV$6:$AV$13,0),MATCH(HSC_Hydrofluoric_Acid!$R12,'Tables - Part 2'!$AX$5:$BA$5,0))+(INDEX('Tables - Part 2'!$BF$6:$BI$13,MATCH(HSC_Hydrofluoric_Acid!$T12,'Tables - Part 2'!$AV$6:$AV$13,0),MATCH(HSC_Hydrofluoric_Acid!$R12,'Tables - Part 2'!$AX$5:$BA$5,0))+INDEX('Tables - Part 2'!$AX$17:$BA$24,MATCH(HSC_Hydrofluoric_Acid!$T12,'Tables - Part 2'!$AV$6:$AV$13,0),MATCH(HSC_Hydrofluoric_Acid!$R12,'Tables - Part 2'!$AX$5:$BA$5,0)))/2)/2)+((INDEX('Tables - Part 2'!$BF$6:$BI$13,MATCH(HSC_Hydrofluoric_Acid!$T12,'Tables - Part 2'!$AV$6:$AV$13,0),MATCH(HSC_Hydrofluoric_Acid!$R12,'Tables - Part 2'!$AX$5:$BA$5,0))+INDEX('Tables - Part 2'!$AX$17:$BA$24,MATCH(HSC_Hydrofluoric_Acid!$T12,'Tables - Part 2'!$AV$6:$AV$13,0),MATCH(HSC_Hydrofluoric_Acid!$R12,'Tables - Part 2'!$AX$5:$BA$5,0)))/2))/2,0)</f>
        <v>0</v>
      </c>
      <c r="AT12" s="248">
        <f>IF($Q12=$AT$3,(INDEX('Tables - Part 2'!$BF$6:$BI$13,MATCH(HSC_Hydrofluoric_Acid!$T12,'Tables - Part 2'!$AV$6:$AV$13,0),MATCH(HSC_Hydrofluoric_Acid!$R12,'Tables - Part 2'!$AX$5:$BA$5,0))+INDEX('Tables - Part 2'!$AX$17:$BA$24,MATCH(HSC_Hydrofluoric_Acid!$T12,'Tables - Part 2'!$AV$6:$AV$13,0),MATCH(HSC_Hydrofluoric_Acid!$R12,'Tables - Part 2'!$AX$5:$BA$5,0)))/2,0)</f>
        <v>0</v>
      </c>
      <c r="AU12" s="248">
        <f>IF($Q12=$AU$3,(((INDEX('Tables - Part 2'!$BF$6:$BI$13,MATCH(HSC_Hydrofluoric_Acid!$T12,'Tables - Part 2'!$AV$6:$AV$13,0),MATCH(HSC_Hydrofluoric_Acid!$R12,'Tables - Part 2'!$AX$5:$BA$5,0))+INDEX('Tables - Part 2'!$AX$17:$BA$24,MATCH(HSC_Hydrofluoric_Acid!$T12,'Tables - Part 2'!$AV$6:$AV$13,0),MATCH(HSC_Hydrofluoric_Acid!$R12,'Tables - Part 2'!$AX$5:$BA$5,0)))/2)+((((INDEX('Tables - Part 2'!$BF$6:$BI$13,MATCH(HSC_Hydrofluoric_Acid!$T12,'Tables - Part 2'!$AV$6:$AV$13,0),MATCH(HSC_Hydrofluoric_Acid!$R12,'Tables - Part 2'!$AX$5:$BA$5,0))+INDEX('Tables - Part 2'!$AX$17:$BA$24,MATCH(HSC_Hydrofluoric_Acid!$T12,'Tables - Part 2'!$AV$6:$AV$13,0),MATCH(HSC_Hydrofluoric_Acid!$R12,'Tables - Part 2'!$AX$5:$BA$5,0)))/2)+INDEX('Tables - Part 2'!$AX$17:$BA$24,MATCH(HSC_Hydrofluoric_Acid!$T12,'Tables - Part 2'!$AV$6:$AV$13,0),MATCH(HSC_Hydrofluoric_Acid!$R12,'Tables - Part 2'!$AX$5:$BA$5,0)))/2))/2,0)</f>
        <v>0</v>
      </c>
      <c r="AV12" s="248">
        <f>IF($Q12=$AV$3,(((INDEX('Tables - Part 2'!$BF$6:$BI$13,MATCH(HSC_Hydrofluoric_Acid!$T12,'Tables - Part 2'!$AV$6:$AV$13,0),MATCH(HSC_Hydrofluoric_Acid!$R12,'Tables - Part 2'!$AX$5:$BA$5,0))+INDEX('Tables - Part 2'!$AX$17:$BA$24,MATCH(HSC_Hydrofluoric_Acid!$T12,'Tables - Part 2'!$AV$6:$AV$13,0),MATCH(HSC_Hydrofluoric_Acid!$R12,'Tables - Part 2'!$AX$5:$BA$5,0)))/2)+INDEX('Tables - Part 2'!$AX$17:$BA$24,MATCH(HSC_Hydrofluoric_Acid!$T12,'Tables - Part 2'!$AV$6:$AV$13,0),MATCH(HSC_Hydrofluoric_Acid!$R12,'Tables - Part 2'!$AX$5:$BA$5,0)))/2,0)</f>
        <v>0</v>
      </c>
      <c r="AW12" s="248">
        <f>IF($Q12=$AW$3,(((((INDEX('Tables - Part 2'!$BF$6:$BI$13,MATCH(HSC_Hydrofluoric_Acid!$T12,'Tables - Part 2'!$AV$6:$AV$13,0),MATCH(HSC_Hydrofluoric_Acid!$R12,'Tables - Part 2'!$AX$5:$BA$5,0))+INDEX('Tables - Part 2'!$AX$17:$BA$24,MATCH(HSC_Hydrofluoric_Acid!$T12,'Tables - Part 2'!$AV$6:$AV$13,0),MATCH(HSC_Hydrofluoric_Acid!$R12,'Tables - Part 2'!$AX$5:$BA$5,0)))/2)+INDEX('Tables - Part 2'!$AX$17:$BA$24,MATCH(HSC_Hydrofluoric_Acid!$T12,'Tables - Part 2'!$AV$6:$AV$13,0),MATCH(HSC_Hydrofluoric_Acid!$R12,'Tables - Part 2'!$AX$5:$BA$5,0)))/2)+(INDEX('Tables - Part 2'!$AX$17:$BA$24,MATCH(HSC_Hydrofluoric_Acid!$T12,'Tables - Part 2'!$AV$6:$AV$13,0),MATCH(HSC_Hydrofluoric_Acid!$R12,'Tables - Part 2'!$AX$5:$BA$5,0))))/2,0)</f>
        <v>0</v>
      </c>
      <c r="AX12" s="248">
        <f>IF($Q12=$AX$3,INDEX('Tables - Part 2'!$AX$17:$BA$24,MATCH(HSC_Hydrofluoric_Acid!$T12,'Tables - Part 2'!$AV$6:$AV$13,0),MATCH(HSC_Hydrofluoric_Acid!$R12,'Tables - Part 2'!$AX$5:$BA$5,0)),0)</f>
        <v>0</v>
      </c>
      <c r="AY12" s="248">
        <f>IF($Q12=$AY$3,((INDEX('Tables - Part 2'!$AX$17:$BA$24,MATCH(HSC_Hydrofluoric_Acid!$T12,'Tables - Part 2'!$AV$6:$AV$13,0),MATCH(HSC_Hydrofluoric_Acid!$R12,'Tables - Part 2'!$AX$5:$BA$5,0)))+(((INDEX('Tables - Part 2'!$AX$17:$BA$24,MATCH(HSC_Hydrofluoric_Acid!$T12,'Tables - Part 2'!$AV$6:$AV$13,0),MATCH(HSC_Hydrofluoric_Acid!$R12,'Tables - Part 2'!$AX$5:$BA$5,0)))+(INDEX('Tables - Part 2'!$AX$17:$BA$24,MATCH(HSC_Hydrofluoric_Acid!$T12,'Tables - Part 2'!$AV$6:$AV$13,0),MATCH(HSC_Hydrofluoric_Acid!$R12,'Tables - Part 2'!$AX$5:$BA$5,0))+INDEX('Tables - Part 2'!$BB$17:$BE$24,MATCH(HSC_Hydrofluoric_Acid!$T12,'Tables - Part 2'!$AV$6:$AV$13,0),MATCH(HSC_Hydrofluoric_Acid!$R12,'Tables - Part 2'!$AX$5:$BA$5,0)))/2)/2))/2,0)</f>
        <v>0</v>
      </c>
      <c r="AZ12" s="248">
        <f>IF($Q12=$AZ$3,((INDEX('Tables - Part 2'!$AX$17:$BA$24,MATCH(HSC_Hydrofluoric_Acid!$T12,'Tables - Part 2'!$AV$6:$AV$13,0),MATCH(HSC_Hydrofluoric_Acid!$R12,'Tables - Part 2'!$AX$5:$BA$5,0)))+(INDEX('Tables - Part 2'!$AX$17:$BA$24,MATCH(HSC_Hydrofluoric_Acid!$T12,'Tables - Part 2'!$AV$6:$AV$13,0),MATCH(HSC_Hydrofluoric_Acid!$R12,'Tables - Part 2'!$AX$5:$BA$5,0))+INDEX('Tables - Part 2'!$BB$17:$BE$24,MATCH(HSC_Hydrofluoric_Acid!$T12,'Tables - Part 2'!$AV$6:$AV$13,0),MATCH(HSC_Hydrofluoric_Acid!$R12,'Tables - Part 2'!$AX$5:$BA$5,0)))/2)/2,0)</f>
        <v>0</v>
      </c>
      <c r="BA12" s="248">
        <f>IF($Q12=$BA$3,((((INDEX('Tables - Part 2'!$AX$17:$BA$24,MATCH(HSC_Hydrofluoric_Acid!$T12,'Tables - Part 2'!$AV$6:$AV$13,0),MATCH(HSC_Hydrofluoric_Acid!$R12,'Tables - Part 2'!$AX$5:$BA$5,0)))+(INDEX('Tables - Part 2'!$AX$17:$BA$24,MATCH(HSC_Hydrofluoric_Acid!$T12,'Tables - Part 2'!$AV$6:$AV$13,0),MATCH(HSC_Hydrofluoric_Acid!$R12,'Tables - Part 2'!$AX$5:$BA$5,0))+INDEX('Tables - Part 2'!$BB$17:$BE$24,MATCH(HSC_Hydrofluoric_Acid!$T12,'Tables - Part 2'!$AV$6:$AV$13,0),MATCH(HSC_Hydrofluoric_Acid!$R12,'Tables - Part 2'!$AX$5:$BA$5,0)))/2)/2)+((INDEX('Tables - Part 2'!$AX$17:$BA$24,MATCH(HSC_Hydrofluoric_Acid!$T12,'Tables - Part 2'!$AV$6:$AV$13,0),MATCH(HSC_Hydrofluoric_Acid!$R12,'Tables - Part 2'!$AX$5:$BA$5,0))+INDEX('Tables - Part 2'!$BB$17:$BE$24,MATCH(HSC_Hydrofluoric_Acid!$T12,'Tables - Part 2'!$AV$6:$AV$13,0),MATCH(HSC_Hydrofluoric_Acid!$R12,'Tables - Part 2'!$AX$5:$BA$5,0)))/2))/2,0)</f>
        <v>0</v>
      </c>
      <c r="BB12" s="248">
        <f>IF($Q12=$BB$3,(INDEX('Tables - Part 2'!$AX$17:$BA$24,MATCH(HSC_Hydrofluoric_Acid!$T12,'Tables - Part 2'!$AV$6:$AV$13,0),MATCH(HSC_Hydrofluoric_Acid!$R12,'Tables - Part 2'!$AX$5:$BA$5,0))+INDEX('Tables - Part 2'!$BB$17:$BE$24,MATCH(HSC_Hydrofluoric_Acid!$T12,'Tables - Part 2'!$AV$6:$AV$13,0),MATCH(HSC_Hydrofluoric_Acid!$R12,'Tables - Part 2'!$AX$5:$BA$5,0)))/2,0)</f>
        <v>0</v>
      </c>
      <c r="BC12" s="248">
        <f>IF($Q12=$BC$3,(((INDEX('Tables - Part 2'!$AX$17:$BA$24,MATCH(HSC_Hydrofluoric_Acid!$T12,'Tables - Part 2'!$AV$6:$AV$13,0),MATCH(HSC_Hydrofluoric_Acid!$R12,'Tables - Part 2'!$AX$5:$BA$5,0))+INDEX('Tables - Part 2'!$BB$17:$BE$24,MATCH(HSC_Hydrofluoric_Acid!$T12,'Tables - Part 2'!$AV$6:$AV$13,0),MATCH(HSC_Hydrofluoric_Acid!$R12,'Tables - Part 2'!$AX$5:$BA$5,0)))/2)+((((INDEX('Tables - Part 2'!$AX$17:$BA$24,MATCH(HSC_Hydrofluoric_Acid!$T12,'Tables - Part 2'!$AV$6:$AV$13,0),MATCH(HSC_Hydrofluoric_Acid!$R12,'Tables - Part 2'!$AX$5:$BA$5,0))+INDEX('Tables - Part 2'!$BB$17:$BE$24,MATCH(HSC_Hydrofluoric_Acid!$T12,'Tables - Part 2'!$AV$6:$AV$13,0),MATCH(HSC_Hydrofluoric_Acid!$R12,'Tables - Part 2'!$AX$5:$BA$5,0)))/2)+INDEX('Tables - Part 2'!$BB$17:$BE$24,MATCH(HSC_Hydrofluoric_Acid!$T12,'Tables - Part 2'!$AV$6:$AV$13,0),MATCH(HSC_Hydrofluoric_Acid!$R12,'Tables - Part 2'!$AX$5:$BA$5,0)))/2))/2,0)</f>
        <v>0</v>
      </c>
      <c r="BD12" s="248">
        <f>IF($Q12=$BD$3,(((INDEX('Tables - Part 2'!$AX$17:$BA$24,MATCH(HSC_Hydrofluoric_Acid!$T12,'Tables - Part 2'!$AV$6:$AV$13,0),MATCH(HSC_Hydrofluoric_Acid!$R12,'Tables - Part 2'!$AX$5:$BA$5,0))+INDEX('Tables - Part 2'!$BB$17:$BE$24,MATCH(HSC_Hydrofluoric_Acid!$T12,'Tables - Part 2'!$AV$6:$AV$13,0),MATCH(HSC_Hydrofluoric_Acid!$R12,'Tables - Part 2'!$AX$5:$BA$5,0)))/2)+INDEX('Tables - Part 2'!$BB$17:$BE$24,MATCH(HSC_Hydrofluoric_Acid!$T12,'Tables - Part 2'!$AV$6:$AV$13,0),MATCH(HSC_Hydrofluoric_Acid!$R12,'Tables - Part 2'!$AX$5:$BA$5,0)))/2,0)</f>
        <v>0</v>
      </c>
      <c r="BE12" s="248">
        <f>IF($Q12=$BE$3,(((((INDEX('Tables - Part 2'!$AX$17:$BA$24,MATCH(HSC_Hydrofluoric_Acid!$T12,'Tables - Part 2'!$AV$6:$AV$13,0),MATCH(HSC_Hydrofluoric_Acid!$R12,'Tables - Part 2'!$AX$5:$BA$5,0))+INDEX('Tables - Part 2'!$BB$17:$BE$24,MATCH(HSC_Hydrofluoric_Acid!$T12,'Tables - Part 2'!$AV$6:$AV$13,0),MATCH(HSC_Hydrofluoric_Acid!$R12,'Tables - Part 2'!$AX$5:$BA$5,0)))/2)+INDEX('Tables - Part 2'!$BB$17:$BE$24,MATCH(HSC_Hydrofluoric_Acid!$T12,'Tables - Part 2'!$AV$6:$AV$13,0),MATCH(HSC_Hydrofluoric_Acid!$R12,'Tables - Part 2'!$AX$5:$BA$5,0)))/2)+(INDEX('Tables - Part 2'!$BB$17:$BE$24,MATCH(HSC_Hydrofluoric_Acid!$T12,'Tables - Part 2'!$AV$6:$AV$13,0),MATCH(HSC_Hydrofluoric_Acid!$R12,'Tables - Part 2'!$AX$5:$BA$5,0))))/2,0)</f>
        <v>0</v>
      </c>
      <c r="BF12" s="248">
        <f>IF($Q12=$BF$3,INDEX('Tables - Part 2'!$BB$17:$BE$24,MATCH(HSC_Hydrofluoric_Acid!$T12,'Tables - Part 2'!$AV$6:$AV$13,0),MATCH(HSC_Hydrofluoric_Acid!$R12,'Tables - Part 2'!$AX$5:$BA$5,0)),0)</f>
        <v>0</v>
      </c>
      <c r="BG12" s="248">
        <f>IF($Q12=$BG$3,((INDEX('Tables - Part 2'!$BB$17:$BE$24,MATCH(HSC_Hydrofluoric_Acid!$T12,'Tables - Part 2'!$AV$6:$AV$13,0),MATCH(HSC_Hydrofluoric_Acid!$R12,'Tables - Part 2'!$AX$5:$BA$5,0)))+(((INDEX('Tables - Part 2'!$BB$17:$BE$24,MATCH(HSC_Hydrofluoric_Acid!$T12,'Tables - Part 2'!$AV$6:$AV$13,0),MATCH(HSC_Hydrofluoric_Acid!$R12,'Tables - Part 2'!$AX$5:$BA$5,0)))+(INDEX('Tables - Part 2'!$BB$17:$BE$24,MATCH(HSC_Hydrofluoric_Acid!$T12,'Tables - Part 2'!$AV$6:$AV$13,0),MATCH(HSC_Hydrofluoric_Acid!$R12,'Tables - Part 2'!$AX$5:$BA$5,0))+INDEX('Tables - Part 2'!$BF$17:$BI$24,MATCH(HSC_Hydrofluoric_Acid!$T12,'Tables - Part 2'!$AV$6:$AV$13,0),MATCH(HSC_Hydrofluoric_Acid!$R12,'Tables - Part 2'!$AX$5:$BA$5,0)))/2)/2))/2,0)</f>
        <v>0</v>
      </c>
      <c r="BH12" s="248">
        <f>IF($Q12=$BH$3,((INDEX('Tables - Part 2'!$BB$17:$BE$24,MATCH(HSC_Hydrofluoric_Acid!$T12,'Tables - Part 2'!$AV$6:$AV$13,0),MATCH(HSC_Hydrofluoric_Acid!$R12,'Tables - Part 2'!$AX$5:$BA$5,0)))+(INDEX('Tables - Part 2'!$BB$17:$BE$24,MATCH(HSC_Hydrofluoric_Acid!$T12,'Tables - Part 2'!$AV$6:$AV$13,0),MATCH(HSC_Hydrofluoric_Acid!$R12,'Tables - Part 2'!$AX$5:$BA$5,0))+INDEX('Tables - Part 2'!$BF$17:$BI$24,MATCH(HSC_Hydrofluoric_Acid!$T12,'Tables - Part 2'!$AV$6:$AV$13,0),MATCH(HSC_Hydrofluoric_Acid!$R12,'Tables - Part 2'!$AX$5:$BA$5,0)))/2)/2,0)</f>
        <v>0</v>
      </c>
      <c r="BI12" s="248">
        <f>IF($Q12=$BI$3,((((INDEX('Tables - Part 2'!$BB$17:$BE$24,MATCH(HSC_Hydrofluoric_Acid!$T12,'Tables - Part 2'!$AV$6:$AV$13,0),MATCH(HSC_Hydrofluoric_Acid!$R12,'Tables - Part 2'!$AX$5:$BA$5,0)))+(INDEX('Tables - Part 2'!$BB$17:$BE$24,MATCH(HSC_Hydrofluoric_Acid!$T12,'Tables - Part 2'!$AV$6:$AV$13,0),MATCH(HSC_Hydrofluoric_Acid!$R12,'Tables - Part 2'!$AX$5:$BA$5,0))+INDEX('Tables - Part 2'!$BF$17:$BI$24,MATCH(HSC_Hydrofluoric_Acid!$T12,'Tables - Part 2'!$AV$6:$AV$13,0),MATCH(HSC_Hydrofluoric_Acid!$R12,'Tables - Part 2'!$AX$5:$BA$5,0)))/2)/2)+((INDEX('Tables - Part 2'!$BB$17:$BE$24,MATCH(HSC_Hydrofluoric_Acid!$T12,'Tables - Part 2'!$AV$6:$AV$13,0),MATCH(HSC_Hydrofluoric_Acid!$R12,'Tables - Part 2'!$AX$5:$BA$5,0))+INDEX('Tables - Part 2'!$BF$17:$BI$24,MATCH(HSC_Hydrofluoric_Acid!$T12,'Tables - Part 2'!$AV$6:$AV$13,0),MATCH(HSC_Hydrofluoric_Acid!$R12,'Tables - Part 2'!$AX$5:$BA$5,0)))/2))/2,0)</f>
        <v>0</v>
      </c>
      <c r="BJ12" s="248">
        <f>IF($Q12=$BJ$3,(INDEX('Tables - Part 2'!$BB$17:$BE$24,MATCH(HSC_Hydrofluoric_Acid!$T12,'Tables - Part 2'!$AV$6:$AV$13,0),MATCH(HSC_Hydrofluoric_Acid!$R12,'Tables - Part 2'!$AX$5:$BA$5,0))+INDEX('Tables - Part 2'!$BF$17:$BI$24,MATCH(HSC_Hydrofluoric_Acid!$T12,'Tables - Part 2'!$AV$6:$AV$13,0),MATCH(HSC_Hydrofluoric_Acid!$R12,'Tables - Part 2'!$AX$5:$BA$5,0)))/2,0)</f>
        <v>0</v>
      </c>
      <c r="BK12" s="248">
        <f>IF($Q12=$BK$3,(((INDEX('Tables - Part 2'!$BB$17:$BE$24,MATCH(HSC_Hydrofluoric_Acid!$T12,'Tables - Part 2'!$AV$6:$AV$13,0),MATCH(HSC_Hydrofluoric_Acid!$R12,'Tables - Part 2'!$AX$5:$BA$5,0))+INDEX('Tables - Part 2'!$BF$17:$BI$24,MATCH(HSC_Hydrofluoric_Acid!$T12,'Tables - Part 2'!$AV$6:$AV$13,0),MATCH(HSC_Hydrofluoric_Acid!$R12,'Tables - Part 2'!$AX$5:$BA$5,0)))/2)+((((INDEX('Tables - Part 2'!$BB$17:$BE$24,MATCH(HSC_Hydrofluoric_Acid!$T12,'Tables - Part 2'!$AV$6:$AV$13,0),MATCH(HSC_Hydrofluoric_Acid!$R12,'Tables - Part 2'!$AX$5:$BA$5,0))+INDEX('Tables - Part 2'!$BF$17:$BI$24,MATCH(HSC_Hydrofluoric_Acid!$T12,'Tables - Part 2'!$AV$6:$AV$13,0),MATCH(HSC_Hydrofluoric_Acid!$R12,'Tables - Part 2'!$AX$5:$BA$5,0)))/2)+INDEX('Tables - Part 2'!$BF$17:$BI$24,MATCH(HSC_Hydrofluoric_Acid!$T12,'Tables - Part 2'!$AV$6:$AV$13,0),MATCH(HSC_Hydrofluoric_Acid!$R12,'Tables - Part 2'!$AX$5:$BA$5,0)))/2))/2,0)</f>
        <v>0</v>
      </c>
      <c r="BL12" s="248">
        <f>IF($Q12=$BL$3,(((INDEX('Tables - Part 2'!$BB$17:$BE$24,MATCH(HSC_Hydrofluoric_Acid!$T12,'Tables - Part 2'!$AV$6:$AV$13,0),MATCH(HSC_Hydrofluoric_Acid!$R12,'Tables - Part 2'!$AX$5:$BA$5,0))+INDEX('Tables - Part 2'!$BF$17:$BI$24,MATCH(HSC_Hydrofluoric_Acid!$T12,'Tables - Part 2'!$AV$6:$AV$13,0),MATCH(HSC_Hydrofluoric_Acid!$R12,'Tables - Part 2'!$AX$5:$BA$5,0)))/2)+INDEX('Tables - Part 2'!$BF$17:$BI$24,MATCH(HSC_Hydrofluoric_Acid!$T12,'Tables - Part 2'!$AV$6:$AV$13,0),MATCH(HSC_Hydrofluoric_Acid!$R12,'Tables - Part 2'!$AX$5:$BA$5,0)))/2,0)</f>
        <v>0</v>
      </c>
      <c r="BM12" s="248">
        <f>IF($Q12=$BM$3,(((((INDEX('Tables - Part 2'!$BB$17:$BE$24,MATCH(HSC_Hydrofluoric_Acid!$T12,'Tables - Part 2'!$AV$6:$AV$13,0),MATCH(HSC_Hydrofluoric_Acid!$R12,'Tables - Part 2'!$AX$5:$BA$5,0))+INDEX('Tables - Part 2'!$BF$17:$BI$24,MATCH(HSC_Hydrofluoric_Acid!$T12,'Tables - Part 2'!$AV$6:$AV$13,0),MATCH(HSC_Hydrofluoric_Acid!$R12,'Tables - Part 2'!$AX$5:$BA$5,0)))/2)+INDEX('Tables - Part 2'!$BF$17:$BI$24,MATCH(HSC_Hydrofluoric_Acid!$T12,'Tables - Part 2'!$AV$6:$AV$13,0),MATCH(HSC_Hydrofluoric_Acid!$R12,'Tables - Part 2'!$AX$5:$BA$5,0)))/2)+(INDEX('Tables - Part 2'!$BF$17:$BI$24,MATCH(HSC_Hydrofluoric_Acid!$T12,'Tables - Part 2'!$AV$6:$AV$13,0),MATCH(HSC_Hydrofluoric_Acid!$R12,'Tables - Part 2'!$AX$5:$BA$5,0))))/2,0)</f>
        <v>0</v>
      </c>
      <c r="BN12" s="248">
        <f>IF($Q12=$BN$3,INDEX('Tables - Part 2'!$BF$17:$BI$24,MATCH(HSC_Hydrofluoric_Acid!$T12,'Tables - Part 2'!$AV$6:$AV$13,0),MATCH(HSC_Hydrofluoric_Acid!$R12,'Tables - Part 2'!$AX$5:$BA$5,0)),0)</f>
        <v>0</v>
      </c>
      <c r="BO12" s="248">
        <f t="shared" si="6"/>
        <v>0</v>
      </c>
      <c r="BP12" s="238">
        <f t="shared" si="8"/>
        <v>1</v>
      </c>
      <c r="BQ12" s="238">
        <f t="shared" si="7"/>
        <v>16.77288246840839</v>
      </c>
    </row>
    <row r="13" spans="2:82" x14ac:dyDescent="0.35">
      <c r="B13" s="161" t="str">
        <f>'Tratamento de Dados'!B21</f>
        <v>V-4</v>
      </c>
      <c r="C13" s="161" t="str">
        <f>'Tratamento de Dados'!D21</f>
        <v>Casco</v>
      </c>
      <c r="D13" s="209" t="s">
        <v>245</v>
      </c>
      <c r="E13" s="209" t="s">
        <v>61</v>
      </c>
      <c r="F13" s="209" t="s">
        <v>244</v>
      </c>
      <c r="G13" s="209" t="s">
        <v>244</v>
      </c>
      <c r="H13" s="209" t="s">
        <v>1112</v>
      </c>
      <c r="I13" s="209" t="s">
        <v>245</v>
      </c>
      <c r="J13" s="210">
        <v>39092</v>
      </c>
      <c r="K13" s="209">
        <v>0</v>
      </c>
      <c r="L13" s="209">
        <v>1</v>
      </c>
      <c r="M13" s="209">
        <v>1</v>
      </c>
      <c r="N13" s="209">
        <v>4</v>
      </c>
      <c r="O13" s="253">
        <f>'Tratamento de Dados'!DA21</f>
        <v>0</v>
      </c>
      <c r="P13" s="253">
        <f>'Tratamento de Dados'!DB21</f>
        <v>0</v>
      </c>
      <c r="Q13" s="256">
        <f t="shared" si="0"/>
        <v>2.5</v>
      </c>
      <c r="R13" s="246" t="str">
        <f t="shared" si="1"/>
        <v>B</v>
      </c>
      <c r="S13" s="238" t="str" cm="1">
        <f t="array" ref="S13">IF(D13=$BV$2,$BT$4,IF(OR(F13=$BV$3,G13=$BV$3),$BT$5,INDEX(IF(I13=$BV$2,'Tables - Part 2'!$EA$5:$EC$5,'Tables - Part 2'!$DX$5:$DZ$5),,MATCH(HSC_Hydrofluoric_Acid!H13,'Tables - Part 2'!$DX$4:$DZ$4,0))))</f>
        <v>Low</v>
      </c>
      <c r="T13" s="238">
        <f>IF(AND(D13=$BV$2,E13&lt;&gt;$BV$2),"Fitness-For-Service",INDEX('Tables - Part 2'!$EF$4:$EF$7,MATCH(HSC_Hydrofluoric_Acid!S13,'Tables - Part 2'!$EE$4:$EE$7,0),))</f>
        <v>1</v>
      </c>
      <c r="U13" s="238">
        <f>IF(J13=0,(Thinning!G14-Thinning!F14)/365.25,(Thinning!G14-J13)/365.25)</f>
        <v>12.980150581793293</v>
      </c>
      <c r="V13" s="248">
        <f t="shared" si="2"/>
        <v>0</v>
      </c>
      <c r="W13" s="248">
        <f t="shared" si="3"/>
        <v>2.5</v>
      </c>
      <c r="X13" s="248">
        <f t="shared" si="4"/>
        <v>3</v>
      </c>
      <c r="Y13" s="247">
        <f t="shared" si="5"/>
        <v>4</v>
      </c>
      <c r="Z13" s="248">
        <f>IF($Q13=$Z$3,INDEX('Tables - Part 2'!$AX$6:$BA$13,MATCH(HSC_Hydrofluoric_Acid!T13,'Tables - Part 2'!$AV$6:$AV$13,0),MATCH(HSC_Hydrofluoric_Acid!R13,'Tables - Part 2'!$AX$5:$BA$5,0)),0)</f>
        <v>0</v>
      </c>
      <c r="AA13" s="248">
        <f>IF($Q13=$AA$3,(INDEX('Tables - Part 2'!$AX$6:$BA$13,MATCH(HSC_Hydrofluoric_Acid!T13,'Tables - Part 2'!$AV$6:$AV$13,0),MATCH(HSC_Hydrofluoric_Acid!R13,'Tables - Part 2'!$AX$5:$BA$5,0))+(INDEX('Tables - Part 2'!$AX$6:$BA$13,MATCH(HSC_Hydrofluoric_Acid!T13,'Tables - Part 2'!$AV$6:$AV$13,0),MATCH(HSC_Hydrofluoric_Acid!R13,'Tables - Part 2'!$AX$5:$BA$5,0))+((INDEX('Tables - Part 2'!$AX$6:$BA$13,MATCH(HSC_Hydrofluoric_Acid!T13,'Tables - Part 2'!$AV$6:$AV$13,0),MATCH(HSC_Hydrofluoric_Acid!R13,'Tables - Part 2'!$AX$5:$BA$5,0))+INDEX('Tables - Part 2'!$BB$6:$BE$13,MATCH(HSC_Hydrofluoric_Acid!$T13,'Tables - Part 2'!$AV$6:$AV$13,0),MATCH(HSC_Hydrofluoric_Acid!$R13,'Tables - Part 2'!$AX$5:$BA$5,0)))/2))/2)/2,0)</f>
        <v>0</v>
      </c>
      <c r="AB13" s="248">
        <f>IF($Q13=$AB$3,(INDEX('Tables - Part 2'!$AX$6:$BA$13,MATCH(HSC_Hydrofluoric_Acid!T13,'Tables - Part 2'!$AV$6:$AV$13,0),MATCH(HSC_Hydrofluoric_Acid!R13,'Tables - Part 2'!$AX$5:$BA$5,0))+((INDEX('Tables - Part 2'!$AX$6:$BA$13,MATCH(HSC_Hydrofluoric_Acid!T13,'Tables - Part 2'!$AV$6:$AV$13,0),MATCH(HSC_Hydrofluoric_Acid!R13,'Tables - Part 2'!$AX$5:$BA$5,0))+INDEX('Tables - Part 2'!$BB$6:$BE$13,MATCH(HSC_Hydrofluoric_Acid!$T13,'Tables - Part 2'!$AV$6:$AV$13,0),MATCH(HSC_Hydrofluoric_Acid!$R13,'Tables - Part 2'!$AX$5:$BA$5,0)))/2))/2,0)</f>
        <v>0</v>
      </c>
      <c r="AC13" s="248">
        <f>IF($Q13=$AC$3,(((INDEX('Tables - Part 2'!$AX$6:$BA$13,MATCH(HSC_Hydrofluoric_Acid!T13,'Tables - Part 2'!$AV$6:$AV$13,0),MATCH(HSC_Hydrofluoric_Acid!R13,'Tables - Part 2'!$AX$5:$BA$5,0))+((INDEX('Tables - Part 2'!$AX$6:$BA$13,MATCH(HSC_Hydrofluoric_Acid!T13,'Tables - Part 2'!$AV$6:$AV$13,0),MATCH(HSC_Hydrofluoric_Acid!R13,'Tables - Part 2'!$AX$5:$BA$5,0))+INDEX('Tables - Part 2'!$BB$6:$BE$13,MATCH(HSC_Hydrofluoric_Acid!$T13,'Tables - Part 2'!$AV$6:$AV$13,0),MATCH(HSC_Hydrofluoric_Acid!$R13,'Tables - Part 2'!$AX$5:$BA$5,0)))/2))/2)+(INDEX('Tables - Part 2'!$AX$6:$BA$13,MATCH(HSC_Hydrofluoric_Acid!T13,'Tables - Part 2'!$AV$6:$AV$13,0),MATCH(HSC_Hydrofluoric_Acid!R13,'Tables - Part 2'!$AX$5:$BA$5,0))+INDEX('Tables - Part 2'!$BB$6:$BE$13,MATCH(HSC_Hydrofluoric_Acid!$T13,'Tables - Part 2'!$AV$6:$AV$13,0),MATCH(HSC_Hydrofluoric_Acid!$R13,'Tables - Part 2'!$AX$5:$BA$5,0)))/2)/2,0)</f>
        <v>0</v>
      </c>
      <c r="AD13" s="248">
        <f>IF($Q13=$AD$3,(INDEX('Tables - Part 2'!$AX$6:$BA$13,MATCH(HSC_Hydrofluoric_Acid!T13,'Tables - Part 2'!$AV$6:$AV$13,0),MATCH(HSC_Hydrofluoric_Acid!R13,'Tables - Part 2'!$AX$5:$BA$5,0))+INDEX('Tables - Part 2'!$BB$6:$BE$13,MATCH(HSC_Hydrofluoric_Acid!$T13,'Tables - Part 2'!$AV$6:$AV$13,0),MATCH(HSC_Hydrofluoric_Acid!$R13,'Tables - Part 2'!$AX$5:$BA$5,0)))/2,0)</f>
        <v>0</v>
      </c>
      <c r="AE13" s="248">
        <f>IF($Q13=$AE$3,(((INDEX('Tables - Part 2'!$AX$6:$BA$13,MATCH(HSC_Hydrofluoric_Acid!T13,'Tables - Part 2'!$AV$6:$AV$13,0),MATCH(HSC_Hydrofluoric_Acid!R13,'Tables - Part 2'!$AX$5:$BA$5,0))+INDEX('Tables - Part 2'!$BB$6:$BE$13,MATCH(HSC_Hydrofluoric_Acid!$T13,'Tables - Part 2'!$AV$6:$AV$13,0),MATCH(HSC_Hydrofluoric_Acid!$R13,'Tables - Part 2'!$AX$5:$BA$5,0)))/2)+(((INDEX('Tables - Part 2'!$AX$6:$BA$13,MATCH(HSC_Hydrofluoric_Acid!T13,'Tables - Part 2'!$AV$6:$AV$13,0),MATCH(HSC_Hydrofluoric_Acid!R13,'Tables - Part 2'!$AX$5:$BA$5,0))+INDEX('Tables - Part 2'!$BB$6:$BE$13,MATCH(HSC_Hydrofluoric_Acid!$T13,'Tables - Part 2'!$AV$6:$AV$13,0),MATCH(HSC_Hydrofluoric_Acid!$R13,'Tables - Part 2'!$AX$5:$BA$5,0)))/2)+INDEX('Tables - Part 2'!$BB$6:$BE$13,MATCH(HSC_Hydrofluoric_Acid!$T13,'Tables - Part 2'!$AV$6:$AV$13,0),MATCH(HSC_Hydrofluoric_Acid!$R13,'Tables - Part 2'!$AX$5:$BA$5,0)))/2)/2,0)</f>
        <v>0</v>
      </c>
      <c r="AF13" s="248">
        <f>IF($Q13=$AF$3,(((INDEX('Tables - Part 2'!$AX$6:$BA$13,MATCH(HSC_Hydrofluoric_Acid!T13,'Tables - Part 2'!$AV$6:$AV$13,0),MATCH(HSC_Hydrofluoric_Acid!R13,'Tables - Part 2'!$AX$5:$BA$5,0))+INDEX('Tables - Part 2'!$BB$6:$BE$13,MATCH(HSC_Hydrofluoric_Acid!$T13,'Tables - Part 2'!$AV$6:$AV$13,0),MATCH(HSC_Hydrofluoric_Acid!$R13,'Tables - Part 2'!$AX$5:$BA$5,0)))/2)+INDEX('Tables - Part 2'!$BB$6:$BE$13,MATCH(HSC_Hydrofluoric_Acid!$T13,'Tables - Part 2'!$AV$6:$AV$13,0),MATCH(HSC_Hydrofluoric_Acid!$R13,'Tables - Part 2'!$AX$5:$BA$5,0)))/2,0)</f>
        <v>0</v>
      </c>
      <c r="AG13" s="248">
        <f>IF($Q13=$AG$3,(((((INDEX('Tables - Part 2'!$AX$6:$BA$13,MATCH(HSC_Hydrofluoric_Acid!T13,'Tables - Part 2'!$AV$6:$AV$13,0),MATCH(HSC_Hydrofluoric_Acid!R13,'Tables - Part 2'!$AX$5:$BA$5,0))+INDEX('Tables - Part 2'!$BB$6:$BE$13,MATCH(HSC_Hydrofluoric_Acid!$T13,'Tables - Part 2'!$AV$6:$AV$13,0),MATCH(HSC_Hydrofluoric_Acid!$R13,'Tables - Part 2'!$AX$5:$BA$5,0)))/2)+INDEX('Tables - Part 2'!$BB$6:$BE$13,MATCH(HSC_Hydrofluoric_Acid!$T13,'Tables - Part 2'!$AV$6:$AV$13,0),MATCH(HSC_Hydrofluoric_Acid!$R13,'Tables - Part 2'!$AX$5:$BA$5,0)))/2)+INDEX('Tables - Part 2'!$BB$6:$BE$13,MATCH(HSC_Hydrofluoric_Acid!$T13,'Tables - Part 2'!$AV$6:$AV$13,0),MATCH(HSC_Hydrofluoric_Acid!$R13,'Tables - Part 2'!$AX$5:$BA$5,0)))/2,0)</f>
        <v>0</v>
      </c>
      <c r="AH13" s="248">
        <f>IF($Q13=$AH$3,INDEX('Tables - Part 2'!$BB$6:$BE$13,MATCH(HSC_Hydrofluoric_Acid!$T13,'Tables - Part 2'!$AV$6:$AV$13,0),MATCH(HSC_Hydrofluoric_Acid!$R13,'Tables - Part 2'!$AX$5:$BA$5,0)),0)</f>
        <v>0</v>
      </c>
      <c r="AI13" s="248">
        <f>IF($Q13=$AI$3,((INDEX('Tables - Part 2'!$BB$6:$BE$13,MATCH(HSC_Hydrofluoric_Acid!$T13,'Tables - Part 2'!$AV$6:$AV$13,0),MATCH(HSC_Hydrofluoric_Acid!$R13,'Tables - Part 2'!$AX$5:$BA$5,0)))+(INDEX('Tables - Part 2'!$BB$6:$BE$13,MATCH(HSC_Hydrofluoric_Acid!$T13,'Tables - Part 2'!$AV$6:$AV$13,0),MATCH(HSC_Hydrofluoric_Acid!$R13,'Tables - Part 2'!$AX$5:$BA$5,0))+(INDEX('Tables - Part 2'!$BB$6:$BE$13,MATCH(HSC_Hydrofluoric_Acid!$T13,'Tables - Part 2'!$AV$6:$AV$13,0),MATCH(HSC_Hydrofluoric_Acid!$R13,'Tables - Part 2'!$AX$5:$BA$5,0))+INDEX('Tables - Part 2'!$BF$6:$BI$13,MATCH(HSC_Hydrofluoric_Acid!$T13,'Tables - Part 2'!$AV$6:$AV$13,0),MATCH(HSC_Hydrofluoric_Acid!$R13,'Tables - Part 2'!$AX$5:$BA$5,0)))/2)/2)/2,0)</f>
        <v>0</v>
      </c>
      <c r="AJ13" s="248">
        <f>IF($Q13=$AJ$3,(INDEX('Tables - Part 2'!$BB$6:$BE$13,MATCH(HSC_Hydrofluoric_Acid!$T13,'Tables - Part 2'!$AV$6:$AV$13,0),MATCH(HSC_Hydrofluoric_Acid!$R13,'Tables - Part 2'!$AX$5:$BA$5,0))+(INDEX('Tables - Part 2'!$BB$6:$BE$13,MATCH(HSC_Hydrofluoric_Acid!$T13,'Tables - Part 2'!$AV$6:$AV$13,0),MATCH(HSC_Hydrofluoric_Acid!$R13,'Tables - Part 2'!$AX$5:$BA$5,0))+INDEX('Tables - Part 2'!$BF$6:$BI$13,MATCH(HSC_Hydrofluoric_Acid!$T13,'Tables - Part 2'!$AV$6:$AV$13,0),MATCH(HSC_Hydrofluoric_Acid!$R13,'Tables - Part 2'!$AX$5:$BA$5,0)))/2)/2,0)</f>
        <v>0</v>
      </c>
      <c r="AK13" s="248">
        <f>IF($Q13=$AK$3,(((INDEX('Tables - Part 2'!$BB$6:$BE$13,MATCH(HSC_Hydrofluoric_Acid!$T13,'Tables - Part 2'!$AV$6:$AV$13,0),MATCH(HSC_Hydrofluoric_Acid!$R13,'Tables - Part 2'!$AX$5:$BA$5,0))+(INDEX('Tables - Part 2'!$BB$6:$BE$13,MATCH(HSC_Hydrofluoric_Acid!$T13,'Tables - Part 2'!$AV$6:$AV$13,0),MATCH(HSC_Hydrofluoric_Acid!$R13,'Tables - Part 2'!$AX$5:$BA$5,0))+INDEX('Tables - Part 2'!$BF$6:$BI$13,MATCH(HSC_Hydrofluoric_Acid!$T13,'Tables - Part 2'!$AV$6:$AV$13,0),MATCH(HSC_Hydrofluoric_Acid!$R13,'Tables - Part 2'!$AX$5:$BA$5,0)))/2)/2)+((INDEX('Tables - Part 2'!$BB$6:$BE$13,MATCH(HSC_Hydrofluoric_Acid!$T13,'Tables - Part 2'!$AV$6:$AV$13,0),MATCH(HSC_Hydrofluoric_Acid!$R13,'Tables - Part 2'!$AX$5:$BA$5,0))+INDEX('Tables - Part 2'!$BF$6:$BI$13,MATCH(HSC_Hydrofluoric_Acid!$T13,'Tables - Part 2'!$AV$6:$AV$13,0),MATCH(HSC_Hydrofluoric_Acid!$R13,'Tables - Part 2'!$AX$5:$BA$5,0)))/2))/2,0)</f>
        <v>0</v>
      </c>
      <c r="AL13" s="248">
        <f>IF($Q13=$AL$3,(INDEX('Tables - Part 2'!$BB$6:$BE$13,MATCH(HSC_Hydrofluoric_Acid!$T13,'Tables - Part 2'!$AV$6:$AV$13,0),MATCH(HSC_Hydrofluoric_Acid!$R13,'Tables - Part 2'!$AX$5:$BA$5,0))+INDEX('Tables - Part 2'!$BF$6:$BI$13,MATCH(HSC_Hydrofluoric_Acid!$T13,'Tables - Part 2'!$AV$6:$AV$13,0),MATCH(HSC_Hydrofluoric_Acid!$R13,'Tables - Part 2'!$AX$5:$BA$5,0)))/2,0)</f>
        <v>1</v>
      </c>
      <c r="AM13" s="248">
        <f>IF($Q13=$AM$3,(((INDEX('Tables - Part 2'!$BB$6:$BE$13,MATCH(HSC_Hydrofluoric_Acid!$T13,'Tables - Part 2'!$AV$6:$AV$13,0),MATCH(HSC_Hydrofluoric_Acid!$R13,'Tables - Part 2'!$AX$5:$BA$5,0))+INDEX('Tables - Part 2'!$BF$6:$BI$13,MATCH(HSC_Hydrofluoric_Acid!$T13,'Tables - Part 2'!$AV$6:$AV$13,0),MATCH(HSC_Hydrofluoric_Acid!$R13,'Tables - Part 2'!$AX$5:$BA$5,0)))/2)+((((INDEX('Tables - Part 2'!$BB$6:$BE$13,MATCH(HSC_Hydrofluoric_Acid!$T13,'Tables - Part 2'!$AV$6:$AV$13,0),MATCH(HSC_Hydrofluoric_Acid!$R13,'Tables - Part 2'!$AX$5:$BA$5,0))+INDEX('Tables - Part 2'!$BF$6:$BI$13,MATCH(HSC_Hydrofluoric_Acid!$T13,'Tables - Part 2'!$AV$6:$AV$13,0),MATCH(HSC_Hydrofluoric_Acid!$R13,'Tables - Part 2'!$AX$5:$BA$5,0)))/2)+INDEX('Tables - Part 2'!$BF$6:$BI$13,MATCH(HSC_Hydrofluoric_Acid!$T13,'Tables - Part 2'!$AV$6:$AV$13,0),MATCH(HSC_Hydrofluoric_Acid!$R13,'Tables - Part 2'!$AX$5:$BA$5,0)))/2))/2,0)</f>
        <v>0</v>
      </c>
      <c r="AN13" s="248">
        <f>IF($Q13=$AN$3,(((INDEX('Tables - Part 2'!$BB$6:$BE$13,MATCH(HSC_Hydrofluoric_Acid!$T13,'Tables - Part 2'!$AV$6:$AV$13,0),MATCH(HSC_Hydrofluoric_Acid!$R13,'Tables - Part 2'!$AX$5:$BA$5,0))+INDEX('Tables - Part 2'!$BF$6:$BI$13,MATCH(HSC_Hydrofluoric_Acid!$T13,'Tables - Part 2'!$AV$6:$AV$13,0),MATCH(HSC_Hydrofluoric_Acid!$R13,'Tables - Part 2'!$AX$5:$BA$5,0)))/2)+INDEX('Tables - Part 2'!$BF$6:$BI$13,MATCH(HSC_Hydrofluoric_Acid!$T13,'Tables - Part 2'!$AV$6:$AV$13,0),MATCH(HSC_Hydrofluoric_Acid!$R13,'Tables - Part 2'!$AX$5:$BA$5,0)))/2,0)</f>
        <v>0</v>
      </c>
      <c r="AO13" s="248">
        <f>IF($Q13=$AO$3,(((((INDEX('Tables - Part 2'!$BB$6:$BE$13,MATCH(HSC_Hydrofluoric_Acid!$T13,'Tables - Part 2'!$AV$6:$AV$13,0),MATCH(HSC_Hydrofluoric_Acid!$R13,'Tables - Part 2'!$AX$5:$BA$5,0))+INDEX('Tables - Part 2'!$BF$6:$BI$13,MATCH(HSC_Hydrofluoric_Acid!$T13,'Tables - Part 2'!$AV$6:$AV$13,0),MATCH(HSC_Hydrofluoric_Acid!$R13,'Tables - Part 2'!$AX$5:$BA$5,0)))/2)+INDEX('Tables - Part 2'!$BF$6:$BI$13,MATCH(HSC_Hydrofluoric_Acid!$T13,'Tables - Part 2'!$AV$6:$AV$13,0),MATCH(HSC_Hydrofluoric_Acid!$R13,'Tables - Part 2'!$AX$5:$BA$5,0)))/2)+INDEX('Tables - Part 2'!$BF$6:$BI$13,MATCH(HSC_Hydrofluoric_Acid!$T13,'Tables - Part 2'!$AV$6:$AV$13,0),MATCH(HSC_Hydrofluoric_Acid!$R13,'Tables - Part 2'!$AX$5:$BA$5,0)))/2,0)</f>
        <v>0</v>
      </c>
      <c r="AP13" s="248">
        <f>IF($Q13=$AP$3,INDEX('Tables - Part 2'!$BF$6:$BI$13,MATCH(HSC_Hydrofluoric_Acid!$T13,'Tables - Part 2'!$AV$6:$AV$13,0),MATCH(HSC_Hydrofluoric_Acid!$R13,'Tables - Part 2'!$AX$5:$BA$5,0)),0)</f>
        <v>0</v>
      </c>
      <c r="AQ13" s="248">
        <f>IF($Q13=$AQ$3,(INDEX('Tables - Part 2'!$BF$6:$BI$13,MATCH(HSC_Hydrofluoric_Acid!$T13,'Tables - Part 2'!$AV$6:$AV$13,0),MATCH(HSC_Hydrofluoric_Acid!$R13,'Tables - Part 2'!$AX$5:$BA$5,0))+((INDEX('Tables - Part 2'!$BF$6:$BI$13,MATCH(HSC_Hydrofluoric_Acid!$T13,'Tables - Part 2'!$AV$6:$AV$13,0),MATCH(HSC_Hydrofluoric_Acid!$R13,'Tables - Part 2'!$AX$5:$BA$5,0))+(INDEX('Tables - Part 2'!$BF$6:$BI$13,MATCH(HSC_Hydrofluoric_Acid!$T13,'Tables - Part 2'!$AV$6:$AV$13,0),MATCH(HSC_Hydrofluoric_Acid!$R13,'Tables - Part 2'!$AX$5:$BA$5,0))+INDEX('Tables - Part 2'!$AX$17:$BA$24,MATCH(HSC_Hydrofluoric_Acid!$T13,'Tables - Part 2'!$AV$6:$AV$13,0),MATCH(HSC_Hydrofluoric_Acid!$R13,'Tables - Part 2'!$AX$5:$BA$5,0)))/2)/2))/2,0)</f>
        <v>0</v>
      </c>
      <c r="AR13" s="248">
        <f>IF($Q13=$AR$3,(INDEX('Tables - Part 2'!$BF$6:$BI$13,MATCH(HSC_Hydrofluoric_Acid!$T13,'Tables - Part 2'!$AV$6:$AV$13,0),MATCH(HSC_Hydrofluoric_Acid!$R13,'Tables - Part 2'!$AX$5:$BA$5,0))+(INDEX('Tables - Part 2'!$BF$6:$BI$13,MATCH(HSC_Hydrofluoric_Acid!$T13,'Tables - Part 2'!$AV$6:$AV$13,0),MATCH(HSC_Hydrofluoric_Acid!$R13,'Tables - Part 2'!$AX$5:$BA$5,0))+INDEX('Tables - Part 2'!$AX$17:$BA$24,MATCH(HSC_Hydrofluoric_Acid!$T13,'Tables - Part 2'!$AV$6:$AV$13,0),MATCH(HSC_Hydrofluoric_Acid!$R13,'Tables - Part 2'!$AX$5:$BA$5,0)))/2)/2,0)</f>
        <v>0</v>
      </c>
      <c r="AS13" s="248">
        <f>IF($Q13=$AS$3,(((INDEX('Tables - Part 2'!$BF$6:$BI$13,MATCH(HSC_Hydrofluoric_Acid!$T13,'Tables - Part 2'!$AV$6:$AV$13,0),MATCH(HSC_Hydrofluoric_Acid!$R13,'Tables - Part 2'!$AX$5:$BA$5,0))+(INDEX('Tables - Part 2'!$BF$6:$BI$13,MATCH(HSC_Hydrofluoric_Acid!$T13,'Tables - Part 2'!$AV$6:$AV$13,0),MATCH(HSC_Hydrofluoric_Acid!$R13,'Tables - Part 2'!$AX$5:$BA$5,0))+INDEX('Tables - Part 2'!$AX$17:$BA$24,MATCH(HSC_Hydrofluoric_Acid!$T13,'Tables - Part 2'!$AV$6:$AV$13,0),MATCH(HSC_Hydrofluoric_Acid!$R13,'Tables - Part 2'!$AX$5:$BA$5,0)))/2)/2)+((INDEX('Tables - Part 2'!$BF$6:$BI$13,MATCH(HSC_Hydrofluoric_Acid!$T13,'Tables - Part 2'!$AV$6:$AV$13,0),MATCH(HSC_Hydrofluoric_Acid!$R13,'Tables - Part 2'!$AX$5:$BA$5,0))+INDEX('Tables - Part 2'!$AX$17:$BA$24,MATCH(HSC_Hydrofluoric_Acid!$T13,'Tables - Part 2'!$AV$6:$AV$13,0),MATCH(HSC_Hydrofluoric_Acid!$R13,'Tables - Part 2'!$AX$5:$BA$5,0)))/2))/2,0)</f>
        <v>0</v>
      </c>
      <c r="AT13" s="248">
        <f>IF($Q13=$AT$3,(INDEX('Tables - Part 2'!$BF$6:$BI$13,MATCH(HSC_Hydrofluoric_Acid!$T13,'Tables - Part 2'!$AV$6:$AV$13,0),MATCH(HSC_Hydrofluoric_Acid!$R13,'Tables - Part 2'!$AX$5:$BA$5,0))+INDEX('Tables - Part 2'!$AX$17:$BA$24,MATCH(HSC_Hydrofluoric_Acid!$T13,'Tables - Part 2'!$AV$6:$AV$13,0),MATCH(HSC_Hydrofluoric_Acid!$R13,'Tables - Part 2'!$AX$5:$BA$5,0)))/2,0)</f>
        <v>0</v>
      </c>
      <c r="AU13" s="248">
        <f>IF($Q13=$AU$3,(((INDEX('Tables - Part 2'!$BF$6:$BI$13,MATCH(HSC_Hydrofluoric_Acid!$T13,'Tables - Part 2'!$AV$6:$AV$13,0),MATCH(HSC_Hydrofluoric_Acid!$R13,'Tables - Part 2'!$AX$5:$BA$5,0))+INDEX('Tables - Part 2'!$AX$17:$BA$24,MATCH(HSC_Hydrofluoric_Acid!$T13,'Tables - Part 2'!$AV$6:$AV$13,0),MATCH(HSC_Hydrofluoric_Acid!$R13,'Tables - Part 2'!$AX$5:$BA$5,0)))/2)+((((INDEX('Tables - Part 2'!$BF$6:$BI$13,MATCH(HSC_Hydrofluoric_Acid!$T13,'Tables - Part 2'!$AV$6:$AV$13,0),MATCH(HSC_Hydrofluoric_Acid!$R13,'Tables - Part 2'!$AX$5:$BA$5,0))+INDEX('Tables - Part 2'!$AX$17:$BA$24,MATCH(HSC_Hydrofluoric_Acid!$T13,'Tables - Part 2'!$AV$6:$AV$13,0),MATCH(HSC_Hydrofluoric_Acid!$R13,'Tables - Part 2'!$AX$5:$BA$5,0)))/2)+INDEX('Tables - Part 2'!$AX$17:$BA$24,MATCH(HSC_Hydrofluoric_Acid!$T13,'Tables - Part 2'!$AV$6:$AV$13,0),MATCH(HSC_Hydrofluoric_Acid!$R13,'Tables - Part 2'!$AX$5:$BA$5,0)))/2))/2,0)</f>
        <v>0</v>
      </c>
      <c r="AV13" s="248">
        <f>IF($Q13=$AV$3,(((INDEX('Tables - Part 2'!$BF$6:$BI$13,MATCH(HSC_Hydrofluoric_Acid!$T13,'Tables - Part 2'!$AV$6:$AV$13,0),MATCH(HSC_Hydrofluoric_Acid!$R13,'Tables - Part 2'!$AX$5:$BA$5,0))+INDEX('Tables - Part 2'!$AX$17:$BA$24,MATCH(HSC_Hydrofluoric_Acid!$T13,'Tables - Part 2'!$AV$6:$AV$13,0),MATCH(HSC_Hydrofluoric_Acid!$R13,'Tables - Part 2'!$AX$5:$BA$5,0)))/2)+INDEX('Tables - Part 2'!$AX$17:$BA$24,MATCH(HSC_Hydrofluoric_Acid!$T13,'Tables - Part 2'!$AV$6:$AV$13,0),MATCH(HSC_Hydrofluoric_Acid!$R13,'Tables - Part 2'!$AX$5:$BA$5,0)))/2,0)</f>
        <v>0</v>
      </c>
      <c r="AW13" s="248">
        <f>IF($Q13=$AW$3,(((((INDEX('Tables - Part 2'!$BF$6:$BI$13,MATCH(HSC_Hydrofluoric_Acid!$T13,'Tables - Part 2'!$AV$6:$AV$13,0),MATCH(HSC_Hydrofluoric_Acid!$R13,'Tables - Part 2'!$AX$5:$BA$5,0))+INDEX('Tables - Part 2'!$AX$17:$BA$24,MATCH(HSC_Hydrofluoric_Acid!$T13,'Tables - Part 2'!$AV$6:$AV$13,0),MATCH(HSC_Hydrofluoric_Acid!$R13,'Tables - Part 2'!$AX$5:$BA$5,0)))/2)+INDEX('Tables - Part 2'!$AX$17:$BA$24,MATCH(HSC_Hydrofluoric_Acid!$T13,'Tables - Part 2'!$AV$6:$AV$13,0),MATCH(HSC_Hydrofluoric_Acid!$R13,'Tables - Part 2'!$AX$5:$BA$5,0)))/2)+(INDEX('Tables - Part 2'!$AX$17:$BA$24,MATCH(HSC_Hydrofluoric_Acid!$T13,'Tables - Part 2'!$AV$6:$AV$13,0),MATCH(HSC_Hydrofluoric_Acid!$R13,'Tables - Part 2'!$AX$5:$BA$5,0))))/2,0)</f>
        <v>0</v>
      </c>
      <c r="AX13" s="248">
        <f>IF($Q13=$AX$3,INDEX('Tables - Part 2'!$AX$17:$BA$24,MATCH(HSC_Hydrofluoric_Acid!$T13,'Tables - Part 2'!$AV$6:$AV$13,0),MATCH(HSC_Hydrofluoric_Acid!$R13,'Tables - Part 2'!$AX$5:$BA$5,0)),0)</f>
        <v>0</v>
      </c>
      <c r="AY13" s="248">
        <f>IF($Q13=$AY$3,((INDEX('Tables - Part 2'!$AX$17:$BA$24,MATCH(HSC_Hydrofluoric_Acid!$T13,'Tables - Part 2'!$AV$6:$AV$13,0),MATCH(HSC_Hydrofluoric_Acid!$R13,'Tables - Part 2'!$AX$5:$BA$5,0)))+(((INDEX('Tables - Part 2'!$AX$17:$BA$24,MATCH(HSC_Hydrofluoric_Acid!$T13,'Tables - Part 2'!$AV$6:$AV$13,0),MATCH(HSC_Hydrofluoric_Acid!$R13,'Tables - Part 2'!$AX$5:$BA$5,0)))+(INDEX('Tables - Part 2'!$AX$17:$BA$24,MATCH(HSC_Hydrofluoric_Acid!$T13,'Tables - Part 2'!$AV$6:$AV$13,0),MATCH(HSC_Hydrofluoric_Acid!$R13,'Tables - Part 2'!$AX$5:$BA$5,0))+INDEX('Tables - Part 2'!$BB$17:$BE$24,MATCH(HSC_Hydrofluoric_Acid!$T13,'Tables - Part 2'!$AV$6:$AV$13,0),MATCH(HSC_Hydrofluoric_Acid!$R13,'Tables - Part 2'!$AX$5:$BA$5,0)))/2)/2))/2,0)</f>
        <v>0</v>
      </c>
      <c r="AZ13" s="248">
        <f>IF($Q13=$AZ$3,((INDEX('Tables - Part 2'!$AX$17:$BA$24,MATCH(HSC_Hydrofluoric_Acid!$T13,'Tables - Part 2'!$AV$6:$AV$13,0),MATCH(HSC_Hydrofluoric_Acid!$R13,'Tables - Part 2'!$AX$5:$BA$5,0)))+(INDEX('Tables - Part 2'!$AX$17:$BA$24,MATCH(HSC_Hydrofluoric_Acid!$T13,'Tables - Part 2'!$AV$6:$AV$13,0),MATCH(HSC_Hydrofluoric_Acid!$R13,'Tables - Part 2'!$AX$5:$BA$5,0))+INDEX('Tables - Part 2'!$BB$17:$BE$24,MATCH(HSC_Hydrofluoric_Acid!$T13,'Tables - Part 2'!$AV$6:$AV$13,0),MATCH(HSC_Hydrofluoric_Acid!$R13,'Tables - Part 2'!$AX$5:$BA$5,0)))/2)/2,0)</f>
        <v>0</v>
      </c>
      <c r="BA13" s="248">
        <f>IF($Q13=$BA$3,((((INDEX('Tables - Part 2'!$AX$17:$BA$24,MATCH(HSC_Hydrofluoric_Acid!$T13,'Tables - Part 2'!$AV$6:$AV$13,0),MATCH(HSC_Hydrofluoric_Acid!$R13,'Tables - Part 2'!$AX$5:$BA$5,0)))+(INDEX('Tables - Part 2'!$AX$17:$BA$24,MATCH(HSC_Hydrofluoric_Acid!$T13,'Tables - Part 2'!$AV$6:$AV$13,0),MATCH(HSC_Hydrofluoric_Acid!$R13,'Tables - Part 2'!$AX$5:$BA$5,0))+INDEX('Tables - Part 2'!$BB$17:$BE$24,MATCH(HSC_Hydrofluoric_Acid!$T13,'Tables - Part 2'!$AV$6:$AV$13,0),MATCH(HSC_Hydrofluoric_Acid!$R13,'Tables - Part 2'!$AX$5:$BA$5,0)))/2)/2)+((INDEX('Tables - Part 2'!$AX$17:$BA$24,MATCH(HSC_Hydrofluoric_Acid!$T13,'Tables - Part 2'!$AV$6:$AV$13,0),MATCH(HSC_Hydrofluoric_Acid!$R13,'Tables - Part 2'!$AX$5:$BA$5,0))+INDEX('Tables - Part 2'!$BB$17:$BE$24,MATCH(HSC_Hydrofluoric_Acid!$T13,'Tables - Part 2'!$AV$6:$AV$13,0),MATCH(HSC_Hydrofluoric_Acid!$R13,'Tables - Part 2'!$AX$5:$BA$5,0)))/2))/2,0)</f>
        <v>0</v>
      </c>
      <c r="BB13" s="248">
        <f>IF($Q13=$BB$3,(INDEX('Tables - Part 2'!$AX$17:$BA$24,MATCH(HSC_Hydrofluoric_Acid!$T13,'Tables - Part 2'!$AV$6:$AV$13,0),MATCH(HSC_Hydrofluoric_Acid!$R13,'Tables - Part 2'!$AX$5:$BA$5,0))+INDEX('Tables - Part 2'!$BB$17:$BE$24,MATCH(HSC_Hydrofluoric_Acid!$T13,'Tables - Part 2'!$AV$6:$AV$13,0),MATCH(HSC_Hydrofluoric_Acid!$R13,'Tables - Part 2'!$AX$5:$BA$5,0)))/2,0)</f>
        <v>0</v>
      </c>
      <c r="BC13" s="248">
        <f>IF($Q13=$BC$3,(((INDEX('Tables - Part 2'!$AX$17:$BA$24,MATCH(HSC_Hydrofluoric_Acid!$T13,'Tables - Part 2'!$AV$6:$AV$13,0),MATCH(HSC_Hydrofluoric_Acid!$R13,'Tables - Part 2'!$AX$5:$BA$5,0))+INDEX('Tables - Part 2'!$BB$17:$BE$24,MATCH(HSC_Hydrofluoric_Acid!$T13,'Tables - Part 2'!$AV$6:$AV$13,0),MATCH(HSC_Hydrofluoric_Acid!$R13,'Tables - Part 2'!$AX$5:$BA$5,0)))/2)+((((INDEX('Tables - Part 2'!$AX$17:$BA$24,MATCH(HSC_Hydrofluoric_Acid!$T13,'Tables - Part 2'!$AV$6:$AV$13,0),MATCH(HSC_Hydrofluoric_Acid!$R13,'Tables - Part 2'!$AX$5:$BA$5,0))+INDEX('Tables - Part 2'!$BB$17:$BE$24,MATCH(HSC_Hydrofluoric_Acid!$T13,'Tables - Part 2'!$AV$6:$AV$13,0),MATCH(HSC_Hydrofluoric_Acid!$R13,'Tables - Part 2'!$AX$5:$BA$5,0)))/2)+INDEX('Tables - Part 2'!$BB$17:$BE$24,MATCH(HSC_Hydrofluoric_Acid!$T13,'Tables - Part 2'!$AV$6:$AV$13,0),MATCH(HSC_Hydrofluoric_Acid!$R13,'Tables - Part 2'!$AX$5:$BA$5,0)))/2))/2,0)</f>
        <v>0</v>
      </c>
      <c r="BD13" s="248">
        <f>IF($Q13=$BD$3,(((INDEX('Tables - Part 2'!$AX$17:$BA$24,MATCH(HSC_Hydrofluoric_Acid!$T13,'Tables - Part 2'!$AV$6:$AV$13,0),MATCH(HSC_Hydrofluoric_Acid!$R13,'Tables - Part 2'!$AX$5:$BA$5,0))+INDEX('Tables - Part 2'!$BB$17:$BE$24,MATCH(HSC_Hydrofluoric_Acid!$T13,'Tables - Part 2'!$AV$6:$AV$13,0),MATCH(HSC_Hydrofluoric_Acid!$R13,'Tables - Part 2'!$AX$5:$BA$5,0)))/2)+INDEX('Tables - Part 2'!$BB$17:$BE$24,MATCH(HSC_Hydrofluoric_Acid!$T13,'Tables - Part 2'!$AV$6:$AV$13,0),MATCH(HSC_Hydrofluoric_Acid!$R13,'Tables - Part 2'!$AX$5:$BA$5,0)))/2,0)</f>
        <v>0</v>
      </c>
      <c r="BE13" s="248">
        <f>IF($Q13=$BE$3,(((((INDEX('Tables - Part 2'!$AX$17:$BA$24,MATCH(HSC_Hydrofluoric_Acid!$T13,'Tables - Part 2'!$AV$6:$AV$13,0),MATCH(HSC_Hydrofluoric_Acid!$R13,'Tables - Part 2'!$AX$5:$BA$5,0))+INDEX('Tables - Part 2'!$BB$17:$BE$24,MATCH(HSC_Hydrofluoric_Acid!$T13,'Tables - Part 2'!$AV$6:$AV$13,0),MATCH(HSC_Hydrofluoric_Acid!$R13,'Tables - Part 2'!$AX$5:$BA$5,0)))/2)+INDEX('Tables - Part 2'!$BB$17:$BE$24,MATCH(HSC_Hydrofluoric_Acid!$T13,'Tables - Part 2'!$AV$6:$AV$13,0),MATCH(HSC_Hydrofluoric_Acid!$R13,'Tables - Part 2'!$AX$5:$BA$5,0)))/2)+(INDEX('Tables - Part 2'!$BB$17:$BE$24,MATCH(HSC_Hydrofluoric_Acid!$T13,'Tables - Part 2'!$AV$6:$AV$13,0),MATCH(HSC_Hydrofluoric_Acid!$R13,'Tables - Part 2'!$AX$5:$BA$5,0))))/2,0)</f>
        <v>0</v>
      </c>
      <c r="BF13" s="248">
        <f>IF($Q13=$BF$3,INDEX('Tables - Part 2'!$BB$17:$BE$24,MATCH(HSC_Hydrofluoric_Acid!$T13,'Tables - Part 2'!$AV$6:$AV$13,0),MATCH(HSC_Hydrofluoric_Acid!$R13,'Tables - Part 2'!$AX$5:$BA$5,0)),0)</f>
        <v>0</v>
      </c>
      <c r="BG13" s="248">
        <f>IF($Q13=$BG$3,((INDEX('Tables - Part 2'!$BB$17:$BE$24,MATCH(HSC_Hydrofluoric_Acid!$T13,'Tables - Part 2'!$AV$6:$AV$13,0),MATCH(HSC_Hydrofluoric_Acid!$R13,'Tables - Part 2'!$AX$5:$BA$5,0)))+(((INDEX('Tables - Part 2'!$BB$17:$BE$24,MATCH(HSC_Hydrofluoric_Acid!$T13,'Tables - Part 2'!$AV$6:$AV$13,0),MATCH(HSC_Hydrofluoric_Acid!$R13,'Tables - Part 2'!$AX$5:$BA$5,0)))+(INDEX('Tables - Part 2'!$BB$17:$BE$24,MATCH(HSC_Hydrofluoric_Acid!$T13,'Tables - Part 2'!$AV$6:$AV$13,0),MATCH(HSC_Hydrofluoric_Acid!$R13,'Tables - Part 2'!$AX$5:$BA$5,0))+INDEX('Tables - Part 2'!$BF$17:$BI$24,MATCH(HSC_Hydrofluoric_Acid!$T13,'Tables - Part 2'!$AV$6:$AV$13,0),MATCH(HSC_Hydrofluoric_Acid!$R13,'Tables - Part 2'!$AX$5:$BA$5,0)))/2)/2))/2,0)</f>
        <v>0</v>
      </c>
      <c r="BH13" s="248">
        <f>IF($Q13=$BH$3,((INDEX('Tables - Part 2'!$BB$17:$BE$24,MATCH(HSC_Hydrofluoric_Acid!$T13,'Tables - Part 2'!$AV$6:$AV$13,0),MATCH(HSC_Hydrofluoric_Acid!$R13,'Tables - Part 2'!$AX$5:$BA$5,0)))+(INDEX('Tables - Part 2'!$BB$17:$BE$24,MATCH(HSC_Hydrofluoric_Acid!$T13,'Tables - Part 2'!$AV$6:$AV$13,0),MATCH(HSC_Hydrofluoric_Acid!$R13,'Tables - Part 2'!$AX$5:$BA$5,0))+INDEX('Tables - Part 2'!$BF$17:$BI$24,MATCH(HSC_Hydrofluoric_Acid!$T13,'Tables - Part 2'!$AV$6:$AV$13,0),MATCH(HSC_Hydrofluoric_Acid!$R13,'Tables - Part 2'!$AX$5:$BA$5,0)))/2)/2,0)</f>
        <v>0</v>
      </c>
      <c r="BI13" s="248">
        <f>IF($Q13=$BI$3,((((INDEX('Tables - Part 2'!$BB$17:$BE$24,MATCH(HSC_Hydrofluoric_Acid!$T13,'Tables - Part 2'!$AV$6:$AV$13,0),MATCH(HSC_Hydrofluoric_Acid!$R13,'Tables - Part 2'!$AX$5:$BA$5,0)))+(INDEX('Tables - Part 2'!$BB$17:$BE$24,MATCH(HSC_Hydrofluoric_Acid!$T13,'Tables - Part 2'!$AV$6:$AV$13,0),MATCH(HSC_Hydrofluoric_Acid!$R13,'Tables - Part 2'!$AX$5:$BA$5,0))+INDEX('Tables - Part 2'!$BF$17:$BI$24,MATCH(HSC_Hydrofluoric_Acid!$T13,'Tables - Part 2'!$AV$6:$AV$13,0),MATCH(HSC_Hydrofluoric_Acid!$R13,'Tables - Part 2'!$AX$5:$BA$5,0)))/2)/2)+((INDEX('Tables - Part 2'!$BB$17:$BE$24,MATCH(HSC_Hydrofluoric_Acid!$T13,'Tables - Part 2'!$AV$6:$AV$13,0),MATCH(HSC_Hydrofluoric_Acid!$R13,'Tables - Part 2'!$AX$5:$BA$5,0))+INDEX('Tables - Part 2'!$BF$17:$BI$24,MATCH(HSC_Hydrofluoric_Acid!$T13,'Tables - Part 2'!$AV$6:$AV$13,0),MATCH(HSC_Hydrofluoric_Acid!$R13,'Tables - Part 2'!$AX$5:$BA$5,0)))/2))/2,0)</f>
        <v>0</v>
      </c>
      <c r="BJ13" s="248">
        <f>IF($Q13=$BJ$3,(INDEX('Tables - Part 2'!$BB$17:$BE$24,MATCH(HSC_Hydrofluoric_Acid!$T13,'Tables - Part 2'!$AV$6:$AV$13,0),MATCH(HSC_Hydrofluoric_Acid!$R13,'Tables - Part 2'!$AX$5:$BA$5,0))+INDEX('Tables - Part 2'!$BF$17:$BI$24,MATCH(HSC_Hydrofluoric_Acid!$T13,'Tables - Part 2'!$AV$6:$AV$13,0),MATCH(HSC_Hydrofluoric_Acid!$R13,'Tables - Part 2'!$AX$5:$BA$5,0)))/2,0)</f>
        <v>0</v>
      </c>
      <c r="BK13" s="248">
        <f>IF($Q13=$BK$3,(((INDEX('Tables - Part 2'!$BB$17:$BE$24,MATCH(HSC_Hydrofluoric_Acid!$T13,'Tables - Part 2'!$AV$6:$AV$13,0),MATCH(HSC_Hydrofluoric_Acid!$R13,'Tables - Part 2'!$AX$5:$BA$5,0))+INDEX('Tables - Part 2'!$BF$17:$BI$24,MATCH(HSC_Hydrofluoric_Acid!$T13,'Tables - Part 2'!$AV$6:$AV$13,0),MATCH(HSC_Hydrofluoric_Acid!$R13,'Tables - Part 2'!$AX$5:$BA$5,0)))/2)+((((INDEX('Tables - Part 2'!$BB$17:$BE$24,MATCH(HSC_Hydrofluoric_Acid!$T13,'Tables - Part 2'!$AV$6:$AV$13,0),MATCH(HSC_Hydrofluoric_Acid!$R13,'Tables - Part 2'!$AX$5:$BA$5,0))+INDEX('Tables - Part 2'!$BF$17:$BI$24,MATCH(HSC_Hydrofluoric_Acid!$T13,'Tables - Part 2'!$AV$6:$AV$13,0),MATCH(HSC_Hydrofluoric_Acid!$R13,'Tables - Part 2'!$AX$5:$BA$5,0)))/2)+INDEX('Tables - Part 2'!$BF$17:$BI$24,MATCH(HSC_Hydrofluoric_Acid!$T13,'Tables - Part 2'!$AV$6:$AV$13,0),MATCH(HSC_Hydrofluoric_Acid!$R13,'Tables - Part 2'!$AX$5:$BA$5,0)))/2))/2,0)</f>
        <v>0</v>
      </c>
      <c r="BL13" s="248">
        <f>IF($Q13=$BL$3,(((INDEX('Tables - Part 2'!$BB$17:$BE$24,MATCH(HSC_Hydrofluoric_Acid!$T13,'Tables - Part 2'!$AV$6:$AV$13,0),MATCH(HSC_Hydrofluoric_Acid!$R13,'Tables - Part 2'!$AX$5:$BA$5,0))+INDEX('Tables - Part 2'!$BF$17:$BI$24,MATCH(HSC_Hydrofluoric_Acid!$T13,'Tables - Part 2'!$AV$6:$AV$13,0),MATCH(HSC_Hydrofluoric_Acid!$R13,'Tables - Part 2'!$AX$5:$BA$5,0)))/2)+INDEX('Tables - Part 2'!$BF$17:$BI$24,MATCH(HSC_Hydrofluoric_Acid!$T13,'Tables - Part 2'!$AV$6:$AV$13,0),MATCH(HSC_Hydrofluoric_Acid!$R13,'Tables - Part 2'!$AX$5:$BA$5,0)))/2,0)</f>
        <v>0</v>
      </c>
      <c r="BM13" s="248">
        <f>IF($Q13=$BM$3,(((((INDEX('Tables - Part 2'!$BB$17:$BE$24,MATCH(HSC_Hydrofluoric_Acid!$T13,'Tables - Part 2'!$AV$6:$AV$13,0),MATCH(HSC_Hydrofluoric_Acid!$R13,'Tables - Part 2'!$AX$5:$BA$5,0))+INDEX('Tables - Part 2'!$BF$17:$BI$24,MATCH(HSC_Hydrofluoric_Acid!$T13,'Tables - Part 2'!$AV$6:$AV$13,0),MATCH(HSC_Hydrofluoric_Acid!$R13,'Tables - Part 2'!$AX$5:$BA$5,0)))/2)+INDEX('Tables - Part 2'!$BF$17:$BI$24,MATCH(HSC_Hydrofluoric_Acid!$T13,'Tables - Part 2'!$AV$6:$AV$13,0),MATCH(HSC_Hydrofluoric_Acid!$R13,'Tables - Part 2'!$AX$5:$BA$5,0)))/2)+(INDEX('Tables - Part 2'!$BF$17:$BI$24,MATCH(HSC_Hydrofluoric_Acid!$T13,'Tables - Part 2'!$AV$6:$AV$13,0),MATCH(HSC_Hydrofluoric_Acid!$R13,'Tables - Part 2'!$AX$5:$BA$5,0))))/2,0)</f>
        <v>0</v>
      </c>
      <c r="BN13" s="248">
        <f>IF($Q13=$BN$3,INDEX('Tables - Part 2'!$BF$17:$BI$24,MATCH(HSC_Hydrofluoric_Acid!$T13,'Tables - Part 2'!$AV$6:$AV$13,0),MATCH(HSC_Hydrofluoric_Acid!$R13,'Tables - Part 2'!$AX$5:$BA$5,0)),0)</f>
        <v>0</v>
      </c>
      <c r="BO13" s="248">
        <f t="shared" si="6"/>
        <v>0</v>
      </c>
      <c r="BP13" s="238">
        <f t="shared" si="8"/>
        <v>1</v>
      </c>
      <c r="BQ13" s="238">
        <f t="shared" si="7"/>
        <v>16.77288246840839</v>
      </c>
    </row>
    <row r="14" spans="2:82" x14ac:dyDescent="0.35">
      <c r="B14" s="161" t="str">
        <f>'Tratamento de Dados'!B22</f>
        <v>V-50</v>
      </c>
      <c r="C14" s="161" t="str">
        <f>'Tratamento de Dados'!D22</f>
        <v>Casco</v>
      </c>
      <c r="D14" s="209" t="s">
        <v>245</v>
      </c>
      <c r="E14" s="209" t="s">
        <v>61</v>
      </c>
      <c r="F14" s="209" t="s">
        <v>244</v>
      </c>
      <c r="G14" s="209" t="s">
        <v>244</v>
      </c>
      <c r="H14" s="209" t="s">
        <v>1112</v>
      </c>
      <c r="I14" s="209" t="s">
        <v>245</v>
      </c>
      <c r="J14" s="210">
        <v>39092</v>
      </c>
      <c r="K14" s="209">
        <v>0</v>
      </c>
      <c r="L14" s="209">
        <v>1</v>
      </c>
      <c r="M14" s="209">
        <v>1</v>
      </c>
      <c r="N14" s="209">
        <v>4</v>
      </c>
      <c r="O14" s="253">
        <f>'Tratamento de Dados'!DA22</f>
        <v>0</v>
      </c>
      <c r="P14" s="253">
        <f>'Tratamento de Dados'!DB22</f>
        <v>0</v>
      </c>
      <c r="Q14" s="256">
        <f t="shared" si="0"/>
        <v>2.5</v>
      </c>
      <c r="R14" s="246" t="str">
        <f t="shared" si="1"/>
        <v>B</v>
      </c>
      <c r="S14" s="238" t="str" cm="1">
        <f t="array" ref="S14">IF(D14=$BV$2,$BT$4,IF(OR(F14=$BV$3,G14=$BV$3),$BT$5,INDEX(IF(I14=$BV$2,'Tables - Part 2'!$EA$5:$EC$5,'Tables - Part 2'!$DX$5:$DZ$5),,MATCH(HSC_Hydrofluoric_Acid!H14,'Tables - Part 2'!$DX$4:$DZ$4,0))))</f>
        <v>Low</v>
      </c>
      <c r="T14" s="238">
        <f>IF(AND(D14=$BV$2,E14&lt;&gt;$BV$2),"Fitness-For-Service",INDEX('Tables - Part 2'!$EF$4:$EF$7,MATCH(HSC_Hydrofluoric_Acid!S14,'Tables - Part 2'!$EE$4:$EE$7,0),))</f>
        <v>1</v>
      </c>
      <c r="U14" s="238">
        <f>IF(J14=0,(Thinning!G15-Thinning!F15)/365.25,(Thinning!G15-J14)/365.25)</f>
        <v>12.980150581793293</v>
      </c>
      <c r="V14" s="248">
        <f t="shared" si="2"/>
        <v>0</v>
      </c>
      <c r="W14" s="248">
        <f t="shared" si="3"/>
        <v>2.5</v>
      </c>
      <c r="X14" s="248">
        <f t="shared" si="4"/>
        <v>3</v>
      </c>
      <c r="Y14" s="247">
        <f t="shared" si="5"/>
        <v>4</v>
      </c>
      <c r="Z14" s="248">
        <f>IF($Q14=$Z$3,INDEX('Tables - Part 2'!$AX$6:$BA$13,MATCH(HSC_Hydrofluoric_Acid!T14,'Tables - Part 2'!$AV$6:$AV$13,0),MATCH(HSC_Hydrofluoric_Acid!R14,'Tables - Part 2'!$AX$5:$BA$5,0)),0)</f>
        <v>0</v>
      </c>
      <c r="AA14" s="248">
        <f>IF($Q14=$AA$3,(INDEX('Tables - Part 2'!$AX$6:$BA$13,MATCH(HSC_Hydrofluoric_Acid!T14,'Tables - Part 2'!$AV$6:$AV$13,0),MATCH(HSC_Hydrofluoric_Acid!R14,'Tables - Part 2'!$AX$5:$BA$5,0))+(INDEX('Tables - Part 2'!$AX$6:$BA$13,MATCH(HSC_Hydrofluoric_Acid!T14,'Tables - Part 2'!$AV$6:$AV$13,0),MATCH(HSC_Hydrofluoric_Acid!R14,'Tables - Part 2'!$AX$5:$BA$5,0))+((INDEX('Tables - Part 2'!$AX$6:$BA$13,MATCH(HSC_Hydrofluoric_Acid!T14,'Tables - Part 2'!$AV$6:$AV$13,0),MATCH(HSC_Hydrofluoric_Acid!R14,'Tables - Part 2'!$AX$5:$BA$5,0))+INDEX('Tables - Part 2'!$BB$6:$BE$13,MATCH(HSC_Hydrofluoric_Acid!$T14,'Tables - Part 2'!$AV$6:$AV$13,0),MATCH(HSC_Hydrofluoric_Acid!$R14,'Tables - Part 2'!$AX$5:$BA$5,0)))/2))/2)/2,0)</f>
        <v>0</v>
      </c>
      <c r="AB14" s="248">
        <f>IF($Q14=$AB$3,(INDEX('Tables - Part 2'!$AX$6:$BA$13,MATCH(HSC_Hydrofluoric_Acid!T14,'Tables - Part 2'!$AV$6:$AV$13,0),MATCH(HSC_Hydrofluoric_Acid!R14,'Tables - Part 2'!$AX$5:$BA$5,0))+((INDEX('Tables - Part 2'!$AX$6:$BA$13,MATCH(HSC_Hydrofluoric_Acid!T14,'Tables - Part 2'!$AV$6:$AV$13,0),MATCH(HSC_Hydrofluoric_Acid!R14,'Tables - Part 2'!$AX$5:$BA$5,0))+INDEX('Tables - Part 2'!$BB$6:$BE$13,MATCH(HSC_Hydrofluoric_Acid!$T14,'Tables - Part 2'!$AV$6:$AV$13,0),MATCH(HSC_Hydrofluoric_Acid!$R14,'Tables - Part 2'!$AX$5:$BA$5,0)))/2))/2,0)</f>
        <v>0</v>
      </c>
      <c r="AC14" s="248">
        <f>IF($Q14=$AC$3,(((INDEX('Tables - Part 2'!$AX$6:$BA$13,MATCH(HSC_Hydrofluoric_Acid!T14,'Tables - Part 2'!$AV$6:$AV$13,0),MATCH(HSC_Hydrofluoric_Acid!R14,'Tables - Part 2'!$AX$5:$BA$5,0))+((INDEX('Tables - Part 2'!$AX$6:$BA$13,MATCH(HSC_Hydrofluoric_Acid!T14,'Tables - Part 2'!$AV$6:$AV$13,0),MATCH(HSC_Hydrofluoric_Acid!R14,'Tables - Part 2'!$AX$5:$BA$5,0))+INDEX('Tables - Part 2'!$BB$6:$BE$13,MATCH(HSC_Hydrofluoric_Acid!$T14,'Tables - Part 2'!$AV$6:$AV$13,0),MATCH(HSC_Hydrofluoric_Acid!$R14,'Tables - Part 2'!$AX$5:$BA$5,0)))/2))/2)+(INDEX('Tables - Part 2'!$AX$6:$BA$13,MATCH(HSC_Hydrofluoric_Acid!T14,'Tables - Part 2'!$AV$6:$AV$13,0),MATCH(HSC_Hydrofluoric_Acid!R14,'Tables - Part 2'!$AX$5:$BA$5,0))+INDEX('Tables - Part 2'!$BB$6:$BE$13,MATCH(HSC_Hydrofluoric_Acid!$T14,'Tables - Part 2'!$AV$6:$AV$13,0),MATCH(HSC_Hydrofluoric_Acid!$R14,'Tables - Part 2'!$AX$5:$BA$5,0)))/2)/2,0)</f>
        <v>0</v>
      </c>
      <c r="AD14" s="248">
        <f>IF($Q14=$AD$3,(INDEX('Tables - Part 2'!$AX$6:$BA$13,MATCH(HSC_Hydrofluoric_Acid!T14,'Tables - Part 2'!$AV$6:$AV$13,0),MATCH(HSC_Hydrofluoric_Acid!R14,'Tables - Part 2'!$AX$5:$BA$5,0))+INDEX('Tables - Part 2'!$BB$6:$BE$13,MATCH(HSC_Hydrofluoric_Acid!$T14,'Tables - Part 2'!$AV$6:$AV$13,0),MATCH(HSC_Hydrofluoric_Acid!$R14,'Tables - Part 2'!$AX$5:$BA$5,0)))/2,0)</f>
        <v>0</v>
      </c>
      <c r="AE14" s="248">
        <f>IF($Q14=$AE$3,(((INDEX('Tables - Part 2'!$AX$6:$BA$13,MATCH(HSC_Hydrofluoric_Acid!T14,'Tables - Part 2'!$AV$6:$AV$13,0),MATCH(HSC_Hydrofluoric_Acid!R14,'Tables - Part 2'!$AX$5:$BA$5,0))+INDEX('Tables - Part 2'!$BB$6:$BE$13,MATCH(HSC_Hydrofluoric_Acid!$T14,'Tables - Part 2'!$AV$6:$AV$13,0),MATCH(HSC_Hydrofluoric_Acid!$R14,'Tables - Part 2'!$AX$5:$BA$5,0)))/2)+(((INDEX('Tables - Part 2'!$AX$6:$BA$13,MATCH(HSC_Hydrofluoric_Acid!T14,'Tables - Part 2'!$AV$6:$AV$13,0),MATCH(HSC_Hydrofluoric_Acid!R14,'Tables - Part 2'!$AX$5:$BA$5,0))+INDEX('Tables - Part 2'!$BB$6:$BE$13,MATCH(HSC_Hydrofluoric_Acid!$T14,'Tables - Part 2'!$AV$6:$AV$13,0),MATCH(HSC_Hydrofluoric_Acid!$R14,'Tables - Part 2'!$AX$5:$BA$5,0)))/2)+INDEX('Tables - Part 2'!$BB$6:$BE$13,MATCH(HSC_Hydrofluoric_Acid!$T14,'Tables - Part 2'!$AV$6:$AV$13,0),MATCH(HSC_Hydrofluoric_Acid!$R14,'Tables - Part 2'!$AX$5:$BA$5,0)))/2)/2,0)</f>
        <v>0</v>
      </c>
      <c r="AF14" s="248">
        <f>IF($Q14=$AF$3,(((INDEX('Tables - Part 2'!$AX$6:$BA$13,MATCH(HSC_Hydrofluoric_Acid!T14,'Tables - Part 2'!$AV$6:$AV$13,0),MATCH(HSC_Hydrofluoric_Acid!R14,'Tables - Part 2'!$AX$5:$BA$5,0))+INDEX('Tables - Part 2'!$BB$6:$BE$13,MATCH(HSC_Hydrofluoric_Acid!$T14,'Tables - Part 2'!$AV$6:$AV$13,0),MATCH(HSC_Hydrofluoric_Acid!$R14,'Tables - Part 2'!$AX$5:$BA$5,0)))/2)+INDEX('Tables - Part 2'!$BB$6:$BE$13,MATCH(HSC_Hydrofluoric_Acid!$T14,'Tables - Part 2'!$AV$6:$AV$13,0),MATCH(HSC_Hydrofluoric_Acid!$R14,'Tables - Part 2'!$AX$5:$BA$5,0)))/2,0)</f>
        <v>0</v>
      </c>
      <c r="AG14" s="248">
        <f>IF($Q14=$AG$3,(((((INDEX('Tables - Part 2'!$AX$6:$BA$13,MATCH(HSC_Hydrofluoric_Acid!T14,'Tables - Part 2'!$AV$6:$AV$13,0),MATCH(HSC_Hydrofluoric_Acid!R14,'Tables - Part 2'!$AX$5:$BA$5,0))+INDEX('Tables - Part 2'!$BB$6:$BE$13,MATCH(HSC_Hydrofluoric_Acid!$T14,'Tables - Part 2'!$AV$6:$AV$13,0),MATCH(HSC_Hydrofluoric_Acid!$R14,'Tables - Part 2'!$AX$5:$BA$5,0)))/2)+INDEX('Tables - Part 2'!$BB$6:$BE$13,MATCH(HSC_Hydrofluoric_Acid!$T14,'Tables - Part 2'!$AV$6:$AV$13,0),MATCH(HSC_Hydrofluoric_Acid!$R14,'Tables - Part 2'!$AX$5:$BA$5,0)))/2)+INDEX('Tables - Part 2'!$BB$6:$BE$13,MATCH(HSC_Hydrofluoric_Acid!$T14,'Tables - Part 2'!$AV$6:$AV$13,0),MATCH(HSC_Hydrofluoric_Acid!$R14,'Tables - Part 2'!$AX$5:$BA$5,0)))/2,0)</f>
        <v>0</v>
      </c>
      <c r="AH14" s="248">
        <f>IF($Q14=$AH$3,INDEX('Tables - Part 2'!$BB$6:$BE$13,MATCH(HSC_Hydrofluoric_Acid!$T14,'Tables - Part 2'!$AV$6:$AV$13,0),MATCH(HSC_Hydrofluoric_Acid!$R14,'Tables - Part 2'!$AX$5:$BA$5,0)),0)</f>
        <v>0</v>
      </c>
      <c r="AI14" s="248">
        <f>IF($Q14=$AI$3,((INDEX('Tables - Part 2'!$BB$6:$BE$13,MATCH(HSC_Hydrofluoric_Acid!$T14,'Tables - Part 2'!$AV$6:$AV$13,0),MATCH(HSC_Hydrofluoric_Acid!$R14,'Tables - Part 2'!$AX$5:$BA$5,0)))+(INDEX('Tables - Part 2'!$BB$6:$BE$13,MATCH(HSC_Hydrofluoric_Acid!$T14,'Tables - Part 2'!$AV$6:$AV$13,0),MATCH(HSC_Hydrofluoric_Acid!$R14,'Tables - Part 2'!$AX$5:$BA$5,0))+(INDEX('Tables - Part 2'!$BB$6:$BE$13,MATCH(HSC_Hydrofluoric_Acid!$T14,'Tables - Part 2'!$AV$6:$AV$13,0),MATCH(HSC_Hydrofluoric_Acid!$R14,'Tables - Part 2'!$AX$5:$BA$5,0))+INDEX('Tables - Part 2'!$BF$6:$BI$13,MATCH(HSC_Hydrofluoric_Acid!$T14,'Tables - Part 2'!$AV$6:$AV$13,0),MATCH(HSC_Hydrofluoric_Acid!$R14,'Tables - Part 2'!$AX$5:$BA$5,0)))/2)/2)/2,0)</f>
        <v>0</v>
      </c>
      <c r="AJ14" s="248">
        <f>IF($Q14=$AJ$3,(INDEX('Tables - Part 2'!$BB$6:$BE$13,MATCH(HSC_Hydrofluoric_Acid!$T14,'Tables - Part 2'!$AV$6:$AV$13,0),MATCH(HSC_Hydrofluoric_Acid!$R14,'Tables - Part 2'!$AX$5:$BA$5,0))+(INDEX('Tables - Part 2'!$BB$6:$BE$13,MATCH(HSC_Hydrofluoric_Acid!$T14,'Tables - Part 2'!$AV$6:$AV$13,0),MATCH(HSC_Hydrofluoric_Acid!$R14,'Tables - Part 2'!$AX$5:$BA$5,0))+INDEX('Tables - Part 2'!$BF$6:$BI$13,MATCH(HSC_Hydrofluoric_Acid!$T14,'Tables - Part 2'!$AV$6:$AV$13,0),MATCH(HSC_Hydrofluoric_Acid!$R14,'Tables - Part 2'!$AX$5:$BA$5,0)))/2)/2,0)</f>
        <v>0</v>
      </c>
      <c r="AK14" s="248">
        <f>IF($Q14=$AK$3,(((INDEX('Tables - Part 2'!$BB$6:$BE$13,MATCH(HSC_Hydrofluoric_Acid!$T14,'Tables - Part 2'!$AV$6:$AV$13,0),MATCH(HSC_Hydrofluoric_Acid!$R14,'Tables - Part 2'!$AX$5:$BA$5,0))+(INDEX('Tables - Part 2'!$BB$6:$BE$13,MATCH(HSC_Hydrofluoric_Acid!$T14,'Tables - Part 2'!$AV$6:$AV$13,0),MATCH(HSC_Hydrofluoric_Acid!$R14,'Tables - Part 2'!$AX$5:$BA$5,0))+INDEX('Tables - Part 2'!$BF$6:$BI$13,MATCH(HSC_Hydrofluoric_Acid!$T14,'Tables - Part 2'!$AV$6:$AV$13,0),MATCH(HSC_Hydrofluoric_Acid!$R14,'Tables - Part 2'!$AX$5:$BA$5,0)))/2)/2)+((INDEX('Tables - Part 2'!$BB$6:$BE$13,MATCH(HSC_Hydrofluoric_Acid!$T14,'Tables - Part 2'!$AV$6:$AV$13,0),MATCH(HSC_Hydrofluoric_Acid!$R14,'Tables - Part 2'!$AX$5:$BA$5,0))+INDEX('Tables - Part 2'!$BF$6:$BI$13,MATCH(HSC_Hydrofluoric_Acid!$T14,'Tables - Part 2'!$AV$6:$AV$13,0),MATCH(HSC_Hydrofluoric_Acid!$R14,'Tables - Part 2'!$AX$5:$BA$5,0)))/2))/2,0)</f>
        <v>0</v>
      </c>
      <c r="AL14" s="248">
        <f>IF($Q14=$AL$3,(INDEX('Tables - Part 2'!$BB$6:$BE$13,MATCH(HSC_Hydrofluoric_Acid!$T14,'Tables - Part 2'!$AV$6:$AV$13,0),MATCH(HSC_Hydrofluoric_Acid!$R14,'Tables - Part 2'!$AX$5:$BA$5,0))+INDEX('Tables - Part 2'!$BF$6:$BI$13,MATCH(HSC_Hydrofluoric_Acid!$T14,'Tables - Part 2'!$AV$6:$AV$13,0),MATCH(HSC_Hydrofluoric_Acid!$R14,'Tables - Part 2'!$AX$5:$BA$5,0)))/2,0)</f>
        <v>1</v>
      </c>
      <c r="AM14" s="248">
        <f>IF($Q14=$AM$3,(((INDEX('Tables - Part 2'!$BB$6:$BE$13,MATCH(HSC_Hydrofluoric_Acid!$T14,'Tables - Part 2'!$AV$6:$AV$13,0),MATCH(HSC_Hydrofluoric_Acid!$R14,'Tables - Part 2'!$AX$5:$BA$5,0))+INDEX('Tables - Part 2'!$BF$6:$BI$13,MATCH(HSC_Hydrofluoric_Acid!$T14,'Tables - Part 2'!$AV$6:$AV$13,0),MATCH(HSC_Hydrofluoric_Acid!$R14,'Tables - Part 2'!$AX$5:$BA$5,0)))/2)+((((INDEX('Tables - Part 2'!$BB$6:$BE$13,MATCH(HSC_Hydrofluoric_Acid!$T14,'Tables - Part 2'!$AV$6:$AV$13,0),MATCH(HSC_Hydrofluoric_Acid!$R14,'Tables - Part 2'!$AX$5:$BA$5,0))+INDEX('Tables - Part 2'!$BF$6:$BI$13,MATCH(HSC_Hydrofluoric_Acid!$T14,'Tables - Part 2'!$AV$6:$AV$13,0),MATCH(HSC_Hydrofluoric_Acid!$R14,'Tables - Part 2'!$AX$5:$BA$5,0)))/2)+INDEX('Tables - Part 2'!$BF$6:$BI$13,MATCH(HSC_Hydrofluoric_Acid!$T14,'Tables - Part 2'!$AV$6:$AV$13,0),MATCH(HSC_Hydrofluoric_Acid!$R14,'Tables - Part 2'!$AX$5:$BA$5,0)))/2))/2,0)</f>
        <v>0</v>
      </c>
      <c r="AN14" s="248">
        <f>IF($Q14=$AN$3,(((INDEX('Tables - Part 2'!$BB$6:$BE$13,MATCH(HSC_Hydrofluoric_Acid!$T14,'Tables - Part 2'!$AV$6:$AV$13,0),MATCH(HSC_Hydrofluoric_Acid!$R14,'Tables - Part 2'!$AX$5:$BA$5,0))+INDEX('Tables - Part 2'!$BF$6:$BI$13,MATCH(HSC_Hydrofluoric_Acid!$T14,'Tables - Part 2'!$AV$6:$AV$13,0),MATCH(HSC_Hydrofluoric_Acid!$R14,'Tables - Part 2'!$AX$5:$BA$5,0)))/2)+INDEX('Tables - Part 2'!$BF$6:$BI$13,MATCH(HSC_Hydrofluoric_Acid!$T14,'Tables - Part 2'!$AV$6:$AV$13,0),MATCH(HSC_Hydrofluoric_Acid!$R14,'Tables - Part 2'!$AX$5:$BA$5,0)))/2,0)</f>
        <v>0</v>
      </c>
      <c r="AO14" s="248">
        <f>IF($Q14=$AO$3,(((((INDEX('Tables - Part 2'!$BB$6:$BE$13,MATCH(HSC_Hydrofluoric_Acid!$T14,'Tables - Part 2'!$AV$6:$AV$13,0),MATCH(HSC_Hydrofluoric_Acid!$R14,'Tables - Part 2'!$AX$5:$BA$5,0))+INDEX('Tables - Part 2'!$BF$6:$BI$13,MATCH(HSC_Hydrofluoric_Acid!$T14,'Tables - Part 2'!$AV$6:$AV$13,0),MATCH(HSC_Hydrofluoric_Acid!$R14,'Tables - Part 2'!$AX$5:$BA$5,0)))/2)+INDEX('Tables - Part 2'!$BF$6:$BI$13,MATCH(HSC_Hydrofluoric_Acid!$T14,'Tables - Part 2'!$AV$6:$AV$13,0),MATCH(HSC_Hydrofluoric_Acid!$R14,'Tables - Part 2'!$AX$5:$BA$5,0)))/2)+INDEX('Tables - Part 2'!$BF$6:$BI$13,MATCH(HSC_Hydrofluoric_Acid!$T14,'Tables - Part 2'!$AV$6:$AV$13,0),MATCH(HSC_Hydrofluoric_Acid!$R14,'Tables - Part 2'!$AX$5:$BA$5,0)))/2,0)</f>
        <v>0</v>
      </c>
      <c r="AP14" s="248">
        <f>IF($Q14=$AP$3,INDEX('Tables - Part 2'!$BF$6:$BI$13,MATCH(HSC_Hydrofluoric_Acid!$T14,'Tables - Part 2'!$AV$6:$AV$13,0),MATCH(HSC_Hydrofluoric_Acid!$R14,'Tables - Part 2'!$AX$5:$BA$5,0)),0)</f>
        <v>0</v>
      </c>
      <c r="AQ14" s="248">
        <f>IF($Q14=$AQ$3,(INDEX('Tables - Part 2'!$BF$6:$BI$13,MATCH(HSC_Hydrofluoric_Acid!$T14,'Tables - Part 2'!$AV$6:$AV$13,0),MATCH(HSC_Hydrofluoric_Acid!$R14,'Tables - Part 2'!$AX$5:$BA$5,0))+((INDEX('Tables - Part 2'!$BF$6:$BI$13,MATCH(HSC_Hydrofluoric_Acid!$T14,'Tables - Part 2'!$AV$6:$AV$13,0),MATCH(HSC_Hydrofluoric_Acid!$R14,'Tables - Part 2'!$AX$5:$BA$5,0))+(INDEX('Tables - Part 2'!$BF$6:$BI$13,MATCH(HSC_Hydrofluoric_Acid!$T14,'Tables - Part 2'!$AV$6:$AV$13,0),MATCH(HSC_Hydrofluoric_Acid!$R14,'Tables - Part 2'!$AX$5:$BA$5,0))+INDEX('Tables - Part 2'!$AX$17:$BA$24,MATCH(HSC_Hydrofluoric_Acid!$T14,'Tables - Part 2'!$AV$6:$AV$13,0),MATCH(HSC_Hydrofluoric_Acid!$R14,'Tables - Part 2'!$AX$5:$BA$5,0)))/2)/2))/2,0)</f>
        <v>0</v>
      </c>
      <c r="AR14" s="248">
        <f>IF($Q14=$AR$3,(INDEX('Tables - Part 2'!$BF$6:$BI$13,MATCH(HSC_Hydrofluoric_Acid!$T14,'Tables - Part 2'!$AV$6:$AV$13,0),MATCH(HSC_Hydrofluoric_Acid!$R14,'Tables - Part 2'!$AX$5:$BA$5,0))+(INDEX('Tables - Part 2'!$BF$6:$BI$13,MATCH(HSC_Hydrofluoric_Acid!$T14,'Tables - Part 2'!$AV$6:$AV$13,0),MATCH(HSC_Hydrofluoric_Acid!$R14,'Tables - Part 2'!$AX$5:$BA$5,0))+INDEX('Tables - Part 2'!$AX$17:$BA$24,MATCH(HSC_Hydrofluoric_Acid!$T14,'Tables - Part 2'!$AV$6:$AV$13,0),MATCH(HSC_Hydrofluoric_Acid!$R14,'Tables - Part 2'!$AX$5:$BA$5,0)))/2)/2,0)</f>
        <v>0</v>
      </c>
      <c r="AS14" s="248">
        <f>IF($Q14=$AS$3,(((INDEX('Tables - Part 2'!$BF$6:$BI$13,MATCH(HSC_Hydrofluoric_Acid!$T14,'Tables - Part 2'!$AV$6:$AV$13,0),MATCH(HSC_Hydrofluoric_Acid!$R14,'Tables - Part 2'!$AX$5:$BA$5,0))+(INDEX('Tables - Part 2'!$BF$6:$BI$13,MATCH(HSC_Hydrofluoric_Acid!$T14,'Tables - Part 2'!$AV$6:$AV$13,0),MATCH(HSC_Hydrofluoric_Acid!$R14,'Tables - Part 2'!$AX$5:$BA$5,0))+INDEX('Tables - Part 2'!$AX$17:$BA$24,MATCH(HSC_Hydrofluoric_Acid!$T14,'Tables - Part 2'!$AV$6:$AV$13,0),MATCH(HSC_Hydrofluoric_Acid!$R14,'Tables - Part 2'!$AX$5:$BA$5,0)))/2)/2)+((INDEX('Tables - Part 2'!$BF$6:$BI$13,MATCH(HSC_Hydrofluoric_Acid!$T14,'Tables - Part 2'!$AV$6:$AV$13,0),MATCH(HSC_Hydrofluoric_Acid!$R14,'Tables - Part 2'!$AX$5:$BA$5,0))+INDEX('Tables - Part 2'!$AX$17:$BA$24,MATCH(HSC_Hydrofluoric_Acid!$T14,'Tables - Part 2'!$AV$6:$AV$13,0),MATCH(HSC_Hydrofluoric_Acid!$R14,'Tables - Part 2'!$AX$5:$BA$5,0)))/2))/2,0)</f>
        <v>0</v>
      </c>
      <c r="AT14" s="248">
        <f>IF($Q14=$AT$3,(INDEX('Tables - Part 2'!$BF$6:$BI$13,MATCH(HSC_Hydrofluoric_Acid!$T14,'Tables - Part 2'!$AV$6:$AV$13,0),MATCH(HSC_Hydrofluoric_Acid!$R14,'Tables - Part 2'!$AX$5:$BA$5,0))+INDEX('Tables - Part 2'!$AX$17:$BA$24,MATCH(HSC_Hydrofluoric_Acid!$T14,'Tables - Part 2'!$AV$6:$AV$13,0),MATCH(HSC_Hydrofluoric_Acid!$R14,'Tables - Part 2'!$AX$5:$BA$5,0)))/2,0)</f>
        <v>0</v>
      </c>
      <c r="AU14" s="248">
        <f>IF($Q14=$AU$3,(((INDEX('Tables - Part 2'!$BF$6:$BI$13,MATCH(HSC_Hydrofluoric_Acid!$T14,'Tables - Part 2'!$AV$6:$AV$13,0),MATCH(HSC_Hydrofluoric_Acid!$R14,'Tables - Part 2'!$AX$5:$BA$5,0))+INDEX('Tables - Part 2'!$AX$17:$BA$24,MATCH(HSC_Hydrofluoric_Acid!$T14,'Tables - Part 2'!$AV$6:$AV$13,0),MATCH(HSC_Hydrofluoric_Acid!$R14,'Tables - Part 2'!$AX$5:$BA$5,0)))/2)+((((INDEX('Tables - Part 2'!$BF$6:$BI$13,MATCH(HSC_Hydrofluoric_Acid!$T14,'Tables - Part 2'!$AV$6:$AV$13,0),MATCH(HSC_Hydrofluoric_Acid!$R14,'Tables - Part 2'!$AX$5:$BA$5,0))+INDEX('Tables - Part 2'!$AX$17:$BA$24,MATCH(HSC_Hydrofluoric_Acid!$T14,'Tables - Part 2'!$AV$6:$AV$13,0),MATCH(HSC_Hydrofluoric_Acid!$R14,'Tables - Part 2'!$AX$5:$BA$5,0)))/2)+INDEX('Tables - Part 2'!$AX$17:$BA$24,MATCH(HSC_Hydrofluoric_Acid!$T14,'Tables - Part 2'!$AV$6:$AV$13,0),MATCH(HSC_Hydrofluoric_Acid!$R14,'Tables - Part 2'!$AX$5:$BA$5,0)))/2))/2,0)</f>
        <v>0</v>
      </c>
      <c r="AV14" s="248">
        <f>IF($Q14=$AV$3,(((INDEX('Tables - Part 2'!$BF$6:$BI$13,MATCH(HSC_Hydrofluoric_Acid!$T14,'Tables - Part 2'!$AV$6:$AV$13,0),MATCH(HSC_Hydrofluoric_Acid!$R14,'Tables - Part 2'!$AX$5:$BA$5,0))+INDEX('Tables - Part 2'!$AX$17:$BA$24,MATCH(HSC_Hydrofluoric_Acid!$T14,'Tables - Part 2'!$AV$6:$AV$13,0),MATCH(HSC_Hydrofluoric_Acid!$R14,'Tables - Part 2'!$AX$5:$BA$5,0)))/2)+INDEX('Tables - Part 2'!$AX$17:$BA$24,MATCH(HSC_Hydrofluoric_Acid!$T14,'Tables - Part 2'!$AV$6:$AV$13,0),MATCH(HSC_Hydrofluoric_Acid!$R14,'Tables - Part 2'!$AX$5:$BA$5,0)))/2,0)</f>
        <v>0</v>
      </c>
      <c r="AW14" s="248">
        <f>IF($Q14=$AW$3,(((((INDEX('Tables - Part 2'!$BF$6:$BI$13,MATCH(HSC_Hydrofluoric_Acid!$T14,'Tables - Part 2'!$AV$6:$AV$13,0),MATCH(HSC_Hydrofluoric_Acid!$R14,'Tables - Part 2'!$AX$5:$BA$5,0))+INDEX('Tables - Part 2'!$AX$17:$BA$24,MATCH(HSC_Hydrofluoric_Acid!$T14,'Tables - Part 2'!$AV$6:$AV$13,0),MATCH(HSC_Hydrofluoric_Acid!$R14,'Tables - Part 2'!$AX$5:$BA$5,0)))/2)+INDEX('Tables - Part 2'!$AX$17:$BA$24,MATCH(HSC_Hydrofluoric_Acid!$T14,'Tables - Part 2'!$AV$6:$AV$13,0),MATCH(HSC_Hydrofluoric_Acid!$R14,'Tables - Part 2'!$AX$5:$BA$5,0)))/2)+(INDEX('Tables - Part 2'!$AX$17:$BA$24,MATCH(HSC_Hydrofluoric_Acid!$T14,'Tables - Part 2'!$AV$6:$AV$13,0),MATCH(HSC_Hydrofluoric_Acid!$R14,'Tables - Part 2'!$AX$5:$BA$5,0))))/2,0)</f>
        <v>0</v>
      </c>
      <c r="AX14" s="248">
        <f>IF($Q14=$AX$3,INDEX('Tables - Part 2'!$AX$17:$BA$24,MATCH(HSC_Hydrofluoric_Acid!$T14,'Tables - Part 2'!$AV$6:$AV$13,0),MATCH(HSC_Hydrofluoric_Acid!$R14,'Tables - Part 2'!$AX$5:$BA$5,0)),0)</f>
        <v>0</v>
      </c>
      <c r="AY14" s="248">
        <f>IF($Q14=$AY$3,((INDEX('Tables - Part 2'!$AX$17:$BA$24,MATCH(HSC_Hydrofluoric_Acid!$T14,'Tables - Part 2'!$AV$6:$AV$13,0),MATCH(HSC_Hydrofluoric_Acid!$R14,'Tables - Part 2'!$AX$5:$BA$5,0)))+(((INDEX('Tables - Part 2'!$AX$17:$BA$24,MATCH(HSC_Hydrofluoric_Acid!$T14,'Tables - Part 2'!$AV$6:$AV$13,0),MATCH(HSC_Hydrofluoric_Acid!$R14,'Tables - Part 2'!$AX$5:$BA$5,0)))+(INDEX('Tables - Part 2'!$AX$17:$BA$24,MATCH(HSC_Hydrofluoric_Acid!$T14,'Tables - Part 2'!$AV$6:$AV$13,0),MATCH(HSC_Hydrofluoric_Acid!$R14,'Tables - Part 2'!$AX$5:$BA$5,0))+INDEX('Tables - Part 2'!$BB$17:$BE$24,MATCH(HSC_Hydrofluoric_Acid!$T14,'Tables - Part 2'!$AV$6:$AV$13,0),MATCH(HSC_Hydrofluoric_Acid!$R14,'Tables - Part 2'!$AX$5:$BA$5,0)))/2)/2))/2,0)</f>
        <v>0</v>
      </c>
      <c r="AZ14" s="248">
        <f>IF($Q14=$AZ$3,((INDEX('Tables - Part 2'!$AX$17:$BA$24,MATCH(HSC_Hydrofluoric_Acid!$T14,'Tables - Part 2'!$AV$6:$AV$13,0),MATCH(HSC_Hydrofluoric_Acid!$R14,'Tables - Part 2'!$AX$5:$BA$5,0)))+(INDEX('Tables - Part 2'!$AX$17:$BA$24,MATCH(HSC_Hydrofluoric_Acid!$T14,'Tables - Part 2'!$AV$6:$AV$13,0),MATCH(HSC_Hydrofluoric_Acid!$R14,'Tables - Part 2'!$AX$5:$BA$5,0))+INDEX('Tables - Part 2'!$BB$17:$BE$24,MATCH(HSC_Hydrofluoric_Acid!$T14,'Tables - Part 2'!$AV$6:$AV$13,0),MATCH(HSC_Hydrofluoric_Acid!$R14,'Tables - Part 2'!$AX$5:$BA$5,0)))/2)/2,0)</f>
        <v>0</v>
      </c>
      <c r="BA14" s="248">
        <f>IF($Q14=$BA$3,((((INDEX('Tables - Part 2'!$AX$17:$BA$24,MATCH(HSC_Hydrofluoric_Acid!$T14,'Tables - Part 2'!$AV$6:$AV$13,0),MATCH(HSC_Hydrofluoric_Acid!$R14,'Tables - Part 2'!$AX$5:$BA$5,0)))+(INDEX('Tables - Part 2'!$AX$17:$BA$24,MATCH(HSC_Hydrofluoric_Acid!$T14,'Tables - Part 2'!$AV$6:$AV$13,0),MATCH(HSC_Hydrofluoric_Acid!$R14,'Tables - Part 2'!$AX$5:$BA$5,0))+INDEX('Tables - Part 2'!$BB$17:$BE$24,MATCH(HSC_Hydrofluoric_Acid!$T14,'Tables - Part 2'!$AV$6:$AV$13,0),MATCH(HSC_Hydrofluoric_Acid!$R14,'Tables - Part 2'!$AX$5:$BA$5,0)))/2)/2)+((INDEX('Tables - Part 2'!$AX$17:$BA$24,MATCH(HSC_Hydrofluoric_Acid!$T14,'Tables - Part 2'!$AV$6:$AV$13,0),MATCH(HSC_Hydrofluoric_Acid!$R14,'Tables - Part 2'!$AX$5:$BA$5,0))+INDEX('Tables - Part 2'!$BB$17:$BE$24,MATCH(HSC_Hydrofluoric_Acid!$T14,'Tables - Part 2'!$AV$6:$AV$13,0),MATCH(HSC_Hydrofluoric_Acid!$R14,'Tables - Part 2'!$AX$5:$BA$5,0)))/2))/2,0)</f>
        <v>0</v>
      </c>
      <c r="BB14" s="248">
        <f>IF($Q14=$BB$3,(INDEX('Tables - Part 2'!$AX$17:$BA$24,MATCH(HSC_Hydrofluoric_Acid!$T14,'Tables - Part 2'!$AV$6:$AV$13,0),MATCH(HSC_Hydrofluoric_Acid!$R14,'Tables - Part 2'!$AX$5:$BA$5,0))+INDEX('Tables - Part 2'!$BB$17:$BE$24,MATCH(HSC_Hydrofluoric_Acid!$T14,'Tables - Part 2'!$AV$6:$AV$13,0),MATCH(HSC_Hydrofluoric_Acid!$R14,'Tables - Part 2'!$AX$5:$BA$5,0)))/2,0)</f>
        <v>0</v>
      </c>
      <c r="BC14" s="248">
        <f>IF($Q14=$BC$3,(((INDEX('Tables - Part 2'!$AX$17:$BA$24,MATCH(HSC_Hydrofluoric_Acid!$T14,'Tables - Part 2'!$AV$6:$AV$13,0),MATCH(HSC_Hydrofluoric_Acid!$R14,'Tables - Part 2'!$AX$5:$BA$5,0))+INDEX('Tables - Part 2'!$BB$17:$BE$24,MATCH(HSC_Hydrofluoric_Acid!$T14,'Tables - Part 2'!$AV$6:$AV$13,0),MATCH(HSC_Hydrofluoric_Acid!$R14,'Tables - Part 2'!$AX$5:$BA$5,0)))/2)+((((INDEX('Tables - Part 2'!$AX$17:$BA$24,MATCH(HSC_Hydrofluoric_Acid!$T14,'Tables - Part 2'!$AV$6:$AV$13,0),MATCH(HSC_Hydrofluoric_Acid!$R14,'Tables - Part 2'!$AX$5:$BA$5,0))+INDEX('Tables - Part 2'!$BB$17:$BE$24,MATCH(HSC_Hydrofluoric_Acid!$T14,'Tables - Part 2'!$AV$6:$AV$13,0),MATCH(HSC_Hydrofluoric_Acid!$R14,'Tables - Part 2'!$AX$5:$BA$5,0)))/2)+INDEX('Tables - Part 2'!$BB$17:$BE$24,MATCH(HSC_Hydrofluoric_Acid!$T14,'Tables - Part 2'!$AV$6:$AV$13,0),MATCH(HSC_Hydrofluoric_Acid!$R14,'Tables - Part 2'!$AX$5:$BA$5,0)))/2))/2,0)</f>
        <v>0</v>
      </c>
      <c r="BD14" s="248">
        <f>IF($Q14=$BD$3,(((INDEX('Tables - Part 2'!$AX$17:$BA$24,MATCH(HSC_Hydrofluoric_Acid!$T14,'Tables - Part 2'!$AV$6:$AV$13,0),MATCH(HSC_Hydrofluoric_Acid!$R14,'Tables - Part 2'!$AX$5:$BA$5,0))+INDEX('Tables - Part 2'!$BB$17:$BE$24,MATCH(HSC_Hydrofluoric_Acid!$T14,'Tables - Part 2'!$AV$6:$AV$13,0),MATCH(HSC_Hydrofluoric_Acid!$R14,'Tables - Part 2'!$AX$5:$BA$5,0)))/2)+INDEX('Tables - Part 2'!$BB$17:$BE$24,MATCH(HSC_Hydrofluoric_Acid!$T14,'Tables - Part 2'!$AV$6:$AV$13,0),MATCH(HSC_Hydrofluoric_Acid!$R14,'Tables - Part 2'!$AX$5:$BA$5,0)))/2,0)</f>
        <v>0</v>
      </c>
      <c r="BE14" s="248">
        <f>IF($Q14=$BE$3,(((((INDEX('Tables - Part 2'!$AX$17:$BA$24,MATCH(HSC_Hydrofluoric_Acid!$T14,'Tables - Part 2'!$AV$6:$AV$13,0),MATCH(HSC_Hydrofluoric_Acid!$R14,'Tables - Part 2'!$AX$5:$BA$5,0))+INDEX('Tables - Part 2'!$BB$17:$BE$24,MATCH(HSC_Hydrofluoric_Acid!$T14,'Tables - Part 2'!$AV$6:$AV$13,0),MATCH(HSC_Hydrofluoric_Acid!$R14,'Tables - Part 2'!$AX$5:$BA$5,0)))/2)+INDEX('Tables - Part 2'!$BB$17:$BE$24,MATCH(HSC_Hydrofluoric_Acid!$T14,'Tables - Part 2'!$AV$6:$AV$13,0),MATCH(HSC_Hydrofluoric_Acid!$R14,'Tables - Part 2'!$AX$5:$BA$5,0)))/2)+(INDEX('Tables - Part 2'!$BB$17:$BE$24,MATCH(HSC_Hydrofluoric_Acid!$T14,'Tables - Part 2'!$AV$6:$AV$13,0),MATCH(HSC_Hydrofluoric_Acid!$R14,'Tables - Part 2'!$AX$5:$BA$5,0))))/2,0)</f>
        <v>0</v>
      </c>
      <c r="BF14" s="248">
        <f>IF($Q14=$BF$3,INDEX('Tables - Part 2'!$BB$17:$BE$24,MATCH(HSC_Hydrofluoric_Acid!$T14,'Tables - Part 2'!$AV$6:$AV$13,0),MATCH(HSC_Hydrofluoric_Acid!$R14,'Tables - Part 2'!$AX$5:$BA$5,0)),0)</f>
        <v>0</v>
      </c>
      <c r="BG14" s="248">
        <f>IF($Q14=$BG$3,((INDEX('Tables - Part 2'!$BB$17:$BE$24,MATCH(HSC_Hydrofluoric_Acid!$T14,'Tables - Part 2'!$AV$6:$AV$13,0),MATCH(HSC_Hydrofluoric_Acid!$R14,'Tables - Part 2'!$AX$5:$BA$5,0)))+(((INDEX('Tables - Part 2'!$BB$17:$BE$24,MATCH(HSC_Hydrofluoric_Acid!$T14,'Tables - Part 2'!$AV$6:$AV$13,0),MATCH(HSC_Hydrofluoric_Acid!$R14,'Tables - Part 2'!$AX$5:$BA$5,0)))+(INDEX('Tables - Part 2'!$BB$17:$BE$24,MATCH(HSC_Hydrofluoric_Acid!$T14,'Tables - Part 2'!$AV$6:$AV$13,0),MATCH(HSC_Hydrofluoric_Acid!$R14,'Tables - Part 2'!$AX$5:$BA$5,0))+INDEX('Tables - Part 2'!$BF$17:$BI$24,MATCH(HSC_Hydrofluoric_Acid!$T14,'Tables - Part 2'!$AV$6:$AV$13,0),MATCH(HSC_Hydrofluoric_Acid!$R14,'Tables - Part 2'!$AX$5:$BA$5,0)))/2)/2))/2,0)</f>
        <v>0</v>
      </c>
      <c r="BH14" s="248">
        <f>IF($Q14=$BH$3,((INDEX('Tables - Part 2'!$BB$17:$BE$24,MATCH(HSC_Hydrofluoric_Acid!$T14,'Tables - Part 2'!$AV$6:$AV$13,0),MATCH(HSC_Hydrofluoric_Acid!$R14,'Tables - Part 2'!$AX$5:$BA$5,0)))+(INDEX('Tables - Part 2'!$BB$17:$BE$24,MATCH(HSC_Hydrofluoric_Acid!$T14,'Tables - Part 2'!$AV$6:$AV$13,0),MATCH(HSC_Hydrofluoric_Acid!$R14,'Tables - Part 2'!$AX$5:$BA$5,0))+INDEX('Tables - Part 2'!$BF$17:$BI$24,MATCH(HSC_Hydrofluoric_Acid!$T14,'Tables - Part 2'!$AV$6:$AV$13,0),MATCH(HSC_Hydrofluoric_Acid!$R14,'Tables - Part 2'!$AX$5:$BA$5,0)))/2)/2,0)</f>
        <v>0</v>
      </c>
      <c r="BI14" s="248">
        <f>IF($Q14=$BI$3,((((INDEX('Tables - Part 2'!$BB$17:$BE$24,MATCH(HSC_Hydrofluoric_Acid!$T14,'Tables - Part 2'!$AV$6:$AV$13,0),MATCH(HSC_Hydrofluoric_Acid!$R14,'Tables - Part 2'!$AX$5:$BA$5,0)))+(INDEX('Tables - Part 2'!$BB$17:$BE$24,MATCH(HSC_Hydrofluoric_Acid!$T14,'Tables - Part 2'!$AV$6:$AV$13,0),MATCH(HSC_Hydrofluoric_Acid!$R14,'Tables - Part 2'!$AX$5:$BA$5,0))+INDEX('Tables - Part 2'!$BF$17:$BI$24,MATCH(HSC_Hydrofluoric_Acid!$T14,'Tables - Part 2'!$AV$6:$AV$13,0),MATCH(HSC_Hydrofluoric_Acid!$R14,'Tables - Part 2'!$AX$5:$BA$5,0)))/2)/2)+((INDEX('Tables - Part 2'!$BB$17:$BE$24,MATCH(HSC_Hydrofluoric_Acid!$T14,'Tables - Part 2'!$AV$6:$AV$13,0),MATCH(HSC_Hydrofluoric_Acid!$R14,'Tables - Part 2'!$AX$5:$BA$5,0))+INDEX('Tables - Part 2'!$BF$17:$BI$24,MATCH(HSC_Hydrofluoric_Acid!$T14,'Tables - Part 2'!$AV$6:$AV$13,0),MATCH(HSC_Hydrofluoric_Acid!$R14,'Tables - Part 2'!$AX$5:$BA$5,0)))/2))/2,0)</f>
        <v>0</v>
      </c>
      <c r="BJ14" s="248">
        <f>IF($Q14=$BJ$3,(INDEX('Tables - Part 2'!$BB$17:$BE$24,MATCH(HSC_Hydrofluoric_Acid!$T14,'Tables - Part 2'!$AV$6:$AV$13,0),MATCH(HSC_Hydrofluoric_Acid!$R14,'Tables - Part 2'!$AX$5:$BA$5,0))+INDEX('Tables - Part 2'!$BF$17:$BI$24,MATCH(HSC_Hydrofluoric_Acid!$T14,'Tables - Part 2'!$AV$6:$AV$13,0),MATCH(HSC_Hydrofluoric_Acid!$R14,'Tables - Part 2'!$AX$5:$BA$5,0)))/2,0)</f>
        <v>0</v>
      </c>
      <c r="BK14" s="248">
        <f>IF($Q14=$BK$3,(((INDEX('Tables - Part 2'!$BB$17:$BE$24,MATCH(HSC_Hydrofluoric_Acid!$T14,'Tables - Part 2'!$AV$6:$AV$13,0),MATCH(HSC_Hydrofluoric_Acid!$R14,'Tables - Part 2'!$AX$5:$BA$5,0))+INDEX('Tables - Part 2'!$BF$17:$BI$24,MATCH(HSC_Hydrofluoric_Acid!$T14,'Tables - Part 2'!$AV$6:$AV$13,0),MATCH(HSC_Hydrofluoric_Acid!$R14,'Tables - Part 2'!$AX$5:$BA$5,0)))/2)+((((INDEX('Tables - Part 2'!$BB$17:$BE$24,MATCH(HSC_Hydrofluoric_Acid!$T14,'Tables - Part 2'!$AV$6:$AV$13,0),MATCH(HSC_Hydrofluoric_Acid!$R14,'Tables - Part 2'!$AX$5:$BA$5,0))+INDEX('Tables - Part 2'!$BF$17:$BI$24,MATCH(HSC_Hydrofluoric_Acid!$T14,'Tables - Part 2'!$AV$6:$AV$13,0),MATCH(HSC_Hydrofluoric_Acid!$R14,'Tables - Part 2'!$AX$5:$BA$5,0)))/2)+INDEX('Tables - Part 2'!$BF$17:$BI$24,MATCH(HSC_Hydrofluoric_Acid!$T14,'Tables - Part 2'!$AV$6:$AV$13,0),MATCH(HSC_Hydrofluoric_Acid!$R14,'Tables - Part 2'!$AX$5:$BA$5,0)))/2))/2,0)</f>
        <v>0</v>
      </c>
      <c r="BL14" s="248">
        <f>IF($Q14=$BL$3,(((INDEX('Tables - Part 2'!$BB$17:$BE$24,MATCH(HSC_Hydrofluoric_Acid!$T14,'Tables - Part 2'!$AV$6:$AV$13,0),MATCH(HSC_Hydrofluoric_Acid!$R14,'Tables - Part 2'!$AX$5:$BA$5,0))+INDEX('Tables - Part 2'!$BF$17:$BI$24,MATCH(HSC_Hydrofluoric_Acid!$T14,'Tables - Part 2'!$AV$6:$AV$13,0),MATCH(HSC_Hydrofluoric_Acid!$R14,'Tables - Part 2'!$AX$5:$BA$5,0)))/2)+INDEX('Tables - Part 2'!$BF$17:$BI$24,MATCH(HSC_Hydrofluoric_Acid!$T14,'Tables - Part 2'!$AV$6:$AV$13,0),MATCH(HSC_Hydrofluoric_Acid!$R14,'Tables - Part 2'!$AX$5:$BA$5,0)))/2,0)</f>
        <v>0</v>
      </c>
      <c r="BM14" s="248">
        <f>IF($Q14=$BM$3,(((((INDEX('Tables - Part 2'!$BB$17:$BE$24,MATCH(HSC_Hydrofluoric_Acid!$T14,'Tables - Part 2'!$AV$6:$AV$13,0),MATCH(HSC_Hydrofluoric_Acid!$R14,'Tables - Part 2'!$AX$5:$BA$5,0))+INDEX('Tables - Part 2'!$BF$17:$BI$24,MATCH(HSC_Hydrofluoric_Acid!$T14,'Tables - Part 2'!$AV$6:$AV$13,0),MATCH(HSC_Hydrofluoric_Acid!$R14,'Tables - Part 2'!$AX$5:$BA$5,0)))/2)+INDEX('Tables - Part 2'!$BF$17:$BI$24,MATCH(HSC_Hydrofluoric_Acid!$T14,'Tables - Part 2'!$AV$6:$AV$13,0),MATCH(HSC_Hydrofluoric_Acid!$R14,'Tables - Part 2'!$AX$5:$BA$5,0)))/2)+(INDEX('Tables - Part 2'!$BF$17:$BI$24,MATCH(HSC_Hydrofluoric_Acid!$T14,'Tables - Part 2'!$AV$6:$AV$13,0),MATCH(HSC_Hydrofluoric_Acid!$R14,'Tables - Part 2'!$AX$5:$BA$5,0))))/2,0)</f>
        <v>0</v>
      </c>
      <c r="BN14" s="248">
        <f>IF($Q14=$BN$3,INDEX('Tables - Part 2'!$BF$17:$BI$24,MATCH(HSC_Hydrofluoric_Acid!$T14,'Tables - Part 2'!$AV$6:$AV$13,0),MATCH(HSC_Hydrofluoric_Acid!$R14,'Tables - Part 2'!$AX$5:$BA$5,0)),0)</f>
        <v>0</v>
      </c>
      <c r="BO14" s="248">
        <f t="shared" si="6"/>
        <v>0</v>
      </c>
      <c r="BP14" s="238">
        <f t="shared" si="8"/>
        <v>1</v>
      </c>
      <c r="BQ14" s="238">
        <f t="shared" si="7"/>
        <v>16.77288246840839</v>
      </c>
    </row>
    <row r="15" spans="2:82" x14ac:dyDescent="0.35">
      <c r="B15" s="161" t="str">
        <f>'Tratamento de Dados'!B23</f>
        <v>V-5</v>
      </c>
      <c r="C15" s="161" t="str">
        <f>'Tratamento de Dados'!D23</f>
        <v>Casco</v>
      </c>
      <c r="D15" s="209" t="s">
        <v>245</v>
      </c>
      <c r="E15" s="209" t="s">
        <v>61</v>
      </c>
      <c r="F15" s="209" t="s">
        <v>244</v>
      </c>
      <c r="G15" s="209" t="s">
        <v>244</v>
      </c>
      <c r="H15" s="209" t="s">
        <v>1112</v>
      </c>
      <c r="I15" s="209" t="s">
        <v>245</v>
      </c>
      <c r="J15" s="210">
        <v>39092</v>
      </c>
      <c r="K15" s="209">
        <v>0</v>
      </c>
      <c r="L15" s="209">
        <v>1</v>
      </c>
      <c r="M15" s="209">
        <v>1</v>
      </c>
      <c r="N15" s="209">
        <v>4</v>
      </c>
      <c r="O15" s="253">
        <f>'Tratamento de Dados'!DA23</f>
        <v>0</v>
      </c>
      <c r="P15" s="253">
        <f>'Tratamento de Dados'!DB23</f>
        <v>0</v>
      </c>
      <c r="Q15" s="256">
        <f t="shared" si="0"/>
        <v>2.5</v>
      </c>
      <c r="R15" s="246" t="str">
        <f t="shared" si="1"/>
        <v>B</v>
      </c>
      <c r="S15" s="238" t="str" cm="1">
        <f t="array" ref="S15">IF(D15=$BV$2,$BT$4,IF(OR(F15=$BV$3,G15=$BV$3),$BT$5,INDEX(IF(I15=$BV$2,'Tables - Part 2'!$EA$5:$EC$5,'Tables - Part 2'!$DX$5:$DZ$5),,MATCH(HSC_Hydrofluoric_Acid!H15,'Tables - Part 2'!$DX$4:$DZ$4,0))))</f>
        <v>Low</v>
      </c>
      <c r="T15" s="238">
        <f>IF(AND(D15=$BV$2,E15&lt;&gt;$BV$2),"Fitness-For-Service",INDEX('Tables - Part 2'!$EF$4:$EF$7,MATCH(HSC_Hydrofluoric_Acid!S15,'Tables - Part 2'!$EE$4:$EE$7,0),))</f>
        <v>1</v>
      </c>
      <c r="U15" s="238">
        <f>IF(J15=0,(Thinning!G16-Thinning!F16)/365.25,(Thinning!G16-J15)/365.25)</f>
        <v>12.980150581793293</v>
      </c>
      <c r="V15" s="248">
        <f t="shared" si="2"/>
        <v>0</v>
      </c>
      <c r="W15" s="248">
        <f t="shared" si="3"/>
        <v>2.5</v>
      </c>
      <c r="X15" s="248">
        <f t="shared" si="4"/>
        <v>3</v>
      </c>
      <c r="Y15" s="247">
        <f t="shared" si="5"/>
        <v>4</v>
      </c>
      <c r="Z15" s="248">
        <f>IF($Q15=$Z$3,INDEX('Tables - Part 2'!$AX$6:$BA$13,MATCH(HSC_Hydrofluoric_Acid!T15,'Tables - Part 2'!$AV$6:$AV$13,0),MATCH(HSC_Hydrofluoric_Acid!R15,'Tables - Part 2'!$AX$5:$BA$5,0)),0)</f>
        <v>0</v>
      </c>
      <c r="AA15" s="248">
        <f>IF($Q15=$AA$3,(INDEX('Tables - Part 2'!$AX$6:$BA$13,MATCH(HSC_Hydrofluoric_Acid!T15,'Tables - Part 2'!$AV$6:$AV$13,0),MATCH(HSC_Hydrofluoric_Acid!R15,'Tables - Part 2'!$AX$5:$BA$5,0))+(INDEX('Tables - Part 2'!$AX$6:$BA$13,MATCH(HSC_Hydrofluoric_Acid!T15,'Tables - Part 2'!$AV$6:$AV$13,0),MATCH(HSC_Hydrofluoric_Acid!R15,'Tables - Part 2'!$AX$5:$BA$5,0))+((INDEX('Tables - Part 2'!$AX$6:$BA$13,MATCH(HSC_Hydrofluoric_Acid!T15,'Tables - Part 2'!$AV$6:$AV$13,0),MATCH(HSC_Hydrofluoric_Acid!R15,'Tables - Part 2'!$AX$5:$BA$5,0))+INDEX('Tables - Part 2'!$BB$6:$BE$13,MATCH(HSC_Hydrofluoric_Acid!$T15,'Tables - Part 2'!$AV$6:$AV$13,0),MATCH(HSC_Hydrofluoric_Acid!$R15,'Tables - Part 2'!$AX$5:$BA$5,0)))/2))/2)/2,0)</f>
        <v>0</v>
      </c>
      <c r="AB15" s="248">
        <f>IF($Q15=$AB$3,(INDEX('Tables - Part 2'!$AX$6:$BA$13,MATCH(HSC_Hydrofluoric_Acid!T15,'Tables - Part 2'!$AV$6:$AV$13,0),MATCH(HSC_Hydrofluoric_Acid!R15,'Tables - Part 2'!$AX$5:$BA$5,0))+((INDEX('Tables - Part 2'!$AX$6:$BA$13,MATCH(HSC_Hydrofluoric_Acid!T15,'Tables - Part 2'!$AV$6:$AV$13,0),MATCH(HSC_Hydrofluoric_Acid!R15,'Tables - Part 2'!$AX$5:$BA$5,0))+INDEX('Tables - Part 2'!$BB$6:$BE$13,MATCH(HSC_Hydrofluoric_Acid!$T15,'Tables - Part 2'!$AV$6:$AV$13,0),MATCH(HSC_Hydrofluoric_Acid!$R15,'Tables - Part 2'!$AX$5:$BA$5,0)))/2))/2,0)</f>
        <v>0</v>
      </c>
      <c r="AC15" s="248">
        <f>IF($Q15=$AC$3,(((INDEX('Tables - Part 2'!$AX$6:$BA$13,MATCH(HSC_Hydrofluoric_Acid!T15,'Tables - Part 2'!$AV$6:$AV$13,0),MATCH(HSC_Hydrofluoric_Acid!R15,'Tables - Part 2'!$AX$5:$BA$5,0))+((INDEX('Tables - Part 2'!$AX$6:$BA$13,MATCH(HSC_Hydrofluoric_Acid!T15,'Tables - Part 2'!$AV$6:$AV$13,0),MATCH(HSC_Hydrofluoric_Acid!R15,'Tables - Part 2'!$AX$5:$BA$5,0))+INDEX('Tables - Part 2'!$BB$6:$BE$13,MATCH(HSC_Hydrofluoric_Acid!$T15,'Tables - Part 2'!$AV$6:$AV$13,0),MATCH(HSC_Hydrofluoric_Acid!$R15,'Tables - Part 2'!$AX$5:$BA$5,0)))/2))/2)+(INDEX('Tables - Part 2'!$AX$6:$BA$13,MATCH(HSC_Hydrofluoric_Acid!T15,'Tables - Part 2'!$AV$6:$AV$13,0),MATCH(HSC_Hydrofluoric_Acid!R15,'Tables - Part 2'!$AX$5:$BA$5,0))+INDEX('Tables - Part 2'!$BB$6:$BE$13,MATCH(HSC_Hydrofluoric_Acid!$T15,'Tables - Part 2'!$AV$6:$AV$13,0),MATCH(HSC_Hydrofluoric_Acid!$R15,'Tables - Part 2'!$AX$5:$BA$5,0)))/2)/2,0)</f>
        <v>0</v>
      </c>
      <c r="AD15" s="248">
        <f>IF($Q15=$AD$3,(INDEX('Tables - Part 2'!$AX$6:$BA$13,MATCH(HSC_Hydrofluoric_Acid!T15,'Tables - Part 2'!$AV$6:$AV$13,0),MATCH(HSC_Hydrofluoric_Acid!R15,'Tables - Part 2'!$AX$5:$BA$5,0))+INDEX('Tables - Part 2'!$BB$6:$BE$13,MATCH(HSC_Hydrofluoric_Acid!$T15,'Tables - Part 2'!$AV$6:$AV$13,0),MATCH(HSC_Hydrofluoric_Acid!$R15,'Tables - Part 2'!$AX$5:$BA$5,0)))/2,0)</f>
        <v>0</v>
      </c>
      <c r="AE15" s="248">
        <f>IF($Q15=$AE$3,(((INDEX('Tables - Part 2'!$AX$6:$BA$13,MATCH(HSC_Hydrofluoric_Acid!T15,'Tables - Part 2'!$AV$6:$AV$13,0),MATCH(HSC_Hydrofluoric_Acid!R15,'Tables - Part 2'!$AX$5:$BA$5,0))+INDEX('Tables - Part 2'!$BB$6:$BE$13,MATCH(HSC_Hydrofluoric_Acid!$T15,'Tables - Part 2'!$AV$6:$AV$13,0),MATCH(HSC_Hydrofluoric_Acid!$R15,'Tables - Part 2'!$AX$5:$BA$5,0)))/2)+(((INDEX('Tables - Part 2'!$AX$6:$BA$13,MATCH(HSC_Hydrofluoric_Acid!T15,'Tables - Part 2'!$AV$6:$AV$13,0),MATCH(HSC_Hydrofluoric_Acid!R15,'Tables - Part 2'!$AX$5:$BA$5,0))+INDEX('Tables - Part 2'!$BB$6:$BE$13,MATCH(HSC_Hydrofluoric_Acid!$T15,'Tables - Part 2'!$AV$6:$AV$13,0),MATCH(HSC_Hydrofluoric_Acid!$R15,'Tables - Part 2'!$AX$5:$BA$5,0)))/2)+INDEX('Tables - Part 2'!$BB$6:$BE$13,MATCH(HSC_Hydrofluoric_Acid!$T15,'Tables - Part 2'!$AV$6:$AV$13,0),MATCH(HSC_Hydrofluoric_Acid!$R15,'Tables - Part 2'!$AX$5:$BA$5,0)))/2)/2,0)</f>
        <v>0</v>
      </c>
      <c r="AF15" s="248">
        <f>IF($Q15=$AF$3,(((INDEX('Tables - Part 2'!$AX$6:$BA$13,MATCH(HSC_Hydrofluoric_Acid!T15,'Tables - Part 2'!$AV$6:$AV$13,0),MATCH(HSC_Hydrofluoric_Acid!R15,'Tables - Part 2'!$AX$5:$BA$5,0))+INDEX('Tables - Part 2'!$BB$6:$BE$13,MATCH(HSC_Hydrofluoric_Acid!$T15,'Tables - Part 2'!$AV$6:$AV$13,0),MATCH(HSC_Hydrofluoric_Acid!$R15,'Tables - Part 2'!$AX$5:$BA$5,0)))/2)+INDEX('Tables - Part 2'!$BB$6:$BE$13,MATCH(HSC_Hydrofluoric_Acid!$T15,'Tables - Part 2'!$AV$6:$AV$13,0),MATCH(HSC_Hydrofluoric_Acid!$R15,'Tables - Part 2'!$AX$5:$BA$5,0)))/2,0)</f>
        <v>0</v>
      </c>
      <c r="AG15" s="248">
        <f>IF($Q15=$AG$3,(((((INDEX('Tables - Part 2'!$AX$6:$BA$13,MATCH(HSC_Hydrofluoric_Acid!T15,'Tables - Part 2'!$AV$6:$AV$13,0),MATCH(HSC_Hydrofluoric_Acid!R15,'Tables - Part 2'!$AX$5:$BA$5,0))+INDEX('Tables - Part 2'!$BB$6:$BE$13,MATCH(HSC_Hydrofluoric_Acid!$T15,'Tables - Part 2'!$AV$6:$AV$13,0),MATCH(HSC_Hydrofluoric_Acid!$R15,'Tables - Part 2'!$AX$5:$BA$5,0)))/2)+INDEX('Tables - Part 2'!$BB$6:$BE$13,MATCH(HSC_Hydrofluoric_Acid!$T15,'Tables - Part 2'!$AV$6:$AV$13,0),MATCH(HSC_Hydrofluoric_Acid!$R15,'Tables - Part 2'!$AX$5:$BA$5,0)))/2)+INDEX('Tables - Part 2'!$BB$6:$BE$13,MATCH(HSC_Hydrofluoric_Acid!$T15,'Tables - Part 2'!$AV$6:$AV$13,0),MATCH(HSC_Hydrofluoric_Acid!$R15,'Tables - Part 2'!$AX$5:$BA$5,0)))/2,0)</f>
        <v>0</v>
      </c>
      <c r="AH15" s="248">
        <f>IF($Q15=$AH$3,INDEX('Tables - Part 2'!$BB$6:$BE$13,MATCH(HSC_Hydrofluoric_Acid!$T15,'Tables - Part 2'!$AV$6:$AV$13,0),MATCH(HSC_Hydrofluoric_Acid!$R15,'Tables - Part 2'!$AX$5:$BA$5,0)),0)</f>
        <v>0</v>
      </c>
      <c r="AI15" s="248">
        <f>IF($Q15=$AI$3,((INDEX('Tables - Part 2'!$BB$6:$BE$13,MATCH(HSC_Hydrofluoric_Acid!$T15,'Tables - Part 2'!$AV$6:$AV$13,0),MATCH(HSC_Hydrofluoric_Acid!$R15,'Tables - Part 2'!$AX$5:$BA$5,0)))+(INDEX('Tables - Part 2'!$BB$6:$BE$13,MATCH(HSC_Hydrofluoric_Acid!$T15,'Tables - Part 2'!$AV$6:$AV$13,0),MATCH(HSC_Hydrofluoric_Acid!$R15,'Tables - Part 2'!$AX$5:$BA$5,0))+(INDEX('Tables - Part 2'!$BB$6:$BE$13,MATCH(HSC_Hydrofluoric_Acid!$T15,'Tables - Part 2'!$AV$6:$AV$13,0),MATCH(HSC_Hydrofluoric_Acid!$R15,'Tables - Part 2'!$AX$5:$BA$5,0))+INDEX('Tables - Part 2'!$BF$6:$BI$13,MATCH(HSC_Hydrofluoric_Acid!$T15,'Tables - Part 2'!$AV$6:$AV$13,0),MATCH(HSC_Hydrofluoric_Acid!$R15,'Tables - Part 2'!$AX$5:$BA$5,0)))/2)/2)/2,0)</f>
        <v>0</v>
      </c>
      <c r="AJ15" s="248">
        <f>IF($Q15=$AJ$3,(INDEX('Tables - Part 2'!$BB$6:$BE$13,MATCH(HSC_Hydrofluoric_Acid!$T15,'Tables - Part 2'!$AV$6:$AV$13,0),MATCH(HSC_Hydrofluoric_Acid!$R15,'Tables - Part 2'!$AX$5:$BA$5,0))+(INDEX('Tables - Part 2'!$BB$6:$BE$13,MATCH(HSC_Hydrofluoric_Acid!$T15,'Tables - Part 2'!$AV$6:$AV$13,0),MATCH(HSC_Hydrofluoric_Acid!$R15,'Tables - Part 2'!$AX$5:$BA$5,0))+INDEX('Tables - Part 2'!$BF$6:$BI$13,MATCH(HSC_Hydrofluoric_Acid!$T15,'Tables - Part 2'!$AV$6:$AV$13,0),MATCH(HSC_Hydrofluoric_Acid!$R15,'Tables - Part 2'!$AX$5:$BA$5,0)))/2)/2,0)</f>
        <v>0</v>
      </c>
      <c r="AK15" s="248">
        <f>IF($Q15=$AK$3,(((INDEX('Tables - Part 2'!$BB$6:$BE$13,MATCH(HSC_Hydrofluoric_Acid!$T15,'Tables - Part 2'!$AV$6:$AV$13,0),MATCH(HSC_Hydrofluoric_Acid!$R15,'Tables - Part 2'!$AX$5:$BA$5,0))+(INDEX('Tables - Part 2'!$BB$6:$BE$13,MATCH(HSC_Hydrofluoric_Acid!$T15,'Tables - Part 2'!$AV$6:$AV$13,0),MATCH(HSC_Hydrofluoric_Acid!$R15,'Tables - Part 2'!$AX$5:$BA$5,0))+INDEX('Tables - Part 2'!$BF$6:$BI$13,MATCH(HSC_Hydrofluoric_Acid!$T15,'Tables - Part 2'!$AV$6:$AV$13,0),MATCH(HSC_Hydrofluoric_Acid!$R15,'Tables - Part 2'!$AX$5:$BA$5,0)))/2)/2)+((INDEX('Tables - Part 2'!$BB$6:$BE$13,MATCH(HSC_Hydrofluoric_Acid!$T15,'Tables - Part 2'!$AV$6:$AV$13,0),MATCH(HSC_Hydrofluoric_Acid!$R15,'Tables - Part 2'!$AX$5:$BA$5,0))+INDEX('Tables - Part 2'!$BF$6:$BI$13,MATCH(HSC_Hydrofluoric_Acid!$T15,'Tables - Part 2'!$AV$6:$AV$13,0),MATCH(HSC_Hydrofluoric_Acid!$R15,'Tables - Part 2'!$AX$5:$BA$5,0)))/2))/2,0)</f>
        <v>0</v>
      </c>
      <c r="AL15" s="248">
        <f>IF($Q15=$AL$3,(INDEX('Tables - Part 2'!$BB$6:$BE$13,MATCH(HSC_Hydrofluoric_Acid!$T15,'Tables - Part 2'!$AV$6:$AV$13,0),MATCH(HSC_Hydrofluoric_Acid!$R15,'Tables - Part 2'!$AX$5:$BA$5,0))+INDEX('Tables - Part 2'!$BF$6:$BI$13,MATCH(HSC_Hydrofluoric_Acid!$T15,'Tables - Part 2'!$AV$6:$AV$13,0),MATCH(HSC_Hydrofluoric_Acid!$R15,'Tables - Part 2'!$AX$5:$BA$5,0)))/2,0)</f>
        <v>1</v>
      </c>
      <c r="AM15" s="248">
        <f>IF($Q15=$AM$3,(((INDEX('Tables - Part 2'!$BB$6:$BE$13,MATCH(HSC_Hydrofluoric_Acid!$T15,'Tables - Part 2'!$AV$6:$AV$13,0),MATCH(HSC_Hydrofluoric_Acid!$R15,'Tables - Part 2'!$AX$5:$BA$5,0))+INDEX('Tables - Part 2'!$BF$6:$BI$13,MATCH(HSC_Hydrofluoric_Acid!$T15,'Tables - Part 2'!$AV$6:$AV$13,0),MATCH(HSC_Hydrofluoric_Acid!$R15,'Tables - Part 2'!$AX$5:$BA$5,0)))/2)+((((INDEX('Tables - Part 2'!$BB$6:$BE$13,MATCH(HSC_Hydrofluoric_Acid!$T15,'Tables - Part 2'!$AV$6:$AV$13,0),MATCH(HSC_Hydrofluoric_Acid!$R15,'Tables - Part 2'!$AX$5:$BA$5,0))+INDEX('Tables - Part 2'!$BF$6:$BI$13,MATCH(HSC_Hydrofluoric_Acid!$T15,'Tables - Part 2'!$AV$6:$AV$13,0),MATCH(HSC_Hydrofluoric_Acid!$R15,'Tables - Part 2'!$AX$5:$BA$5,0)))/2)+INDEX('Tables - Part 2'!$BF$6:$BI$13,MATCH(HSC_Hydrofluoric_Acid!$T15,'Tables - Part 2'!$AV$6:$AV$13,0),MATCH(HSC_Hydrofluoric_Acid!$R15,'Tables - Part 2'!$AX$5:$BA$5,0)))/2))/2,0)</f>
        <v>0</v>
      </c>
      <c r="AN15" s="248">
        <f>IF($Q15=$AN$3,(((INDEX('Tables - Part 2'!$BB$6:$BE$13,MATCH(HSC_Hydrofluoric_Acid!$T15,'Tables - Part 2'!$AV$6:$AV$13,0),MATCH(HSC_Hydrofluoric_Acid!$R15,'Tables - Part 2'!$AX$5:$BA$5,0))+INDEX('Tables - Part 2'!$BF$6:$BI$13,MATCH(HSC_Hydrofluoric_Acid!$T15,'Tables - Part 2'!$AV$6:$AV$13,0),MATCH(HSC_Hydrofluoric_Acid!$R15,'Tables - Part 2'!$AX$5:$BA$5,0)))/2)+INDEX('Tables - Part 2'!$BF$6:$BI$13,MATCH(HSC_Hydrofluoric_Acid!$T15,'Tables - Part 2'!$AV$6:$AV$13,0),MATCH(HSC_Hydrofluoric_Acid!$R15,'Tables - Part 2'!$AX$5:$BA$5,0)))/2,0)</f>
        <v>0</v>
      </c>
      <c r="AO15" s="248">
        <f>IF($Q15=$AO$3,(((((INDEX('Tables - Part 2'!$BB$6:$BE$13,MATCH(HSC_Hydrofluoric_Acid!$T15,'Tables - Part 2'!$AV$6:$AV$13,0),MATCH(HSC_Hydrofluoric_Acid!$R15,'Tables - Part 2'!$AX$5:$BA$5,0))+INDEX('Tables - Part 2'!$BF$6:$BI$13,MATCH(HSC_Hydrofluoric_Acid!$T15,'Tables - Part 2'!$AV$6:$AV$13,0),MATCH(HSC_Hydrofluoric_Acid!$R15,'Tables - Part 2'!$AX$5:$BA$5,0)))/2)+INDEX('Tables - Part 2'!$BF$6:$BI$13,MATCH(HSC_Hydrofluoric_Acid!$T15,'Tables - Part 2'!$AV$6:$AV$13,0),MATCH(HSC_Hydrofluoric_Acid!$R15,'Tables - Part 2'!$AX$5:$BA$5,0)))/2)+INDEX('Tables - Part 2'!$BF$6:$BI$13,MATCH(HSC_Hydrofluoric_Acid!$T15,'Tables - Part 2'!$AV$6:$AV$13,0),MATCH(HSC_Hydrofluoric_Acid!$R15,'Tables - Part 2'!$AX$5:$BA$5,0)))/2,0)</f>
        <v>0</v>
      </c>
      <c r="AP15" s="248">
        <f>IF($Q15=$AP$3,INDEX('Tables - Part 2'!$BF$6:$BI$13,MATCH(HSC_Hydrofluoric_Acid!$T15,'Tables - Part 2'!$AV$6:$AV$13,0),MATCH(HSC_Hydrofluoric_Acid!$R15,'Tables - Part 2'!$AX$5:$BA$5,0)),0)</f>
        <v>0</v>
      </c>
      <c r="AQ15" s="248">
        <f>IF($Q15=$AQ$3,(INDEX('Tables - Part 2'!$BF$6:$BI$13,MATCH(HSC_Hydrofluoric_Acid!$T15,'Tables - Part 2'!$AV$6:$AV$13,0),MATCH(HSC_Hydrofluoric_Acid!$R15,'Tables - Part 2'!$AX$5:$BA$5,0))+((INDEX('Tables - Part 2'!$BF$6:$BI$13,MATCH(HSC_Hydrofluoric_Acid!$T15,'Tables - Part 2'!$AV$6:$AV$13,0),MATCH(HSC_Hydrofluoric_Acid!$R15,'Tables - Part 2'!$AX$5:$BA$5,0))+(INDEX('Tables - Part 2'!$BF$6:$BI$13,MATCH(HSC_Hydrofluoric_Acid!$T15,'Tables - Part 2'!$AV$6:$AV$13,0),MATCH(HSC_Hydrofluoric_Acid!$R15,'Tables - Part 2'!$AX$5:$BA$5,0))+INDEX('Tables - Part 2'!$AX$17:$BA$24,MATCH(HSC_Hydrofluoric_Acid!$T15,'Tables - Part 2'!$AV$6:$AV$13,0),MATCH(HSC_Hydrofluoric_Acid!$R15,'Tables - Part 2'!$AX$5:$BA$5,0)))/2)/2))/2,0)</f>
        <v>0</v>
      </c>
      <c r="AR15" s="248">
        <f>IF($Q15=$AR$3,(INDEX('Tables - Part 2'!$BF$6:$BI$13,MATCH(HSC_Hydrofluoric_Acid!$T15,'Tables - Part 2'!$AV$6:$AV$13,0),MATCH(HSC_Hydrofluoric_Acid!$R15,'Tables - Part 2'!$AX$5:$BA$5,0))+(INDEX('Tables - Part 2'!$BF$6:$BI$13,MATCH(HSC_Hydrofluoric_Acid!$T15,'Tables - Part 2'!$AV$6:$AV$13,0),MATCH(HSC_Hydrofluoric_Acid!$R15,'Tables - Part 2'!$AX$5:$BA$5,0))+INDEX('Tables - Part 2'!$AX$17:$BA$24,MATCH(HSC_Hydrofluoric_Acid!$T15,'Tables - Part 2'!$AV$6:$AV$13,0),MATCH(HSC_Hydrofluoric_Acid!$R15,'Tables - Part 2'!$AX$5:$BA$5,0)))/2)/2,0)</f>
        <v>0</v>
      </c>
      <c r="AS15" s="248">
        <f>IF($Q15=$AS$3,(((INDEX('Tables - Part 2'!$BF$6:$BI$13,MATCH(HSC_Hydrofluoric_Acid!$T15,'Tables - Part 2'!$AV$6:$AV$13,0),MATCH(HSC_Hydrofluoric_Acid!$R15,'Tables - Part 2'!$AX$5:$BA$5,0))+(INDEX('Tables - Part 2'!$BF$6:$BI$13,MATCH(HSC_Hydrofluoric_Acid!$T15,'Tables - Part 2'!$AV$6:$AV$13,0),MATCH(HSC_Hydrofluoric_Acid!$R15,'Tables - Part 2'!$AX$5:$BA$5,0))+INDEX('Tables - Part 2'!$AX$17:$BA$24,MATCH(HSC_Hydrofluoric_Acid!$T15,'Tables - Part 2'!$AV$6:$AV$13,0),MATCH(HSC_Hydrofluoric_Acid!$R15,'Tables - Part 2'!$AX$5:$BA$5,0)))/2)/2)+((INDEX('Tables - Part 2'!$BF$6:$BI$13,MATCH(HSC_Hydrofluoric_Acid!$T15,'Tables - Part 2'!$AV$6:$AV$13,0),MATCH(HSC_Hydrofluoric_Acid!$R15,'Tables - Part 2'!$AX$5:$BA$5,0))+INDEX('Tables - Part 2'!$AX$17:$BA$24,MATCH(HSC_Hydrofluoric_Acid!$T15,'Tables - Part 2'!$AV$6:$AV$13,0),MATCH(HSC_Hydrofluoric_Acid!$R15,'Tables - Part 2'!$AX$5:$BA$5,0)))/2))/2,0)</f>
        <v>0</v>
      </c>
      <c r="AT15" s="248">
        <f>IF($Q15=$AT$3,(INDEX('Tables - Part 2'!$BF$6:$BI$13,MATCH(HSC_Hydrofluoric_Acid!$T15,'Tables - Part 2'!$AV$6:$AV$13,0),MATCH(HSC_Hydrofluoric_Acid!$R15,'Tables - Part 2'!$AX$5:$BA$5,0))+INDEX('Tables - Part 2'!$AX$17:$BA$24,MATCH(HSC_Hydrofluoric_Acid!$T15,'Tables - Part 2'!$AV$6:$AV$13,0),MATCH(HSC_Hydrofluoric_Acid!$R15,'Tables - Part 2'!$AX$5:$BA$5,0)))/2,0)</f>
        <v>0</v>
      </c>
      <c r="AU15" s="248">
        <f>IF($Q15=$AU$3,(((INDEX('Tables - Part 2'!$BF$6:$BI$13,MATCH(HSC_Hydrofluoric_Acid!$T15,'Tables - Part 2'!$AV$6:$AV$13,0),MATCH(HSC_Hydrofluoric_Acid!$R15,'Tables - Part 2'!$AX$5:$BA$5,0))+INDEX('Tables - Part 2'!$AX$17:$BA$24,MATCH(HSC_Hydrofluoric_Acid!$T15,'Tables - Part 2'!$AV$6:$AV$13,0),MATCH(HSC_Hydrofluoric_Acid!$R15,'Tables - Part 2'!$AX$5:$BA$5,0)))/2)+((((INDEX('Tables - Part 2'!$BF$6:$BI$13,MATCH(HSC_Hydrofluoric_Acid!$T15,'Tables - Part 2'!$AV$6:$AV$13,0),MATCH(HSC_Hydrofluoric_Acid!$R15,'Tables - Part 2'!$AX$5:$BA$5,0))+INDEX('Tables - Part 2'!$AX$17:$BA$24,MATCH(HSC_Hydrofluoric_Acid!$T15,'Tables - Part 2'!$AV$6:$AV$13,0),MATCH(HSC_Hydrofluoric_Acid!$R15,'Tables - Part 2'!$AX$5:$BA$5,0)))/2)+INDEX('Tables - Part 2'!$AX$17:$BA$24,MATCH(HSC_Hydrofluoric_Acid!$T15,'Tables - Part 2'!$AV$6:$AV$13,0),MATCH(HSC_Hydrofluoric_Acid!$R15,'Tables - Part 2'!$AX$5:$BA$5,0)))/2))/2,0)</f>
        <v>0</v>
      </c>
      <c r="AV15" s="248">
        <f>IF($Q15=$AV$3,(((INDEX('Tables - Part 2'!$BF$6:$BI$13,MATCH(HSC_Hydrofluoric_Acid!$T15,'Tables - Part 2'!$AV$6:$AV$13,0),MATCH(HSC_Hydrofluoric_Acid!$R15,'Tables - Part 2'!$AX$5:$BA$5,0))+INDEX('Tables - Part 2'!$AX$17:$BA$24,MATCH(HSC_Hydrofluoric_Acid!$T15,'Tables - Part 2'!$AV$6:$AV$13,0),MATCH(HSC_Hydrofluoric_Acid!$R15,'Tables - Part 2'!$AX$5:$BA$5,0)))/2)+INDEX('Tables - Part 2'!$AX$17:$BA$24,MATCH(HSC_Hydrofluoric_Acid!$T15,'Tables - Part 2'!$AV$6:$AV$13,0),MATCH(HSC_Hydrofluoric_Acid!$R15,'Tables - Part 2'!$AX$5:$BA$5,0)))/2,0)</f>
        <v>0</v>
      </c>
      <c r="AW15" s="248">
        <f>IF($Q15=$AW$3,(((((INDEX('Tables - Part 2'!$BF$6:$BI$13,MATCH(HSC_Hydrofluoric_Acid!$T15,'Tables - Part 2'!$AV$6:$AV$13,0),MATCH(HSC_Hydrofluoric_Acid!$R15,'Tables - Part 2'!$AX$5:$BA$5,0))+INDEX('Tables - Part 2'!$AX$17:$BA$24,MATCH(HSC_Hydrofluoric_Acid!$T15,'Tables - Part 2'!$AV$6:$AV$13,0),MATCH(HSC_Hydrofluoric_Acid!$R15,'Tables - Part 2'!$AX$5:$BA$5,0)))/2)+INDEX('Tables - Part 2'!$AX$17:$BA$24,MATCH(HSC_Hydrofluoric_Acid!$T15,'Tables - Part 2'!$AV$6:$AV$13,0),MATCH(HSC_Hydrofluoric_Acid!$R15,'Tables - Part 2'!$AX$5:$BA$5,0)))/2)+(INDEX('Tables - Part 2'!$AX$17:$BA$24,MATCH(HSC_Hydrofluoric_Acid!$T15,'Tables - Part 2'!$AV$6:$AV$13,0),MATCH(HSC_Hydrofluoric_Acid!$R15,'Tables - Part 2'!$AX$5:$BA$5,0))))/2,0)</f>
        <v>0</v>
      </c>
      <c r="AX15" s="248">
        <f>IF($Q15=$AX$3,INDEX('Tables - Part 2'!$AX$17:$BA$24,MATCH(HSC_Hydrofluoric_Acid!$T15,'Tables - Part 2'!$AV$6:$AV$13,0),MATCH(HSC_Hydrofluoric_Acid!$R15,'Tables - Part 2'!$AX$5:$BA$5,0)),0)</f>
        <v>0</v>
      </c>
      <c r="AY15" s="248">
        <f>IF($Q15=$AY$3,((INDEX('Tables - Part 2'!$AX$17:$BA$24,MATCH(HSC_Hydrofluoric_Acid!$T15,'Tables - Part 2'!$AV$6:$AV$13,0),MATCH(HSC_Hydrofluoric_Acid!$R15,'Tables - Part 2'!$AX$5:$BA$5,0)))+(((INDEX('Tables - Part 2'!$AX$17:$BA$24,MATCH(HSC_Hydrofluoric_Acid!$T15,'Tables - Part 2'!$AV$6:$AV$13,0),MATCH(HSC_Hydrofluoric_Acid!$R15,'Tables - Part 2'!$AX$5:$BA$5,0)))+(INDEX('Tables - Part 2'!$AX$17:$BA$24,MATCH(HSC_Hydrofluoric_Acid!$T15,'Tables - Part 2'!$AV$6:$AV$13,0),MATCH(HSC_Hydrofluoric_Acid!$R15,'Tables - Part 2'!$AX$5:$BA$5,0))+INDEX('Tables - Part 2'!$BB$17:$BE$24,MATCH(HSC_Hydrofluoric_Acid!$T15,'Tables - Part 2'!$AV$6:$AV$13,0),MATCH(HSC_Hydrofluoric_Acid!$R15,'Tables - Part 2'!$AX$5:$BA$5,0)))/2)/2))/2,0)</f>
        <v>0</v>
      </c>
      <c r="AZ15" s="248">
        <f>IF($Q15=$AZ$3,((INDEX('Tables - Part 2'!$AX$17:$BA$24,MATCH(HSC_Hydrofluoric_Acid!$T15,'Tables - Part 2'!$AV$6:$AV$13,0),MATCH(HSC_Hydrofluoric_Acid!$R15,'Tables - Part 2'!$AX$5:$BA$5,0)))+(INDEX('Tables - Part 2'!$AX$17:$BA$24,MATCH(HSC_Hydrofluoric_Acid!$T15,'Tables - Part 2'!$AV$6:$AV$13,0),MATCH(HSC_Hydrofluoric_Acid!$R15,'Tables - Part 2'!$AX$5:$BA$5,0))+INDEX('Tables - Part 2'!$BB$17:$BE$24,MATCH(HSC_Hydrofluoric_Acid!$T15,'Tables - Part 2'!$AV$6:$AV$13,0),MATCH(HSC_Hydrofluoric_Acid!$R15,'Tables - Part 2'!$AX$5:$BA$5,0)))/2)/2,0)</f>
        <v>0</v>
      </c>
      <c r="BA15" s="248">
        <f>IF($Q15=$BA$3,((((INDEX('Tables - Part 2'!$AX$17:$BA$24,MATCH(HSC_Hydrofluoric_Acid!$T15,'Tables - Part 2'!$AV$6:$AV$13,0),MATCH(HSC_Hydrofluoric_Acid!$R15,'Tables - Part 2'!$AX$5:$BA$5,0)))+(INDEX('Tables - Part 2'!$AX$17:$BA$24,MATCH(HSC_Hydrofluoric_Acid!$T15,'Tables - Part 2'!$AV$6:$AV$13,0),MATCH(HSC_Hydrofluoric_Acid!$R15,'Tables - Part 2'!$AX$5:$BA$5,0))+INDEX('Tables - Part 2'!$BB$17:$BE$24,MATCH(HSC_Hydrofluoric_Acid!$T15,'Tables - Part 2'!$AV$6:$AV$13,0),MATCH(HSC_Hydrofluoric_Acid!$R15,'Tables - Part 2'!$AX$5:$BA$5,0)))/2)/2)+((INDEX('Tables - Part 2'!$AX$17:$BA$24,MATCH(HSC_Hydrofluoric_Acid!$T15,'Tables - Part 2'!$AV$6:$AV$13,0),MATCH(HSC_Hydrofluoric_Acid!$R15,'Tables - Part 2'!$AX$5:$BA$5,0))+INDEX('Tables - Part 2'!$BB$17:$BE$24,MATCH(HSC_Hydrofluoric_Acid!$T15,'Tables - Part 2'!$AV$6:$AV$13,0),MATCH(HSC_Hydrofluoric_Acid!$R15,'Tables - Part 2'!$AX$5:$BA$5,0)))/2))/2,0)</f>
        <v>0</v>
      </c>
      <c r="BB15" s="248">
        <f>IF($Q15=$BB$3,(INDEX('Tables - Part 2'!$AX$17:$BA$24,MATCH(HSC_Hydrofluoric_Acid!$T15,'Tables - Part 2'!$AV$6:$AV$13,0),MATCH(HSC_Hydrofluoric_Acid!$R15,'Tables - Part 2'!$AX$5:$BA$5,0))+INDEX('Tables - Part 2'!$BB$17:$BE$24,MATCH(HSC_Hydrofluoric_Acid!$T15,'Tables - Part 2'!$AV$6:$AV$13,0),MATCH(HSC_Hydrofluoric_Acid!$R15,'Tables - Part 2'!$AX$5:$BA$5,0)))/2,0)</f>
        <v>0</v>
      </c>
      <c r="BC15" s="248">
        <f>IF($Q15=$BC$3,(((INDEX('Tables - Part 2'!$AX$17:$BA$24,MATCH(HSC_Hydrofluoric_Acid!$T15,'Tables - Part 2'!$AV$6:$AV$13,0),MATCH(HSC_Hydrofluoric_Acid!$R15,'Tables - Part 2'!$AX$5:$BA$5,0))+INDEX('Tables - Part 2'!$BB$17:$BE$24,MATCH(HSC_Hydrofluoric_Acid!$T15,'Tables - Part 2'!$AV$6:$AV$13,0),MATCH(HSC_Hydrofluoric_Acid!$R15,'Tables - Part 2'!$AX$5:$BA$5,0)))/2)+((((INDEX('Tables - Part 2'!$AX$17:$BA$24,MATCH(HSC_Hydrofluoric_Acid!$T15,'Tables - Part 2'!$AV$6:$AV$13,0),MATCH(HSC_Hydrofluoric_Acid!$R15,'Tables - Part 2'!$AX$5:$BA$5,0))+INDEX('Tables - Part 2'!$BB$17:$BE$24,MATCH(HSC_Hydrofluoric_Acid!$T15,'Tables - Part 2'!$AV$6:$AV$13,0),MATCH(HSC_Hydrofluoric_Acid!$R15,'Tables - Part 2'!$AX$5:$BA$5,0)))/2)+INDEX('Tables - Part 2'!$BB$17:$BE$24,MATCH(HSC_Hydrofluoric_Acid!$T15,'Tables - Part 2'!$AV$6:$AV$13,0),MATCH(HSC_Hydrofluoric_Acid!$R15,'Tables - Part 2'!$AX$5:$BA$5,0)))/2))/2,0)</f>
        <v>0</v>
      </c>
      <c r="BD15" s="248">
        <f>IF($Q15=$BD$3,(((INDEX('Tables - Part 2'!$AX$17:$BA$24,MATCH(HSC_Hydrofluoric_Acid!$T15,'Tables - Part 2'!$AV$6:$AV$13,0),MATCH(HSC_Hydrofluoric_Acid!$R15,'Tables - Part 2'!$AX$5:$BA$5,0))+INDEX('Tables - Part 2'!$BB$17:$BE$24,MATCH(HSC_Hydrofluoric_Acid!$T15,'Tables - Part 2'!$AV$6:$AV$13,0),MATCH(HSC_Hydrofluoric_Acid!$R15,'Tables - Part 2'!$AX$5:$BA$5,0)))/2)+INDEX('Tables - Part 2'!$BB$17:$BE$24,MATCH(HSC_Hydrofluoric_Acid!$T15,'Tables - Part 2'!$AV$6:$AV$13,0),MATCH(HSC_Hydrofluoric_Acid!$R15,'Tables - Part 2'!$AX$5:$BA$5,0)))/2,0)</f>
        <v>0</v>
      </c>
      <c r="BE15" s="248">
        <f>IF($Q15=$BE$3,(((((INDEX('Tables - Part 2'!$AX$17:$BA$24,MATCH(HSC_Hydrofluoric_Acid!$T15,'Tables - Part 2'!$AV$6:$AV$13,0),MATCH(HSC_Hydrofluoric_Acid!$R15,'Tables - Part 2'!$AX$5:$BA$5,0))+INDEX('Tables - Part 2'!$BB$17:$BE$24,MATCH(HSC_Hydrofluoric_Acid!$T15,'Tables - Part 2'!$AV$6:$AV$13,0),MATCH(HSC_Hydrofluoric_Acid!$R15,'Tables - Part 2'!$AX$5:$BA$5,0)))/2)+INDEX('Tables - Part 2'!$BB$17:$BE$24,MATCH(HSC_Hydrofluoric_Acid!$T15,'Tables - Part 2'!$AV$6:$AV$13,0),MATCH(HSC_Hydrofluoric_Acid!$R15,'Tables - Part 2'!$AX$5:$BA$5,0)))/2)+(INDEX('Tables - Part 2'!$BB$17:$BE$24,MATCH(HSC_Hydrofluoric_Acid!$T15,'Tables - Part 2'!$AV$6:$AV$13,0),MATCH(HSC_Hydrofluoric_Acid!$R15,'Tables - Part 2'!$AX$5:$BA$5,0))))/2,0)</f>
        <v>0</v>
      </c>
      <c r="BF15" s="248">
        <f>IF($Q15=$BF$3,INDEX('Tables - Part 2'!$BB$17:$BE$24,MATCH(HSC_Hydrofluoric_Acid!$T15,'Tables - Part 2'!$AV$6:$AV$13,0),MATCH(HSC_Hydrofluoric_Acid!$R15,'Tables - Part 2'!$AX$5:$BA$5,0)),0)</f>
        <v>0</v>
      </c>
      <c r="BG15" s="248">
        <f>IF($Q15=$BG$3,((INDEX('Tables - Part 2'!$BB$17:$BE$24,MATCH(HSC_Hydrofluoric_Acid!$T15,'Tables - Part 2'!$AV$6:$AV$13,0),MATCH(HSC_Hydrofluoric_Acid!$R15,'Tables - Part 2'!$AX$5:$BA$5,0)))+(((INDEX('Tables - Part 2'!$BB$17:$BE$24,MATCH(HSC_Hydrofluoric_Acid!$T15,'Tables - Part 2'!$AV$6:$AV$13,0),MATCH(HSC_Hydrofluoric_Acid!$R15,'Tables - Part 2'!$AX$5:$BA$5,0)))+(INDEX('Tables - Part 2'!$BB$17:$BE$24,MATCH(HSC_Hydrofluoric_Acid!$T15,'Tables - Part 2'!$AV$6:$AV$13,0),MATCH(HSC_Hydrofluoric_Acid!$R15,'Tables - Part 2'!$AX$5:$BA$5,0))+INDEX('Tables - Part 2'!$BF$17:$BI$24,MATCH(HSC_Hydrofluoric_Acid!$T15,'Tables - Part 2'!$AV$6:$AV$13,0),MATCH(HSC_Hydrofluoric_Acid!$R15,'Tables - Part 2'!$AX$5:$BA$5,0)))/2)/2))/2,0)</f>
        <v>0</v>
      </c>
      <c r="BH15" s="248">
        <f>IF($Q15=$BH$3,((INDEX('Tables - Part 2'!$BB$17:$BE$24,MATCH(HSC_Hydrofluoric_Acid!$T15,'Tables - Part 2'!$AV$6:$AV$13,0),MATCH(HSC_Hydrofluoric_Acid!$R15,'Tables - Part 2'!$AX$5:$BA$5,0)))+(INDEX('Tables - Part 2'!$BB$17:$BE$24,MATCH(HSC_Hydrofluoric_Acid!$T15,'Tables - Part 2'!$AV$6:$AV$13,0),MATCH(HSC_Hydrofluoric_Acid!$R15,'Tables - Part 2'!$AX$5:$BA$5,0))+INDEX('Tables - Part 2'!$BF$17:$BI$24,MATCH(HSC_Hydrofluoric_Acid!$T15,'Tables - Part 2'!$AV$6:$AV$13,0),MATCH(HSC_Hydrofluoric_Acid!$R15,'Tables - Part 2'!$AX$5:$BA$5,0)))/2)/2,0)</f>
        <v>0</v>
      </c>
      <c r="BI15" s="248">
        <f>IF($Q15=$BI$3,((((INDEX('Tables - Part 2'!$BB$17:$BE$24,MATCH(HSC_Hydrofluoric_Acid!$T15,'Tables - Part 2'!$AV$6:$AV$13,0),MATCH(HSC_Hydrofluoric_Acid!$R15,'Tables - Part 2'!$AX$5:$BA$5,0)))+(INDEX('Tables - Part 2'!$BB$17:$BE$24,MATCH(HSC_Hydrofluoric_Acid!$T15,'Tables - Part 2'!$AV$6:$AV$13,0),MATCH(HSC_Hydrofluoric_Acid!$R15,'Tables - Part 2'!$AX$5:$BA$5,0))+INDEX('Tables - Part 2'!$BF$17:$BI$24,MATCH(HSC_Hydrofluoric_Acid!$T15,'Tables - Part 2'!$AV$6:$AV$13,0),MATCH(HSC_Hydrofluoric_Acid!$R15,'Tables - Part 2'!$AX$5:$BA$5,0)))/2)/2)+((INDEX('Tables - Part 2'!$BB$17:$BE$24,MATCH(HSC_Hydrofluoric_Acid!$T15,'Tables - Part 2'!$AV$6:$AV$13,0),MATCH(HSC_Hydrofluoric_Acid!$R15,'Tables - Part 2'!$AX$5:$BA$5,0))+INDEX('Tables - Part 2'!$BF$17:$BI$24,MATCH(HSC_Hydrofluoric_Acid!$T15,'Tables - Part 2'!$AV$6:$AV$13,0),MATCH(HSC_Hydrofluoric_Acid!$R15,'Tables - Part 2'!$AX$5:$BA$5,0)))/2))/2,0)</f>
        <v>0</v>
      </c>
      <c r="BJ15" s="248">
        <f>IF($Q15=$BJ$3,(INDEX('Tables - Part 2'!$BB$17:$BE$24,MATCH(HSC_Hydrofluoric_Acid!$T15,'Tables - Part 2'!$AV$6:$AV$13,0),MATCH(HSC_Hydrofluoric_Acid!$R15,'Tables - Part 2'!$AX$5:$BA$5,0))+INDEX('Tables - Part 2'!$BF$17:$BI$24,MATCH(HSC_Hydrofluoric_Acid!$T15,'Tables - Part 2'!$AV$6:$AV$13,0),MATCH(HSC_Hydrofluoric_Acid!$R15,'Tables - Part 2'!$AX$5:$BA$5,0)))/2,0)</f>
        <v>0</v>
      </c>
      <c r="BK15" s="248">
        <f>IF($Q15=$BK$3,(((INDEX('Tables - Part 2'!$BB$17:$BE$24,MATCH(HSC_Hydrofluoric_Acid!$T15,'Tables - Part 2'!$AV$6:$AV$13,0),MATCH(HSC_Hydrofluoric_Acid!$R15,'Tables - Part 2'!$AX$5:$BA$5,0))+INDEX('Tables - Part 2'!$BF$17:$BI$24,MATCH(HSC_Hydrofluoric_Acid!$T15,'Tables - Part 2'!$AV$6:$AV$13,0),MATCH(HSC_Hydrofluoric_Acid!$R15,'Tables - Part 2'!$AX$5:$BA$5,0)))/2)+((((INDEX('Tables - Part 2'!$BB$17:$BE$24,MATCH(HSC_Hydrofluoric_Acid!$T15,'Tables - Part 2'!$AV$6:$AV$13,0),MATCH(HSC_Hydrofluoric_Acid!$R15,'Tables - Part 2'!$AX$5:$BA$5,0))+INDEX('Tables - Part 2'!$BF$17:$BI$24,MATCH(HSC_Hydrofluoric_Acid!$T15,'Tables - Part 2'!$AV$6:$AV$13,0),MATCH(HSC_Hydrofluoric_Acid!$R15,'Tables - Part 2'!$AX$5:$BA$5,0)))/2)+INDEX('Tables - Part 2'!$BF$17:$BI$24,MATCH(HSC_Hydrofluoric_Acid!$T15,'Tables - Part 2'!$AV$6:$AV$13,0),MATCH(HSC_Hydrofluoric_Acid!$R15,'Tables - Part 2'!$AX$5:$BA$5,0)))/2))/2,0)</f>
        <v>0</v>
      </c>
      <c r="BL15" s="248">
        <f>IF($Q15=$BL$3,(((INDEX('Tables - Part 2'!$BB$17:$BE$24,MATCH(HSC_Hydrofluoric_Acid!$T15,'Tables - Part 2'!$AV$6:$AV$13,0),MATCH(HSC_Hydrofluoric_Acid!$R15,'Tables - Part 2'!$AX$5:$BA$5,0))+INDEX('Tables - Part 2'!$BF$17:$BI$24,MATCH(HSC_Hydrofluoric_Acid!$T15,'Tables - Part 2'!$AV$6:$AV$13,0),MATCH(HSC_Hydrofluoric_Acid!$R15,'Tables - Part 2'!$AX$5:$BA$5,0)))/2)+INDEX('Tables - Part 2'!$BF$17:$BI$24,MATCH(HSC_Hydrofluoric_Acid!$T15,'Tables - Part 2'!$AV$6:$AV$13,0),MATCH(HSC_Hydrofluoric_Acid!$R15,'Tables - Part 2'!$AX$5:$BA$5,0)))/2,0)</f>
        <v>0</v>
      </c>
      <c r="BM15" s="248">
        <f>IF($Q15=$BM$3,(((((INDEX('Tables - Part 2'!$BB$17:$BE$24,MATCH(HSC_Hydrofluoric_Acid!$T15,'Tables - Part 2'!$AV$6:$AV$13,0),MATCH(HSC_Hydrofluoric_Acid!$R15,'Tables - Part 2'!$AX$5:$BA$5,0))+INDEX('Tables - Part 2'!$BF$17:$BI$24,MATCH(HSC_Hydrofluoric_Acid!$T15,'Tables - Part 2'!$AV$6:$AV$13,0),MATCH(HSC_Hydrofluoric_Acid!$R15,'Tables - Part 2'!$AX$5:$BA$5,0)))/2)+INDEX('Tables - Part 2'!$BF$17:$BI$24,MATCH(HSC_Hydrofluoric_Acid!$T15,'Tables - Part 2'!$AV$6:$AV$13,0),MATCH(HSC_Hydrofluoric_Acid!$R15,'Tables - Part 2'!$AX$5:$BA$5,0)))/2)+(INDEX('Tables - Part 2'!$BF$17:$BI$24,MATCH(HSC_Hydrofluoric_Acid!$T15,'Tables - Part 2'!$AV$6:$AV$13,0),MATCH(HSC_Hydrofluoric_Acid!$R15,'Tables - Part 2'!$AX$5:$BA$5,0))))/2,0)</f>
        <v>0</v>
      </c>
      <c r="BN15" s="248">
        <f>IF($Q15=$BN$3,INDEX('Tables - Part 2'!$BF$17:$BI$24,MATCH(HSC_Hydrofluoric_Acid!$T15,'Tables - Part 2'!$AV$6:$AV$13,0),MATCH(HSC_Hydrofluoric_Acid!$R15,'Tables - Part 2'!$AX$5:$BA$5,0)),0)</f>
        <v>0</v>
      </c>
      <c r="BO15" s="248">
        <f t="shared" si="6"/>
        <v>0</v>
      </c>
      <c r="BP15" s="238">
        <f t="shared" si="8"/>
        <v>1</v>
      </c>
      <c r="BQ15" s="238">
        <f t="shared" si="7"/>
        <v>16.77288246840839</v>
      </c>
    </row>
    <row r="16" spans="2:82" x14ac:dyDescent="0.35">
      <c r="B16" s="161" t="str">
        <f>'Tratamento de Dados'!B24</f>
        <v>V-6</v>
      </c>
      <c r="C16" s="161" t="str">
        <f>'Tratamento de Dados'!D24</f>
        <v>Casco</v>
      </c>
      <c r="D16" s="209" t="s">
        <v>245</v>
      </c>
      <c r="E16" s="209" t="s">
        <v>61</v>
      </c>
      <c r="F16" s="209" t="s">
        <v>244</v>
      </c>
      <c r="G16" s="209" t="s">
        <v>244</v>
      </c>
      <c r="H16" s="209" t="s">
        <v>1112</v>
      </c>
      <c r="I16" s="209" t="s">
        <v>245</v>
      </c>
      <c r="J16" s="210">
        <v>39092</v>
      </c>
      <c r="K16" s="209">
        <v>0</v>
      </c>
      <c r="L16" s="209">
        <v>1</v>
      </c>
      <c r="M16" s="209">
        <v>1</v>
      </c>
      <c r="N16" s="209">
        <v>4</v>
      </c>
      <c r="O16" s="253">
        <f>'Tratamento de Dados'!DA24</f>
        <v>0</v>
      </c>
      <c r="P16" s="253">
        <f>'Tratamento de Dados'!DB24</f>
        <v>0</v>
      </c>
      <c r="Q16" s="256">
        <f t="shared" si="0"/>
        <v>2.5</v>
      </c>
      <c r="R16" s="246" t="str">
        <f t="shared" si="1"/>
        <v>B</v>
      </c>
      <c r="S16" s="238" t="str" cm="1">
        <f t="array" ref="S16">IF(D16=$BV$2,$BT$4,IF(OR(F16=$BV$3,G16=$BV$3),$BT$5,INDEX(IF(I16=$BV$2,'Tables - Part 2'!$EA$5:$EC$5,'Tables - Part 2'!$DX$5:$DZ$5),,MATCH(HSC_Hydrofluoric_Acid!H16,'Tables - Part 2'!$DX$4:$DZ$4,0))))</f>
        <v>Low</v>
      </c>
      <c r="T16" s="238">
        <f>IF(AND(D16=$BV$2,E16&lt;&gt;$BV$2),"Fitness-For-Service",INDEX('Tables - Part 2'!$EF$4:$EF$7,MATCH(HSC_Hydrofluoric_Acid!S16,'Tables - Part 2'!$EE$4:$EE$7,0),))</f>
        <v>1</v>
      </c>
      <c r="U16" s="238">
        <f>IF(J16=0,(Thinning!G17-Thinning!F17)/365.25,(Thinning!G17-J16)/365.25)</f>
        <v>12.980150581793293</v>
      </c>
      <c r="V16" s="248">
        <f t="shared" si="2"/>
        <v>0</v>
      </c>
      <c r="W16" s="248">
        <f t="shared" si="3"/>
        <v>2.5</v>
      </c>
      <c r="X16" s="248">
        <f t="shared" si="4"/>
        <v>3</v>
      </c>
      <c r="Y16" s="247">
        <f t="shared" si="5"/>
        <v>4</v>
      </c>
      <c r="Z16" s="248">
        <f>IF($Q16=$Z$3,INDEX('Tables - Part 2'!$AX$6:$BA$13,MATCH(HSC_Hydrofluoric_Acid!T16,'Tables - Part 2'!$AV$6:$AV$13,0),MATCH(HSC_Hydrofluoric_Acid!R16,'Tables - Part 2'!$AX$5:$BA$5,0)),0)</f>
        <v>0</v>
      </c>
      <c r="AA16" s="248">
        <f>IF($Q16=$AA$3,(INDEX('Tables - Part 2'!$AX$6:$BA$13,MATCH(HSC_Hydrofluoric_Acid!T16,'Tables - Part 2'!$AV$6:$AV$13,0),MATCH(HSC_Hydrofluoric_Acid!R16,'Tables - Part 2'!$AX$5:$BA$5,0))+(INDEX('Tables - Part 2'!$AX$6:$BA$13,MATCH(HSC_Hydrofluoric_Acid!T16,'Tables - Part 2'!$AV$6:$AV$13,0),MATCH(HSC_Hydrofluoric_Acid!R16,'Tables - Part 2'!$AX$5:$BA$5,0))+((INDEX('Tables - Part 2'!$AX$6:$BA$13,MATCH(HSC_Hydrofluoric_Acid!T16,'Tables - Part 2'!$AV$6:$AV$13,0),MATCH(HSC_Hydrofluoric_Acid!R16,'Tables - Part 2'!$AX$5:$BA$5,0))+INDEX('Tables - Part 2'!$BB$6:$BE$13,MATCH(HSC_Hydrofluoric_Acid!$T16,'Tables - Part 2'!$AV$6:$AV$13,0),MATCH(HSC_Hydrofluoric_Acid!$R16,'Tables - Part 2'!$AX$5:$BA$5,0)))/2))/2)/2,0)</f>
        <v>0</v>
      </c>
      <c r="AB16" s="248">
        <f>IF($Q16=$AB$3,(INDEX('Tables - Part 2'!$AX$6:$BA$13,MATCH(HSC_Hydrofluoric_Acid!T16,'Tables - Part 2'!$AV$6:$AV$13,0),MATCH(HSC_Hydrofluoric_Acid!R16,'Tables - Part 2'!$AX$5:$BA$5,0))+((INDEX('Tables - Part 2'!$AX$6:$BA$13,MATCH(HSC_Hydrofluoric_Acid!T16,'Tables - Part 2'!$AV$6:$AV$13,0),MATCH(HSC_Hydrofluoric_Acid!R16,'Tables - Part 2'!$AX$5:$BA$5,0))+INDEX('Tables - Part 2'!$BB$6:$BE$13,MATCH(HSC_Hydrofluoric_Acid!$T16,'Tables - Part 2'!$AV$6:$AV$13,0),MATCH(HSC_Hydrofluoric_Acid!$R16,'Tables - Part 2'!$AX$5:$BA$5,0)))/2))/2,0)</f>
        <v>0</v>
      </c>
      <c r="AC16" s="248">
        <f>IF($Q16=$AC$3,(((INDEX('Tables - Part 2'!$AX$6:$BA$13,MATCH(HSC_Hydrofluoric_Acid!T16,'Tables - Part 2'!$AV$6:$AV$13,0),MATCH(HSC_Hydrofluoric_Acid!R16,'Tables - Part 2'!$AX$5:$BA$5,0))+((INDEX('Tables - Part 2'!$AX$6:$BA$13,MATCH(HSC_Hydrofluoric_Acid!T16,'Tables - Part 2'!$AV$6:$AV$13,0),MATCH(HSC_Hydrofluoric_Acid!R16,'Tables - Part 2'!$AX$5:$BA$5,0))+INDEX('Tables - Part 2'!$BB$6:$BE$13,MATCH(HSC_Hydrofluoric_Acid!$T16,'Tables - Part 2'!$AV$6:$AV$13,0),MATCH(HSC_Hydrofluoric_Acid!$R16,'Tables - Part 2'!$AX$5:$BA$5,0)))/2))/2)+(INDEX('Tables - Part 2'!$AX$6:$BA$13,MATCH(HSC_Hydrofluoric_Acid!T16,'Tables - Part 2'!$AV$6:$AV$13,0),MATCH(HSC_Hydrofluoric_Acid!R16,'Tables - Part 2'!$AX$5:$BA$5,0))+INDEX('Tables - Part 2'!$BB$6:$BE$13,MATCH(HSC_Hydrofluoric_Acid!$T16,'Tables - Part 2'!$AV$6:$AV$13,0),MATCH(HSC_Hydrofluoric_Acid!$R16,'Tables - Part 2'!$AX$5:$BA$5,0)))/2)/2,0)</f>
        <v>0</v>
      </c>
      <c r="AD16" s="248">
        <f>IF($Q16=$AD$3,(INDEX('Tables - Part 2'!$AX$6:$BA$13,MATCH(HSC_Hydrofluoric_Acid!T16,'Tables - Part 2'!$AV$6:$AV$13,0),MATCH(HSC_Hydrofluoric_Acid!R16,'Tables - Part 2'!$AX$5:$BA$5,0))+INDEX('Tables - Part 2'!$BB$6:$BE$13,MATCH(HSC_Hydrofluoric_Acid!$T16,'Tables - Part 2'!$AV$6:$AV$13,0),MATCH(HSC_Hydrofluoric_Acid!$R16,'Tables - Part 2'!$AX$5:$BA$5,0)))/2,0)</f>
        <v>0</v>
      </c>
      <c r="AE16" s="248">
        <f>IF($Q16=$AE$3,(((INDEX('Tables - Part 2'!$AX$6:$BA$13,MATCH(HSC_Hydrofluoric_Acid!T16,'Tables - Part 2'!$AV$6:$AV$13,0),MATCH(HSC_Hydrofluoric_Acid!R16,'Tables - Part 2'!$AX$5:$BA$5,0))+INDEX('Tables - Part 2'!$BB$6:$BE$13,MATCH(HSC_Hydrofluoric_Acid!$T16,'Tables - Part 2'!$AV$6:$AV$13,0),MATCH(HSC_Hydrofluoric_Acid!$R16,'Tables - Part 2'!$AX$5:$BA$5,0)))/2)+(((INDEX('Tables - Part 2'!$AX$6:$BA$13,MATCH(HSC_Hydrofluoric_Acid!T16,'Tables - Part 2'!$AV$6:$AV$13,0),MATCH(HSC_Hydrofluoric_Acid!R16,'Tables - Part 2'!$AX$5:$BA$5,0))+INDEX('Tables - Part 2'!$BB$6:$BE$13,MATCH(HSC_Hydrofluoric_Acid!$T16,'Tables - Part 2'!$AV$6:$AV$13,0),MATCH(HSC_Hydrofluoric_Acid!$R16,'Tables - Part 2'!$AX$5:$BA$5,0)))/2)+INDEX('Tables - Part 2'!$BB$6:$BE$13,MATCH(HSC_Hydrofluoric_Acid!$T16,'Tables - Part 2'!$AV$6:$AV$13,0),MATCH(HSC_Hydrofluoric_Acid!$R16,'Tables - Part 2'!$AX$5:$BA$5,0)))/2)/2,0)</f>
        <v>0</v>
      </c>
      <c r="AF16" s="248">
        <f>IF($Q16=$AF$3,(((INDEX('Tables - Part 2'!$AX$6:$BA$13,MATCH(HSC_Hydrofluoric_Acid!T16,'Tables - Part 2'!$AV$6:$AV$13,0),MATCH(HSC_Hydrofluoric_Acid!R16,'Tables - Part 2'!$AX$5:$BA$5,0))+INDEX('Tables - Part 2'!$BB$6:$BE$13,MATCH(HSC_Hydrofluoric_Acid!$T16,'Tables - Part 2'!$AV$6:$AV$13,0),MATCH(HSC_Hydrofluoric_Acid!$R16,'Tables - Part 2'!$AX$5:$BA$5,0)))/2)+INDEX('Tables - Part 2'!$BB$6:$BE$13,MATCH(HSC_Hydrofluoric_Acid!$T16,'Tables - Part 2'!$AV$6:$AV$13,0),MATCH(HSC_Hydrofluoric_Acid!$R16,'Tables - Part 2'!$AX$5:$BA$5,0)))/2,0)</f>
        <v>0</v>
      </c>
      <c r="AG16" s="248">
        <f>IF($Q16=$AG$3,(((((INDEX('Tables - Part 2'!$AX$6:$BA$13,MATCH(HSC_Hydrofluoric_Acid!T16,'Tables - Part 2'!$AV$6:$AV$13,0),MATCH(HSC_Hydrofluoric_Acid!R16,'Tables - Part 2'!$AX$5:$BA$5,0))+INDEX('Tables - Part 2'!$BB$6:$BE$13,MATCH(HSC_Hydrofluoric_Acid!$T16,'Tables - Part 2'!$AV$6:$AV$13,0),MATCH(HSC_Hydrofluoric_Acid!$R16,'Tables - Part 2'!$AX$5:$BA$5,0)))/2)+INDEX('Tables - Part 2'!$BB$6:$BE$13,MATCH(HSC_Hydrofluoric_Acid!$T16,'Tables - Part 2'!$AV$6:$AV$13,0),MATCH(HSC_Hydrofluoric_Acid!$R16,'Tables - Part 2'!$AX$5:$BA$5,0)))/2)+INDEX('Tables - Part 2'!$BB$6:$BE$13,MATCH(HSC_Hydrofluoric_Acid!$T16,'Tables - Part 2'!$AV$6:$AV$13,0),MATCH(HSC_Hydrofluoric_Acid!$R16,'Tables - Part 2'!$AX$5:$BA$5,0)))/2,0)</f>
        <v>0</v>
      </c>
      <c r="AH16" s="248">
        <f>IF($Q16=$AH$3,INDEX('Tables - Part 2'!$BB$6:$BE$13,MATCH(HSC_Hydrofluoric_Acid!$T16,'Tables - Part 2'!$AV$6:$AV$13,0),MATCH(HSC_Hydrofluoric_Acid!$R16,'Tables - Part 2'!$AX$5:$BA$5,0)),0)</f>
        <v>0</v>
      </c>
      <c r="AI16" s="248">
        <f>IF($Q16=$AI$3,((INDEX('Tables - Part 2'!$BB$6:$BE$13,MATCH(HSC_Hydrofluoric_Acid!$T16,'Tables - Part 2'!$AV$6:$AV$13,0),MATCH(HSC_Hydrofluoric_Acid!$R16,'Tables - Part 2'!$AX$5:$BA$5,0)))+(INDEX('Tables - Part 2'!$BB$6:$BE$13,MATCH(HSC_Hydrofluoric_Acid!$T16,'Tables - Part 2'!$AV$6:$AV$13,0),MATCH(HSC_Hydrofluoric_Acid!$R16,'Tables - Part 2'!$AX$5:$BA$5,0))+(INDEX('Tables - Part 2'!$BB$6:$BE$13,MATCH(HSC_Hydrofluoric_Acid!$T16,'Tables - Part 2'!$AV$6:$AV$13,0),MATCH(HSC_Hydrofluoric_Acid!$R16,'Tables - Part 2'!$AX$5:$BA$5,0))+INDEX('Tables - Part 2'!$BF$6:$BI$13,MATCH(HSC_Hydrofluoric_Acid!$T16,'Tables - Part 2'!$AV$6:$AV$13,0),MATCH(HSC_Hydrofluoric_Acid!$R16,'Tables - Part 2'!$AX$5:$BA$5,0)))/2)/2)/2,0)</f>
        <v>0</v>
      </c>
      <c r="AJ16" s="248">
        <f>IF($Q16=$AJ$3,(INDEX('Tables - Part 2'!$BB$6:$BE$13,MATCH(HSC_Hydrofluoric_Acid!$T16,'Tables - Part 2'!$AV$6:$AV$13,0),MATCH(HSC_Hydrofluoric_Acid!$R16,'Tables - Part 2'!$AX$5:$BA$5,0))+(INDEX('Tables - Part 2'!$BB$6:$BE$13,MATCH(HSC_Hydrofluoric_Acid!$T16,'Tables - Part 2'!$AV$6:$AV$13,0),MATCH(HSC_Hydrofluoric_Acid!$R16,'Tables - Part 2'!$AX$5:$BA$5,0))+INDEX('Tables - Part 2'!$BF$6:$BI$13,MATCH(HSC_Hydrofluoric_Acid!$T16,'Tables - Part 2'!$AV$6:$AV$13,0),MATCH(HSC_Hydrofluoric_Acid!$R16,'Tables - Part 2'!$AX$5:$BA$5,0)))/2)/2,0)</f>
        <v>0</v>
      </c>
      <c r="AK16" s="248">
        <f>IF($Q16=$AK$3,(((INDEX('Tables - Part 2'!$BB$6:$BE$13,MATCH(HSC_Hydrofluoric_Acid!$T16,'Tables - Part 2'!$AV$6:$AV$13,0),MATCH(HSC_Hydrofluoric_Acid!$R16,'Tables - Part 2'!$AX$5:$BA$5,0))+(INDEX('Tables - Part 2'!$BB$6:$BE$13,MATCH(HSC_Hydrofluoric_Acid!$T16,'Tables - Part 2'!$AV$6:$AV$13,0),MATCH(HSC_Hydrofluoric_Acid!$R16,'Tables - Part 2'!$AX$5:$BA$5,0))+INDEX('Tables - Part 2'!$BF$6:$BI$13,MATCH(HSC_Hydrofluoric_Acid!$T16,'Tables - Part 2'!$AV$6:$AV$13,0),MATCH(HSC_Hydrofluoric_Acid!$R16,'Tables - Part 2'!$AX$5:$BA$5,0)))/2)/2)+((INDEX('Tables - Part 2'!$BB$6:$BE$13,MATCH(HSC_Hydrofluoric_Acid!$T16,'Tables - Part 2'!$AV$6:$AV$13,0),MATCH(HSC_Hydrofluoric_Acid!$R16,'Tables - Part 2'!$AX$5:$BA$5,0))+INDEX('Tables - Part 2'!$BF$6:$BI$13,MATCH(HSC_Hydrofluoric_Acid!$T16,'Tables - Part 2'!$AV$6:$AV$13,0),MATCH(HSC_Hydrofluoric_Acid!$R16,'Tables - Part 2'!$AX$5:$BA$5,0)))/2))/2,0)</f>
        <v>0</v>
      </c>
      <c r="AL16" s="248">
        <f>IF($Q16=$AL$3,(INDEX('Tables - Part 2'!$BB$6:$BE$13,MATCH(HSC_Hydrofluoric_Acid!$T16,'Tables - Part 2'!$AV$6:$AV$13,0),MATCH(HSC_Hydrofluoric_Acid!$R16,'Tables - Part 2'!$AX$5:$BA$5,0))+INDEX('Tables - Part 2'!$BF$6:$BI$13,MATCH(HSC_Hydrofluoric_Acid!$T16,'Tables - Part 2'!$AV$6:$AV$13,0),MATCH(HSC_Hydrofluoric_Acid!$R16,'Tables - Part 2'!$AX$5:$BA$5,0)))/2,0)</f>
        <v>1</v>
      </c>
      <c r="AM16" s="248">
        <f>IF($Q16=$AM$3,(((INDEX('Tables - Part 2'!$BB$6:$BE$13,MATCH(HSC_Hydrofluoric_Acid!$T16,'Tables - Part 2'!$AV$6:$AV$13,0),MATCH(HSC_Hydrofluoric_Acid!$R16,'Tables - Part 2'!$AX$5:$BA$5,0))+INDEX('Tables - Part 2'!$BF$6:$BI$13,MATCH(HSC_Hydrofluoric_Acid!$T16,'Tables - Part 2'!$AV$6:$AV$13,0),MATCH(HSC_Hydrofluoric_Acid!$R16,'Tables - Part 2'!$AX$5:$BA$5,0)))/2)+((((INDEX('Tables - Part 2'!$BB$6:$BE$13,MATCH(HSC_Hydrofluoric_Acid!$T16,'Tables - Part 2'!$AV$6:$AV$13,0),MATCH(HSC_Hydrofluoric_Acid!$R16,'Tables - Part 2'!$AX$5:$BA$5,0))+INDEX('Tables - Part 2'!$BF$6:$BI$13,MATCH(HSC_Hydrofluoric_Acid!$T16,'Tables - Part 2'!$AV$6:$AV$13,0),MATCH(HSC_Hydrofluoric_Acid!$R16,'Tables - Part 2'!$AX$5:$BA$5,0)))/2)+INDEX('Tables - Part 2'!$BF$6:$BI$13,MATCH(HSC_Hydrofluoric_Acid!$T16,'Tables - Part 2'!$AV$6:$AV$13,0),MATCH(HSC_Hydrofluoric_Acid!$R16,'Tables - Part 2'!$AX$5:$BA$5,0)))/2))/2,0)</f>
        <v>0</v>
      </c>
      <c r="AN16" s="248">
        <f>IF($Q16=$AN$3,(((INDEX('Tables - Part 2'!$BB$6:$BE$13,MATCH(HSC_Hydrofluoric_Acid!$T16,'Tables - Part 2'!$AV$6:$AV$13,0),MATCH(HSC_Hydrofluoric_Acid!$R16,'Tables - Part 2'!$AX$5:$BA$5,0))+INDEX('Tables - Part 2'!$BF$6:$BI$13,MATCH(HSC_Hydrofluoric_Acid!$T16,'Tables - Part 2'!$AV$6:$AV$13,0),MATCH(HSC_Hydrofluoric_Acid!$R16,'Tables - Part 2'!$AX$5:$BA$5,0)))/2)+INDEX('Tables - Part 2'!$BF$6:$BI$13,MATCH(HSC_Hydrofluoric_Acid!$T16,'Tables - Part 2'!$AV$6:$AV$13,0),MATCH(HSC_Hydrofluoric_Acid!$R16,'Tables - Part 2'!$AX$5:$BA$5,0)))/2,0)</f>
        <v>0</v>
      </c>
      <c r="AO16" s="248">
        <f>IF($Q16=$AO$3,(((((INDEX('Tables - Part 2'!$BB$6:$BE$13,MATCH(HSC_Hydrofluoric_Acid!$T16,'Tables - Part 2'!$AV$6:$AV$13,0),MATCH(HSC_Hydrofluoric_Acid!$R16,'Tables - Part 2'!$AX$5:$BA$5,0))+INDEX('Tables - Part 2'!$BF$6:$BI$13,MATCH(HSC_Hydrofluoric_Acid!$T16,'Tables - Part 2'!$AV$6:$AV$13,0),MATCH(HSC_Hydrofluoric_Acid!$R16,'Tables - Part 2'!$AX$5:$BA$5,0)))/2)+INDEX('Tables - Part 2'!$BF$6:$BI$13,MATCH(HSC_Hydrofluoric_Acid!$T16,'Tables - Part 2'!$AV$6:$AV$13,0),MATCH(HSC_Hydrofluoric_Acid!$R16,'Tables - Part 2'!$AX$5:$BA$5,0)))/2)+INDEX('Tables - Part 2'!$BF$6:$BI$13,MATCH(HSC_Hydrofluoric_Acid!$T16,'Tables - Part 2'!$AV$6:$AV$13,0),MATCH(HSC_Hydrofluoric_Acid!$R16,'Tables - Part 2'!$AX$5:$BA$5,0)))/2,0)</f>
        <v>0</v>
      </c>
      <c r="AP16" s="248">
        <f>IF($Q16=$AP$3,INDEX('Tables - Part 2'!$BF$6:$BI$13,MATCH(HSC_Hydrofluoric_Acid!$T16,'Tables - Part 2'!$AV$6:$AV$13,0),MATCH(HSC_Hydrofluoric_Acid!$R16,'Tables - Part 2'!$AX$5:$BA$5,0)),0)</f>
        <v>0</v>
      </c>
      <c r="AQ16" s="248">
        <f>IF($Q16=$AQ$3,(INDEX('Tables - Part 2'!$BF$6:$BI$13,MATCH(HSC_Hydrofluoric_Acid!$T16,'Tables - Part 2'!$AV$6:$AV$13,0),MATCH(HSC_Hydrofluoric_Acid!$R16,'Tables - Part 2'!$AX$5:$BA$5,0))+((INDEX('Tables - Part 2'!$BF$6:$BI$13,MATCH(HSC_Hydrofluoric_Acid!$T16,'Tables - Part 2'!$AV$6:$AV$13,0),MATCH(HSC_Hydrofluoric_Acid!$R16,'Tables - Part 2'!$AX$5:$BA$5,0))+(INDEX('Tables - Part 2'!$BF$6:$BI$13,MATCH(HSC_Hydrofluoric_Acid!$T16,'Tables - Part 2'!$AV$6:$AV$13,0),MATCH(HSC_Hydrofluoric_Acid!$R16,'Tables - Part 2'!$AX$5:$BA$5,0))+INDEX('Tables - Part 2'!$AX$17:$BA$24,MATCH(HSC_Hydrofluoric_Acid!$T16,'Tables - Part 2'!$AV$6:$AV$13,0),MATCH(HSC_Hydrofluoric_Acid!$R16,'Tables - Part 2'!$AX$5:$BA$5,0)))/2)/2))/2,0)</f>
        <v>0</v>
      </c>
      <c r="AR16" s="248">
        <f>IF($Q16=$AR$3,(INDEX('Tables - Part 2'!$BF$6:$BI$13,MATCH(HSC_Hydrofluoric_Acid!$T16,'Tables - Part 2'!$AV$6:$AV$13,0),MATCH(HSC_Hydrofluoric_Acid!$R16,'Tables - Part 2'!$AX$5:$BA$5,0))+(INDEX('Tables - Part 2'!$BF$6:$BI$13,MATCH(HSC_Hydrofluoric_Acid!$T16,'Tables - Part 2'!$AV$6:$AV$13,0),MATCH(HSC_Hydrofluoric_Acid!$R16,'Tables - Part 2'!$AX$5:$BA$5,0))+INDEX('Tables - Part 2'!$AX$17:$BA$24,MATCH(HSC_Hydrofluoric_Acid!$T16,'Tables - Part 2'!$AV$6:$AV$13,0),MATCH(HSC_Hydrofluoric_Acid!$R16,'Tables - Part 2'!$AX$5:$BA$5,0)))/2)/2,0)</f>
        <v>0</v>
      </c>
      <c r="AS16" s="248">
        <f>IF($Q16=$AS$3,(((INDEX('Tables - Part 2'!$BF$6:$BI$13,MATCH(HSC_Hydrofluoric_Acid!$T16,'Tables - Part 2'!$AV$6:$AV$13,0),MATCH(HSC_Hydrofluoric_Acid!$R16,'Tables - Part 2'!$AX$5:$BA$5,0))+(INDEX('Tables - Part 2'!$BF$6:$BI$13,MATCH(HSC_Hydrofluoric_Acid!$T16,'Tables - Part 2'!$AV$6:$AV$13,0),MATCH(HSC_Hydrofluoric_Acid!$R16,'Tables - Part 2'!$AX$5:$BA$5,0))+INDEX('Tables - Part 2'!$AX$17:$BA$24,MATCH(HSC_Hydrofluoric_Acid!$T16,'Tables - Part 2'!$AV$6:$AV$13,0),MATCH(HSC_Hydrofluoric_Acid!$R16,'Tables - Part 2'!$AX$5:$BA$5,0)))/2)/2)+((INDEX('Tables - Part 2'!$BF$6:$BI$13,MATCH(HSC_Hydrofluoric_Acid!$T16,'Tables - Part 2'!$AV$6:$AV$13,0),MATCH(HSC_Hydrofluoric_Acid!$R16,'Tables - Part 2'!$AX$5:$BA$5,0))+INDEX('Tables - Part 2'!$AX$17:$BA$24,MATCH(HSC_Hydrofluoric_Acid!$T16,'Tables - Part 2'!$AV$6:$AV$13,0),MATCH(HSC_Hydrofluoric_Acid!$R16,'Tables - Part 2'!$AX$5:$BA$5,0)))/2))/2,0)</f>
        <v>0</v>
      </c>
      <c r="AT16" s="248">
        <f>IF($Q16=$AT$3,(INDEX('Tables - Part 2'!$BF$6:$BI$13,MATCH(HSC_Hydrofluoric_Acid!$T16,'Tables - Part 2'!$AV$6:$AV$13,0),MATCH(HSC_Hydrofluoric_Acid!$R16,'Tables - Part 2'!$AX$5:$BA$5,0))+INDEX('Tables - Part 2'!$AX$17:$BA$24,MATCH(HSC_Hydrofluoric_Acid!$T16,'Tables - Part 2'!$AV$6:$AV$13,0),MATCH(HSC_Hydrofluoric_Acid!$R16,'Tables - Part 2'!$AX$5:$BA$5,0)))/2,0)</f>
        <v>0</v>
      </c>
      <c r="AU16" s="248">
        <f>IF($Q16=$AU$3,(((INDEX('Tables - Part 2'!$BF$6:$BI$13,MATCH(HSC_Hydrofluoric_Acid!$T16,'Tables - Part 2'!$AV$6:$AV$13,0),MATCH(HSC_Hydrofluoric_Acid!$R16,'Tables - Part 2'!$AX$5:$BA$5,0))+INDEX('Tables - Part 2'!$AX$17:$BA$24,MATCH(HSC_Hydrofluoric_Acid!$T16,'Tables - Part 2'!$AV$6:$AV$13,0),MATCH(HSC_Hydrofluoric_Acid!$R16,'Tables - Part 2'!$AX$5:$BA$5,0)))/2)+((((INDEX('Tables - Part 2'!$BF$6:$BI$13,MATCH(HSC_Hydrofluoric_Acid!$T16,'Tables - Part 2'!$AV$6:$AV$13,0),MATCH(HSC_Hydrofluoric_Acid!$R16,'Tables - Part 2'!$AX$5:$BA$5,0))+INDEX('Tables - Part 2'!$AX$17:$BA$24,MATCH(HSC_Hydrofluoric_Acid!$T16,'Tables - Part 2'!$AV$6:$AV$13,0),MATCH(HSC_Hydrofluoric_Acid!$R16,'Tables - Part 2'!$AX$5:$BA$5,0)))/2)+INDEX('Tables - Part 2'!$AX$17:$BA$24,MATCH(HSC_Hydrofluoric_Acid!$T16,'Tables - Part 2'!$AV$6:$AV$13,0),MATCH(HSC_Hydrofluoric_Acid!$R16,'Tables - Part 2'!$AX$5:$BA$5,0)))/2))/2,0)</f>
        <v>0</v>
      </c>
      <c r="AV16" s="248">
        <f>IF($Q16=$AV$3,(((INDEX('Tables - Part 2'!$BF$6:$BI$13,MATCH(HSC_Hydrofluoric_Acid!$T16,'Tables - Part 2'!$AV$6:$AV$13,0),MATCH(HSC_Hydrofluoric_Acid!$R16,'Tables - Part 2'!$AX$5:$BA$5,0))+INDEX('Tables - Part 2'!$AX$17:$BA$24,MATCH(HSC_Hydrofluoric_Acid!$T16,'Tables - Part 2'!$AV$6:$AV$13,0),MATCH(HSC_Hydrofluoric_Acid!$R16,'Tables - Part 2'!$AX$5:$BA$5,0)))/2)+INDEX('Tables - Part 2'!$AX$17:$BA$24,MATCH(HSC_Hydrofluoric_Acid!$T16,'Tables - Part 2'!$AV$6:$AV$13,0),MATCH(HSC_Hydrofluoric_Acid!$R16,'Tables - Part 2'!$AX$5:$BA$5,0)))/2,0)</f>
        <v>0</v>
      </c>
      <c r="AW16" s="248">
        <f>IF($Q16=$AW$3,(((((INDEX('Tables - Part 2'!$BF$6:$BI$13,MATCH(HSC_Hydrofluoric_Acid!$T16,'Tables - Part 2'!$AV$6:$AV$13,0),MATCH(HSC_Hydrofluoric_Acid!$R16,'Tables - Part 2'!$AX$5:$BA$5,0))+INDEX('Tables - Part 2'!$AX$17:$BA$24,MATCH(HSC_Hydrofluoric_Acid!$T16,'Tables - Part 2'!$AV$6:$AV$13,0),MATCH(HSC_Hydrofluoric_Acid!$R16,'Tables - Part 2'!$AX$5:$BA$5,0)))/2)+INDEX('Tables - Part 2'!$AX$17:$BA$24,MATCH(HSC_Hydrofluoric_Acid!$T16,'Tables - Part 2'!$AV$6:$AV$13,0),MATCH(HSC_Hydrofluoric_Acid!$R16,'Tables - Part 2'!$AX$5:$BA$5,0)))/2)+(INDEX('Tables - Part 2'!$AX$17:$BA$24,MATCH(HSC_Hydrofluoric_Acid!$T16,'Tables - Part 2'!$AV$6:$AV$13,0),MATCH(HSC_Hydrofluoric_Acid!$R16,'Tables - Part 2'!$AX$5:$BA$5,0))))/2,0)</f>
        <v>0</v>
      </c>
      <c r="AX16" s="248">
        <f>IF($Q16=$AX$3,INDEX('Tables - Part 2'!$AX$17:$BA$24,MATCH(HSC_Hydrofluoric_Acid!$T16,'Tables - Part 2'!$AV$6:$AV$13,0),MATCH(HSC_Hydrofluoric_Acid!$R16,'Tables - Part 2'!$AX$5:$BA$5,0)),0)</f>
        <v>0</v>
      </c>
      <c r="AY16" s="248">
        <f>IF($Q16=$AY$3,((INDEX('Tables - Part 2'!$AX$17:$BA$24,MATCH(HSC_Hydrofluoric_Acid!$T16,'Tables - Part 2'!$AV$6:$AV$13,0),MATCH(HSC_Hydrofluoric_Acid!$R16,'Tables - Part 2'!$AX$5:$BA$5,0)))+(((INDEX('Tables - Part 2'!$AX$17:$BA$24,MATCH(HSC_Hydrofluoric_Acid!$T16,'Tables - Part 2'!$AV$6:$AV$13,0),MATCH(HSC_Hydrofluoric_Acid!$R16,'Tables - Part 2'!$AX$5:$BA$5,0)))+(INDEX('Tables - Part 2'!$AX$17:$BA$24,MATCH(HSC_Hydrofluoric_Acid!$T16,'Tables - Part 2'!$AV$6:$AV$13,0),MATCH(HSC_Hydrofluoric_Acid!$R16,'Tables - Part 2'!$AX$5:$BA$5,0))+INDEX('Tables - Part 2'!$BB$17:$BE$24,MATCH(HSC_Hydrofluoric_Acid!$T16,'Tables - Part 2'!$AV$6:$AV$13,0),MATCH(HSC_Hydrofluoric_Acid!$R16,'Tables - Part 2'!$AX$5:$BA$5,0)))/2)/2))/2,0)</f>
        <v>0</v>
      </c>
      <c r="AZ16" s="248">
        <f>IF($Q16=$AZ$3,((INDEX('Tables - Part 2'!$AX$17:$BA$24,MATCH(HSC_Hydrofluoric_Acid!$T16,'Tables - Part 2'!$AV$6:$AV$13,0),MATCH(HSC_Hydrofluoric_Acid!$R16,'Tables - Part 2'!$AX$5:$BA$5,0)))+(INDEX('Tables - Part 2'!$AX$17:$BA$24,MATCH(HSC_Hydrofluoric_Acid!$T16,'Tables - Part 2'!$AV$6:$AV$13,0),MATCH(HSC_Hydrofluoric_Acid!$R16,'Tables - Part 2'!$AX$5:$BA$5,0))+INDEX('Tables - Part 2'!$BB$17:$BE$24,MATCH(HSC_Hydrofluoric_Acid!$T16,'Tables - Part 2'!$AV$6:$AV$13,0),MATCH(HSC_Hydrofluoric_Acid!$R16,'Tables - Part 2'!$AX$5:$BA$5,0)))/2)/2,0)</f>
        <v>0</v>
      </c>
      <c r="BA16" s="248">
        <f>IF($Q16=$BA$3,((((INDEX('Tables - Part 2'!$AX$17:$BA$24,MATCH(HSC_Hydrofluoric_Acid!$T16,'Tables - Part 2'!$AV$6:$AV$13,0),MATCH(HSC_Hydrofluoric_Acid!$R16,'Tables - Part 2'!$AX$5:$BA$5,0)))+(INDEX('Tables - Part 2'!$AX$17:$BA$24,MATCH(HSC_Hydrofluoric_Acid!$T16,'Tables - Part 2'!$AV$6:$AV$13,0),MATCH(HSC_Hydrofluoric_Acid!$R16,'Tables - Part 2'!$AX$5:$BA$5,0))+INDEX('Tables - Part 2'!$BB$17:$BE$24,MATCH(HSC_Hydrofluoric_Acid!$T16,'Tables - Part 2'!$AV$6:$AV$13,0),MATCH(HSC_Hydrofluoric_Acid!$R16,'Tables - Part 2'!$AX$5:$BA$5,0)))/2)/2)+((INDEX('Tables - Part 2'!$AX$17:$BA$24,MATCH(HSC_Hydrofluoric_Acid!$T16,'Tables - Part 2'!$AV$6:$AV$13,0),MATCH(HSC_Hydrofluoric_Acid!$R16,'Tables - Part 2'!$AX$5:$BA$5,0))+INDEX('Tables - Part 2'!$BB$17:$BE$24,MATCH(HSC_Hydrofluoric_Acid!$T16,'Tables - Part 2'!$AV$6:$AV$13,0),MATCH(HSC_Hydrofluoric_Acid!$R16,'Tables - Part 2'!$AX$5:$BA$5,0)))/2))/2,0)</f>
        <v>0</v>
      </c>
      <c r="BB16" s="248">
        <f>IF($Q16=$BB$3,(INDEX('Tables - Part 2'!$AX$17:$BA$24,MATCH(HSC_Hydrofluoric_Acid!$T16,'Tables - Part 2'!$AV$6:$AV$13,0),MATCH(HSC_Hydrofluoric_Acid!$R16,'Tables - Part 2'!$AX$5:$BA$5,0))+INDEX('Tables - Part 2'!$BB$17:$BE$24,MATCH(HSC_Hydrofluoric_Acid!$T16,'Tables - Part 2'!$AV$6:$AV$13,0),MATCH(HSC_Hydrofluoric_Acid!$R16,'Tables - Part 2'!$AX$5:$BA$5,0)))/2,0)</f>
        <v>0</v>
      </c>
      <c r="BC16" s="248">
        <f>IF($Q16=$BC$3,(((INDEX('Tables - Part 2'!$AX$17:$BA$24,MATCH(HSC_Hydrofluoric_Acid!$T16,'Tables - Part 2'!$AV$6:$AV$13,0),MATCH(HSC_Hydrofluoric_Acid!$R16,'Tables - Part 2'!$AX$5:$BA$5,0))+INDEX('Tables - Part 2'!$BB$17:$BE$24,MATCH(HSC_Hydrofluoric_Acid!$T16,'Tables - Part 2'!$AV$6:$AV$13,0),MATCH(HSC_Hydrofluoric_Acid!$R16,'Tables - Part 2'!$AX$5:$BA$5,0)))/2)+((((INDEX('Tables - Part 2'!$AX$17:$BA$24,MATCH(HSC_Hydrofluoric_Acid!$T16,'Tables - Part 2'!$AV$6:$AV$13,0),MATCH(HSC_Hydrofluoric_Acid!$R16,'Tables - Part 2'!$AX$5:$BA$5,0))+INDEX('Tables - Part 2'!$BB$17:$BE$24,MATCH(HSC_Hydrofluoric_Acid!$T16,'Tables - Part 2'!$AV$6:$AV$13,0),MATCH(HSC_Hydrofluoric_Acid!$R16,'Tables - Part 2'!$AX$5:$BA$5,0)))/2)+INDEX('Tables - Part 2'!$BB$17:$BE$24,MATCH(HSC_Hydrofluoric_Acid!$T16,'Tables - Part 2'!$AV$6:$AV$13,0),MATCH(HSC_Hydrofluoric_Acid!$R16,'Tables - Part 2'!$AX$5:$BA$5,0)))/2))/2,0)</f>
        <v>0</v>
      </c>
      <c r="BD16" s="248">
        <f>IF($Q16=$BD$3,(((INDEX('Tables - Part 2'!$AX$17:$BA$24,MATCH(HSC_Hydrofluoric_Acid!$T16,'Tables - Part 2'!$AV$6:$AV$13,0),MATCH(HSC_Hydrofluoric_Acid!$R16,'Tables - Part 2'!$AX$5:$BA$5,0))+INDEX('Tables - Part 2'!$BB$17:$BE$24,MATCH(HSC_Hydrofluoric_Acid!$T16,'Tables - Part 2'!$AV$6:$AV$13,0),MATCH(HSC_Hydrofluoric_Acid!$R16,'Tables - Part 2'!$AX$5:$BA$5,0)))/2)+INDEX('Tables - Part 2'!$BB$17:$BE$24,MATCH(HSC_Hydrofluoric_Acid!$T16,'Tables - Part 2'!$AV$6:$AV$13,0),MATCH(HSC_Hydrofluoric_Acid!$R16,'Tables - Part 2'!$AX$5:$BA$5,0)))/2,0)</f>
        <v>0</v>
      </c>
      <c r="BE16" s="248">
        <f>IF($Q16=$BE$3,(((((INDEX('Tables - Part 2'!$AX$17:$BA$24,MATCH(HSC_Hydrofluoric_Acid!$T16,'Tables - Part 2'!$AV$6:$AV$13,0),MATCH(HSC_Hydrofluoric_Acid!$R16,'Tables - Part 2'!$AX$5:$BA$5,0))+INDEX('Tables - Part 2'!$BB$17:$BE$24,MATCH(HSC_Hydrofluoric_Acid!$T16,'Tables - Part 2'!$AV$6:$AV$13,0),MATCH(HSC_Hydrofluoric_Acid!$R16,'Tables - Part 2'!$AX$5:$BA$5,0)))/2)+INDEX('Tables - Part 2'!$BB$17:$BE$24,MATCH(HSC_Hydrofluoric_Acid!$T16,'Tables - Part 2'!$AV$6:$AV$13,0),MATCH(HSC_Hydrofluoric_Acid!$R16,'Tables - Part 2'!$AX$5:$BA$5,0)))/2)+(INDEX('Tables - Part 2'!$BB$17:$BE$24,MATCH(HSC_Hydrofluoric_Acid!$T16,'Tables - Part 2'!$AV$6:$AV$13,0),MATCH(HSC_Hydrofluoric_Acid!$R16,'Tables - Part 2'!$AX$5:$BA$5,0))))/2,0)</f>
        <v>0</v>
      </c>
      <c r="BF16" s="248">
        <f>IF($Q16=$BF$3,INDEX('Tables - Part 2'!$BB$17:$BE$24,MATCH(HSC_Hydrofluoric_Acid!$T16,'Tables - Part 2'!$AV$6:$AV$13,0),MATCH(HSC_Hydrofluoric_Acid!$R16,'Tables - Part 2'!$AX$5:$BA$5,0)),0)</f>
        <v>0</v>
      </c>
      <c r="BG16" s="248">
        <f>IF($Q16=$BG$3,((INDEX('Tables - Part 2'!$BB$17:$BE$24,MATCH(HSC_Hydrofluoric_Acid!$T16,'Tables - Part 2'!$AV$6:$AV$13,0),MATCH(HSC_Hydrofluoric_Acid!$R16,'Tables - Part 2'!$AX$5:$BA$5,0)))+(((INDEX('Tables - Part 2'!$BB$17:$BE$24,MATCH(HSC_Hydrofluoric_Acid!$T16,'Tables - Part 2'!$AV$6:$AV$13,0),MATCH(HSC_Hydrofluoric_Acid!$R16,'Tables - Part 2'!$AX$5:$BA$5,0)))+(INDEX('Tables - Part 2'!$BB$17:$BE$24,MATCH(HSC_Hydrofluoric_Acid!$T16,'Tables - Part 2'!$AV$6:$AV$13,0),MATCH(HSC_Hydrofluoric_Acid!$R16,'Tables - Part 2'!$AX$5:$BA$5,0))+INDEX('Tables - Part 2'!$BF$17:$BI$24,MATCH(HSC_Hydrofluoric_Acid!$T16,'Tables - Part 2'!$AV$6:$AV$13,0),MATCH(HSC_Hydrofluoric_Acid!$R16,'Tables - Part 2'!$AX$5:$BA$5,0)))/2)/2))/2,0)</f>
        <v>0</v>
      </c>
      <c r="BH16" s="248">
        <f>IF($Q16=$BH$3,((INDEX('Tables - Part 2'!$BB$17:$BE$24,MATCH(HSC_Hydrofluoric_Acid!$T16,'Tables - Part 2'!$AV$6:$AV$13,0),MATCH(HSC_Hydrofluoric_Acid!$R16,'Tables - Part 2'!$AX$5:$BA$5,0)))+(INDEX('Tables - Part 2'!$BB$17:$BE$24,MATCH(HSC_Hydrofluoric_Acid!$T16,'Tables - Part 2'!$AV$6:$AV$13,0),MATCH(HSC_Hydrofluoric_Acid!$R16,'Tables - Part 2'!$AX$5:$BA$5,0))+INDEX('Tables - Part 2'!$BF$17:$BI$24,MATCH(HSC_Hydrofluoric_Acid!$T16,'Tables - Part 2'!$AV$6:$AV$13,0),MATCH(HSC_Hydrofluoric_Acid!$R16,'Tables - Part 2'!$AX$5:$BA$5,0)))/2)/2,0)</f>
        <v>0</v>
      </c>
      <c r="BI16" s="248">
        <f>IF($Q16=$BI$3,((((INDEX('Tables - Part 2'!$BB$17:$BE$24,MATCH(HSC_Hydrofluoric_Acid!$T16,'Tables - Part 2'!$AV$6:$AV$13,0),MATCH(HSC_Hydrofluoric_Acid!$R16,'Tables - Part 2'!$AX$5:$BA$5,0)))+(INDEX('Tables - Part 2'!$BB$17:$BE$24,MATCH(HSC_Hydrofluoric_Acid!$T16,'Tables - Part 2'!$AV$6:$AV$13,0),MATCH(HSC_Hydrofluoric_Acid!$R16,'Tables - Part 2'!$AX$5:$BA$5,0))+INDEX('Tables - Part 2'!$BF$17:$BI$24,MATCH(HSC_Hydrofluoric_Acid!$T16,'Tables - Part 2'!$AV$6:$AV$13,0),MATCH(HSC_Hydrofluoric_Acid!$R16,'Tables - Part 2'!$AX$5:$BA$5,0)))/2)/2)+((INDEX('Tables - Part 2'!$BB$17:$BE$24,MATCH(HSC_Hydrofluoric_Acid!$T16,'Tables - Part 2'!$AV$6:$AV$13,0),MATCH(HSC_Hydrofluoric_Acid!$R16,'Tables - Part 2'!$AX$5:$BA$5,0))+INDEX('Tables - Part 2'!$BF$17:$BI$24,MATCH(HSC_Hydrofluoric_Acid!$T16,'Tables - Part 2'!$AV$6:$AV$13,0),MATCH(HSC_Hydrofluoric_Acid!$R16,'Tables - Part 2'!$AX$5:$BA$5,0)))/2))/2,0)</f>
        <v>0</v>
      </c>
      <c r="BJ16" s="248">
        <f>IF($Q16=$BJ$3,(INDEX('Tables - Part 2'!$BB$17:$BE$24,MATCH(HSC_Hydrofluoric_Acid!$T16,'Tables - Part 2'!$AV$6:$AV$13,0),MATCH(HSC_Hydrofluoric_Acid!$R16,'Tables - Part 2'!$AX$5:$BA$5,0))+INDEX('Tables - Part 2'!$BF$17:$BI$24,MATCH(HSC_Hydrofluoric_Acid!$T16,'Tables - Part 2'!$AV$6:$AV$13,0),MATCH(HSC_Hydrofluoric_Acid!$R16,'Tables - Part 2'!$AX$5:$BA$5,0)))/2,0)</f>
        <v>0</v>
      </c>
      <c r="BK16" s="248">
        <f>IF($Q16=$BK$3,(((INDEX('Tables - Part 2'!$BB$17:$BE$24,MATCH(HSC_Hydrofluoric_Acid!$T16,'Tables - Part 2'!$AV$6:$AV$13,0),MATCH(HSC_Hydrofluoric_Acid!$R16,'Tables - Part 2'!$AX$5:$BA$5,0))+INDEX('Tables - Part 2'!$BF$17:$BI$24,MATCH(HSC_Hydrofluoric_Acid!$T16,'Tables - Part 2'!$AV$6:$AV$13,0),MATCH(HSC_Hydrofluoric_Acid!$R16,'Tables - Part 2'!$AX$5:$BA$5,0)))/2)+((((INDEX('Tables - Part 2'!$BB$17:$BE$24,MATCH(HSC_Hydrofluoric_Acid!$T16,'Tables - Part 2'!$AV$6:$AV$13,0),MATCH(HSC_Hydrofluoric_Acid!$R16,'Tables - Part 2'!$AX$5:$BA$5,0))+INDEX('Tables - Part 2'!$BF$17:$BI$24,MATCH(HSC_Hydrofluoric_Acid!$T16,'Tables - Part 2'!$AV$6:$AV$13,0),MATCH(HSC_Hydrofluoric_Acid!$R16,'Tables - Part 2'!$AX$5:$BA$5,0)))/2)+INDEX('Tables - Part 2'!$BF$17:$BI$24,MATCH(HSC_Hydrofluoric_Acid!$T16,'Tables - Part 2'!$AV$6:$AV$13,0),MATCH(HSC_Hydrofluoric_Acid!$R16,'Tables - Part 2'!$AX$5:$BA$5,0)))/2))/2,0)</f>
        <v>0</v>
      </c>
      <c r="BL16" s="248">
        <f>IF($Q16=$BL$3,(((INDEX('Tables - Part 2'!$BB$17:$BE$24,MATCH(HSC_Hydrofluoric_Acid!$T16,'Tables - Part 2'!$AV$6:$AV$13,0),MATCH(HSC_Hydrofluoric_Acid!$R16,'Tables - Part 2'!$AX$5:$BA$5,0))+INDEX('Tables - Part 2'!$BF$17:$BI$24,MATCH(HSC_Hydrofluoric_Acid!$T16,'Tables - Part 2'!$AV$6:$AV$13,0),MATCH(HSC_Hydrofluoric_Acid!$R16,'Tables - Part 2'!$AX$5:$BA$5,0)))/2)+INDEX('Tables - Part 2'!$BF$17:$BI$24,MATCH(HSC_Hydrofluoric_Acid!$T16,'Tables - Part 2'!$AV$6:$AV$13,0),MATCH(HSC_Hydrofluoric_Acid!$R16,'Tables - Part 2'!$AX$5:$BA$5,0)))/2,0)</f>
        <v>0</v>
      </c>
      <c r="BM16" s="248">
        <f>IF($Q16=$BM$3,(((((INDEX('Tables - Part 2'!$BB$17:$BE$24,MATCH(HSC_Hydrofluoric_Acid!$T16,'Tables - Part 2'!$AV$6:$AV$13,0),MATCH(HSC_Hydrofluoric_Acid!$R16,'Tables - Part 2'!$AX$5:$BA$5,0))+INDEX('Tables - Part 2'!$BF$17:$BI$24,MATCH(HSC_Hydrofluoric_Acid!$T16,'Tables - Part 2'!$AV$6:$AV$13,0),MATCH(HSC_Hydrofluoric_Acid!$R16,'Tables - Part 2'!$AX$5:$BA$5,0)))/2)+INDEX('Tables - Part 2'!$BF$17:$BI$24,MATCH(HSC_Hydrofluoric_Acid!$T16,'Tables - Part 2'!$AV$6:$AV$13,0),MATCH(HSC_Hydrofluoric_Acid!$R16,'Tables - Part 2'!$AX$5:$BA$5,0)))/2)+(INDEX('Tables - Part 2'!$BF$17:$BI$24,MATCH(HSC_Hydrofluoric_Acid!$T16,'Tables - Part 2'!$AV$6:$AV$13,0),MATCH(HSC_Hydrofluoric_Acid!$R16,'Tables - Part 2'!$AX$5:$BA$5,0))))/2,0)</f>
        <v>0</v>
      </c>
      <c r="BN16" s="248">
        <f>IF($Q16=$BN$3,INDEX('Tables - Part 2'!$BF$17:$BI$24,MATCH(HSC_Hydrofluoric_Acid!$T16,'Tables - Part 2'!$AV$6:$AV$13,0),MATCH(HSC_Hydrofluoric_Acid!$R16,'Tables - Part 2'!$AX$5:$BA$5,0)),0)</f>
        <v>0</v>
      </c>
      <c r="BO16" s="248">
        <f t="shared" si="6"/>
        <v>0</v>
      </c>
      <c r="BP16" s="238">
        <f t="shared" si="8"/>
        <v>1</v>
      </c>
      <c r="BQ16" s="238">
        <f t="shared" si="7"/>
        <v>16.77288246840839</v>
      </c>
    </row>
    <row r="17" spans="2:69" x14ac:dyDescent="0.35">
      <c r="B17" s="161" t="str">
        <f>'Tratamento de Dados'!B25</f>
        <v>V-7</v>
      </c>
      <c r="C17" s="161" t="str">
        <f>'Tratamento de Dados'!D25</f>
        <v>Casco</v>
      </c>
      <c r="D17" s="209" t="s">
        <v>245</v>
      </c>
      <c r="E17" s="209" t="s">
        <v>61</v>
      </c>
      <c r="F17" s="209" t="s">
        <v>244</v>
      </c>
      <c r="G17" s="209" t="s">
        <v>244</v>
      </c>
      <c r="H17" s="209" t="s">
        <v>1112</v>
      </c>
      <c r="I17" s="209" t="s">
        <v>245</v>
      </c>
      <c r="J17" s="210">
        <v>39092</v>
      </c>
      <c r="K17" s="209">
        <v>0</v>
      </c>
      <c r="L17" s="209">
        <v>1</v>
      </c>
      <c r="M17" s="209">
        <v>1</v>
      </c>
      <c r="N17" s="209">
        <v>4</v>
      </c>
      <c r="O17" s="253">
        <f>'Tratamento de Dados'!DA25</f>
        <v>0</v>
      </c>
      <c r="P17" s="253">
        <f>'Tratamento de Dados'!DB25</f>
        <v>0</v>
      </c>
      <c r="Q17" s="256">
        <f t="shared" si="0"/>
        <v>2.5</v>
      </c>
      <c r="R17" s="246" t="str">
        <f t="shared" si="1"/>
        <v>B</v>
      </c>
      <c r="S17" s="238" t="str" cm="1">
        <f t="array" ref="S17">IF(D17=$BV$2,$BT$4,IF(OR(F17=$BV$3,G17=$BV$3),$BT$5,INDEX(IF(I17=$BV$2,'Tables - Part 2'!$EA$5:$EC$5,'Tables - Part 2'!$DX$5:$DZ$5),,MATCH(HSC_Hydrofluoric_Acid!H17,'Tables - Part 2'!$DX$4:$DZ$4,0))))</f>
        <v>Low</v>
      </c>
      <c r="T17" s="238">
        <f>IF(AND(D17=$BV$2,E17&lt;&gt;$BV$2),"Fitness-For-Service",INDEX('Tables - Part 2'!$EF$4:$EF$7,MATCH(HSC_Hydrofluoric_Acid!S17,'Tables - Part 2'!$EE$4:$EE$7,0),))</f>
        <v>1</v>
      </c>
      <c r="U17" s="238">
        <f>IF(J17=0,(Thinning!G18-Thinning!F18)/365.25,(Thinning!G18-J17)/365.25)</f>
        <v>12.980150581793293</v>
      </c>
      <c r="V17" s="248">
        <f t="shared" si="2"/>
        <v>0</v>
      </c>
      <c r="W17" s="248">
        <f t="shared" si="3"/>
        <v>2.5</v>
      </c>
      <c r="X17" s="248">
        <f t="shared" si="4"/>
        <v>3</v>
      </c>
      <c r="Y17" s="247">
        <f t="shared" si="5"/>
        <v>4</v>
      </c>
      <c r="Z17" s="248">
        <f>IF($Q17=$Z$3,INDEX('Tables - Part 2'!$AX$6:$BA$13,MATCH(HSC_Hydrofluoric_Acid!T17,'Tables - Part 2'!$AV$6:$AV$13,0),MATCH(HSC_Hydrofluoric_Acid!R17,'Tables - Part 2'!$AX$5:$BA$5,0)),0)</f>
        <v>0</v>
      </c>
      <c r="AA17" s="248">
        <f>IF($Q17=$AA$3,(INDEX('Tables - Part 2'!$AX$6:$BA$13,MATCH(HSC_Hydrofluoric_Acid!T17,'Tables - Part 2'!$AV$6:$AV$13,0),MATCH(HSC_Hydrofluoric_Acid!R17,'Tables - Part 2'!$AX$5:$BA$5,0))+(INDEX('Tables - Part 2'!$AX$6:$BA$13,MATCH(HSC_Hydrofluoric_Acid!T17,'Tables - Part 2'!$AV$6:$AV$13,0),MATCH(HSC_Hydrofluoric_Acid!R17,'Tables - Part 2'!$AX$5:$BA$5,0))+((INDEX('Tables - Part 2'!$AX$6:$BA$13,MATCH(HSC_Hydrofluoric_Acid!T17,'Tables - Part 2'!$AV$6:$AV$13,0),MATCH(HSC_Hydrofluoric_Acid!R17,'Tables - Part 2'!$AX$5:$BA$5,0))+INDEX('Tables - Part 2'!$BB$6:$BE$13,MATCH(HSC_Hydrofluoric_Acid!$T17,'Tables - Part 2'!$AV$6:$AV$13,0),MATCH(HSC_Hydrofluoric_Acid!$R17,'Tables - Part 2'!$AX$5:$BA$5,0)))/2))/2)/2,0)</f>
        <v>0</v>
      </c>
      <c r="AB17" s="248">
        <f>IF($Q17=$AB$3,(INDEX('Tables - Part 2'!$AX$6:$BA$13,MATCH(HSC_Hydrofluoric_Acid!T17,'Tables - Part 2'!$AV$6:$AV$13,0),MATCH(HSC_Hydrofluoric_Acid!R17,'Tables - Part 2'!$AX$5:$BA$5,0))+((INDEX('Tables - Part 2'!$AX$6:$BA$13,MATCH(HSC_Hydrofluoric_Acid!T17,'Tables - Part 2'!$AV$6:$AV$13,0),MATCH(HSC_Hydrofluoric_Acid!R17,'Tables - Part 2'!$AX$5:$BA$5,0))+INDEX('Tables - Part 2'!$BB$6:$BE$13,MATCH(HSC_Hydrofluoric_Acid!$T17,'Tables - Part 2'!$AV$6:$AV$13,0),MATCH(HSC_Hydrofluoric_Acid!$R17,'Tables - Part 2'!$AX$5:$BA$5,0)))/2))/2,0)</f>
        <v>0</v>
      </c>
      <c r="AC17" s="248">
        <f>IF($Q17=$AC$3,(((INDEX('Tables - Part 2'!$AX$6:$BA$13,MATCH(HSC_Hydrofluoric_Acid!T17,'Tables - Part 2'!$AV$6:$AV$13,0),MATCH(HSC_Hydrofluoric_Acid!R17,'Tables - Part 2'!$AX$5:$BA$5,0))+((INDEX('Tables - Part 2'!$AX$6:$BA$13,MATCH(HSC_Hydrofluoric_Acid!T17,'Tables - Part 2'!$AV$6:$AV$13,0),MATCH(HSC_Hydrofluoric_Acid!R17,'Tables - Part 2'!$AX$5:$BA$5,0))+INDEX('Tables - Part 2'!$BB$6:$BE$13,MATCH(HSC_Hydrofluoric_Acid!$T17,'Tables - Part 2'!$AV$6:$AV$13,0),MATCH(HSC_Hydrofluoric_Acid!$R17,'Tables - Part 2'!$AX$5:$BA$5,0)))/2))/2)+(INDEX('Tables - Part 2'!$AX$6:$BA$13,MATCH(HSC_Hydrofluoric_Acid!T17,'Tables - Part 2'!$AV$6:$AV$13,0),MATCH(HSC_Hydrofluoric_Acid!R17,'Tables - Part 2'!$AX$5:$BA$5,0))+INDEX('Tables - Part 2'!$BB$6:$BE$13,MATCH(HSC_Hydrofluoric_Acid!$T17,'Tables - Part 2'!$AV$6:$AV$13,0),MATCH(HSC_Hydrofluoric_Acid!$R17,'Tables - Part 2'!$AX$5:$BA$5,0)))/2)/2,0)</f>
        <v>0</v>
      </c>
      <c r="AD17" s="248">
        <f>IF($Q17=$AD$3,(INDEX('Tables - Part 2'!$AX$6:$BA$13,MATCH(HSC_Hydrofluoric_Acid!T17,'Tables - Part 2'!$AV$6:$AV$13,0),MATCH(HSC_Hydrofluoric_Acid!R17,'Tables - Part 2'!$AX$5:$BA$5,0))+INDEX('Tables - Part 2'!$BB$6:$BE$13,MATCH(HSC_Hydrofluoric_Acid!$T17,'Tables - Part 2'!$AV$6:$AV$13,0),MATCH(HSC_Hydrofluoric_Acid!$R17,'Tables - Part 2'!$AX$5:$BA$5,0)))/2,0)</f>
        <v>0</v>
      </c>
      <c r="AE17" s="248">
        <f>IF($Q17=$AE$3,(((INDEX('Tables - Part 2'!$AX$6:$BA$13,MATCH(HSC_Hydrofluoric_Acid!T17,'Tables - Part 2'!$AV$6:$AV$13,0),MATCH(HSC_Hydrofluoric_Acid!R17,'Tables - Part 2'!$AX$5:$BA$5,0))+INDEX('Tables - Part 2'!$BB$6:$BE$13,MATCH(HSC_Hydrofluoric_Acid!$T17,'Tables - Part 2'!$AV$6:$AV$13,0),MATCH(HSC_Hydrofluoric_Acid!$R17,'Tables - Part 2'!$AX$5:$BA$5,0)))/2)+(((INDEX('Tables - Part 2'!$AX$6:$BA$13,MATCH(HSC_Hydrofluoric_Acid!T17,'Tables - Part 2'!$AV$6:$AV$13,0),MATCH(HSC_Hydrofluoric_Acid!R17,'Tables - Part 2'!$AX$5:$BA$5,0))+INDEX('Tables - Part 2'!$BB$6:$BE$13,MATCH(HSC_Hydrofluoric_Acid!$T17,'Tables - Part 2'!$AV$6:$AV$13,0),MATCH(HSC_Hydrofluoric_Acid!$R17,'Tables - Part 2'!$AX$5:$BA$5,0)))/2)+INDEX('Tables - Part 2'!$BB$6:$BE$13,MATCH(HSC_Hydrofluoric_Acid!$T17,'Tables - Part 2'!$AV$6:$AV$13,0),MATCH(HSC_Hydrofluoric_Acid!$R17,'Tables - Part 2'!$AX$5:$BA$5,0)))/2)/2,0)</f>
        <v>0</v>
      </c>
      <c r="AF17" s="248">
        <f>IF($Q17=$AF$3,(((INDEX('Tables - Part 2'!$AX$6:$BA$13,MATCH(HSC_Hydrofluoric_Acid!T17,'Tables - Part 2'!$AV$6:$AV$13,0),MATCH(HSC_Hydrofluoric_Acid!R17,'Tables - Part 2'!$AX$5:$BA$5,0))+INDEX('Tables - Part 2'!$BB$6:$BE$13,MATCH(HSC_Hydrofluoric_Acid!$T17,'Tables - Part 2'!$AV$6:$AV$13,0),MATCH(HSC_Hydrofluoric_Acid!$R17,'Tables - Part 2'!$AX$5:$BA$5,0)))/2)+INDEX('Tables - Part 2'!$BB$6:$BE$13,MATCH(HSC_Hydrofluoric_Acid!$T17,'Tables - Part 2'!$AV$6:$AV$13,0),MATCH(HSC_Hydrofluoric_Acid!$R17,'Tables - Part 2'!$AX$5:$BA$5,0)))/2,0)</f>
        <v>0</v>
      </c>
      <c r="AG17" s="248">
        <f>IF($Q17=$AG$3,(((((INDEX('Tables - Part 2'!$AX$6:$BA$13,MATCH(HSC_Hydrofluoric_Acid!T17,'Tables - Part 2'!$AV$6:$AV$13,0),MATCH(HSC_Hydrofluoric_Acid!R17,'Tables - Part 2'!$AX$5:$BA$5,0))+INDEX('Tables - Part 2'!$BB$6:$BE$13,MATCH(HSC_Hydrofluoric_Acid!$T17,'Tables - Part 2'!$AV$6:$AV$13,0),MATCH(HSC_Hydrofluoric_Acid!$R17,'Tables - Part 2'!$AX$5:$BA$5,0)))/2)+INDEX('Tables - Part 2'!$BB$6:$BE$13,MATCH(HSC_Hydrofluoric_Acid!$T17,'Tables - Part 2'!$AV$6:$AV$13,0),MATCH(HSC_Hydrofluoric_Acid!$R17,'Tables - Part 2'!$AX$5:$BA$5,0)))/2)+INDEX('Tables - Part 2'!$BB$6:$BE$13,MATCH(HSC_Hydrofluoric_Acid!$T17,'Tables - Part 2'!$AV$6:$AV$13,0),MATCH(HSC_Hydrofluoric_Acid!$R17,'Tables - Part 2'!$AX$5:$BA$5,0)))/2,0)</f>
        <v>0</v>
      </c>
      <c r="AH17" s="248">
        <f>IF($Q17=$AH$3,INDEX('Tables - Part 2'!$BB$6:$BE$13,MATCH(HSC_Hydrofluoric_Acid!$T17,'Tables - Part 2'!$AV$6:$AV$13,0),MATCH(HSC_Hydrofluoric_Acid!$R17,'Tables - Part 2'!$AX$5:$BA$5,0)),0)</f>
        <v>0</v>
      </c>
      <c r="AI17" s="248">
        <f>IF($Q17=$AI$3,((INDEX('Tables - Part 2'!$BB$6:$BE$13,MATCH(HSC_Hydrofluoric_Acid!$T17,'Tables - Part 2'!$AV$6:$AV$13,0),MATCH(HSC_Hydrofluoric_Acid!$R17,'Tables - Part 2'!$AX$5:$BA$5,0)))+(INDEX('Tables - Part 2'!$BB$6:$BE$13,MATCH(HSC_Hydrofluoric_Acid!$T17,'Tables - Part 2'!$AV$6:$AV$13,0),MATCH(HSC_Hydrofluoric_Acid!$R17,'Tables - Part 2'!$AX$5:$BA$5,0))+(INDEX('Tables - Part 2'!$BB$6:$BE$13,MATCH(HSC_Hydrofluoric_Acid!$T17,'Tables - Part 2'!$AV$6:$AV$13,0),MATCH(HSC_Hydrofluoric_Acid!$R17,'Tables - Part 2'!$AX$5:$BA$5,0))+INDEX('Tables - Part 2'!$BF$6:$BI$13,MATCH(HSC_Hydrofluoric_Acid!$T17,'Tables - Part 2'!$AV$6:$AV$13,0),MATCH(HSC_Hydrofluoric_Acid!$R17,'Tables - Part 2'!$AX$5:$BA$5,0)))/2)/2)/2,0)</f>
        <v>0</v>
      </c>
      <c r="AJ17" s="248">
        <f>IF($Q17=$AJ$3,(INDEX('Tables - Part 2'!$BB$6:$BE$13,MATCH(HSC_Hydrofluoric_Acid!$T17,'Tables - Part 2'!$AV$6:$AV$13,0),MATCH(HSC_Hydrofluoric_Acid!$R17,'Tables - Part 2'!$AX$5:$BA$5,0))+(INDEX('Tables - Part 2'!$BB$6:$BE$13,MATCH(HSC_Hydrofluoric_Acid!$T17,'Tables - Part 2'!$AV$6:$AV$13,0),MATCH(HSC_Hydrofluoric_Acid!$R17,'Tables - Part 2'!$AX$5:$BA$5,0))+INDEX('Tables - Part 2'!$BF$6:$BI$13,MATCH(HSC_Hydrofluoric_Acid!$T17,'Tables - Part 2'!$AV$6:$AV$13,0),MATCH(HSC_Hydrofluoric_Acid!$R17,'Tables - Part 2'!$AX$5:$BA$5,0)))/2)/2,0)</f>
        <v>0</v>
      </c>
      <c r="AK17" s="248">
        <f>IF($Q17=$AK$3,(((INDEX('Tables - Part 2'!$BB$6:$BE$13,MATCH(HSC_Hydrofluoric_Acid!$T17,'Tables - Part 2'!$AV$6:$AV$13,0),MATCH(HSC_Hydrofluoric_Acid!$R17,'Tables - Part 2'!$AX$5:$BA$5,0))+(INDEX('Tables - Part 2'!$BB$6:$BE$13,MATCH(HSC_Hydrofluoric_Acid!$T17,'Tables - Part 2'!$AV$6:$AV$13,0),MATCH(HSC_Hydrofluoric_Acid!$R17,'Tables - Part 2'!$AX$5:$BA$5,0))+INDEX('Tables - Part 2'!$BF$6:$BI$13,MATCH(HSC_Hydrofluoric_Acid!$T17,'Tables - Part 2'!$AV$6:$AV$13,0),MATCH(HSC_Hydrofluoric_Acid!$R17,'Tables - Part 2'!$AX$5:$BA$5,0)))/2)/2)+((INDEX('Tables - Part 2'!$BB$6:$BE$13,MATCH(HSC_Hydrofluoric_Acid!$T17,'Tables - Part 2'!$AV$6:$AV$13,0),MATCH(HSC_Hydrofluoric_Acid!$R17,'Tables - Part 2'!$AX$5:$BA$5,0))+INDEX('Tables - Part 2'!$BF$6:$BI$13,MATCH(HSC_Hydrofluoric_Acid!$T17,'Tables - Part 2'!$AV$6:$AV$13,0),MATCH(HSC_Hydrofluoric_Acid!$R17,'Tables - Part 2'!$AX$5:$BA$5,0)))/2))/2,0)</f>
        <v>0</v>
      </c>
      <c r="AL17" s="248">
        <f>IF($Q17=$AL$3,(INDEX('Tables - Part 2'!$BB$6:$BE$13,MATCH(HSC_Hydrofluoric_Acid!$T17,'Tables - Part 2'!$AV$6:$AV$13,0),MATCH(HSC_Hydrofluoric_Acid!$R17,'Tables - Part 2'!$AX$5:$BA$5,0))+INDEX('Tables - Part 2'!$BF$6:$BI$13,MATCH(HSC_Hydrofluoric_Acid!$T17,'Tables - Part 2'!$AV$6:$AV$13,0),MATCH(HSC_Hydrofluoric_Acid!$R17,'Tables - Part 2'!$AX$5:$BA$5,0)))/2,0)</f>
        <v>1</v>
      </c>
      <c r="AM17" s="248">
        <f>IF($Q17=$AM$3,(((INDEX('Tables - Part 2'!$BB$6:$BE$13,MATCH(HSC_Hydrofluoric_Acid!$T17,'Tables - Part 2'!$AV$6:$AV$13,0),MATCH(HSC_Hydrofluoric_Acid!$R17,'Tables - Part 2'!$AX$5:$BA$5,0))+INDEX('Tables - Part 2'!$BF$6:$BI$13,MATCH(HSC_Hydrofluoric_Acid!$T17,'Tables - Part 2'!$AV$6:$AV$13,0),MATCH(HSC_Hydrofluoric_Acid!$R17,'Tables - Part 2'!$AX$5:$BA$5,0)))/2)+((((INDEX('Tables - Part 2'!$BB$6:$BE$13,MATCH(HSC_Hydrofluoric_Acid!$T17,'Tables - Part 2'!$AV$6:$AV$13,0),MATCH(HSC_Hydrofluoric_Acid!$R17,'Tables - Part 2'!$AX$5:$BA$5,0))+INDEX('Tables - Part 2'!$BF$6:$BI$13,MATCH(HSC_Hydrofluoric_Acid!$T17,'Tables - Part 2'!$AV$6:$AV$13,0),MATCH(HSC_Hydrofluoric_Acid!$R17,'Tables - Part 2'!$AX$5:$BA$5,0)))/2)+INDEX('Tables - Part 2'!$BF$6:$BI$13,MATCH(HSC_Hydrofluoric_Acid!$T17,'Tables - Part 2'!$AV$6:$AV$13,0),MATCH(HSC_Hydrofluoric_Acid!$R17,'Tables - Part 2'!$AX$5:$BA$5,0)))/2))/2,0)</f>
        <v>0</v>
      </c>
      <c r="AN17" s="248">
        <f>IF($Q17=$AN$3,(((INDEX('Tables - Part 2'!$BB$6:$BE$13,MATCH(HSC_Hydrofluoric_Acid!$T17,'Tables - Part 2'!$AV$6:$AV$13,0),MATCH(HSC_Hydrofluoric_Acid!$R17,'Tables - Part 2'!$AX$5:$BA$5,0))+INDEX('Tables - Part 2'!$BF$6:$BI$13,MATCH(HSC_Hydrofluoric_Acid!$T17,'Tables - Part 2'!$AV$6:$AV$13,0),MATCH(HSC_Hydrofluoric_Acid!$R17,'Tables - Part 2'!$AX$5:$BA$5,0)))/2)+INDEX('Tables - Part 2'!$BF$6:$BI$13,MATCH(HSC_Hydrofluoric_Acid!$T17,'Tables - Part 2'!$AV$6:$AV$13,0),MATCH(HSC_Hydrofluoric_Acid!$R17,'Tables - Part 2'!$AX$5:$BA$5,0)))/2,0)</f>
        <v>0</v>
      </c>
      <c r="AO17" s="248">
        <f>IF($Q17=$AO$3,(((((INDEX('Tables - Part 2'!$BB$6:$BE$13,MATCH(HSC_Hydrofluoric_Acid!$T17,'Tables - Part 2'!$AV$6:$AV$13,0),MATCH(HSC_Hydrofluoric_Acid!$R17,'Tables - Part 2'!$AX$5:$BA$5,0))+INDEX('Tables - Part 2'!$BF$6:$BI$13,MATCH(HSC_Hydrofluoric_Acid!$T17,'Tables - Part 2'!$AV$6:$AV$13,0),MATCH(HSC_Hydrofluoric_Acid!$R17,'Tables - Part 2'!$AX$5:$BA$5,0)))/2)+INDEX('Tables - Part 2'!$BF$6:$BI$13,MATCH(HSC_Hydrofluoric_Acid!$T17,'Tables - Part 2'!$AV$6:$AV$13,0),MATCH(HSC_Hydrofluoric_Acid!$R17,'Tables - Part 2'!$AX$5:$BA$5,0)))/2)+INDEX('Tables - Part 2'!$BF$6:$BI$13,MATCH(HSC_Hydrofluoric_Acid!$T17,'Tables - Part 2'!$AV$6:$AV$13,0),MATCH(HSC_Hydrofluoric_Acid!$R17,'Tables - Part 2'!$AX$5:$BA$5,0)))/2,0)</f>
        <v>0</v>
      </c>
      <c r="AP17" s="248">
        <f>IF($Q17=$AP$3,INDEX('Tables - Part 2'!$BF$6:$BI$13,MATCH(HSC_Hydrofluoric_Acid!$T17,'Tables - Part 2'!$AV$6:$AV$13,0),MATCH(HSC_Hydrofluoric_Acid!$R17,'Tables - Part 2'!$AX$5:$BA$5,0)),0)</f>
        <v>0</v>
      </c>
      <c r="AQ17" s="248">
        <f>IF($Q17=$AQ$3,(INDEX('Tables - Part 2'!$BF$6:$BI$13,MATCH(HSC_Hydrofluoric_Acid!$T17,'Tables - Part 2'!$AV$6:$AV$13,0),MATCH(HSC_Hydrofluoric_Acid!$R17,'Tables - Part 2'!$AX$5:$BA$5,0))+((INDEX('Tables - Part 2'!$BF$6:$BI$13,MATCH(HSC_Hydrofluoric_Acid!$T17,'Tables - Part 2'!$AV$6:$AV$13,0),MATCH(HSC_Hydrofluoric_Acid!$R17,'Tables - Part 2'!$AX$5:$BA$5,0))+(INDEX('Tables - Part 2'!$BF$6:$BI$13,MATCH(HSC_Hydrofluoric_Acid!$T17,'Tables - Part 2'!$AV$6:$AV$13,0),MATCH(HSC_Hydrofluoric_Acid!$R17,'Tables - Part 2'!$AX$5:$BA$5,0))+INDEX('Tables - Part 2'!$AX$17:$BA$24,MATCH(HSC_Hydrofluoric_Acid!$T17,'Tables - Part 2'!$AV$6:$AV$13,0),MATCH(HSC_Hydrofluoric_Acid!$R17,'Tables - Part 2'!$AX$5:$BA$5,0)))/2)/2))/2,0)</f>
        <v>0</v>
      </c>
      <c r="AR17" s="248">
        <f>IF($Q17=$AR$3,(INDEX('Tables - Part 2'!$BF$6:$BI$13,MATCH(HSC_Hydrofluoric_Acid!$T17,'Tables - Part 2'!$AV$6:$AV$13,0),MATCH(HSC_Hydrofluoric_Acid!$R17,'Tables - Part 2'!$AX$5:$BA$5,0))+(INDEX('Tables - Part 2'!$BF$6:$BI$13,MATCH(HSC_Hydrofluoric_Acid!$T17,'Tables - Part 2'!$AV$6:$AV$13,0),MATCH(HSC_Hydrofluoric_Acid!$R17,'Tables - Part 2'!$AX$5:$BA$5,0))+INDEX('Tables - Part 2'!$AX$17:$BA$24,MATCH(HSC_Hydrofluoric_Acid!$T17,'Tables - Part 2'!$AV$6:$AV$13,0),MATCH(HSC_Hydrofluoric_Acid!$R17,'Tables - Part 2'!$AX$5:$BA$5,0)))/2)/2,0)</f>
        <v>0</v>
      </c>
      <c r="AS17" s="248">
        <f>IF($Q17=$AS$3,(((INDEX('Tables - Part 2'!$BF$6:$BI$13,MATCH(HSC_Hydrofluoric_Acid!$T17,'Tables - Part 2'!$AV$6:$AV$13,0),MATCH(HSC_Hydrofluoric_Acid!$R17,'Tables - Part 2'!$AX$5:$BA$5,0))+(INDEX('Tables - Part 2'!$BF$6:$BI$13,MATCH(HSC_Hydrofluoric_Acid!$T17,'Tables - Part 2'!$AV$6:$AV$13,0),MATCH(HSC_Hydrofluoric_Acid!$R17,'Tables - Part 2'!$AX$5:$BA$5,0))+INDEX('Tables - Part 2'!$AX$17:$BA$24,MATCH(HSC_Hydrofluoric_Acid!$T17,'Tables - Part 2'!$AV$6:$AV$13,0),MATCH(HSC_Hydrofluoric_Acid!$R17,'Tables - Part 2'!$AX$5:$BA$5,0)))/2)/2)+((INDEX('Tables - Part 2'!$BF$6:$BI$13,MATCH(HSC_Hydrofluoric_Acid!$T17,'Tables - Part 2'!$AV$6:$AV$13,0),MATCH(HSC_Hydrofluoric_Acid!$R17,'Tables - Part 2'!$AX$5:$BA$5,0))+INDEX('Tables - Part 2'!$AX$17:$BA$24,MATCH(HSC_Hydrofluoric_Acid!$T17,'Tables - Part 2'!$AV$6:$AV$13,0),MATCH(HSC_Hydrofluoric_Acid!$R17,'Tables - Part 2'!$AX$5:$BA$5,0)))/2))/2,0)</f>
        <v>0</v>
      </c>
      <c r="AT17" s="248">
        <f>IF($Q17=$AT$3,(INDEX('Tables - Part 2'!$BF$6:$BI$13,MATCH(HSC_Hydrofluoric_Acid!$T17,'Tables - Part 2'!$AV$6:$AV$13,0),MATCH(HSC_Hydrofluoric_Acid!$R17,'Tables - Part 2'!$AX$5:$BA$5,0))+INDEX('Tables - Part 2'!$AX$17:$BA$24,MATCH(HSC_Hydrofluoric_Acid!$T17,'Tables - Part 2'!$AV$6:$AV$13,0),MATCH(HSC_Hydrofluoric_Acid!$R17,'Tables - Part 2'!$AX$5:$BA$5,0)))/2,0)</f>
        <v>0</v>
      </c>
      <c r="AU17" s="248">
        <f>IF($Q17=$AU$3,(((INDEX('Tables - Part 2'!$BF$6:$BI$13,MATCH(HSC_Hydrofluoric_Acid!$T17,'Tables - Part 2'!$AV$6:$AV$13,0),MATCH(HSC_Hydrofluoric_Acid!$R17,'Tables - Part 2'!$AX$5:$BA$5,0))+INDEX('Tables - Part 2'!$AX$17:$BA$24,MATCH(HSC_Hydrofluoric_Acid!$T17,'Tables - Part 2'!$AV$6:$AV$13,0),MATCH(HSC_Hydrofluoric_Acid!$R17,'Tables - Part 2'!$AX$5:$BA$5,0)))/2)+((((INDEX('Tables - Part 2'!$BF$6:$BI$13,MATCH(HSC_Hydrofluoric_Acid!$T17,'Tables - Part 2'!$AV$6:$AV$13,0),MATCH(HSC_Hydrofluoric_Acid!$R17,'Tables - Part 2'!$AX$5:$BA$5,0))+INDEX('Tables - Part 2'!$AX$17:$BA$24,MATCH(HSC_Hydrofluoric_Acid!$T17,'Tables - Part 2'!$AV$6:$AV$13,0),MATCH(HSC_Hydrofluoric_Acid!$R17,'Tables - Part 2'!$AX$5:$BA$5,0)))/2)+INDEX('Tables - Part 2'!$AX$17:$BA$24,MATCH(HSC_Hydrofluoric_Acid!$T17,'Tables - Part 2'!$AV$6:$AV$13,0),MATCH(HSC_Hydrofluoric_Acid!$R17,'Tables - Part 2'!$AX$5:$BA$5,0)))/2))/2,0)</f>
        <v>0</v>
      </c>
      <c r="AV17" s="248">
        <f>IF($Q17=$AV$3,(((INDEX('Tables - Part 2'!$BF$6:$BI$13,MATCH(HSC_Hydrofluoric_Acid!$T17,'Tables - Part 2'!$AV$6:$AV$13,0),MATCH(HSC_Hydrofluoric_Acid!$R17,'Tables - Part 2'!$AX$5:$BA$5,0))+INDEX('Tables - Part 2'!$AX$17:$BA$24,MATCH(HSC_Hydrofluoric_Acid!$T17,'Tables - Part 2'!$AV$6:$AV$13,0),MATCH(HSC_Hydrofluoric_Acid!$R17,'Tables - Part 2'!$AX$5:$BA$5,0)))/2)+INDEX('Tables - Part 2'!$AX$17:$BA$24,MATCH(HSC_Hydrofluoric_Acid!$T17,'Tables - Part 2'!$AV$6:$AV$13,0),MATCH(HSC_Hydrofluoric_Acid!$R17,'Tables - Part 2'!$AX$5:$BA$5,0)))/2,0)</f>
        <v>0</v>
      </c>
      <c r="AW17" s="248">
        <f>IF($Q17=$AW$3,(((((INDEX('Tables - Part 2'!$BF$6:$BI$13,MATCH(HSC_Hydrofluoric_Acid!$T17,'Tables - Part 2'!$AV$6:$AV$13,0),MATCH(HSC_Hydrofluoric_Acid!$R17,'Tables - Part 2'!$AX$5:$BA$5,0))+INDEX('Tables - Part 2'!$AX$17:$BA$24,MATCH(HSC_Hydrofluoric_Acid!$T17,'Tables - Part 2'!$AV$6:$AV$13,0),MATCH(HSC_Hydrofluoric_Acid!$R17,'Tables - Part 2'!$AX$5:$BA$5,0)))/2)+INDEX('Tables - Part 2'!$AX$17:$BA$24,MATCH(HSC_Hydrofluoric_Acid!$T17,'Tables - Part 2'!$AV$6:$AV$13,0),MATCH(HSC_Hydrofluoric_Acid!$R17,'Tables - Part 2'!$AX$5:$BA$5,0)))/2)+(INDEX('Tables - Part 2'!$AX$17:$BA$24,MATCH(HSC_Hydrofluoric_Acid!$T17,'Tables - Part 2'!$AV$6:$AV$13,0),MATCH(HSC_Hydrofluoric_Acid!$R17,'Tables - Part 2'!$AX$5:$BA$5,0))))/2,0)</f>
        <v>0</v>
      </c>
      <c r="AX17" s="248">
        <f>IF($Q17=$AX$3,INDEX('Tables - Part 2'!$AX$17:$BA$24,MATCH(HSC_Hydrofluoric_Acid!$T17,'Tables - Part 2'!$AV$6:$AV$13,0),MATCH(HSC_Hydrofluoric_Acid!$R17,'Tables - Part 2'!$AX$5:$BA$5,0)),0)</f>
        <v>0</v>
      </c>
      <c r="AY17" s="248">
        <f>IF($Q17=$AY$3,((INDEX('Tables - Part 2'!$AX$17:$BA$24,MATCH(HSC_Hydrofluoric_Acid!$T17,'Tables - Part 2'!$AV$6:$AV$13,0),MATCH(HSC_Hydrofluoric_Acid!$R17,'Tables - Part 2'!$AX$5:$BA$5,0)))+(((INDEX('Tables - Part 2'!$AX$17:$BA$24,MATCH(HSC_Hydrofluoric_Acid!$T17,'Tables - Part 2'!$AV$6:$AV$13,0),MATCH(HSC_Hydrofluoric_Acid!$R17,'Tables - Part 2'!$AX$5:$BA$5,0)))+(INDEX('Tables - Part 2'!$AX$17:$BA$24,MATCH(HSC_Hydrofluoric_Acid!$T17,'Tables - Part 2'!$AV$6:$AV$13,0),MATCH(HSC_Hydrofluoric_Acid!$R17,'Tables - Part 2'!$AX$5:$BA$5,0))+INDEX('Tables - Part 2'!$BB$17:$BE$24,MATCH(HSC_Hydrofluoric_Acid!$T17,'Tables - Part 2'!$AV$6:$AV$13,0),MATCH(HSC_Hydrofluoric_Acid!$R17,'Tables - Part 2'!$AX$5:$BA$5,0)))/2)/2))/2,0)</f>
        <v>0</v>
      </c>
      <c r="AZ17" s="248">
        <f>IF($Q17=$AZ$3,((INDEX('Tables - Part 2'!$AX$17:$BA$24,MATCH(HSC_Hydrofluoric_Acid!$T17,'Tables - Part 2'!$AV$6:$AV$13,0),MATCH(HSC_Hydrofluoric_Acid!$R17,'Tables - Part 2'!$AX$5:$BA$5,0)))+(INDEX('Tables - Part 2'!$AX$17:$BA$24,MATCH(HSC_Hydrofluoric_Acid!$T17,'Tables - Part 2'!$AV$6:$AV$13,0),MATCH(HSC_Hydrofluoric_Acid!$R17,'Tables - Part 2'!$AX$5:$BA$5,0))+INDEX('Tables - Part 2'!$BB$17:$BE$24,MATCH(HSC_Hydrofluoric_Acid!$T17,'Tables - Part 2'!$AV$6:$AV$13,0),MATCH(HSC_Hydrofluoric_Acid!$R17,'Tables - Part 2'!$AX$5:$BA$5,0)))/2)/2,0)</f>
        <v>0</v>
      </c>
      <c r="BA17" s="248">
        <f>IF($Q17=$BA$3,((((INDEX('Tables - Part 2'!$AX$17:$BA$24,MATCH(HSC_Hydrofluoric_Acid!$T17,'Tables - Part 2'!$AV$6:$AV$13,0),MATCH(HSC_Hydrofluoric_Acid!$R17,'Tables - Part 2'!$AX$5:$BA$5,0)))+(INDEX('Tables - Part 2'!$AX$17:$BA$24,MATCH(HSC_Hydrofluoric_Acid!$T17,'Tables - Part 2'!$AV$6:$AV$13,0),MATCH(HSC_Hydrofluoric_Acid!$R17,'Tables - Part 2'!$AX$5:$BA$5,0))+INDEX('Tables - Part 2'!$BB$17:$BE$24,MATCH(HSC_Hydrofluoric_Acid!$T17,'Tables - Part 2'!$AV$6:$AV$13,0),MATCH(HSC_Hydrofluoric_Acid!$R17,'Tables - Part 2'!$AX$5:$BA$5,0)))/2)/2)+((INDEX('Tables - Part 2'!$AX$17:$BA$24,MATCH(HSC_Hydrofluoric_Acid!$T17,'Tables - Part 2'!$AV$6:$AV$13,0),MATCH(HSC_Hydrofluoric_Acid!$R17,'Tables - Part 2'!$AX$5:$BA$5,0))+INDEX('Tables - Part 2'!$BB$17:$BE$24,MATCH(HSC_Hydrofluoric_Acid!$T17,'Tables - Part 2'!$AV$6:$AV$13,0),MATCH(HSC_Hydrofluoric_Acid!$R17,'Tables - Part 2'!$AX$5:$BA$5,0)))/2))/2,0)</f>
        <v>0</v>
      </c>
      <c r="BB17" s="248">
        <f>IF($Q17=$BB$3,(INDEX('Tables - Part 2'!$AX$17:$BA$24,MATCH(HSC_Hydrofluoric_Acid!$T17,'Tables - Part 2'!$AV$6:$AV$13,0),MATCH(HSC_Hydrofluoric_Acid!$R17,'Tables - Part 2'!$AX$5:$BA$5,0))+INDEX('Tables - Part 2'!$BB$17:$BE$24,MATCH(HSC_Hydrofluoric_Acid!$T17,'Tables - Part 2'!$AV$6:$AV$13,0),MATCH(HSC_Hydrofluoric_Acid!$R17,'Tables - Part 2'!$AX$5:$BA$5,0)))/2,0)</f>
        <v>0</v>
      </c>
      <c r="BC17" s="248">
        <f>IF($Q17=$BC$3,(((INDEX('Tables - Part 2'!$AX$17:$BA$24,MATCH(HSC_Hydrofluoric_Acid!$T17,'Tables - Part 2'!$AV$6:$AV$13,0),MATCH(HSC_Hydrofluoric_Acid!$R17,'Tables - Part 2'!$AX$5:$BA$5,0))+INDEX('Tables - Part 2'!$BB$17:$BE$24,MATCH(HSC_Hydrofluoric_Acid!$T17,'Tables - Part 2'!$AV$6:$AV$13,0),MATCH(HSC_Hydrofluoric_Acid!$R17,'Tables - Part 2'!$AX$5:$BA$5,0)))/2)+((((INDEX('Tables - Part 2'!$AX$17:$BA$24,MATCH(HSC_Hydrofluoric_Acid!$T17,'Tables - Part 2'!$AV$6:$AV$13,0),MATCH(HSC_Hydrofluoric_Acid!$R17,'Tables - Part 2'!$AX$5:$BA$5,0))+INDEX('Tables - Part 2'!$BB$17:$BE$24,MATCH(HSC_Hydrofluoric_Acid!$T17,'Tables - Part 2'!$AV$6:$AV$13,0),MATCH(HSC_Hydrofluoric_Acid!$R17,'Tables - Part 2'!$AX$5:$BA$5,0)))/2)+INDEX('Tables - Part 2'!$BB$17:$BE$24,MATCH(HSC_Hydrofluoric_Acid!$T17,'Tables - Part 2'!$AV$6:$AV$13,0),MATCH(HSC_Hydrofluoric_Acid!$R17,'Tables - Part 2'!$AX$5:$BA$5,0)))/2))/2,0)</f>
        <v>0</v>
      </c>
      <c r="BD17" s="248">
        <f>IF($Q17=$BD$3,(((INDEX('Tables - Part 2'!$AX$17:$BA$24,MATCH(HSC_Hydrofluoric_Acid!$T17,'Tables - Part 2'!$AV$6:$AV$13,0),MATCH(HSC_Hydrofluoric_Acid!$R17,'Tables - Part 2'!$AX$5:$BA$5,0))+INDEX('Tables - Part 2'!$BB$17:$BE$24,MATCH(HSC_Hydrofluoric_Acid!$T17,'Tables - Part 2'!$AV$6:$AV$13,0),MATCH(HSC_Hydrofluoric_Acid!$R17,'Tables - Part 2'!$AX$5:$BA$5,0)))/2)+INDEX('Tables - Part 2'!$BB$17:$BE$24,MATCH(HSC_Hydrofluoric_Acid!$T17,'Tables - Part 2'!$AV$6:$AV$13,0),MATCH(HSC_Hydrofluoric_Acid!$R17,'Tables - Part 2'!$AX$5:$BA$5,0)))/2,0)</f>
        <v>0</v>
      </c>
      <c r="BE17" s="248">
        <f>IF($Q17=$BE$3,(((((INDEX('Tables - Part 2'!$AX$17:$BA$24,MATCH(HSC_Hydrofluoric_Acid!$T17,'Tables - Part 2'!$AV$6:$AV$13,0),MATCH(HSC_Hydrofluoric_Acid!$R17,'Tables - Part 2'!$AX$5:$BA$5,0))+INDEX('Tables - Part 2'!$BB$17:$BE$24,MATCH(HSC_Hydrofluoric_Acid!$T17,'Tables - Part 2'!$AV$6:$AV$13,0),MATCH(HSC_Hydrofluoric_Acid!$R17,'Tables - Part 2'!$AX$5:$BA$5,0)))/2)+INDEX('Tables - Part 2'!$BB$17:$BE$24,MATCH(HSC_Hydrofluoric_Acid!$T17,'Tables - Part 2'!$AV$6:$AV$13,0),MATCH(HSC_Hydrofluoric_Acid!$R17,'Tables - Part 2'!$AX$5:$BA$5,0)))/2)+(INDEX('Tables - Part 2'!$BB$17:$BE$24,MATCH(HSC_Hydrofluoric_Acid!$T17,'Tables - Part 2'!$AV$6:$AV$13,0),MATCH(HSC_Hydrofluoric_Acid!$R17,'Tables - Part 2'!$AX$5:$BA$5,0))))/2,0)</f>
        <v>0</v>
      </c>
      <c r="BF17" s="248">
        <f>IF($Q17=$BF$3,INDEX('Tables - Part 2'!$BB$17:$BE$24,MATCH(HSC_Hydrofluoric_Acid!$T17,'Tables - Part 2'!$AV$6:$AV$13,0),MATCH(HSC_Hydrofluoric_Acid!$R17,'Tables - Part 2'!$AX$5:$BA$5,0)),0)</f>
        <v>0</v>
      </c>
      <c r="BG17" s="248">
        <f>IF($Q17=$BG$3,((INDEX('Tables - Part 2'!$BB$17:$BE$24,MATCH(HSC_Hydrofluoric_Acid!$T17,'Tables - Part 2'!$AV$6:$AV$13,0),MATCH(HSC_Hydrofluoric_Acid!$R17,'Tables - Part 2'!$AX$5:$BA$5,0)))+(((INDEX('Tables - Part 2'!$BB$17:$BE$24,MATCH(HSC_Hydrofluoric_Acid!$T17,'Tables - Part 2'!$AV$6:$AV$13,0),MATCH(HSC_Hydrofluoric_Acid!$R17,'Tables - Part 2'!$AX$5:$BA$5,0)))+(INDEX('Tables - Part 2'!$BB$17:$BE$24,MATCH(HSC_Hydrofluoric_Acid!$T17,'Tables - Part 2'!$AV$6:$AV$13,0),MATCH(HSC_Hydrofluoric_Acid!$R17,'Tables - Part 2'!$AX$5:$BA$5,0))+INDEX('Tables - Part 2'!$BF$17:$BI$24,MATCH(HSC_Hydrofluoric_Acid!$T17,'Tables - Part 2'!$AV$6:$AV$13,0),MATCH(HSC_Hydrofluoric_Acid!$R17,'Tables - Part 2'!$AX$5:$BA$5,0)))/2)/2))/2,0)</f>
        <v>0</v>
      </c>
      <c r="BH17" s="248">
        <f>IF($Q17=$BH$3,((INDEX('Tables - Part 2'!$BB$17:$BE$24,MATCH(HSC_Hydrofluoric_Acid!$T17,'Tables - Part 2'!$AV$6:$AV$13,0),MATCH(HSC_Hydrofluoric_Acid!$R17,'Tables - Part 2'!$AX$5:$BA$5,0)))+(INDEX('Tables - Part 2'!$BB$17:$BE$24,MATCH(HSC_Hydrofluoric_Acid!$T17,'Tables - Part 2'!$AV$6:$AV$13,0),MATCH(HSC_Hydrofluoric_Acid!$R17,'Tables - Part 2'!$AX$5:$BA$5,0))+INDEX('Tables - Part 2'!$BF$17:$BI$24,MATCH(HSC_Hydrofluoric_Acid!$T17,'Tables - Part 2'!$AV$6:$AV$13,0),MATCH(HSC_Hydrofluoric_Acid!$R17,'Tables - Part 2'!$AX$5:$BA$5,0)))/2)/2,0)</f>
        <v>0</v>
      </c>
      <c r="BI17" s="248">
        <f>IF($Q17=$BI$3,((((INDEX('Tables - Part 2'!$BB$17:$BE$24,MATCH(HSC_Hydrofluoric_Acid!$T17,'Tables - Part 2'!$AV$6:$AV$13,0),MATCH(HSC_Hydrofluoric_Acid!$R17,'Tables - Part 2'!$AX$5:$BA$5,0)))+(INDEX('Tables - Part 2'!$BB$17:$BE$24,MATCH(HSC_Hydrofluoric_Acid!$T17,'Tables - Part 2'!$AV$6:$AV$13,0),MATCH(HSC_Hydrofluoric_Acid!$R17,'Tables - Part 2'!$AX$5:$BA$5,0))+INDEX('Tables - Part 2'!$BF$17:$BI$24,MATCH(HSC_Hydrofluoric_Acid!$T17,'Tables - Part 2'!$AV$6:$AV$13,0),MATCH(HSC_Hydrofluoric_Acid!$R17,'Tables - Part 2'!$AX$5:$BA$5,0)))/2)/2)+((INDEX('Tables - Part 2'!$BB$17:$BE$24,MATCH(HSC_Hydrofluoric_Acid!$T17,'Tables - Part 2'!$AV$6:$AV$13,0),MATCH(HSC_Hydrofluoric_Acid!$R17,'Tables - Part 2'!$AX$5:$BA$5,0))+INDEX('Tables - Part 2'!$BF$17:$BI$24,MATCH(HSC_Hydrofluoric_Acid!$T17,'Tables - Part 2'!$AV$6:$AV$13,0),MATCH(HSC_Hydrofluoric_Acid!$R17,'Tables - Part 2'!$AX$5:$BA$5,0)))/2))/2,0)</f>
        <v>0</v>
      </c>
      <c r="BJ17" s="248">
        <f>IF($Q17=$BJ$3,(INDEX('Tables - Part 2'!$BB$17:$BE$24,MATCH(HSC_Hydrofluoric_Acid!$T17,'Tables - Part 2'!$AV$6:$AV$13,0),MATCH(HSC_Hydrofluoric_Acid!$R17,'Tables - Part 2'!$AX$5:$BA$5,0))+INDEX('Tables - Part 2'!$BF$17:$BI$24,MATCH(HSC_Hydrofluoric_Acid!$T17,'Tables - Part 2'!$AV$6:$AV$13,0),MATCH(HSC_Hydrofluoric_Acid!$R17,'Tables - Part 2'!$AX$5:$BA$5,0)))/2,0)</f>
        <v>0</v>
      </c>
      <c r="BK17" s="248">
        <f>IF($Q17=$BK$3,(((INDEX('Tables - Part 2'!$BB$17:$BE$24,MATCH(HSC_Hydrofluoric_Acid!$T17,'Tables - Part 2'!$AV$6:$AV$13,0),MATCH(HSC_Hydrofluoric_Acid!$R17,'Tables - Part 2'!$AX$5:$BA$5,0))+INDEX('Tables - Part 2'!$BF$17:$BI$24,MATCH(HSC_Hydrofluoric_Acid!$T17,'Tables - Part 2'!$AV$6:$AV$13,0),MATCH(HSC_Hydrofluoric_Acid!$R17,'Tables - Part 2'!$AX$5:$BA$5,0)))/2)+((((INDEX('Tables - Part 2'!$BB$17:$BE$24,MATCH(HSC_Hydrofluoric_Acid!$T17,'Tables - Part 2'!$AV$6:$AV$13,0),MATCH(HSC_Hydrofluoric_Acid!$R17,'Tables - Part 2'!$AX$5:$BA$5,0))+INDEX('Tables - Part 2'!$BF$17:$BI$24,MATCH(HSC_Hydrofluoric_Acid!$T17,'Tables - Part 2'!$AV$6:$AV$13,0),MATCH(HSC_Hydrofluoric_Acid!$R17,'Tables - Part 2'!$AX$5:$BA$5,0)))/2)+INDEX('Tables - Part 2'!$BF$17:$BI$24,MATCH(HSC_Hydrofluoric_Acid!$T17,'Tables - Part 2'!$AV$6:$AV$13,0),MATCH(HSC_Hydrofluoric_Acid!$R17,'Tables - Part 2'!$AX$5:$BA$5,0)))/2))/2,0)</f>
        <v>0</v>
      </c>
      <c r="BL17" s="248">
        <f>IF($Q17=$BL$3,(((INDEX('Tables - Part 2'!$BB$17:$BE$24,MATCH(HSC_Hydrofluoric_Acid!$T17,'Tables - Part 2'!$AV$6:$AV$13,0),MATCH(HSC_Hydrofluoric_Acid!$R17,'Tables - Part 2'!$AX$5:$BA$5,0))+INDEX('Tables - Part 2'!$BF$17:$BI$24,MATCH(HSC_Hydrofluoric_Acid!$T17,'Tables - Part 2'!$AV$6:$AV$13,0),MATCH(HSC_Hydrofluoric_Acid!$R17,'Tables - Part 2'!$AX$5:$BA$5,0)))/2)+INDEX('Tables - Part 2'!$BF$17:$BI$24,MATCH(HSC_Hydrofluoric_Acid!$T17,'Tables - Part 2'!$AV$6:$AV$13,0),MATCH(HSC_Hydrofluoric_Acid!$R17,'Tables - Part 2'!$AX$5:$BA$5,0)))/2,0)</f>
        <v>0</v>
      </c>
      <c r="BM17" s="248">
        <f>IF($Q17=$BM$3,(((((INDEX('Tables - Part 2'!$BB$17:$BE$24,MATCH(HSC_Hydrofluoric_Acid!$T17,'Tables - Part 2'!$AV$6:$AV$13,0),MATCH(HSC_Hydrofluoric_Acid!$R17,'Tables - Part 2'!$AX$5:$BA$5,0))+INDEX('Tables - Part 2'!$BF$17:$BI$24,MATCH(HSC_Hydrofluoric_Acid!$T17,'Tables - Part 2'!$AV$6:$AV$13,0),MATCH(HSC_Hydrofluoric_Acid!$R17,'Tables - Part 2'!$AX$5:$BA$5,0)))/2)+INDEX('Tables - Part 2'!$BF$17:$BI$24,MATCH(HSC_Hydrofluoric_Acid!$T17,'Tables - Part 2'!$AV$6:$AV$13,0),MATCH(HSC_Hydrofluoric_Acid!$R17,'Tables - Part 2'!$AX$5:$BA$5,0)))/2)+(INDEX('Tables - Part 2'!$BF$17:$BI$24,MATCH(HSC_Hydrofluoric_Acid!$T17,'Tables - Part 2'!$AV$6:$AV$13,0),MATCH(HSC_Hydrofluoric_Acid!$R17,'Tables - Part 2'!$AX$5:$BA$5,0))))/2,0)</f>
        <v>0</v>
      </c>
      <c r="BN17" s="248">
        <f>IF($Q17=$BN$3,INDEX('Tables - Part 2'!$BF$17:$BI$24,MATCH(HSC_Hydrofluoric_Acid!$T17,'Tables - Part 2'!$AV$6:$AV$13,0),MATCH(HSC_Hydrofluoric_Acid!$R17,'Tables - Part 2'!$AX$5:$BA$5,0)),0)</f>
        <v>0</v>
      </c>
      <c r="BO17" s="248">
        <f t="shared" si="6"/>
        <v>0</v>
      </c>
      <c r="BP17" s="238">
        <f t="shared" si="8"/>
        <v>1</v>
      </c>
      <c r="BQ17" s="238">
        <f t="shared" si="7"/>
        <v>16.77288246840839</v>
      </c>
    </row>
    <row r="18" spans="2:69" x14ac:dyDescent="0.35">
      <c r="B18" s="161" t="str">
        <f>'Tratamento de Dados'!B26</f>
        <v>V-80</v>
      </c>
      <c r="C18" s="161" t="str">
        <f>'Tratamento de Dados'!D26</f>
        <v>Casco</v>
      </c>
      <c r="D18" s="209" t="s">
        <v>245</v>
      </c>
      <c r="E18" s="209" t="s">
        <v>61</v>
      </c>
      <c r="F18" s="209" t="s">
        <v>244</v>
      </c>
      <c r="G18" s="209" t="s">
        <v>244</v>
      </c>
      <c r="H18" s="209" t="s">
        <v>1112</v>
      </c>
      <c r="I18" s="209" t="s">
        <v>245</v>
      </c>
      <c r="J18" s="210">
        <v>39092</v>
      </c>
      <c r="K18" s="209">
        <v>0</v>
      </c>
      <c r="L18" s="209">
        <v>1</v>
      </c>
      <c r="M18" s="209">
        <v>1</v>
      </c>
      <c r="N18" s="209">
        <v>4</v>
      </c>
      <c r="O18" s="253">
        <f>'Tratamento de Dados'!DA26</f>
        <v>0</v>
      </c>
      <c r="P18" s="253">
        <f>'Tratamento de Dados'!DB26</f>
        <v>0</v>
      </c>
      <c r="Q18" s="256">
        <f t="shared" si="0"/>
        <v>2.5</v>
      </c>
      <c r="R18" s="246" t="str">
        <f t="shared" si="1"/>
        <v>B</v>
      </c>
      <c r="S18" s="238" t="str" cm="1">
        <f t="array" ref="S18">IF(D18=$BV$2,$BT$4,IF(OR(F18=$BV$3,G18=$BV$3),$BT$5,INDEX(IF(I18=$BV$2,'Tables - Part 2'!$EA$5:$EC$5,'Tables - Part 2'!$DX$5:$DZ$5),,MATCH(HSC_Hydrofluoric_Acid!H18,'Tables - Part 2'!$DX$4:$DZ$4,0))))</f>
        <v>Low</v>
      </c>
      <c r="T18" s="238">
        <f>IF(AND(D18=$BV$2,E18&lt;&gt;$BV$2),"Fitness-For-Service",INDEX('Tables - Part 2'!$EF$4:$EF$7,MATCH(HSC_Hydrofluoric_Acid!S18,'Tables - Part 2'!$EE$4:$EE$7,0),))</f>
        <v>1</v>
      </c>
      <c r="U18" s="238">
        <f>IF(J18=0,(Thinning!G19-Thinning!F19)/365.25,(Thinning!G19-J18)/365.25)</f>
        <v>12.980150581793293</v>
      </c>
      <c r="V18" s="248">
        <f t="shared" si="2"/>
        <v>0</v>
      </c>
      <c r="W18" s="248">
        <f t="shared" si="3"/>
        <v>2.5</v>
      </c>
      <c r="X18" s="248">
        <f t="shared" si="4"/>
        <v>3</v>
      </c>
      <c r="Y18" s="247">
        <f t="shared" si="5"/>
        <v>4</v>
      </c>
      <c r="Z18" s="248">
        <f>IF($Q18=$Z$3,INDEX('Tables - Part 2'!$AX$6:$BA$13,MATCH(HSC_Hydrofluoric_Acid!T18,'Tables - Part 2'!$AV$6:$AV$13,0),MATCH(HSC_Hydrofluoric_Acid!R18,'Tables - Part 2'!$AX$5:$BA$5,0)),0)</f>
        <v>0</v>
      </c>
      <c r="AA18" s="248">
        <f>IF($Q18=$AA$3,(INDEX('Tables - Part 2'!$AX$6:$BA$13,MATCH(HSC_Hydrofluoric_Acid!T18,'Tables - Part 2'!$AV$6:$AV$13,0),MATCH(HSC_Hydrofluoric_Acid!R18,'Tables - Part 2'!$AX$5:$BA$5,0))+(INDEX('Tables - Part 2'!$AX$6:$BA$13,MATCH(HSC_Hydrofluoric_Acid!T18,'Tables - Part 2'!$AV$6:$AV$13,0),MATCH(HSC_Hydrofluoric_Acid!R18,'Tables - Part 2'!$AX$5:$BA$5,0))+((INDEX('Tables - Part 2'!$AX$6:$BA$13,MATCH(HSC_Hydrofluoric_Acid!T18,'Tables - Part 2'!$AV$6:$AV$13,0),MATCH(HSC_Hydrofluoric_Acid!R18,'Tables - Part 2'!$AX$5:$BA$5,0))+INDEX('Tables - Part 2'!$BB$6:$BE$13,MATCH(HSC_Hydrofluoric_Acid!$T18,'Tables - Part 2'!$AV$6:$AV$13,0),MATCH(HSC_Hydrofluoric_Acid!$R18,'Tables - Part 2'!$AX$5:$BA$5,0)))/2))/2)/2,0)</f>
        <v>0</v>
      </c>
      <c r="AB18" s="248">
        <f>IF($Q18=$AB$3,(INDEX('Tables - Part 2'!$AX$6:$BA$13,MATCH(HSC_Hydrofluoric_Acid!T18,'Tables - Part 2'!$AV$6:$AV$13,0),MATCH(HSC_Hydrofluoric_Acid!R18,'Tables - Part 2'!$AX$5:$BA$5,0))+((INDEX('Tables - Part 2'!$AX$6:$BA$13,MATCH(HSC_Hydrofluoric_Acid!T18,'Tables - Part 2'!$AV$6:$AV$13,0),MATCH(HSC_Hydrofluoric_Acid!R18,'Tables - Part 2'!$AX$5:$BA$5,0))+INDEX('Tables - Part 2'!$BB$6:$BE$13,MATCH(HSC_Hydrofluoric_Acid!$T18,'Tables - Part 2'!$AV$6:$AV$13,0),MATCH(HSC_Hydrofluoric_Acid!$R18,'Tables - Part 2'!$AX$5:$BA$5,0)))/2))/2,0)</f>
        <v>0</v>
      </c>
      <c r="AC18" s="248">
        <f>IF($Q18=$AC$3,(((INDEX('Tables - Part 2'!$AX$6:$BA$13,MATCH(HSC_Hydrofluoric_Acid!T18,'Tables - Part 2'!$AV$6:$AV$13,0),MATCH(HSC_Hydrofluoric_Acid!R18,'Tables - Part 2'!$AX$5:$BA$5,0))+((INDEX('Tables - Part 2'!$AX$6:$BA$13,MATCH(HSC_Hydrofluoric_Acid!T18,'Tables - Part 2'!$AV$6:$AV$13,0),MATCH(HSC_Hydrofluoric_Acid!R18,'Tables - Part 2'!$AX$5:$BA$5,0))+INDEX('Tables - Part 2'!$BB$6:$BE$13,MATCH(HSC_Hydrofluoric_Acid!$T18,'Tables - Part 2'!$AV$6:$AV$13,0),MATCH(HSC_Hydrofluoric_Acid!$R18,'Tables - Part 2'!$AX$5:$BA$5,0)))/2))/2)+(INDEX('Tables - Part 2'!$AX$6:$BA$13,MATCH(HSC_Hydrofluoric_Acid!T18,'Tables - Part 2'!$AV$6:$AV$13,0),MATCH(HSC_Hydrofluoric_Acid!R18,'Tables - Part 2'!$AX$5:$BA$5,0))+INDEX('Tables - Part 2'!$BB$6:$BE$13,MATCH(HSC_Hydrofluoric_Acid!$T18,'Tables - Part 2'!$AV$6:$AV$13,0),MATCH(HSC_Hydrofluoric_Acid!$R18,'Tables - Part 2'!$AX$5:$BA$5,0)))/2)/2,0)</f>
        <v>0</v>
      </c>
      <c r="AD18" s="248">
        <f>IF($Q18=$AD$3,(INDEX('Tables - Part 2'!$AX$6:$BA$13,MATCH(HSC_Hydrofluoric_Acid!T18,'Tables - Part 2'!$AV$6:$AV$13,0),MATCH(HSC_Hydrofluoric_Acid!R18,'Tables - Part 2'!$AX$5:$BA$5,0))+INDEX('Tables - Part 2'!$BB$6:$BE$13,MATCH(HSC_Hydrofluoric_Acid!$T18,'Tables - Part 2'!$AV$6:$AV$13,0),MATCH(HSC_Hydrofluoric_Acid!$R18,'Tables - Part 2'!$AX$5:$BA$5,0)))/2,0)</f>
        <v>0</v>
      </c>
      <c r="AE18" s="248">
        <f>IF($Q18=$AE$3,(((INDEX('Tables - Part 2'!$AX$6:$BA$13,MATCH(HSC_Hydrofluoric_Acid!T18,'Tables - Part 2'!$AV$6:$AV$13,0),MATCH(HSC_Hydrofluoric_Acid!R18,'Tables - Part 2'!$AX$5:$BA$5,0))+INDEX('Tables - Part 2'!$BB$6:$BE$13,MATCH(HSC_Hydrofluoric_Acid!$T18,'Tables - Part 2'!$AV$6:$AV$13,0),MATCH(HSC_Hydrofluoric_Acid!$R18,'Tables - Part 2'!$AX$5:$BA$5,0)))/2)+(((INDEX('Tables - Part 2'!$AX$6:$BA$13,MATCH(HSC_Hydrofluoric_Acid!T18,'Tables - Part 2'!$AV$6:$AV$13,0),MATCH(HSC_Hydrofluoric_Acid!R18,'Tables - Part 2'!$AX$5:$BA$5,0))+INDEX('Tables - Part 2'!$BB$6:$BE$13,MATCH(HSC_Hydrofluoric_Acid!$T18,'Tables - Part 2'!$AV$6:$AV$13,0),MATCH(HSC_Hydrofluoric_Acid!$R18,'Tables - Part 2'!$AX$5:$BA$5,0)))/2)+INDEX('Tables - Part 2'!$BB$6:$BE$13,MATCH(HSC_Hydrofluoric_Acid!$T18,'Tables - Part 2'!$AV$6:$AV$13,0),MATCH(HSC_Hydrofluoric_Acid!$R18,'Tables - Part 2'!$AX$5:$BA$5,0)))/2)/2,0)</f>
        <v>0</v>
      </c>
      <c r="AF18" s="248">
        <f>IF($Q18=$AF$3,(((INDEX('Tables - Part 2'!$AX$6:$BA$13,MATCH(HSC_Hydrofluoric_Acid!T18,'Tables - Part 2'!$AV$6:$AV$13,0),MATCH(HSC_Hydrofluoric_Acid!R18,'Tables - Part 2'!$AX$5:$BA$5,0))+INDEX('Tables - Part 2'!$BB$6:$BE$13,MATCH(HSC_Hydrofluoric_Acid!$T18,'Tables - Part 2'!$AV$6:$AV$13,0),MATCH(HSC_Hydrofluoric_Acid!$R18,'Tables - Part 2'!$AX$5:$BA$5,0)))/2)+INDEX('Tables - Part 2'!$BB$6:$BE$13,MATCH(HSC_Hydrofluoric_Acid!$T18,'Tables - Part 2'!$AV$6:$AV$13,0),MATCH(HSC_Hydrofluoric_Acid!$R18,'Tables - Part 2'!$AX$5:$BA$5,0)))/2,0)</f>
        <v>0</v>
      </c>
      <c r="AG18" s="248">
        <f>IF($Q18=$AG$3,(((((INDEX('Tables - Part 2'!$AX$6:$BA$13,MATCH(HSC_Hydrofluoric_Acid!T18,'Tables - Part 2'!$AV$6:$AV$13,0),MATCH(HSC_Hydrofluoric_Acid!R18,'Tables - Part 2'!$AX$5:$BA$5,0))+INDEX('Tables - Part 2'!$BB$6:$BE$13,MATCH(HSC_Hydrofluoric_Acid!$T18,'Tables - Part 2'!$AV$6:$AV$13,0),MATCH(HSC_Hydrofluoric_Acid!$R18,'Tables - Part 2'!$AX$5:$BA$5,0)))/2)+INDEX('Tables - Part 2'!$BB$6:$BE$13,MATCH(HSC_Hydrofluoric_Acid!$T18,'Tables - Part 2'!$AV$6:$AV$13,0),MATCH(HSC_Hydrofluoric_Acid!$R18,'Tables - Part 2'!$AX$5:$BA$5,0)))/2)+INDEX('Tables - Part 2'!$BB$6:$BE$13,MATCH(HSC_Hydrofluoric_Acid!$T18,'Tables - Part 2'!$AV$6:$AV$13,0),MATCH(HSC_Hydrofluoric_Acid!$R18,'Tables - Part 2'!$AX$5:$BA$5,0)))/2,0)</f>
        <v>0</v>
      </c>
      <c r="AH18" s="248">
        <f>IF($Q18=$AH$3,INDEX('Tables - Part 2'!$BB$6:$BE$13,MATCH(HSC_Hydrofluoric_Acid!$T18,'Tables - Part 2'!$AV$6:$AV$13,0),MATCH(HSC_Hydrofluoric_Acid!$R18,'Tables - Part 2'!$AX$5:$BA$5,0)),0)</f>
        <v>0</v>
      </c>
      <c r="AI18" s="248">
        <f>IF($Q18=$AI$3,((INDEX('Tables - Part 2'!$BB$6:$BE$13,MATCH(HSC_Hydrofluoric_Acid!$T18,'Tables - Part 2'!$AV$6:$AV$13,0),MATCH(HSC_Hydrofluoric_Acid!$R18,'Tables - Part 2'!$AX$5:$BA$5,0)))+(INDEX('Tables - Part 2'!$BB$6:$BE$13,MATCH(HSC_Hydrofluoric_Acid!$T18,'Tables - Part 2'!$AV$6:$AV$13,0),MATCH(HSC_Hydrofluoric_Acid!$R18,'Tables - Part 2'!$AX$5:$BA$5,0))+(INDEX('Tables - Part 2'!$BB$6:$BE$13,MATCH(HSC_Hydrofluoric_Acid!$T18,'Tables - Part 2'!$AV$6:$AV$13,0),MATCH(HSC_Hydrofluoric_Acid!$R18,'Tables - Part 2'!$AX$5:$BA$5,0))+INDEX('Tables - Part 2'!$BF$6:$BI$13,MATCH(HSC_Hydrofluoric_Acid!$T18,'Tables - Part 2'!$AV$6:$AV$13,0),MATCH(HSC_Hydrofluoric_Acid!$R18,'Tables - Part 2'!$AX$5:$BA$5,0)))/2)/2)/2,0)</f>
        <v>0</v>
      </c>
      <c r="AJ18" s="248">
        <f>IF($Q18=$AJ$3,(INDEX('Tables - Part 2'!$BB$6:$BE$13,MATCH(HSC_Hydrofluoric_Acid!$T18,'Tables - Part 2'!$AV$6:$AV$13,0),MATCH(HSC_Hydrofluoric_Acid!$R18,'Tables - Part 2'!$AX$5:$BA$5,0))+(INDEX('Tables - Part 2'!$BB$6:$BE$13,MATCH(HSC_Hydrofluoric_Acid!$T18,'Tables - Part 2'!$AV$6:$AV$13,0),MATCH(HSC_Hydrofluoric_Acid!$R18,'Tables - Part 2'!$AX$5:$BA$5,0))+INDEX('Tables - Part 2'!$BF$6:$BI$13,MATCH(HSC_Hydrofluoric_Acid!$T18,'Tables - Part 2'!$AV$6:$AV$13,0),MATCH(HSC_Hydrofluoric_Acid!$R18,'Tables - Part 2'!$AX$5:$BA$5,0)))/2)/2,0)</f>
        <v>0</v>
      </c>
      <c r="AK18" s="248">
        <f>IF($Q18=$AK$3,(((INDEX('Tables - Part 2'!$BB$6:$BE$13,MATCH(HSC_Hydrofluoric_Acid!$T18,'Tables - Part 2'!$AV$6:$AV$13,0),MATCH(HSC_Hydrofluoric_Acid!$R18,'Tables - Part 2'!$AX$5:$BA$5,0))+(INDEX('Tables - Part 2'!$BB$6:$BE$13,MATCH(HSC_Hydrofluoric_Acid!$T18,'Tables - Part 2'!$AV$6:$AV$13,0),MATCH(HSC_Hydrofluoric_Acid!$R18,'Tables - Part 2'!$AX$5:$BA$5,0))+INDEX('Tables - Part 2'!$BF$6:$BI$13,MATCH(HSC_Hydrofluoric_Acid!$T18,'Tables - Part 2'!$AV$6:$AV$13,0),MATCH(HSC_Hydrofluoric_Acid!$R18,'Tables - Part 2'!$AX$5:$BA$5,0)))/2)/2)+((INDEX('Tables - Part 2'!$BB$6:$BE$13,MATCH(HSC_Hydrofluoric_Acid!$T18,'Tables - Part 2'!$AV$6:$AV$13,0),MATCH(HSC_Hydrofluoric_Acid!$R18,'Tables - Part 2'!$AX$5:$BA$5,0))+INDEX('Tables - Part 2'!$BF$6:$BI$13,MATCH(HSC_Hydrofluoric_Acid!$T18,'Tables - Part 2'!$AV$6:$AV$13,0),MATCH(HSC_Hydrofluoric_Acid!$R18,'Tables - Part 2'!$AX$5:$BA$5,0)))/2))/2,0)</f>
        <v>0</v>
      </c>
      <c r="AL18" s="248">
        <f>IF($Q18=$AL$3,(INDEX('Tables - Part 2'!$BB$6:$BE$13,MATCH(HSC_Hydrofluoric_Acid!$T18,'Tables - Part 2'!$AV$6:$AV$13,0),MATCH(HSC_Hydrofluoric_Acid!$R18,'Tables - Part 2'!$AX$5:$BA$5,0))+INDEX('Tables - Part 2'!$BF$6:$BI$13,MATCH(HSC_Hydrofluoric_Acid!$T18,'Tables - Part 2'!$AV$6:$AV$13,0),MATCH(HSC_Hydrofluoric_Acid!$R18,'Tables - Part 2'!$AX$5:$BA$5,0)))/2,0)</f>
        <v>1</v>
      </c>
      <c r="AM18" s="248">
        <f>IF($Q18=$AM$3,(((INDEX('Tables - Part 2'!$BB$6:$BE$13,MATCH(HSC_Hydrofluoric_Acid!$T18,'Tables - Part 2'!$AV$6:$AV$13,0),MATCH(HSC_Hydrofluoric_Acid!$R18,'Tables - Part 2'!$AX$5:$BA$5,0))+INDEX('Tables - Part 2'!$BF$6:$BI$13,MATCH(HSC_Hydrofluoric_Acid!$T18,'Tables - Part 2'!$AV$6:$AV$13,0),MATCH(HSC_Hydrofluoric_Acid!$R18,'Tables - Part 2'!$AX$5:$BA$5,0)))/2)+((((INDEX('Tables - Part 2'!$BB$6:$BE$13,MATCH(HSC_Hydrofluoric_Acid!$T18,'Tables - Part 2'!$AV$6:$AV$13,0),MATCH(HSC_Hydrofluoric_Acid!$R18,'Tables - Part 2'!$AX$5:$BA$5,0))+INDEX('Tables - Part 2'!$BF$6:$BI$13,MATCH(HSC_Hydrofluoric_Acid!$T18,'Tables - Part 2'!$AV$6:$AV$13,0),MATCH(HSC_Hydrofluoric_Acid!$R18,'Tables - Part 2'!$AX$5:$BA$5,0)))/2)+INDEX('Tables - Part 2'!$BF$6:$BI$13,MATCH(HSC_Hydrofluoric_Acid!$T18,'Tables - Part 2'!$AV$6:$AV$13,0),MATCH(HSC_Hydrofluoric_Acid!$R18,'Tables - Part 2'!$AX$5:$BA$5,0)))/2))/2,0)</f>
        <v>0</v>
      </c>
      <c r="AN18" s="248">
        <f>IF($Q18=$AN$3,(((INDEX('Tables - Part 2'!$BB$6:$BE$13,MATCH(HSC_Hydrofluoric_Acid!$T18,'Tables - Part 2'!$AV$6:$AV$13,0),MATCH(HSC_Hydrofluoric_Acid!$R18,'Tables - Part 2'!$AX$5:$BA$5,0))+INDEX('Tables - Part 2'!$BF$6:$BI$13,MATCH(HSC_Hydrofluoric_Acid!$T18,'Tables - Part 2'!$AV$6:$AV$13,0),MATCH(HSC_Hydrofluoric_Acid!$R18,'Tables - Part 2'!$AX$5:$BA$5,0)))/2)+INDEX('Tables - Part 2'!$BF$6:$BI$13,MATCH(HSC_Hydrofluoric_Acid!$T18,'Tables - Part 2'!$AV$6:$AV$13,0),MATCH(HSC_Hydrofluoric_Acid!$R18,'Tables - Part 2'!$AX$5:$BA$5,0)))/2,0)</f>
        <v>0</v>
      </c>
      <c r="AO18" s="248">
        <f>IF($Q18=$AO$3,(((((INDEX('Tables - Part 2'!$BB$6:$BE$13,MATCH(HSC_Hydrofluoric_Acid!$T18,'Tables - Part 2'!$AV$6:$AV$13,0),MATCH(HSC_Hydrofluoric_Acid!$R18,'Tables - Part 2'!$AX$5:$BA$5,0))+INDEX('Tables - Part 2'!$BF$6:$BI$13,MATCH(HSC_Hydrofluoric_Acid!$T18,'Tables - Part 2'!$AV$6:$AV$13,0),MATCH(HSC_Hydrofluoric_Acid!$R18,'Tables - Part 2'!$AX$5:$BA$5,0)))/2)+INDEX('Tables - Part 2'!$BF$6:$BI$13,MATCH(HSC_Hydrofluoric_Acid!$T18,'Tables - Part 2'!$AV$6:$AV$13,0),MATCH(HSC_Hydrofluoric_Acid!$R18,'Tables - Part 2'!$AX$5:$BA$5,0)))/2)+INDEX('Tables - Part 2'!$BF$6:$BI$13,MATCH(HSC_Hydrofluoric_Acid!$T18,'Tables - Part 2'!$AV$6:$AV$13,0),MATCH(HSC_Hydrofluoric_Acid!$R18,'Tables - Part 2'!$AX$5:$BA$5,0)))/2,0)</f>
        <v>0</v>
      </c>
      <c r="AP18" s="248">
        <f>IF($Q18=$AP$3,INDEX('Tables - Part 2'!$BF$6:$BI$13,MATCH(HSC_Hydrofluoric_Acid!$T18,'Tables - Part 2'!$AV$6:$AV$13,0),MATCH(HSC_Hydrofluoric_Acid!$R18,'Tables - Part 2'!$AX$5:$BA$5,0)),0)</f>
        <v>0</v>
      </c>
      <c r="AQ18" s="248">
        <f>IF($Q18=$AQ$3,(INDEX('Tables - Part 2'!$BF$6:$BI$13,MATCH(HSC_Hydrofluoric_Acid!$T18,'Tables - Part 2'!$AV$6:$AV$13,0),MATCH(HSC_Hydrofluoric_Acid!$R18,'Tables - Part 2'!$AX$5:$BA$5,0))+((INDEX('Tables - Part 2'!$BF$6:$BI$13,MATCH(HSC_Hydrofluoric_Acid!$T18,'Tables - Part 2'!$AV$6:$AV$13,0),MATCH(HSC_Hydrofluoric_Acid!$R18,'Tables - Part 2'!$AX$5:$BA$5,0))+(INDEX('Tables - Part 2'!$BF$6:$BI$13,MATCH(HSC_Hydrofluoric_Acid!$T18,'Tables - Part 2'!$AV$6:$AV$13,0),MATCH(HSC_Hydrofluoric_Acid!$R18,'Tables - Part 2'!$AX$5:$BA$5,0))+INDEX('Tables - Part 2'!$AX$17:$BA$24,MATCH(HSC_Hydrofluoric_Acid!$T18,'Tables - Part 2'!$AV$6:$AV$13,0),MATCH(HSC_Hydrofluoric_Acid!$R18,'Tables - Part 2'!$AX$5:$BA$5,0)))/2)/2))/2,0)</f>
        <v>0</v>
      </c>
      <c r="AR18" s="248">
        <f>IF($Q18=$AR$3,(INDEX('Tables - Part 2'!$BF$6:$BI$13,MATCH(HSC_Hydrofluoric_Acid!$T18,'Tables - Part 2'!$AV$6:$AV$13,0),MATCH(HSC_Hydrofluoric_Acid!$R18,'Tables - Part 2'!$AX$5:$BA$5,0))+(INDEX('Tables - Part 2'!$BF$6:$BI$13,MATCH(HSC_Hydrofluoric_Acid!$T18,'Tables - Part 2'!$AV$6:$AV$13,0),MATCH(HSC_Hydrofluoric_Acid!$R18,'Tables - Part 2'!$AX$5:$BA$5,0))+INDEX('Tables - Part 2'!$AX$17:$BA$24,MATCH(HSC_Hydrofluoric_Acid!$T18,'Tables - Part 2'!$AV$6:$AV$13,0),MATCH(HSC_Hydrofluoric_Acid!$R18,'Tables - Part 2'!$AX$5:$BA$5,0)))/2)/2,0)</f>
        <v>0</v>
      </c>
      <c r="AS18" s="248">
        <f>IF($Q18=$AS$3,(((INDEX('Tables - Part 2'!$BF$6:$BI$13,MATCH(HSC_Hydrofluoric_Acid!$T18,'Tables - Part 2'!$AV$6:$AV$13,0),MATCH(HSC_Hydrofluoric_Acid!$R18,'Tables - Part 2'!$AX$5:$BA$5,0))+(INDEX('Tables - Part 2'!$BF$6:$BI$13,MATCH(HSC_Hydrofluoric_Acid!$T18,'Tables - Part 2'!$AV$6:$AV$13,0),MATCH(HSC_Hydrofluoric_Acid!$R18,'Tables - Part 2'!$AX$5:$BA$5,0))+INDEX('Tables - Part 2'!$AX$17:$BA$24,MATCH(HSC_Hydrofluoric_Acid!$T18,'Tables - Part 2'!$AV$6:$AV$13,0),MATCH(HSC_Hydrofluoric_Acid!$R18,'Tables - Part 2'!$AX$5:$BA$5,0)))/2)/2)+((INDEX('Tables - Part 2'!$BF$6:$BI$13,MATCH(HSC_Hydrofluoric_Acid!$T18,'Tables - Part 2'!$AV$6:$AV$13,0),MATCH(HSC_Hydrofluoric_Acid!$R18,'Tables - Part 2'!$AX$5:$BA$5,0))+INDEX('Tables - Part 2'!$AX$17:$BA$24,MATCH(HSC_Hydrofluoric_Acid!$T18,'Tables - Part 2'!$AV$6:$AV$13,0),MATCH(HSC_Hydrofluoric_Acid!$R18,'Tables - Part 2'!$AX$5:$BA$5,0)))/2))/2,0)</f>
        <v>0</v>
      </c>
      <c r="AT18" s="248">
        <f>IF($Q18=$AT$3,(INDEX('Tables - Part 2'!$BF$6:$BI$13,MATCH(HSC_Hydrofluoric_Acid!$T18,'Tables - Part 2'!$AV$6:$AV$13,0),MATCH(HSC_Hydrofluoric_Acid!$R18,'Tables - Part 2'!$AX$5:$BA$5,0))+INDEX('Tables - Part 2'!$AX$17:$BA$24,MATCH(HSC_Hydrofluoric_Acid!$T18,'Tables - Part 2'!$AV$6:$AV$13,0),MATCH(HSC_Hydrofluoric_Acid!$R18,'Tables - Part 2'!$AX$5:$BA$5,0)))/2,0)</f>
        <v>0</v>
      </c>
      <c r="AU18" s="248">
        <f>IF($Q18=$AU$3,(((INDEX('Tables - Part 2'!$BF$6:$BI$13,MATCH(HSC_Hydrofluoric_Acid!$T18,'Tables - Part 2'!$AV$6:$AV$13,0),MATCH(HSC_Hydrofluoric_Acid!$R18,'Tables - Part 2'!$AX$5:$BA$5,0))+INDEX('Tables - Part 2'!$AX$17:$BA$24,MATCH(HSC_Hydrofluoric_Acid!$T18,'Tables - Part 2'!$AV$6:$AV$13,0),MATCH(HSC_Hydrofluoric_Acid!$R18,'Tables - Part 2'!$AX$5:$BA$5,0)))/2)+((((INDEX('Tables - Part 2'!$BF$6:$BI$13,MATCH(HSC_Hydrofluoric_Acid!$T18,'Tables - Part 2'!$AV$6:$AV$13,0),MATCH(HSC_Hydrofluoric_Acid!$R18,'Tables - Part 2'!$AX$5:$BA$5,0))+INDEX('Tables - Part 2'!$AX$17:$BA$24,MATCH(HSC_Hydrofluoric_Acid!$T18,'Tables - Part 2'!$AV$6:$AV$13,0),MATCH(HSC_Hydrofluoric_Acid!$R18,'Tables - Part 2'!$AX$5:$BA$5,0)))/2)+INDEX('Tables - Part 2'!$AX$17:$BA$24,MATCH(HSC_Hydrofluoric_Acid!$T18,'Tables - Part 2'!$AV$6:$AV$13,0),MATCH(HSC_Hydrofluoric_Acid!$R18,'Tables - Part 2'!$AX$5:$BA$5,0)))/2))/2,0)</f>
        <v>0</v>
      </c>
      <c r="AV18" s="248">
        <f>IF($Q18=$AV$3,(((INDEX('Tables - Part 2'!$BF$6:$BI$13,MATCH(HSC_Hydrofluoric_Acid!$T18,'Tables - Part 2'!$AV$6:$AV$13,0),MATCH(HSC_Hydrofluoric_Acid!$R18,'Tables - Part 2'!$AX$5:$BA$5,0))+INDEX('Tables - Part 2'!$AX$17:$BA$24,MATCH(HSC_Hydrofluoric_Acid!$T18,'Tables - Part 2'!$AV$6:$AV$13,0),MATCH(HSC_Hydrofluoric_Acid!$R18,'Tables - Part 2'!$AX$5:$BA$5,0)))/2)+INDEX('Tables - Part 2'!$AX$17:$BA$24,MATCH(HSC_Hydrofluoric_Acid!$T18,'Tables - Part 2'!$AV$6:$AV$13,0),MATCH(HSC_Hydrofluoric_Acid!$R18,'Tables - Part 2'!$AX$5:$BA$5,0)))/2,0)</f>
        <v>0</v>
      </c>
      <c r="AW18" s="248">
        <f>IF($Q18=$AW$3,(((((INDEX('Tables - Part 2'!$BF$6:$BI$13,MATCH(HSC_Hydrofluoric_Acid!$T18,'Tables - Part 2'!$AV$6:$AV$13,0),MATCH(HSC_Hydrofluoric_Acid!$R18,'Tables - Part 2'!$AX$5:$BA$5,0))+INDEX('Tables - Part 2'!$AX$17:$BA$24,MATCH(HSC_Hydrofluoric_Acid!$T18,'Tables - Part 2'!$AV$6:$AV$13,0),MATCH(HSC_Hydrofluoric_Acid!$R18,'Tables - Part 2'!$AX$5:$BA$5,0)))/2)+INDEX('Tables - Part 2'!$AX$17:$BA$24,MATCH(HSC_Hydrofluoric_Acid!$T18,'Tables - Part 2'!$AV$6:$AV$13,0),MATCH(HSC_Hydrofluoric_Acid!$R18,'Tables - Part 2'!$AX$5:$BA$5,0)))/2)+(INDEX('Tables - Part 2'!$AX$17:$BA$24,MATCH(HSC_Hydrofluoric_Acid!$T18,'Tables - Part 2'!$AV$6:$AV$13,0),MATCH(HSC_Hydrofluoric_Acid!$R18,'Tables - Part 2'!$AX$5:$BA$5,0))))/2,0)</f>
        <v>0</v>
      </c>
      <c r="AX18" s="248">
        <f>IF($Q18=$AX$3,INDEX('Tables - Part 2'!$AX$17:$BA$24,MATCH(HSC_Hydrofluoric_Acid!$T18,'Tables - Part 2'!$AV$6:$AV$13,0),MATCH(HSC_Hydrofluoric_Acid!$R18,'Tables - Part 2'!$AX$5:$BA$5,0)),0)</f>
        <v>0</v>
      </c>
      <c r="AY18" s="248">
        <f>IF($Q18=$AY$3,((INDEX('Tables - Part 2'!$AX$17:$BA$24,MATCH(HSC_Hydrofluoric_Acid!$T18,'Tables - Part 2'!$AV$6:$AV$13,0),MATCH(HSC_Hydrofluoric_Acid!$R18,'Tables - Part 2'!$AX$5:$BA$5,0)))+(((INDEX('Tables - Part 2'!$AX$17:$BA$24,MATCH(HSC_Hydrofluoric_Acid!$T18,'Tables - Part 2'!$AV$6:$AV$13,0),MATCH(HSC_Hydrofluoric_Acid!$R18,'Tables - Part 2'!$AX$5:$BA$5,0)))+(INDEX('Tables - Part 2'!$AX$17:$BA$24,MATCH(HSC_Hydrofluoric_Acid!$T18,'Tables - Part 2'!$AV$6:$AV$13,0),MATCH(HSC_Hydrofluoric_Acid!$R18,'Tables - Part 2'!$AX$5:$BA$5,0))+INDEX('Tables - Part 2'!$BB$17:$BE$24,MATCH(HSC_Hydrofluoric_Acid!$T18,'Tables - Part 2'!$AV$6:$AV$13,0),MATCH(HSC_Hydrofluoric_Acid!$R18,'Tables - Part 2'!$AX$5:$BA$5,0)))/2)/2))/2,0)</f>
        <v>0</v>
      </c>
      <c r="AZ18" s="248">
        <f>IF($Q18=$AZ$3,((INDEX('Tables - Part 2'!$AX$17:$BA$24,MATCH(HSC_Hydrofluoric_Acid!$T18,'Tables - Part 2'!$AV$6:$AV$13,0),MATCH(HSC_Hydrofluoric_Acid!$R18,'Tables - Part 2'!$AX$5:$BA$5,0)))+(INDEX('Tables - Part 2'!$AX$17:$BA$24,MATCH(HSC_Hydrofluoric_Acid!$T18,'Tables - Part 2'!$AV$6:$AV$13,0),MATCH(HSC_Hydrofluoric_Acid!$R18,'Tables - Part 2'!$AX$5:$BA$5,0))+INDEX('Tables - Part 2'!$BB$17:$BE$24,MATCH(HSC_Hydrofluoric_Acid!$T18,'Tables - Part 2'!$AV$6:$AV$13,0),MATCH(HSC_Hydrofluoric_Acid!$R18,'Tables - Part 2'!$AX$5:$BA$5,0)))/2)/2,0)</f>
        <v>0</v>
      </c>
      <c r="BA18" s="248">
        <f>IF($Q18=$BA$3,((((INDEX('Tables - Part 2'!$AX$17:$BA$24,MATCH(HSC_Hydrofluoric_Acid!$T18,'Tables - Part 2'!$AV$6:$AV$13,0),MATCH(HSC_Hydrofluoric_Acid!$R18,'Tables - Part 2'!$AX$5:$BA$5,0)))+(INDEX('Tables - Part 2'!$AX$17:$BA$24,MATCH(HSC_Hydrofluoric_Acid!$T18,'Tables - Part 2'!$AV$6:$AV$13,0),MATCH(HSC_Hydrofluoric_Acid!$R18,'Tables - Part 2'!$AX$5:$BA$5,0))+INDEX('Tables - Part 2'!$BB$17:$BE$24,MATCH(HSC_Hydrofluoric_Acid!$T18,'Tables - Part 2'!$AV$6:$AV$13,0),MATCH(HSC_Hydrofluoric_Acid!$R18,'Tables - Part 2'!$AX$5:$BA$5,0)))/2)/2)+((INDEX('Tables - Part 2'!$AX$17:$BA$24,MATCH(HSC_Hydrofluoric_Acid!$T18,'Tables - Part 2'!$AV$6:$AV$13,0),MATCH(HSC_Hydrofluoric_Acid!$R18,'Tables - Part 2'!$AX$5:$BA$5,0))+INDEX('Tables - Part 2'!$BB$17:$BE$24,MATCH(HSC_Hydrofluoric_Acid!$T18,'Tables - Part 2'!$AV$6:$AV$13,0),MATCH(HSC_Hydrofluoric_Acid!$R18,'Tables - Part 2'!$AX$5:$BA$5,0)))/2))/2,0)</f>
        <v>0</v>
      </c>
      <c r="BB18" s="248">
        <f>IF($Q18=$BB$3,(INDEX('Tables - Part 2'!$AX$17:$BA$24,MATCH(HSC_Hydrofluoric_Acid!$T18,'Tables - Part 2'!$AV$6:$AV$13,0),MATCH(HSC_Hydrofluoric_Acid!$R18,'Tables - Part 2'!$AX$5:$BA$5,0))+INDEX('Tables - Part 2'!$BB$17:$BE$24,MATCH(HSC_Hydrofluoric_Acid!$T18,'Tables - Part 2'!$AV$6:$AV$13,0),MATCH(HSC_Hydrofluoric_Acid!$R18,'Tables - Part 2'!$AX$5:$BA$5,0)))/2,0)</f>
        <v>0</v>
      </c>
      <c r="BC18" s="248">
        <f>IF($Q18=$BC$3,(((INDEX('Tables - Part 2'!$AX$17:$BA$24,MATCH(HSC_Hydrofluoric_Acid!$T18,'Tables - Part 2'!$AV$6:$AV$13,0),MATCH(HSC_Hydrofluoric_Acid!$R18,'Tables - Part 2'!$AX$5:$BA$5,0))+INDEX('Tables - Part 2'!$BB$17:$BE$24,MATCH(HSC_Hydrofluoric_Acid!$T18,'Tables - Part 2'!$AV$6:$AV$13,0),MATCH(HSC_Hydrofluoric_Acid!$R18,'Tables - Part 2'!$AX$5:$BA$5,0)))/2)+((((INDEX('Tables - Part 2'!$AX$17:$BA$24,MATCH(HSC_Hydrofluoric_Acid!$T18,'Tables - Part 2'!$AV$6:$AV$13,0),MATCH(HSC_Hydrofluoric_Acid!$R18,'Tables - Part 2'!$AX$5:$BA$5,0))+INDEX('Tables - Part 2'!$BB$17:$BE$24,MATCH(HSC_Hydrofluoric_Acid!$T18,'Tables - Part 2'!$AV$6:$AV$13,0),MATCH(HSC_Hydrofluoric_Acid!$R18,'Tables - Part 2'!$AX$5:$BA$5,0)))/2)+INDEX('Tables - Part 2'!$BB$17:$BE$24,MATCH(HSC_Hydrofluoric_Acid!$T18,'Tables - Part 2'!$AV$6:$AV$13,0),MATCH(HSC_Hydrofluoric_Acid!$R18,'Tables - Part 2'!$AX$5:$BA$5,0)))/2))/2,0)</f>
        <v>0</v>
      </c>
      <c r="BD18" s="248">
        <f>IF($Q18=$BD$3,(((INDEX('Tables - Part 2'!$AX$17:$BA$24,MATCH(HSC_Hydrofluoric_Acid!$T18,'Tables - Part 2'!$AV$6:$AV$13,0),MATCH(HSC_Hydrofluoric_Acid!$R18,'Tables - Part 2'!$AX$5:$BA$5,0))+INDEX('Tables - Part 2'!$BB$17:$BE$24,MATCH(HSC_Hydrofluoric_Acid!$T18,'Tables - Part 2'!$AV$6:$AV$13,0),MATCH(HSC_Hydrofluoric_Acid!$R18,'Tables - Part 2'!$AX$5:$BA$5,0)))/2)+INDEX('Tables - Part 2'!$BB$17:$BE$24,MATCH(HSC_Hydrofluoric_Acid!$T18,'Tables - Part 2'!$AV$6:$AV$13,0),MATCH(HSC_Hydrofluoric_Acid!$R18,'Tables - Part 2'!$AX$5:$BA$5,0)))/2,0)</f>
        <v>0</v>
      </c>
      <c r="BE18" s="248">
        <f>IF($Q18=$BE$3,(((((INDEX('Tables - Part 2'!$AX$17:$BA$24,MATCH(HSC_Hydrofluoric_Acid!$T18,'Tables - Part 2'!$AV$6:$AV$13,0),MATCH(HSC_Hydrofluoric_Acid!$R18,'Tables - Part 2'!$AX$5:$BA$5,0))+INDEX('Tables - Part 2'!$BB$17:$BE$24,MATCH(HSC_Hydrofluoric_Acid!$T18,'Tables - Part 2'!$AV$6:$AV$13,0),MATCH(HSC_Hydrofluoric_Acid!$R18,'Tables - Part 2'!$AX$5:$BA$5,0)))/2)+INDEX('Tables - Part 2'!$BB$17:$BE$24,MATCH(HSC_Hydrofluoric_Acid!$T18,'Tables - Part 2'!$AV$6:$AV$13,0),MATCH(HSC_Hydrofluoric_Acid!$R18,'Tables - Part 2'!$AX$5:$BA$5,0)))/2)+(INDEX('Tables - Part 2'!$BB$17:$BE$24,MATCH(HSC_Hydrofluoric_Acid!$T18,'Tables - Part 2'!$AV$6:$AV$13,0),MATCH(HSC_Hydrofluoric_Acid!$R18,'Tables - Part 2'!$AX$5:$BA$5,0))))/2,0)</f>
        <v>0</v>
      </c>
      <c r="BF18" s="248">
        <f>IF($Q18=$BF$3,INDEX('Tables - Part 2'!$BB$17:$BE$24,MATCH(HSC_Hydrofluoric_Acid!$T18,'Tables - Part 2'!$AV$6:$AV$13,0),MATCH(HSC_Hydrofluoric_Acid!$R18,'Tables - Part 2'!$AX$5:$BA$5,0)),0)</f>
        <v>0</v>
      </c>
      <c r="BG18" s="248">
        <f>IF($Q18=$BG$3,((INDEX('Tables - Part 2'!$BB$17:$BE$24,MATCH(HSC_Hydrofluoric_Acid!$T18,'Tables - Part 2'!$AV$6:$AV$13,0),MATCH(HSC_Hydrofluoric_Acid!$R18,'Tables - Part 2'!$AX$5:$BA$5,0)))+(((INDEX('Tables - Part 2'!$BB$17:$BE$24,MATCH(HSC_Hydrofluoric_Acid!$T18,'Tables - Part 2'!$AV$6:$AV$13,0),MATCH(HSC_Hydrofluoric_Acid!$R18,'Tables - Part 2'!$AX$5:$BA$5,0)))+(INDEX('Tables - Part 2'!$BB$17:$BE$24,MATCH(HSC_Hydrofluoric_Acid!$T18,'Tables - Part 2'!$AV$6:$AV$13,0),MATCH(HSC_Hydrofluoric_Acid!$R18,'Tables - Part 2'!$AX$5:$BA$5,0))+INDEX('Tables - Part 2'!$BF$17:$BI$24,MATCH(HSC_Hydrofluoric_Acid!$T18,'Tables - Part 2'!$AV$6:$AV$13,0),MATCH(HSC_Hydrofluoric_Acid!$R18,'Tables - Part 2'!$AX$5:$BA$5,0)))/2)/2))/2,0)</f>
        <v>0</v>
      </c>
      <c r="BH18" s="248">
        <f>IF($Q18=$BH$3,((INDEX('Tables - Part 2'!$BB$17:$BE$24,MATCH(HSC_Hydrofluoric_Acid!$T18,'Tables - Part 2'!$AV$6:$AV$13,0),MATCH(HSC_Hydrofluoric_Acid!$R18,'Tables - Part 2'!$AX$5:$BA$5,0)))+(INDEX('Tables - Part 2'!$BB$17:$BE$24,MATCH(HSC_Hydrofluoric_Acid!$T18,'Tables - Part 2'!$AV$6:$AV$13,0),MATCH(HSC_Hydrofluoric_Acid!$R18,'Tables - Part 2'!$AX$5:$BA$5,0))+INDEX('Tables - Part 2'!$BF$17:$BI$24,MATCH(HSC_Hydrofluoric_Acid!$T18,'Tables - Part 2'!$AV$6:$AV$13,0),MATCH(HSC_Hydrofluoric_Acid!$R18,'Tables - Part 2'!$AX$5:$BA$5,0)))/2)/2,0)</f>
        <v>0</v>
      </c>
      <c r="BI18" s="248">
        <f>IF($Q18=$BI$3,((((INDEX('Tables - Part 2'!$BB$17:$BE$24,MATCH(HSC_Hydrofluoric_Acid!$T18,'Tables - Part 2'!$AV$6:$AV$13,0),MATCH(HSC_Hydrofluoric_Acid!$R18,'Tables - Part 2'!$AX$5:$BA$5,0)))+(INDEX('Tables - Part 2'!$BB$17:$BE$24,MATCH(HSC_Hydrofluoric_Acid!$T18,'Tables - Part 2'!$AV$6:$AV$13,0),MATCH(HSC_Hydrofluoric_Acid!$R18,'Tables - Part 2'!$AX$5:$BA$5,0))+INDEX('Tables - Part 2'!$BF$17:$BI$24,MATCH(HSC_Hydrofluoric_Acid!$T18,'Tables - Part 2'!$AV$6:$AV$13,0),MATCH(HSC_Hydrofluoric_Acid!$R18,'Tables - Part 2'!$AX$5:$BA$5,0)))/2)/2)+((INDEX('Tables - Part 2'!$BB$17:$BE$24,MATCH(HSC_Hydrofluoric_Acid!$T18,'Tables - Part 2'!$AV$6:$AV$13,0),MATCH(HSC_Hydrofluoric_Acid!$R18,'Tables - Part 2'!$AX$5:$BA$5,0))+INDEX('Tables - Part 2'!$BF$17:$BI$24,MATCH(HSC_Hydrofluoric_Acid!$T18,'Tables - Part 2'!$AV$6:$AV$13,0),MATCH(HSC_Hydrofluoric_Acid!$R18,'Tables - Part 2'!$AX$5:$BA$5,0)))/2))/2,0)</f>
        <v>0</v>
      </c>
      <c r="BJ18" s="248">
        <f>IF($Q18=$BJ$3,(INDEX('Tables - Part 2'!$BB$17:$BE$24,MATCH(HSC_Hydrofluoric_Acid!$T18,'Tables - Part 2'!$AV$6:$AV$13,0),MATCH(HSC_Hydrofluoric_Acid!$R18,'Tables - Part 2'!$AX$5:$BA$5,0))+INDEX('Tables - Part 2'!$BF$17:$BI$24,MATCH(HSC_Hydrofluoric_Acid!$T18,'Tables - Part 2'!$AV$6:$AV$13,0),MATCH(HSC_Hydrofluoric_Acid!$R18,'Tables - Part 2'!$AX$5:$BA$5,0)))/2,0)</f>
        <v>0</v>
      </c>
      <c r="BK18" s="248">
        <f>IF($Q18=$BK$3,(((INDEX('Tables - Part 2'!$BB$17:$BE$24,MATCH(HSC_Hydrofluoric_Acid!$T18,'Tables - Part 2'!$AV$6:$AV$13,0),MATCH(HSC_Hydrofluoric_Acid!$R18,'Tables - Part 2'!$AX$5:$BA$5,0))+INDEX('Tables - Part 2'!$BF$17:$BI$24,MATCH(HSC_Hydrofluoric_Acid!$T18,'Tables - Part 2'!$AV$6:$AV$13,0),MATCH(HSC_Hydrofluoric_Acid!$R18,'Tables - Part 2'!$AX$5:$BA$5,0)))/2)+((((INDEX('Tables - Part 2'!$BB$17:$BE$24,MATCH(HSC_Hydrofluoric_Acid!$T18,'Tables - Part 2'!$AV$6:$AV$13,0),MATCH(HSC_Hydrofluoric_Acid!$R18,'Tables - Part 2'!$AX$5:$BA$5,0))+INDEX('Tables - Part 2'!$BF$17:$BI$24,MATCH(HSC_Hydrofluoric_Acid!$T18,'Tables - Part 2'!$AV$6:$AV$13,0),MATCH(HSC_Hydrofluoric_Acid!$R18,'Tables - Part 2'!$AX$5:$BA$5,0)))/2)+INDEX('Tables - Part 2'!$BF$17:$BI$24,MATCH(HSC_Hydrofluoric_Acid!$T18,'Tables - Part 2'!$AV$6:$AV$13,0),MATCH(HSC_Hydrofluoric_Acid!$R18,'Tables - Part 2'!$AX$5:$BA$5,0)))/2))/2,0)</f>
        <v>0</v>
      </c>
      <c r="BL18" s="248">
        <f>IF($Q18=$BL$3,(((INDEX('Tables - Part 2'!$BB$17:$BE$24,MATCH(HSC_Hydrofluoric_Acid!$T18,'Tables - Part 2'!$AV$6:$AV$13,0),MATCH(HSC_Hydrofluoric_Acid!$R18,'Tables - Part 2'!$AX$5:$BA$5,0))+INDEX('Tables - Part 2'!$BF$17:$BI$24,MATCH(HSC_Hydrofluoric_Acid!$T18,'Tables - Part 2'!$AV$6:$AV$13,0),MATCH(HSC_Hydrofluoric_Acid!$R18,'Tables - Part 2'!$AX$5:$BA$5,0)))/2)+INDEX('Tables - Part 2'!$BF$17:$BI$24,MATCH(HSC_Hydrofluoric_Acid!$T18,'Tables - Part 2'!$AV$6:$AV$13,0),MATCH(HSC_Hydrofluoric_Acid!$R18,'Tables - Part 2'!$AX$5:$BA$5,0)))/2,0)</f>
        <v>0</v>
      </c>
      <c r="BM18" s="248">
        <f>IF($Q18=$BM$3,(((((INDEX('Tables - Part 2'!$BB$17:$BE$24,MATCH(HSC_Hydrofluoric_Acid!$T18,'Tables - Part 2'!$AV$6:$AV$13,0),MATCH(HSC_Hydrofluoric_Acid!$R18,'Tables - Part 2'!$AX$5:$BA$5,0))+INDEX('Tables - Part 2'!$BF$17:$BI$24,MATCH(HSC_Hydrofluoric_Acid!$T18,'Tables - Part 2'!$AV$6:$AV$13,0),MATCH(HSC_Hydrofluoric_Acid!$R18,'Tables - Part 2'!$AX$5:$BA$5,0)))/2)+INDEX('Tables - Part 2'!$BF$17:$BI$24,MATCH(HSC_Hydrofluoric_Acid!$T18,'Tables - Part 2'!$AV$6:$AV$13,0),MATCH(HSC_Hydrofluoric_Acid!$R18,'Tables - Part 2'!$AX$5:$BA$5,0)))/2)+(INDEX('Tables - Part 2'!$BF$17:$BI$24,MATCH(HSC_Hydrofluoric_Acid!$T18,'Tables - Part 2'!$AV$6:$AV$13,0),MATCH(HSC_Hydrofluoric_Acid!$R18,'Tables - Part 2'!$AX$5:$BA$5,0))))/2,0)</f>
        <v>0</v>
      </c>
      <c r="BN18" s="248">
        <f>IF($Q18=$BN$3,INDEX('Tables - Part 2'!$BF$17:$BI$24,MATCH(HSC_Hydrofluoric_Acid!$T18,'Tables - Part 2'!$AV$6:$AV$13,0),MATCH(HSC_Hydrofluoric_Acid!$R18,'Tables - Part 2'!$AX$5:$BA$5,0)),0)</f>
        <v>0</v>
      </c>
      <c r="BO18" s="248">
        <f t="shared" si="6"/>
        <v>0</v>
      </c>
      <c r="BP18" s="238">
        <f t="shared" si="8"/>
        <v>1</v>
      </c>
      <c r="BQ18" s="238">
        <f t="shared" si="7"/>
        <v>16.77288246840839</v>
      </c>
    </row>
    <row r="19" spans="2:69" x14ac:dyDescent="0.35">
      <c r="B19" s="161" t="str">
        <f>'Tratamento de Dados'!B27</f>
        <v>V-8</v>
      </c>
      <c r="C19" s="161" t="str">
        <f>'Tratamento de Dados'!D27</f>
        <v>Casco</v>
      </c>
      <c r="D19" s="209" t="s">
        <v>245</v>
      </c>
      <c r="E19" s="209" t="s">
        <v>61</v>
      </c>
      <c r="F19" s="209" t="s">
        <v>244</v>
      </c>
      <c r="G19" s="209" t="s">
        <v>244</v>
      </c>
      <c r="H19" s="209" t="s">
        <v>1112</v>
      </c>
      <c r="I19" s="209" t="s">
        <v>245</v>
      </c>
      <c r="J19" s="210">
        <v>39092</v>
      </c>
      <c r="K19" s="209">
        <v>0</v>
      </c>
      <c r="L19" s="209">
        <v>1</v>
      </c>
      <c r="M19" s="209">
        <v>1</v>
      </c>
      <c r="N19" s="209">
        <v>4</v>
      </c>
      <c r="O19" s="253">
        <f>'Tratamento de Dados'!DA27</f>
        <v>0</v>
      </c>
      <c r="P19" s="253">
        <f>'Tratamento de Dados'!DB27</f>
        <v>0</v>
      </c>
      <c r="Q19" s="256">
        <f t="shared" si="0"/>
        <v>2.5</v>
      </c>
      <c r="R19" s="246" t="str">
        <f t="shared" si="1"/>
        <v>B</v>
      </c>
      <c r="S19" s="238" t="str" cm="1">
        <f t="array" ref="S19">IF(D19=$BV$2,$BT$4,IF(OR(F19=$BV$3,G19=$BV$3),$BT$5,INDEX(IF(I19=$BV$2,'Tables - Part 2'!$EA$5:$EC$5,'Tables - Part 2'!$DX$5:$DZ$5),,MATCH(HSC_Hydrofluoric_Acid!H19,'Tables - Part 2'!$DX$4:$DZ$4,0))))</f>
        <v>Low</v>
      </c>
      <c r="T19" s="238">
        <f>IF(AND(D19=$BV$2,E19&lt;&gt;$BV$2),"Fitness-For-Service",INDEX('Tables - Part 2'!$EF$4:$EF$7,MATCH(HSC_Hydrofluoric_Acid!S19,'Tables - Part 2'!$EE$4:$EE$7,0),))</f>
        <v>1</v>
      </c>
      <c r="U19" s="238">
        <f>IF(J19=0,(Thinning!G20-Thinning!F20)/365.25,(Thinning!G20-J19)/365.25)</f>
        <v>12.980150581793293</v>
      </c>
      <c r="V19" s="248">
        <f t="shared" si="2"/>
        <v>0</v>
      </c>
      <c r="W19" s="248">
        <f t="shared" si="3"/>
        <v>2.5</v>
      </c>
      <c r="X19" s="248">
        <f t="shared" si="4"/>
        <v>3</v>
      </c>
      <c r="Y19" s="247">
        <f t="shared" si="5"/>
        <v>4</v>
      </c>
      <c r="Z19" s="248">
        <f>IF($Q19=$Z$3,INDEX('Tables - Part 2'!$AX$6:$BA$13,MATCH(HSC_Hydrofluoric_Acid!T19,'Tables - Part 2'!$AV$6:$AV$13,0),MATCH(HSC_Hydrofluoric_Acid!R19,'Tables - Part 2'!$AX$5:$BA$5,0)),0)</f>
        <v>0</v>
      </c>
      <c r="AA19" s="248">
        <f>IF($Q19=$AA$3,(INDEX('Tables - Part 2'!$AX$6:$BA$13,MATCH(HSC_Hydrofluoric_Acid!T19,'Tables - Part 2'!$AV$6:$AV$13,0),MATCH(HSC_Hydrofluoric_Acid!R19,'Tables - Part 2'!$AX$5:$BA$5,0))+(INDEX('Tables - Part 2'!$AX$6:$BA$13,MATCH(HSC_Hydrofluoric_Acid!T19,'Tables - Part 2'!$AV$6:$AV$13,0),MATCH(HSC_Hydrofluoric_Acid!R19,'Tables - Part 2'!$AX$5:$BA$5,0))+((INDEX('Tables - Part 2'!$AX$6:$BA$13,MATCH(HSC_Hydrofluoric_Acid!T19,'Tables - Part 2'!$AV$6:$AV$13,0),MATCH(HSC_Hydrofluoric_Acid!R19,'Tables - Part 2'!$AX$5:$BA$5,0))+INDEX('Tables - Part 2'!$BB$6:$BE$13,MATCH(HSC_Hydrofluoric_Acid!$T19,'Tables - Part 2'!$AV$6:$AV$13,0),MATCH(HSC_Hydrofluoric_Acid!$R19,'Tables - Part 2'!$AX$5:$BA$5,0)))/2))/2)/2,0)</f>
        <v>0</v>
      </c>
      <c r="AB19" s="248">
        <f>IF($Q19=$AB$3,(INDEX('Tables - Part 2'!$AX$6:$BA$13,MATCH(HSC_Hydrofluoric_Acid!T19,'Tables - Part 2'!$AV$6:$AV$13,0),MATCH(HSC_Hydrofluoric_Acid!R19,'Tables - Part 2'!$AX$5:$BA$5,0))+((INDEX('Tables - Part 2'!$AX$6:$BA$13,MATCH(HSC_Hydrofluoric_Acid!T19,'Tables - Part 2'!$AV$6:$AV$13,0),MATCH(HSC_Hydrofluoric_Acid!R19,'Tables - Part 2'!$AX$5:$BA$5,0))+INDEX('Tables - Part 2'!$BB$6:$BE$13,MATCH(HSC_Hydrofluoric_Acid!$T19,'Tables - Part 2'!$AV$6:$AV$13,0),MATCH(HSC_Hydrofluoric_Acid!$R19,'Tables - Part 2'!$AX$5:$BA$5,0)))/2))/2,0)</f>
        <v>0</v>
      </c>
      <c r="AC19" s="248">
        <f>IF($Q19=$AC$3,(((INDEX('Tables - Part 2'!$AX$6:$BA$13,MATCH(HSC_Hydrofluoric_Acid!T19,'Tables - Part 2'!$AV$6:$AV$13,0),MATCH(HSC_Hydrofluoric_Acid!R19,'Tables - Part 2'!$AX$5:$BA$5,0))+((INDEX('Tables - Part 2'!$AX$6:$BA$13,MATCH(HSC_Hydrofluoric_Acid!T19,'Tables - Part 2'!$AV$6:$AV$13,0),MATCH(HSC_Hydrofluoric_Acid!R19,'Tables - Part 2'!$AX$5:$BA$5,0))+INDEX('Tables - Part 2'!$BB$6:$BE$13,MATCH(HSC_Hydrofluoric_Acid!$T19,'Tables - Part 2'!$AV$6:$AV$13,0),MATCH(HSC_Hydrofluoric_Acid!$R19,'Tables - Part 2'!$AX$5:$BA$5,0)))/2))/2)+(INDEX('Tables - Part 2'!$AX$6:$BA$13,MATCH(HSC_Hydrofluoric_Acid!T19,'Tables - Part 2'!$AV$6:$AV$13,0),MATCH(HSC_Hydrofluoric_Acid!R19,'Tables - Part 2'!$AX$5:$BA$5,0))+INDEX('Tables - Part 2'!$BB$6:$BE$13,MATCH(HSC_Hydrofluoric_Acid!$T19,'Tables - Part 2'!$AV$6:$AV$13,0),MATCH(HSC_Hydrofluoric_Acid!$R19,'Tables - Part 2'!$AX$5:$BA$5,0)))/2)/2,0)</f>
        <v>0</v>
      </c>
      <c r="AD19" s="248">
        <f>IF($Q19=$AD$3,(INDEX('Tables - Part 2'!$AX$6:$BA$13,MATCH(HSC_Hydrofluoric_Acid!T19,'Tables - Part 2'!$AV$6:$AV$13,0),MATCH(HSC_Hydrofluoric_Acid!R19,'Tables - Part 2'!$AX$5:$BA$5,0))+INDEX('Tables - Part 2'!$BB$6:$BE$13,MATCH(HSC_Hydrofluoric_Acid!$T19,'Tables - Part 2'!$AV$6:$AV$13,0),MATCH(HSC_Hydrofluoric_Acid!$R19,'Tables - Part 2'!$AX$5:$BA$5,0)))/2,0)</f>
        <v>0</v>
      </c>
      <c r="AE19" s="248">
        <f>IF($Q19=$AE$3,(((INDEX('Tables - Part 2'!$AX$6:$BA$13,MATCH(HSC_Hydrofluoric_Acid!T19,'Tables - Part 2'!$AV$6:$AV$13,0),MATCH(HSC_Hydrofluoric_Acid!R19,'Tables - Part 2'!$AX$5:$BA$5,0))+INDEX('Tables - Part 2'!$BB$6:$BE$13,MATCH(HSC_Hydrofluoric_Acid!$T19,'Tables - Part 2'!$AV$6:$AV$13,0),MATCH(HSC_Hydrofluoric_Acid!$R19,'Tables - Part 2'!$AX$5:$BA$5,0)))/2)+(((INDEX('Tables - Part 2'!$AX$6:$BA$13,MATCH(HSC_Hydrofluoric_Acid!T19,'Tables - Part 2'!$AV$6:$AV$13,0),MATCH(HSC_Hydrofluoric_Acid!R19,'Tables - Part 2'!$AX$5:$BA$5,0))+INDEX('Tables - Part 2'!$BB$6:$BE$13,MATCH(HSC_Hydrofluoric_Acid!$T19,'Tables - Part 2'!$AV$6:$AV$13,0),MATCH(HSC_Hydrofluoric_Acid!$R19,'Tables - Part 2'!$AX$5:$BA$5,0)))/2)+INDEX('Tables - Part 2'!$BB$6:$BE$13,MATCH(HSC_Hydrofluoric_Acid!$T19,'Tables - Part 2'!$AV$6:$AV$13,0),MATCH(HSC_Hydrofluoric_Acid!$R19,'Tables - Part 2'!$AX$5:$BA$5,0)))/2)/2,0)</f>
        <v>0</v>
      </c>
      <c r="AF19" s="248">
        <f>IF($Q19=$AF$3,(((INDEX('Tables - Part 2'!$AX$6:$BA$13,MATCH(HSC_Hydrofluoric_Acid!T19,'Tables - Part 2'!$AV$6:$AV$13,0),MATCH(HSC_Hydrofluoric_Acid!R19,'Tables - Part 2'!$AX$5:$BA$5,0))+INDEX('Tables - Part 2'!$BB$6:$BE$13,MATCH(HSC_Hydrofluoric_Acid!$T19,'Tables - Part 2'!$AV$6:$AV$13,0),MATCH(HSC_Hydrofluoric_Acid!$R19,'Tables - Part 2'!$AX$5:$BA$5,0)))/2)+INDEX('Tables - Part 2'!$BB$6:$BE$13,MATCH(HSC_Hydrofluoric_Acid!$T19,'Tables - Part 2'!$AV$6:$AV$13,0),MATCH(HSC_Hydrofluoric_Acid!$R19,'Tables - Part 2'!$AX$5:$BA$5,0)))/2,0)</f>
        <v>0</v>
      </c>
      <c r="AG19" s="248">
        <f>IF($Q19=$AG$3,(((((INDEX('Tables - Part 2'!$AX$6:$BA$13,MATCH(HSC_Hydrofluoric_Acid!T19,'Tables - Part 2'!$AV$6:$AV$13,0),MATCH(HSC_Hydrofluoric_Acid!R19,'Tables - Part 2'!$AX$5:$BA$5,0))+INDEX('Tables - Part 2'!$BB$6:$BE$13,MATCH(HSC_Hydrofluoric_Acid!$T19,'Tables - Part 2'!$AV$6:$AV$13,0),MATCH(HSC_Hydrofluoric_Acid!$R19,'Tables - Part 2'!$AX$5:$BA$5,0)))/2)+INDEX('Tables - Part 2'!$BB$6:$BE$13,MATCH(HSC_Hydrofluoric_Acid!$T19,'Tables - Part 2'!$AV$6:$AV$13,0),MATCH(HSC_Hydrofluoric_Acid!$R19,'Tables - Part 2'!$AX$5:$BA$5,0)))/2)+INDEX('Tables - Part 2'!$BB$6:$BE$13,MATCH(HSC_Hydrofluoric_Acid!$T19,'Tables - Part 2'!$AV$6:$AV$13,0),MATCH(HSC_Hydrofluoric_Acid!$R19,'Tables - Part 2'!$AX$5:$BA$5,0)))/2,0)</f>
        <v>0</v>
      </c>
      <c r="AH19" s="248">
        <f>IF($Q19=$AH$3,INDEX('Tables - Part 2'!$BB$6:$BE$13,MATCH(HSC_Hydrofluoric_Acid!$T19,'Tables - Part 2'!$AV$6:$AV$13,0),MATCH(HSC_Hydrofluoric_Acid!$R19,'Tables - Part 2'!$AX$5:$BA$5,0)),0)</f>
        <v>0</v>
      </c>
      <c r="AI19" s="248">
        <f>IF($Q19=$AI$3,((INDEX('Tables - Part 2'!$BB$6:$BE$13,MATCH(HSC_Hydrofluoric_Acid!$T19,'Tables - Part 2'!$AV$6:$AV$13,0),MATCH(HSC_Hydrofluoric_Acid!$R19,'Tables - Part 2'!$AX$5:$BA$5,0)))+(INDEX('Tables - Part 2'!$BB$6:$BE$13,MATCH(HSC_Hydrofluoric_Acid!$T19,'Tables - Part 2'!$AV$6:$AV$13,0),MATCH(HSC_Hydrofluoric_Acid!$R19,'Tables - Part 2'!$AX$5:$BA$5,0))+(INDEX('Tables - Part 2'!$BB$6:$BE$13,MATCH(HSC_Hydrofluoric_Acid!$T19,'Tables - Part 2'!$AV$6:$AV$13,0),MATCH(HSC_Hydrofluoric_Acid!$R19,'Tables - Part 2'!$AX$5:$BA$5,0))+INDEX('Tables - Part 2'!$BF$6:$BI$13,MATCH(HSC_Hydrofluoric_Acid!$T19,'Tables - Part 2'!$AV$6:$AV$13,0),MATCH(HSC_Hydrofluoric_Acid!$R19,'Tables - Part 2'!$AX$5:$BA$5,0)))/2)/2)/2,0)</f>
        <v>0</v>
      </c>
      <c r="AJ19" s="248">
        <f>IF($Q19=$AJ$3,(INDEX('Tables - Part 2'!$BB$6:$BE$13,MATCH(HSC_Hydrofluoric_Acid!$T19,'Tables - Part 2'!$AV$6:$AV$13,0),MATCH(HSC_Hydrofluoric_Acid!$R19,'Tables - Part 2'!$AX$5:$BA$5,0))+(INDEX('Tables - Part 2'!$BB$6:$BE$13,MATCH(HSC_Hydrofluoric_Acid!$T19,'Tables - Part 2'!$AV$6:$AV$13,0),MATCH(HSC_Hydrofluoric_Acid!$R19,'Tables - Part 2'!$AX$5:$BA$5,0))+INDEX('Tables - Part 2'!$BF$6:$BI$13,MATCH(HSC_Hydrofluoric_Acid!$T19,'Tables - Part 2'!$AV$6:$AV$13,0),MATCH(HSC_Hydrofluoric_Acid!$R19,'Tables - Part 2'!$AX$5:$BA$5,0)))/2)/2,0)</f>
        <v>0</v>
      </c>
      <c r="AK19" s="248">
        <f>IF($Q19=$AK$3,(((INDEX('Tables - Part 2'!$BB$6:$BE$13,MATCH(HSC_Hydrofluoric_Acid!$T19,'Tables - Part 2'!$AV$6:$AV$13,0),MATCH(HSC_Hydrofluoric_Acid!$R19,'Tables - Part 2'!$AX$5:$BA$5,0))+(INDEX('Tables - Part 2'!$BB$6:$BE$13,MATCH(HSC_Hydrofluoric_Acid!$T19,'Tables - Part 2'!$AV$6:$AV$13,0),MATCH(HSC_Hydrofluoric_Acid!$R19,'Tables - Part 2'!$AX$5:$BA$5,0))+INDEX('Tables - Part 2'!$BF$6:$BI$13,MATCH(HSC_Hydrofluoric_Acid!$T19,'Tables - Part 2'!$AV$6:$AV$13,0),MATCH(HSC_Hydrofluoric_Acid!$R19,'Tables - Part 2'!$AX$5:$BA$5,0)))/2)/2)+((INDEX('Tables - Part 2'!$BB$6:$BE$13,MATCH(HSC_Hydrofluoric_Acid!$T19,'Tables - Part 2'!$AV$6:$AV$13,0),MATCH(HSC_Hydrofluoric_Acid!$R19,'Tables - Part 2'!$AX$5:$BA$5,0))+INDEX('Tables - Part 2'!$BF$6:$BI$13,MATCH(HSC_Hydrofluoric_Acid!$T19,'Tables - Part 2'!$AV$6:$AV$13,0),MATCH(HSC_Hydrofluoric_Acid!$R19,'Tables - Part 2'!$AX$5:$BA$5,0)))/2))/2,0)</f>
        <v>0</v>
      </c>
      <c r="AL19" s="248">
        <f>IF($Q19=$AL$3,(INDEX('Tables - Part 2'!$BB$6:$BE$13,MATCH(HSC_Hydrofluoric_Acid!$T19,'Tables - Part 2'!$AV$6:$AV$13,0),MATCH(HSC_Hydrofluoric_Acid!$R19,'Tables - Part 2'!$AX$5:$BA$5,0))+INDEX('Tables - Part 2'!$BF$6:$BI$13,MATCH(HSC_Hydrofluoric_Acid!$T19,'Tables - Part 2'!$AV$6:$AV$13,0),MATCH(HSC_Hydrofluoric_Acid!$R19,'Tables - Part 2'!$AX$5:$BA$5,0)))/2,0)</f>
        <v>1</v>
      </c>
      <c r="AM19" s="248">
        <f>IF($Q19=$AM$3,(((INDEX('Tables - Part 2'!$BB$6:$BE$13,MATCH(HSC_Hydrofluoric_Acid!$T19,'Tables - Part 2'!$AV$6:$AV$13,0),MATCH(HSC_Hydrofluoric_Acid!$R19,'Tables - Part 2'!$AX$5:$BA$5,0))+INDEX('Tables - Part 2'!$BF$6:$BI$13,MATCH(HSC_Hydrofluoric_Acid!$T19,'Tables - Part 2'!$AV$6:$AV$13,0),MATCH(HSC_Hydrofluoric_Acid!$R19,'Tables - Part 2'!$AX$5:$BA$5,0)))/2)+((((INDEX('Tables - Part 2'!$BB$6:$BE$13,MATCH(HSC_Hydrofluoric_Acid!$T19,'Tables - Part 2'!$AV$6:$AV$13,0),MATCH(HSC_Hydrofluoric_Acid!$R19,'Tables - Part 2'!$AX$5:$BA$5,0))+INDEX('Tables - Part 2'!$BF$6:$BI$13,MATCH(HSC_Hydrofluoric_Acid!$T19,'Tables - Part 2'!$AV$6:$AV$13,0),MATCH(HSC_Hydrofluoric_Acid!$R19,'Tables - Part 2'!$AX$5:$BA$5,0)))/2)+INDEX('Tables - Part 2'!$BF$6:$BI$13,MATCH(HSC_Hydrofluoric_Acid!$T19,'Tables - Part 2'!$AV$6:$AV$13,0),MATCH(HSC_Hydrofluoric_Acid!$R19,'Tables - Part 2'!$AX$5:$BA$5,0)))/2))/2,0)</f>
        <v>0</v>
      </c>
      <c r="AN19" s="248">
        <f>IF($Q19=$AN$3,(((INDEX('Tables - Part 2'!$BB$6:$BE$13,MATCH(HSC_Hydrofluoric_Acid!$T19,'Tables - Part 2'!$AV$6:$AV$13,0),MATCH(HSC_Hydrofluoric_Acid!$R19,'Tables - Part 2'!$AX$5:$BA$5,0))+INDEX('Tables - Part 2'!$BF$6:$BI$13,MATCH(HSC_Hydrofluoric_Acid!$T19,'Tables - Part 2'!$AV$6:$AV$13,0),MATCH(HSC_Hydrofluoric_Acid!$R19,'Tables - Part 2'!$AX$5:$BA$5,0)))/2)+INDEX('Tables - Part 2'!$BF$6:$BI$13,MATCH(HSC_Hydrofluoric_Acid!$T19,'Tables - Part 2'!$AV$6:$AV$13,0),MATCH(HSC_Hydrofluoric_Acid!$R19,'Tables - Part 2'!$AX$5:$BA$5,0)))/2,0)</f>
        <v>0</v>
      </c>
      <c r="AO19" s="248">
        <f>IF($Q19=$AO$3,(((((INDEX('Tables - Part 2'!$BB$6:$BE$13,MATCH(HSC_Hydrofluoric_Acid!$T19,'Tables - Part 2'!$AV$6:$AV$13,0),MATCH(HSC_Hydrofluoric_Acid!$R19,'Tables - Part 2'!$AX$5:$BA$5,0))+INDEX('Tables - Part 2'!$BF$6:$BI$13,MATCH(HSC_Hydrofluoric_Acid!$T19,'Tables - Part 2'!$AV$6:$AV$13,0),MATCH(HSC_Hydrofluoric_Acid!$R19,'Tables - Part 2'!$AX$5:$BA$5,0)))/2)+INDEX('Tables - Part 2'!$BF$6:$BI$13,MATCH(HSC_Hydrofluoric_Acid!$T19,'Tables - Part 2'!$AV$6:$AV$13,0),MATCH(HSC_Hydrofluoric_Acid!$R19,'Tables - Part 2'!$AX$5:$BA$5,0)))/2)+INDEX('Tables - Part 2'!$BF$6:$BI$13,MATCH(HSC_Hydrofluoric_Acid!$T19,'Tables - Part 2'!$AV$6:$AV$13,0),MATCH(HSC_Hydrofluoric_Acid!$R19,'Tables - Part 2'!$AX$5:$BA$5,0)))/2,0)</f>
        <v>0</v>
      </c>
      <c r="AP19" s="248">
        <f>IF($Q19=$AP$3,INDEX('Tables - Part 2'!$BF$6:$BI$13,MATCH(HSC_Hydrofluoric_Acid!$T19,'Tables - Part 2'!$AV$6:$AV$13,0),MATCH(HSC_Hydrofluoric_Acid!$R19,'Tables - Part 2'!$AX$5:$BA$5,0)),0)</f>
        <v>0</v>
      </c>
      <c r="AQ19" s="248">
        <f>IF($Q19=$AQ$3,(INDEX('Tables - Part 2'!$BF$6:$BI$13,MATCH(HSC_Hydrofluoric_Acid!$T19,'Tables - Part 2'!$AV$6:$AV$13,0),MATCH(HSC_Hydrofluoric_Acid!$R19,'Tables - Part 2'!$AX$5:$BA$5,0))+((INDEX('Tables - Part 2'!$BF$6:$BI$13,MATCH(HSC_Hydrofluoric_Acid!$T19,'Tables - Part 2'!$AV$6:$AV$13,0),MATCH(HSC_Hydrofluoric_Acid!$R19,'Tables - Part 2'!$AX$5:$BA$5,0))+(INDEX('Tables - Part 2'!$BF$6:$BI$13,MATCH(HSC_Hydrofluoric_Acid!$T19,'Tables - Part 2'!$AV$6:$AV$13,0),MATCH(HSC_Hydrofluoric_Acid!$R19,'Tables - Part 2'!$AX$5:$BA$5,0))+INDEX('Tables - Part 2'!$AX$17:$BA$24,MATCH(HSC_Hydrofluoric_Acid!$T19,'Tables - Part 2'!$AV$6:$AV$13,0),MATCH(HSC_Hydrofluoric_Acid!$R19,'Tables - Part 2'!$AX$5:$BA$5,0)))/2)/2))/2,0)</f>
        <v>0</v>
      </c>
      <c r="AR19" s="248">
        <f>IF($Q19=$AR$3,(INDEX('Tables - Part 2'!$BF$6:$BI$13,MATCH(HSC_Hydrofluoric_Acid!$T19,'Tables - Part 2'!$AV$6:$AV$13,0),MATCH(HSC_Hydrofluoric_Acid!$R19,'Tables - Part 2'!$AX$5:$BA$5,0))+(INDEX('Tables - Part 2'!$BF$6:$BI$13,MATCH(HSC_Hydrofluoric_Acid!$T19,'Tables - Part 2'!$AV$6:$AV$13,0),MATCH(HSC_Hydrofluoric_Acid!$R19,'Tables - Part 2'!$AX$5:$BA$5,0))+INDEX('Tables - Part 2'!$AX$17:$BA$24,MATCH(HSC_Hydrofluoric_Acid!$T19,'Tables - Part 2'!$AV$6:$AV$13,0),MATCH(HSC_Hydrofluoric_Acid!$R19,'Tables - Part 2'!$AX$5:$BA$5,0)))/2)/2,0)</f>
        <v>0</v>
      </c>
      <c r="AS19" s="248">
        <f>IF($Q19=$AS$3,(((INDEX('Tables - Part 2'!$BF$6:$BI$13,MATCH(HSC_Hydrofluoric_Acid!$T19,'Tables - Part 2'!$AV$6:$AV$13,0),MATCH(HSC_Hydrofluoric_Acid!$R19,'Tables - Part 2'!$AX$5:$BA$5,0))+(INDEX('Tables - Part 2'!$BF$6:$BI$13,MATCH(HSC_Hydrofluoric_Acid!$T19,'Tables - Part 2'!$AV$6:$AV$13,0),MATCH(HSC_Hydrofluoric_Acid!$R19,'Tables - Part 2'!$AX$5:$BA$5,0))+INDEX('Tables - Part 2'!$AX$17:$BA$24,MATCH(HSC_Hydrofluoric_Acid!$T19,'Tables - Part 2'!$AV$6:$AV$13,0),MATCH(HSC_Hydrofluoric_Acid!$R19,'Tables - Part 2'!$AX$5:$BA$5,0)))/2)/2)+((INDEX('Tables - Part 2'!$BF$6:$BI$13,MATCH(HSC_Hydrofluoric_Acid!$T19,'Tables - Part 2'!$AV$6:$AV$13,0),MATCH(HSC_Hydrofluoric_Acid!$R19,'Tables - Part 2'!$AX$5:$BA$5,0))+INDEX('Tables - Part 2'!$AX$17:$BA$24,MATCH(HSC_Hydrofluoric_Acid!$T19,'Tables - Part 2'!$AV$6:$AV$13,0),MATCH(HSC_Hydrofluoric_Acid!$R19,'Tables - Part 2'!$AX$5:$BA$5,0)))/2))/2,0)</f>
        <v>0</v>
      </c>
      <c r="AT19" s="248">
        <f>IF($Q19=$AT$3,(INDEX('Tables - Part 2'!$BF$6:$BI$13,MATCH(HSC_Hydrofluoric_Acid!$T19,'Tables - Part 2'!$AV$6:$AV$13,0),MATCH(HSC_Hydrofluoric_Acid!$R19,'Tables - Part 2'!$AX$5:$BA$5,0))+INDEX('Tables - Part 2'!$AX$17:$BA$24,MATCH(HSC_Hydrofluoric_Acid!$T19,'Tables - Part 2'!$AV$6:$AV$13,0),MATCH(HSC_Hydrofluoric_Acid!$R19,'Tables - Part 2'!$AX$5:$BA$5,0)))/2,0)</f>
        <v>0</v>
      </c>
      <c r="AU19" s="248">
        <f>IF($Q19=$AU$3,(((INDEX('Tables - Part 2'!$BF$6:$BI$13,MATCH(HSC_Hydrofluoric_Acid!$T19,'Tables - Part 2'!$AV$6:$AV$13,0),MATCH(HSC_Hydrofluoric_Acid!$R19,'Tables - Part 2'!$AX$5:$BA$5,0))+INDEX('Tables - Part 2'!$AX$17:$BA$24,MATCH(HSC_Hydrofluoric_Acid!$T19,'Tables - Part 2'!$AV$6:$AV$13,0),MATCH(HSC_Hydrofluoric_Acid!$R19,'Tables - Part 2'!$AX$5:$BA$5,0)))/2)+((((INDEX('Tables - Part 2'!$BF$6:$BI$13,MATCH(HSC_Hydrofluoric_Acid!$T19,'Tables - Part 2'!$AV$6:$AV$13,0),MATCH(HSC_Hydrofluoric_Acid!$R19,'Tables - Part 2'!$AX$5:$BA$5,0))+INDEX('Tables - Part 2'!$AX$17:$BA$24,MATCH(HSC_Hydrofluoric_Acid!$T19,'Tables - Part 2'!$AV$6:$AV$13,0),MATCH(HSC_Hydrofluoric_Acid!$R19,'Tables - Part 2'!$AX$5:$BA$5,0)))/2)+INDEX('Tables - Part 2'!$AX$17:$BA$24,MATCH(HSC_Hydrofluoric_Acid!$T19,'Tables - Part 2'!$AV$6:$AV$13,0),MATCH(HSC_Hydrofluoric_Acid!$R19,'Tables - Part 2'!$AX$5:$BA$5,0)))/2))/2,0)</f>
        <v>0</v>
      </c>
      <c r="AV19" s="248">
        <f>IF($Q19=$AV$3,(((INDEX('Tables - Part 2'!$BF$6:$BI$13,MATCH(HSC_Hydrofluoric_Acid!$T19,'Tables - Part 2'!$AV$6:$AV$13,0),MATCH(HSC_Hydrofluoric_Acid!$R19,'Tables - Part 2'!$AX$5:$BA$5,0))+INDEX('Tables - Part 2'!$AX$17:$BA$24,MATCH(HSC_Hydrofluoric_Acid!$T19,'Tables - Part 2'!$AV$6:$AV$13,0),MATCH(HSC_Hydrofluoric_Acid!$R19,'Tables - Part 2'!$AX$5:$BA$5,0)))/2)+INDEX('Tables - Part 2'!$AX$17:$BA$24,MATCH(HSC_Hydrofluoric_Acid!$T19,'Tables - Part 2'!$AV$6:$AV$13,0),MATCH(HSC_Hydrofluoric_Acid!$R19,'Tables - Part 2'!$AX$5:$BA$5,0)))/2,0)</f>
        <v>0</v>
      </c>
      <c r="AW19" s="248">
        <f>IF($Q19=$AW$3,(((((INDEX('Tables - Part 2'!$BF$6:$BI$13,MATCH(HSC_Hydrofluoric_Acid!$T19,'Tables - Part 2'!$AV$6:$AV$13,0),MATCH(HSC_Hydrofluoric_Acid!$R19,'Tables - Part 2'!$AX$5:$BA$5,0))+INDEX('Tables - Part 2'!$AX$17:$BA$24,MATCH(HSC_Hydrofluoric_Acid!$T19,'Tables - Part 2'!$AV$6:$AV$13,0),MATCH(HSC_Hydrofluoric_Acid!$R19,'Tables - Part 2'!$AX$5:$BA$5,0)))/2)+INDEX('Tables - Part 2'!$AX$17:$BA$24,MATCH(HSC_Hydrofluoric_Acid!$T19,'Tables - Part 2'!$AV$6:$AV$13,0),MATCH(HSC_Hydrofluoric_Acid!$R19,'Tables - Part 2'!$AX$5:$BA$5,0)))/2)+(INDEX('Tables - Part 2'!$AX$17:$BA$24,MATCH(HSC_Hydrofluoric_Acid!$T19,'Tables - Part 2'!$AV$6:$AV$13,0),MATCH(HSC_Hydrofluoric_Acid!$R19,'Tables - Part 2'!$AX$5:$BA$5,0))))/2,0)</f>
        <v>0</v>
      </c>
      <c r="AX19" s="248">
        <f>IF($Q19=$AX$3,INDEX('Tables - Part 2'!$AX$17:$BA$24,MATCH(HSC_Hydrofluoric_Acid!$T19,'Tables - Part 2'!$AV$6:$AV$13,0),MATCH(HSC_Hydrofluoric_Acid!$R19,'Tables - Part 2'!$AX$5:$BA$5,0)),0)</f>
        <v>0</v>
      </c>
      <c r="AY19" s="248">
        <f>IF($Q19=$AY$3,((INDEX('Tables - Part 2'!$AX$17:$BA$24,MATCH(HSC_Hydrofluoric_Acid!$T19,'Tables - Part 2'!$AV$6:$AV$13,0),MATCH(HSC_Hydrofluoric_Acid!$R19,'Tables - Part 2'!$AX$5:$BA$5,0)))+(((INDEX('Tables - Part 2'!$AX$17:$BA$24,MATCH(HSC_Hydrofluoric_Acid!$T19,'Tables - Part 2'!$AV$6:$AV$13,0),MATCH(HSC_Hydrofluoric_Acid!$R19,'Tables - Part 2'!$AX$5:$BA$5,0)))+(INDEX('Tables - Part 2'!$AX$17:$BA$24,MATCH(HSC_Hydrofluoric_Acid!$T19,'Tables - Part 2'!$AV$6:$AV$13,0),MATCH(HSC_Hydrofluoric_Acid!$R19,'Tables - Part 2'!$AX$5:$BA$5,0))+INDEX('Tables - Part 2'!$BB$17:$BE$24,MATCH(HSC_Hydrofluoric_Acid!$T19,'Tables - Part 2'!$AV$6:$AV$13,0),MATCH(HSC_Hydrofluoric_Acid!$R19,'Tables - Part 2'!$AX$5:$BA$5,0)))/2)/2))/2,0)</f>
        <v>0</v>
      </c>
      <c r="AZ19" s="248">
        <f>IF($Q19=$AZ$3,((INDEX('Tables - Part 2'!$AX$17:$BA$24,MATCH(HSC_Hydrofluoric_Acid!$T19,'Tables - Part 2'!$AV$6:$AV$13,0),MATCH(HSC_Hydrofluoric_Acid!$R19,'Tables - Part 2'!$AX$5:$BA$5,0)))+(INDEX('Tables - Part 2'!$AX$17:$BA$24,MATCH(HSC_Hydrofluoric_Acid!$T19,'Tables - Part 2'!$AV$6:$AV$13,0),MATCH(HSC_Hydrofluoric_Acid!$R19,'Tables - Part 2'!$AX$5:$BA$5,0))+INDEX('Tables - Part 2'!$BB$17:$BE$24,MATCH(HSC_Hydrofluoric_Acid!$T19,'Tables - Part 2'!$AV$6:$AV$13,0),MATCH(HSC_Hydrofluoric_Acid!$R19,'Tables - Part 2'!$AX$5:$BA$5,0)))/2)/2,0)</f>
        <v>0</v>
      </c>
      <c r="BA19" s="248">
        <f>IF($Q19=$BA$3,((((INDEX('Tables - Part 2'!$AX$17:$BA$24,MATCH(HSC_Hydrofluoric_Acid!$T19,'Tables - Part 2'!$AV$6:$AV$13,0),MATCH(HSC_Hydrofluoric_Acid!$R19,'Tables - Part 2'!$AX$5:$BA$5,0)))+(INDEX('Tables - Part 2'!$AX$17:$BA$24,MATCH(HSC_Hydrofluoric_Acid!$T19,'Tables - Part 2'!$AV$6:$AV$13,0),MATCH(HSC_Hydrofluoric_Acid!$R19,'Tables - Part 2'!$AX$5:$BA$5,0))+INDEX('Tables - Part 2'!$BB$17:$BE$24,MATCH(HSC_Hydrofluoric_Acid!$T19,'Tables - Part 2'!$AV$6:$AV$13,0),MATCH(HSC_Hydrofluoric_Acid!$R19,'Tables - Part 2'!$AX$5:$BA$5,0)))/2)/2)+((INDEX('Tables - Part 2'!$AX$17:$BA$24,MATCH(HSC_Hydrofluoric_Acid!$T19,'Tables - Part 2'!$AV$6:$AV$13,0),MATCH(HSC_Hydrofluoric_Acid!$R19,'Tables - Part 2'!$AX$5:$BA$5,0))+INDEX('Tables - Part 2'!$BB$17:$BE$24,MATCH(HSC_Hydrofluoric_Acid!$T19,'Tables - Part 2'!$AV$6:$AV$13,0),MATCH(HSC_Hydrofluoric_Acid!$R19,'Tables - Part 2'!$AX$5:$BA$5,0)))/2))/2,0)</f>
        <v>0</v>
      </c>
      <c r="BB19" s="248">
        <f>IF($Q19=$BB$3,(INDEX('Tables - Part 2'!$AX$17:$BA$24,MATCH(HSC_Hydrofluoric_Acid!$T19,'Tables - Part 2'!$AV$6:$AV$13,0),MATCH(HSC_Hydrofluoric_Acid!$R19,'Tables - Part 2'!$AX$5:$BA$5,0))+INDEX('Tables - Part 2'!$BB$17:$BE$24,MATCH(HSC_Hydrofluoric_Acid!$T19,'Tables - Part 2'!$AV$6:$AV$13,0),MATCH(HSC_Hydrofluoric_Acid!$R19,'Tables - Part 2'!$AX$5:$BA$5,0)))/2,0)</f>
        <v>0</v>
      </c>
      <c r="BC19" s="248">
        <f>IF($Q19=$BC$3,(((INDEX('Tables - Part 2'!$AX$17:$BA$24,MATCH(HSC_Hydrofluoric_Acid!$T19,'Tables - Part 2'!$AV$6:$AV$13,0),MATCH(HSC_Hydrofluoric_Acid!$R19,'Tables - Part 2'!$AX$5:$BA$5,0))+INDEX('Tables - Part 2'!$BB$17:$BE$24,MATCH(HSC_Hydrofluoric_Acid!$T19,'Tables - Part 2'!$AV$6:$AV$13,0),MATCH(HSC_Hydrofluoric_Acid!$R19,'Tables - Part 2'!$AX$5:$BA$5,0)))/2)+((((INDEX('Tables - Part 2'!$AX$17:$BA$24,MATCH(HSC_Hydrofluoric_Acid!$T19,'Tables - Part 2'!$AV$6:$AV$13,0),MATCH(HSC_Hydrofluoric_Acid!$R19,'Tables - Part 2'!$AX$5:$BA$5,0))+INDEX('Tables - Part 2'!$BB$17:$BE$24,MATCH(HSC_Hydrofluoric_Acid!$T19,'Tables - Part 2'!$AV$6:$AV$13,0),MATCH(HSC_Hydrofluoric_Acid!$R19,'Tables - Part 2'!$AX$5:$BA$5,0)))/2)+INDEX('Tables - Part 2'!$BB$17:$BE$24,MATCH(HSC_Hydrofluoric_Acid!$T19,'Tables - Part 2'!$AV$6:$AV$13,0),MATCH(HSC_Hydrofluoric_Acid!$R19,'Tables - Part 2'!$AX$5:$BA$5,0)))/2))/2,0)</f>
        <v>0</v>
      </c>
      <c r="BD19" s="248">
        <f>IF($Q19=$BD$3,(((INDEX('Tables - Part 2'!$AX$17:$BA$24,MATCH(HSC_Hydrofluoric_Acid!$T19,'Tables - Part 2'!$AV$6:$AV$13,0),MATCH(HSC_Hydrofluoric_Acid!$R19,'Tables - Part 2'!$AX$5:$BA$5,0))+INDEX('Tables - Part 2'!$BB$17:$BE$24,MATCH(HSC_Hydrofluoric_Acid!$T19,'Tables - Part 2'!$AV$6:$AV$13,0),MATCH(HSC_Hydrofluoric_Acid!$R19,'Tables - Part 2'!$AX$5:$BA$5,0)))/2)+INDEX('Tables - Part 2'!$BB$17:$BE$24,MATCH(HSC_Hydrofluoric_Acid!$T19,'Tables - Part 2'!$AV$6:$AV$13,0),MATCH(HSC_Hydrofluoric_Acid!$R19,'Tables - Part 2'!$AX$5:$BA$5,0)))/2,0)</f>
        <v>0</v>
      </c>
      <c r="BE19" s="248">
        <f>IF($Q19=$BE$3,(((((INDEX('Tables - Part 2'!$AX$17:$BA$24,MATCH(HSC_Hydrofluoric_Acid!$T19,'Tables - Part 2'!$AV$6:$AV$13,0),MATCH(HSC_Hydrofluoric_Acid!$R19,'Tables - Part 2'!$AX$5:$BA$5,0))+INDEX('Tables - Part 2'!$BB$17:$BE$24,MATCH(HSC_Hydrofluoric_Acid!$T19,'Tables - Part 2'!$AV$6:$AV$13,0),MATCH(HSC_Hydrofluoric_Acid!$R19,'Tables - Part 2'!$AX$5:$BA$5,0)))/2)+INDEX('Tables - Part 2'!$BB$17:$BE$24,MATCH(HSC_Hydrofluoric_Acid!$T19,'Tables - Part 2'!$AV$6:$AV$13,0),MATCH(HSC_Hydrofluoric_Acid!$R19,'Tables - Part 2'!$AX$5:$BA$5,0)))/2)+(INDEX('Tables - Part 2'!$BB$17:$BE$24,MATCH(HSC_Hydrofluoric_Acid!$T19,'Tables - Part 2'!$AV$6:$AV$13,0),MATCH(HSC_Hydrofluoric_Acid!$R19,'Tables - Part 2'!$AX$5:$BA$5,0))))/2,0)</f>
        <v>0</v>
      </c>
      <c r="BF19" s="248">
        <f>IF($Q19=$BF$3,INDEX('Tables - Part 2'!$BB$17:$BE$24,MATCH(HSC_Hydrofluoric_Acid!$T19,'Tables - Part 2'!$AV$6:$AV$13,0),MATCH(HSC_Hydrofluoric_Acid!$R19,'Tables - Part 2'!$AX$5:$BA$5,0)),0)</f>
        <v>0</v>
      </c>
      <c r="BG19" s="248">
        <f>IF($Q19=$BG$3,((INDEX('Tables - Part 2'!$BB$17:$BE$24,MATCH(HSC_Hydrofluoric_Acid!$T19,'Tables - Part 2'!$AV$6:$AV$13,0),MATCH(HSC_Hydrofluoric_Acid!$R19,'Tables - Part 2'!$AX$5:$BA$5,0)))+(((INDEX('Tables - Part 2'!$BB$17:$BE$24,MATCH(HSC_Hydrofluoric_Acid!$T19,'Tables - Part 2'!$AV$6:$AV$13,0),MATCH(HSC_Hydrofluoric_Acid!$R19,'Tables - Part 2'!$AX$5:$BA$5,0)))+(INDEX('Tables - Part 2'!$BB$17:$BE$24,MATCH(HSC_Hydrofluoric_Acid!$T19,'Tables - Part 2'!$AV$6:$AV$13,0),MATCH(HSC_Hydrofluoric_Acid!$R19,'Tables - Part 2'!$AX$5:$BA$5,0))+INDEX('Tables - Part 2'!$BF$17:$BI$24,MATCH(HSC_Hydrofluoric_Acid!$T19,'Tables - Part 2'!$AV$6:$AV$13,0),MATCH(HSC_Hydrofluoric_Acid!$R19,'Tables - Part 2'!$AX$5:$BA$5,0)))/2)/2))/2,0)</f>
        <v>0</v>
      </c>
      <c r="BH19" s="248">
        <f>IF($Q19=$BH$3,((INDEX('Tables - Part 2'!$BB$17:$BE$24,MATCH(HSC_Hydrofluoric_Acid!$T19,'Tables - Part 2'!$AV$6:$AV$13,0),MATCH(HSC_Hydrofluoric_Acid!$R19,'Tables - Part 2'!$AX$5:$BA$5,0)))+(INDEX('Tables - Part 2'!$BB$17:$BE$24,MATCH(HSC_Hydrofluoric_Acid!$T19,'Tables - Part 2'!$AV$6:$AV$13,0),MATCH(HSC_Hydrofluoric_Acid!$R19,'Tables - Part 2'!$AX$5:$BA$5,0))+INDEX('Tables - Part 2'!$BF$17:$BI$24,MATCH(HSC_Hydrofluoric_Acid!$T19,'Tables - Part 2'!$AV$6:$AV$13,0),MATCH(HSC_Hydrofluoric_Acid!$R19,'Tables - Part 2'!$AX$5:$BA$5,0)))/2)/2,0)</f>
        <v>0</v>
      </c>
      <c r="BI19" s="248">
        <f>IF($Q19=$BI$3,((((INDEX('Tables - Part 2'!$BB$17:$BE$24,MATCH(HSC_Hydrofluoric_Acid!$T19,'Tables - Part 2'!$AV$6:$AV$13,0),MATCH(HSC_Hydrofluoric_Acid!$R19,'Tables - Part 2'!$AX$5:$BA$5,0)))+(INDEX('Tables - Part 2'!$BB$17:$BE$24,MATCH(HSC_Hydrofluoric_Acid!$T19,'Tables - Part 2'!$AV$6:$AV$13,0),MATCH(HSC_Hydrofluoric_Acid!$R19,'Tables - Part 2'!$AX$5:$BA$5,0))+INDEX('Tables - Part 2'!$BF$17:$BI$24,MATCH(HSC_Hydrofluoric_Acid!$T19,'Tables - Part 2'!$AV$6:$AV$13,0),MATCH(HSC_Hydrofluoric_Acid!$R19,'Tables - Part 2'!$AX$5:$BA$5,0)))/2)/2)+((INDEX('Tables - Part 2'!$BB$17:$BE$24,MATCH(HSC_Hydrofluoric_Acid!$T19,'Tables - Part 2'!$AV$6:$AV$13,0),MATCH(HSC_Hydrofluoric_Acid!$R19,'Tables - Part 2'!$AX$5:$BA$5,0))+INDEX('Tables - Part 2'!$BF$17:$BI$24,MATCH(HSC_Hydrofluoric_Acid!$T19,'Tables - Part 2'!$AV$6:$AV$13,0),MATCH(HSC_Hydrofluoric_Acid!$R19,'Tables - Part 2'!$AX$5:$BA$5,0)))/2))/2,0)</f>
        <v>0</v>
      </c>
      <c r="BJ19" s="248">
        <f>IF($Q19=$BJ$3,(INDEX('Tables - Part 2'!$BB$17:$BE$24,MATCH(HSC_Hydrofluoric_Acid!$T19,'Tables - Part 2'!$AV$6:$AV$13,0),MATCH(HSC_Hydrofluoric_Acid!$R19,'Tables - Part 2'!$AX$5:$BA$5,0))+INDEX('Tables - Part 2'!$BF$17:$BI$24,MATCH(HSC_Hydrofluoric_Acid!$T19,'Tables - Part 2'!$AV$6:$AV$13,0),MATCH(HSC_Hydrofluoric_Acid!$R19,'Tables - Part 2'!$AX$5:$BA$5,0)))/2,0)</f>
        <v>0</v>
      </c>
      <c r="BK19" s="248">
        <f>IF($Q19=$BK$3,(((INDEX('Tables - Part 2'!$BB$17:$BE$24,MATCH(HSC_Hydrofluoric_Acid!$T19,'Tables - Part 2'!$AV$6:$AV$13,0),MATCH(HSC_Hydrofluoric_Acid!$R19,'Tables - Part 2'!$AX$5:$BA$5,0))+INDEX('Tables - Part 2'!$BF$17:$BI$24,MATCH(HSC_Hydrofluoric_Acid!$T19,'Tables - Part 2'!$AV$6:$AV$13,0),MATCH(HSC_Hydrofluoric_Acid!$R19,'Tables - Part 2'!$AX$5:$BA$5,0)))/2)+((((INDEX('Tables - Part 2'!$BB$17:$BE$24,MATCH(HSC_Hydrofluoric_Acid!$T19,'Tables - Part 2'!$AV$6:$AV$13,0),MATCH(HSC_Hydrofluoric_Acid!$R19,'Tables - Part 2'!$AX$5:$BA$5,0))+INDEX('Tables - Part 2'!$BF$17:$BI$24,MATCH(HSC_Hydrofluoric_Acid!$T19,'Tables - Part 2'!$AV$6:$AV$13,0),MATCH(HSC_Hydrofluoric_Acid!$R19,'Tables - Part 2'!$AX$5:$BA$5,0)))/2)+INDEX('Tables - Part 2'!$BF$17:$BI$24,MATCH(HSC_Hydrofluoric_Acid!$T19,'Tables - Part 2'!$AV$6:$AV$13,0),MATCH(HSC_Hydrofluoric_Acid!$R19,'Tables - Part 2'!$AX$5:$BA$5,0)))/2))/2,0)</f>
        <v>0</v>
      </c>
      <c r="BL19" s="248">
        <f>IF($Q19=$BL$3,(((INDEX('Tables - Part 2'!$BB$17:$BE$24,MATCH(HSC_Hydrofluoric_Acid!$T19,'Tables - Part 2'!$AV$6:$AV$13,0),MATCH(HSC_Hydrofluoric_Acid!$R19,'Tables - Part 2'!$AX$5:$BA$5,0))+INDEX('Tables - Part 2'!$BF$17:$BI$24,MATCH(HSC_Hydrofluoric_Acid!$T19,'Tables - Part 2'!$AV$6:$AV$13,0),MATCH(HSC_Hydrofluoric_Acid!$R19,'Tables - Part 2'!$AX$5:$BA$5,0)))/2)+INDEX('Tables - Part 2'!$BF$17:$BI$24,MATCH(HSC_Hydrofluoric_Acid!$T19,'Tables - Part 2'!$AV$6:$AV$13,0),MATCH(HSC_Hydrofluoric_Acid!$R19,'Tables - Part 2'!$AX$5:$BA$5,0)))/2,0)</f>
        <v>0</v>
      </c>
      <c r="BM19" s="248">
        <f>IF($Q19=$BM$3,(((((INDEX('Tables - Part 2'!$BB$17:$BE$24,MATCH(HSC_Hydrofluoric_Acid!$T19,'Tables - Part 2'!$AV$6:$AV$13,0),MATCH(HSC_Hydrofluoric_Acid!$R19,'Tables - Part 2'!$AX$5:$BA$5,0))+INDEX('Tables - Part 2'!$BF$17:$BI$24,MATCH(HSC_Hydrofluoric_Acid!$T19,'Tables - Part 2'!$AV$6:$AV$13,0),MATCH(HSC_Hydrofluoric_Acid!$R19,'Tables - Part 2'!$AX$5:$BA$5,0)))/2)+INDEX('Tables - Part 2'!$BF$17:$BI$24,MATCH(HSC_Hydrofluoric_Acid!$T19,'Tables - Part 2'!$AV$6:$AV$13,0),MATCH(HSC_Hydrofluoric_Acid!$R19,'Tables - Part 2'!$AX$5:$BA$5,0)))/2)+(INDEX('Tables - Part 2'!$BF$17:$BI$24,MATCH(HSC_Hydrofluoric_Acid!$T19,'Tables - Part 2'!$AV$6:$AV$13,0),MATCH(HSC_Hydrofluoric_Acid!$R19,'Tables - Part 2'!$AX$5:$BA$5,0))))/2,0)</f>
        <v>0</v>
      </c>
      <c r="BN19" s="248">
        <f>IF($Q19=$BN$3,INDEX('Tables - Part 2'!$BF$17:$BI$24,MATCH(HSC_Hydrofluoric_Acid!$T19,'Tables - Part 2'!$AV$6:$AV$13,0),MATCH(HSC_Hydrofluoric_Acid!$R19,'Tables - Part 2'!$AX$5:$BA$5,0)),0)</f>
        <v>0</v>
      </c>
      <c r="BO19" s="248">
        <f t="shared" si="6"/>
        <v>0</v>
      </c>
      <c r="BP19" s="238">
        <f t="shared" si="8"/>
        <v>1</v>
      </c>
      <c r="BQ19" s="238">
        <f t="shared" si="7"/>
        <v>16.77288246840839</v>
      </c>
    </row>
    <row r="20" spans="2:69" x14ac:dyDescent="0.35">
      <c r="B20" s="161" t="str">
        <f>'Tratamento de Dados'!B28</f>
        <v>V-90</v>
      </c>
      <c r="C20" s="161" t="str">
        <f>'Tratamento de Dados'!D28</f>
        <v>Casco</v>
      </c>
      <c r="D20" s="209" t="s">
        <v>245</v>
      </c>
      <c r="E20" s="209" t="s">
        <v>61</v>
      </c>
      <c r="F20" s="209" t="s">
        <v>244</v>
      </c>
      <c r="G20" s="209" t="s">
        <v>244</v>
      </c>
      <c r="H20" s="209" t="s">
        <v>1112</v>
      </c>
      <c r="I20" s="209" t="s">
        <v>245</v>
      </c>
      <c r="J20" s="210">
        <v>39092</v>
      </c>
      <c r="K20" s="209">
        <v>0</v>
      </c>
      <c r="L20" s="209">
        <v>1</v>
      </c>
      <c r="M20" s="209">
        <v>1</v>
      </c>
      <c r="N20" s="209">
        <v>4</v>
      </c>
      <c r="O20" s="253">
        <f>'Tratamento de Dados'!DA28</f>
        <v>0</v>
      </c>
      <c r="P20" s="253">
        <f>'Tratamento de Dados'!DB28</f>
        <v>0</v>
      </c>
      <c r="Q20" s="256">
        <f t="shared" si="0"/>
        <v>2.5</v>
      </c>
      <c r="R20" s="246" t="str">
        <f t="shared" si="1"/>
        <v>B</v>
      </c>
      <c r="S20" s="238" t="str" cm="1">
        <f t="array" ref="S20">IF(D20=$BV$2,$BT$4,IF(OR(F20=$BV$3,G20=$BV$3),$BT$5,INDEX(IF(I20=$BV$2,'Tables - Part 2'!$EA$5:$EC$5,'Tables - Part 2'!$DX$5:$DZ$5),,MATCH(HSC_Hydrofluoric_Acid!H20,'Tables - Part 2'!$DX$4:$DZ$4,0))))</f>
        <v>Low</v>
      </c>
      <c r="T20" s="238">
        <f>IF(AND(D20=$BV$2,E20&lt;&gt;$BV$2),"Fitness-For-Service",INDEX('Tables - Part 2'!$EF$4:$EF$7,MATCH(HSC_Hydrofluoric_Acid!S20,'Tables - Part 2'!$EE$4:$EE$7,0),))</f>
        <v>1</v>
      </c>
      <c r="U20" s="238">
        <f>IF(J20=0,(Thinning!G21-Thinning!F21)/365.25,(Thinning!G21-J20)/365.25)</f>
        <v>12.980150581793293</v>
      </c>
      <c r="V20" s="248">
        <f t="shared" si="2"/>
        <v>0</v>
      </c>
      <c r="W20" s="248">
        <f t="shared" si="3"/>
        <v>2.5</v>
      </c>
      <c r="X20" s="248">
        <f t="shared" si="4"/>
        <v>3</v>
      </c>
      <c r="Y20" s="247">
        <f t="shared" si="5"/>
        <v>4</v>
      </c>
      <c r="Z20" s="248">
        <f>IF($Q20=$Z$3,INDEX('Tables - Part 2'!$AX$6:$BA$13,MATCH(HSC_Hydrofluoric_Acid!T20,'Tables - Part 2'!$AV$6:$AV$13,0),MATCH(HSC_Hydrofluoric_Acid!R20,'Tables - Part 2'!$AX$5:$BA$5,0)),0)</f>
        <v>0</v>
      </c>
      <c r="AA20" s="248">
        <f>IF($Q20=$AA$3,(INDEX('Tables - Part 2'!$AX$6:$BA$13,MATCH(HSC_Hydrofluoric_Acid!T20,'Tables - Part 2'!$AV$6:$AV$13,0),MATCH(HSC_Hydrofluoric_Acid!R20,'Tables - Part 2'!$AX$5:$BA$5,0))+(INDEX('Tables - Part 2'!$AX$6:$BA$13,MATCH(HSC_Hydrofluoric_Acid!T20,'Tables - Part 2'!$AV$6:$AV$13,0),MATCH(HSC_Hydrofluoric_Acid!R20,'Tables - Part 2'!$AX$5:$BA$5,0))+((INDEX('Tables - Part 2'!$AX$6:$BA$13,MATCH(HSC_Hydrofluoric_Acid!T20,'Tables - Part 2'!$AV$6:$AV$13,0),MATCH(HSC_Hydrofluoric_Acid!R20,'Tables - Part 2'!$AX$5:$BA$5,0))+INDEX('Tables - Part 2'!$BB$6:$BE$13,MATCH(HSC_Hydrofluoric_Acid!$T20,'Tables - Part 2'!$AV$6:$AV$13,0),MATCH(HSC_Hydrofluoric_Acid!$R20,'Tables - Part 2'!$AX$5:$BA$5,0)))/2))/2)/2,0)</f>
        <v>0</v>
      </c>
      <c r="AB20" s="248">
        <f>IF($Q20=$AB$3,(INDEX('Tables - Part 2'!$AX$6:$BA$13,MATCH(HSC_Hydrofluoric_Acid!T20,'Tables - Part 2'!$AV$6:$AV$13,0),MATCH(HSC_Hydrofluoric_Acid!R20,'Tables - Part 2'!$AX$5:$BA$5,0))+((INDEX('Tables - Part 2'!$AX$6:$BA$13,MATCH(HSC_Hydrofluoric_Acid!T20,'Tables - Part 2'!$AV$6:$AV$13,0),MATCH(HSC_Hydrofluoric_Acid!R20,'Tables - Part 2'!$AX$5:$BA$5,0))+INDEX('Tables - Part 2'!$BB$6:$BE$13,MATCH(HSC_Hydrofluoric_Acid!$T20,'Tables - Part 2'!$AV$6:$AV$13,0),MATCH(HSC_Hydrofluoric_Acid!$R20,'Tables - Part 2'!$AX$5:$BA$5,0)))/2))/2,0)</f>
        <v>0</v>
      </c>
      <c r="AC20" s="248">
        <f>IF($Q20=$AC$3,(((INDEX('Tables - Part 2'!$AX$6:$BA$13,MATCH(HSC_Hydrofluoric_Acid!T20,'Tables - Part 2'!$AV$6:$AV$13,0),MATCH(HSC_Hydrofluoric_Acid!R20,'Tables - Part 2'!$AX$5:$BA$5,0))+((INDEX('Tables - Part 2'!$AX$6:$BA$13,MATCH(HSC_Hydrofluoric_Acid!T20,'Tables - Part 2'!$AV$6:$AV$13,0),MATCH(HSC_Hydrofluoric_Acid!R20,'Tables - Part 2'!$AX$5:$BA$5,0))+INDEX('Tables - Part 2'!$BB$6:$BE$13,MATCH(HSC_Hydrofluoric_Acid!$T20,'Tables - Part 2'!$AV$6:$AV$13,0),MATCH(HSC_Hydrofluoric_Acid!$R20,'Tables - Part 2'!$AX$5:$BA$5,0)))/2))/2)+(INDEX('Tables - Part 2'!$AX$6:$BA$13,MATCH(HSC_Hydrofluoric_Acid!T20,'Tables - Part 2'!$AV$6:$AV$13,0),MATCH(HSC_Hydrofluoric_Acid!R20,'Tables - Part 2'!$AX$5:$BA$5,0))+INDEX('Tables - Part 2'!$BB$6:$BE$13,MATCH(HSC_Hydrofluoric_Acid!$T20,'Tables - Part 2'!$AV$6:$AV$13,0),MATCH(HSC_Hydrofluoric_Acid!$R20,'Tables - Part 2'!$AX$5:$BA$5,0)))/2)/2,0)</f>
        <v>0</v>
      </c>
      <c r="AD20" s="248">
        <f>IF($Q20=$AD$3,(INDEX('Tables - Part 2'!$AX$6:$BA$13,MATCH(HSC_Hydrofluoric_Acid!T20,'Tables - Part 2'!$AV$6:$AV$13,0),MATCH(HSC_Hydrofluoric_Acid!R20,'Tables - Part 2'!$AX$5:$BA$5,0))+INDEX('Tables - Part 2'!$BB$6:$BE$13,MATCH(HSC_Hydrofluoric_Acid!$T20,'Tables - Part 2'!$AV$6:$AV$13,0),MATCH(HSC_Hydrofluoric_Acid!$R20,'Tables - Part 2'!$AX$5:$BA$5,0)))/2,0)</f>
        <v>0</v>
      </c>
      <c r="AE20" s="248">
        <f>IF($Q20=$AE$3,(((INDEX('Tables - Part 2'!$AX$6:$BA$13,MATCH(HSC_Hydrofluoric_Acid!T20,'Tables - Part 2'!$AV$6:$AV$13,0),MATCH(HSC_Hydrofluoric_Acid!R20,'Tables - Part 2'!$AX$5:$BA$5,0))+INDEX('Tables - Part 2'!$BB$6:$BE$13,MATCH(HSC_Hydrofluoric_Acid!$T20,'Tables - Part 2'!$AV$6:$AV$13,0),MATCH(HSC_Hydrofluoric_Acid!$R20,'Tables - Part 2'!$AX$5:$BA$5,0)))/2)+(((INDEX('Tables - Part 2'!$AX$6:$BA$13,MATCH(HSC_Hydrofluoric_Acid!T20,'Tables - Part 2'!$AV$6:$AV$13,0),MATCH(HSC_Hydrofluoric_Acid!R20,'Tables - Part 2'!$AX$5:$BA$5,0))+INDEX('Tables - Part 2'!$BB$6:$BE$13,MATCH(HSC_Hydrofluoric_Acid!$T20,'Tables - Part 2'!$AV$6:$AV$13,0),MATCH(HSC_Hydrofluoric_Acid!$R20,'Tables - Part 2'!$AX$5:$BA$5,0)))/2)+INDEX('Tables - Part 2'!$BB$6:$BE$13,MATCH(HSC_Hydrofluoric_Acid!$T20,'Tables - Part 2'!$AV$6:$AV$13,0),MATCH(HSC_Hydrofluoric_Acid!$R20,'Tables - Part 2'!$AX$5:$BA$5,0)))/2)/2,0)</f>
        <v>0</v>
      </c>
      <c r="AF20" s="248">
        <f>IF($Q20=$AF$3,(((INDEX('Tables - Part 2'!$AX$6:$BA$13,MATCH(HSC_Hydrofluoric_Acid!T20,'Tables - Part 2'!$AV$6:$AV$13,0),MATCH(HSC_Hydrofluoric_Acid!R20,'Tables - Part 2'!$AX$5:$BA$5,0))+INDEX('Tables - Part 2'!$BB$6:$BE$13,MATCH(HSC_Hydrofluoric_Acid!$T20,'Tables - Part 2'!$AV$6:$AV$13,0),MATCH(HSC_Hydrofluoric_Acid!$R20,'Tables - Part 2'!$AX$5:$BA$5,0)))/2)+INDEX('Tables - Part 2'!$BB$6:$BE$13,MATCH(HSC_Hydrofluoric_Acid!$T20,'Tables - Part 2'!$AV$6:$AV$13,0),MATCH(HSC_Hydrofluoric_Acid!$R20,'Tables - Part 2'!$AX$5:$BA$5,0)))/2,0)</f>
        <v>0</v>
      </c>
      <c r="AG20" s="248">
        <f>IF($Q20=$AG$3,(((((INDEX('Tables - Part 2'!$AX$6:$BA$13,MATCH(HSC_Hydrofluoric_Acid!T20,'Tables - Part 2'!$AV$6:$AV$13,0),MATCH(HSC_Hydrofluoric_Acid!R20,'Tables - Part 2'!$AX$5:$BA$5,0))+INDEX('Tables - Part 2'!$BB$6:$BE$13,MATCH(HSC_Hydrofluoric_Acid!$T20,'Tables - Part 2'!$AV$6:$AV$13,0),MATCH(HSC_Hydrofluoric_Acid!$R20,'Tables - Part 2'!$AX$5:$BA$5,0)))/2)+INDEX('Tables - Part 2'!$BB$6:$BE$13,MATCH(HSC_Hydrofluoric_Acid!$T20,'Tables - Part 2'!$AV$6:$AV$13,0),MATCH(HSC_Hydrofluoric_Acid!$R20,'Tables - Part 2'!$AX$5:$BA$5,0)))/2)+INDEX('Tables - Part 2'!$BB$6:$BE$13,MATCH(HSC_Hydrofluoric_Acid!$T20,'Tables - Part 2'!$AV$6:$AV$13,0),MATCH(HSC_Hydrofluoric_Acid!$R20,'Tables - Part 2'!$AX$5:$BA$5,0)))/2,0)</f>
        <v>0</v>
      </c>
      <c r="AH20" s="248">
        <f>IF($Q20=$AH$3,INDEX('Tables - Part 2'!$BB$6:$BE$13,MATCH(HSC_Hydrofluoric_Acid!$T20,'Tables - Part 2'!$AV$6:$AV$13,0),MATCH(HSC_Hydrofluoric_Acid!$R20,'Tables - Part 2'!$AX$5:$BA$5,0)),0)</f>
        <v>0</v>
      </c>
      <c r="AI20" s="248">
        <f>IF($Q20=$AI$3,((INDEX('Tables - Part 2'!$BB$6:$BE$13,MATCH(HSC_Hydrofluoric_Acid!$T20,'Tables - Part 2'!$AV$6:$AV$13,0),MATCH(HSC_Hydrofluoric_Acid!$R20,'Tables - Part 2'!$AX$5:$BA$5,0)))+(INDEX('Tables - Part 2'!$BB$6:$BE$13,MATCH(HSC_Hydrofluoric_Acid!$T20,'Tables - Part 2'!$AV$6:$AV$13,0),MATCH(HSC_Hydrofluoric_Acid!$R20,'Tables - Part 2'!$AX$5:$BA$5,0))+(INDEX('Tables - Part 2'!$BB$6:$BE$13,MATCH(HSC_Hydrofluoric_Acid!$T20,'Tables - Part 2'!$AV$6:$AV$13,0),MATCH(HSC_Hydrofluoric_Acid!$R20,'Tables - Part 2'!$AX$5:$BA$5,0))+INDEX('Tables - Part 2'!$BF$6:$BI$13,MATCH(HSC_Hydrofluoric_Acid!$T20,'Tables - Part 2'!$AV$6:$AV$13,0),MATCH(HSC_Hydrofluoric_Acid!$R20,'Tables - Part 2'!$AX$5:$BA$5,0)))/2)/2)/2,0)</f>
        <v>0</v>
      </c>
      <c r="AJ20" s="248">
        <f>IF($Q20=$AJ$3,(INDEX('Tables - Part 2'!$BB$6:$BE$13,MATCH(HSC_Hydrofluoric_Acid!$T20,'Tables - Part 2'!$AV$6:$AV$13,0),MATCH(HSC_Hydrofluoric_Acid!$R20,'Tables - Part 2'!$AX$5:$BA$5,0))+(INDEX('Tables - Part 2'!$BB$6:$BE$13,MATCH(HSC_Hydrofluoric_Acid!$T20,'Tables - Part 2'!$AV$6:$AV$13,0),MATCH(HSC_Hydrofluoric_Acid!$R20,'Tables - Part 2'!$AX$5:$BA$5,0))+INDEX('Tables - Part 2'!$BF$6:$BI$13,MATCH(HSC_Hydrofluoric_Acid!$T20,'Tables - Part 2'!$AV$6:$AV$13,0),MATCH(HSC_Hydrofluoric_Acid!$R20,'Tables - Part 2'!$AX$5:$BA$5,0)))/2)/2,0)</f>
        <v>0</v>
      </c>
      <c r="AK20" s="248">
        <f>IF($Q20=$AK$3,(((INDEX('Tables - Part 2'!$BB$6:$BE$13,MATCH(HSC_Hydrofluoric_Acid!$T20,'Tables - Part 2'!$AV$6:$AV$13,0),MATCH(HSC_Hydrofluoric_Acid!$R20,'Tables - Part 2'!$AX$5:$BA$5,0))+(INDEX('Tables - Part 2'!$BB$6:$BE$13,MATCH(HSC_Hydrofluoric_Acid!$T20,'Tables - Part 2'!$AV$6:$AV$13,0),MATCH(HSC_Hydrofluoric_Acid!$R20,'Tables - Part 2'!$AX$5:$BA$5,0))+INDEX('Tables - Part 2'!$BF$6:$BI$13,MATCH(HSC_Hydrofluoric_Acid!$T20,'Tables - Part 2'!$AV$6:$AV$13,0),MATCH(HSC_Hydrofluoric_Acid!$R20,'Tables - Part 2'!$AX$5:$BA$5,0)))/2)/2)+((INDEX('Tables - Part 2'!$BB$6:$BE$13,MATCH(HSC_Hydrofluoric_Acid!$T20,'Tables - Part 2'!$AV$6:$AV$13,0),MATCH(HSC_Hydrofluoric_Acid!$R20,'Tables - Part 2'!$AX$5:$BA$5,0))+INDEX('Tables - Part 2'!$BF$6:$BI$13,MATCH(HSC_Hydrofluoric_Acid!$T20,'Tables - Part 2'!$AV$6:$AV$13,0),MATCH(HSC_Hydrofluoric_Acid!$R20,'Tables - Part 2'!$AX$5:$BA$5,0)))/2))/2,0)</f>
        <v>0</v>
      </c>
      <c r="AL20" s="248">
        <f>IF($Q20=$AL$3,(INDEX('Tables - Part 2'!$BB$6:$BE$13,MATCH(HSC_Hydrofluoric_Acid!$T20,'Tables - Part 2'!$AV$6:$AV$13,0),MATCH(HSC_Hydrofluoric_Acid!$R20,'Tables - Part 2'!$AX$5:$BA$5,0))+INDEX('Tables - Part 2'!$BF$6:$BI$13,MATCH(HSC_Hydrofluoric_Acid!$T20,'Tables - Part 2'!$AV$6:$AV$13,0),MATCH(HSC_Hydrofluoric_Acid!$R20,'Tables - Part 2'!$AX$5:$BA$5,0)))/2,0)</f>
        <v>1</v>
      </c>
      <c r="AM20" s="248">
        <f>IF($Q20=$AM$3,(((INDEX('Tables - Part 2'!$BB$6:$BE$13,MATCH(HSC_Hydrofluoric_Acid!$T20,'Tables - Part 2'!$AV$6:$AV$13,0),MATCH(HSC_Hydrofluoric_Acid!$R20,'Tables - Part 2'!$AX$5:$BA$5,0))+INDEX('Tables - Part 2'!$BF$6:$BI$13,MATCH(HSC_Hydrofluoric_Acid!$T20,'Tables - Part 2'!$AV$6:$AV$13,0),MATCH(HSC_Hydrofluoric_Acid!$R20,'Tables - Part 2'!$AX$5:$BA$5,0)))/2)+((((INDEX('Tables - Part 2'!$BB$6:$BE$13,MATCH(HSC_Hydrofluoric_Acid!$T20,'Tables - Part 2'!$AV$6:$AV$13,0),MATCH(HSC_Hydrofluoric_Acid!$R20,'Tables - Part 2'!$AX$5:$BA$5,0))+INDEX('Tables - Part 2'!$BF$6:$BI$13,MATCH(HSC_Hydrofluoric_Acid!$T20,'Tables - Part 2'!$AV$6:$AV$13,0),MATCH(HSC_Hydrofluoric_Acid!$R20,'Tables - Part 2'!$AX$5:$BA$5,0)))/2)+INDEX('Tables - Part 2'!$BF$6:$BI$13,MATCH(HSC_Hydrofluoric_Acid!$T20,'Tables - Part 2'!$AV$6:$AV$13,0),MATCH(HSC_Hydrofluoric_Acid!$R20,'Tables - Part 2'!$AX$5:$BA$5,0)))/2))/2,0)</f>
        <v>0</v>
      </c>
      <c r="AN20" s="248">
        <f>IF($Q20=$AN$3,(((INDEX('Tables - Part 2'!$BB$6:$BE$13,MATCH(HSC_Hydrofluoric_Acid!$T20,'Tables - Part 2'!$AV$6:$AV$13,0),MATCH(HSC_Hydrofluoric_Acid!$R20,'Tables - Part 2'!$AX$5:$BA$5,0))+INDEX('Tables - Part 2'!$BF$6:$BI$13,MATCH(HSC_Hydrofluoric_Acid!$T20,'Tables - Part 2'!$AV$6:$AV$13,0),MATCH(HSC_Hydrofluoric_Acid!$R20,'Tables - Part 2'!$AX$5:$BA$5,0)))/2)+INDEX('Tables - Part 2'!$BF$6:$BI$13,MATCH(HSC_Hydrofluoric_Acid!$T20,'Tables - Part 2'!$AV$6:$AV$13,0),MATCH(HSC_Hydrofluoric_Acid!$R20,'Tables - Part 2'!$AX$5:$BA$5,0)))/2,0)</f>
        <v>0</v>
      </c>
      <c r="AO20" s="248">
        <f>IF($Q20=$AO$3,(((((INDEX('Tables - Part 2'!$BB$6:$BE$13,MATCH(HSC_Hydrofluoric_Acid!$T20,'Tables - Part 2'!$AV$6:$AV$13,0),MATCH(HSC_Hydrofluoric_Acid!$R20,'Tables - Part 2'!$AX$5:$BA$5,0))+INDEX('Tables - Part 2'!$BF$6:$BI$13,MATCH(HSC_Hydrofluoric_Acid!$T20,'Tables - Part 2'!$AV$6:$AV$13,0),MATCH(HSC_Hydrofluoric_Acid!$R20,'Tables - Part 2'!$AX$5:$BA$5,0)))/2)+INDEX('Tables - Part 2'!$BF$6:$BI$13,MATCH(HSC_Hydrofluoric_Acid!$T20,'Tables - Part 2'!$AV$6:$AV$13,0),MATCH(HSC_Hydrofluoric_Acid!$R20,'Tables - Part 2'!$AX$5:$BA$5,0)))/2)+INDEX('Tables - Part 2'!$BF$6:$BI$13,MATCH(HSC_Hydrofluoric_Acid!$T20,'Tables - Part 2'!$AV$6:$AV$13,0),MATCH(HSC_Hydrofluoric_Acid!$R20,'Tables - Part 2'!$AX$5:$BA$5,0)))/2,0)</f>
        <v>0</v>
      </c>
      <c r="AP20" s="248">
        <f>IF($Q20=$AP$3,INDEX('Tables - Part 2'!$BF$6:$BI$13,MATCH(HSC_Hydrofluoric_Acid!$T20,'Tables - Part 2'!$AV$6:$AV$13,0),MATCH(HSC_Hydrofluoric_Acid!$R20,'Tables - Part 2'!$AX$5:$BA$5,0)),0)</f>
        <v>0</v>
      </c>
      <c r="AQ20" s="248">
        <f>IF($Q20=$AQ$3,(INDEX('Tables - Part 2'!$BF$6:$BI$13,MATCH(HSC_Hydrofluoric_Acid!$T20,'Tables - Part 2'!$AV$6:$AV$13,0),MATCH(HSC_Hydrofluoric_Acid!$R20,'Tables - Part 2'!$AX$5:$BA$5,0))+((INDEX('Tables - Part 2'!$BF$6:$BI$13,MATCH(HSC_Hydrofluoric_Acid!$T20,'Tables - Part 2'!$AV$6:$AV$13,0),MATCH(HSC_Hydrofluoric_Acid!$R20,'Tables - Part 2'!$AX$5:$BA$5,0))+(INDEX('Tables - Part 2'!$BF$6:$BI$13,MATCH(HSC_Hydrofluoric_Acid!$T20,'Tables - Part 2'!$AV$6:$AV$13,0),MATCH(HSC_Hydrofluoric_Acid!$R20,'Tables - Part 2'!$AX$5:$BA$5,0))+INDEX('Tables - Part 2'!$AX$17:$BA$24,MATCH(HSC_Hydrofluoric_Acid!$T20,'Tables - Part 2'!$AV$6:$AV$13,0),MATCH(HSC_Hydrofluoric_Acid!$R20,'Tables - Part 2'!$AX$5:$BA$5,0)))/2)/2))/2,0)</f>
        <v>0</v>
      </c>
      <c r="AR20" s="248">
        <f>IF($Q20=$AR$3,(INDEX('Tables - Part 2'!$BF$6:$BI$13,MATCH(HSC_Hydrofluoric_Acid!$T20,'Tables - Part 2'!$AV$6:$AV$13,0),MATCH(HSC_Hydrofluoric_Acid!$R20,'Tables - Part 2'!$AX$5:$BA$5,0))+(INDEX('Tables - Part 2'!$BF$6:$BI$13,MATCH(HSC_Hydrofluoric_Acid!$T20,'Tables - Part 2'!$AV$6:$AV$13,0),MATCH(HSC_Hydrofluoric_Acid!$R20,'Tables - Part 2'!$AX$5:$BA$5,0))+INDEX('Tables - Part 2'!$AX$17:$BA$24,MATCH(HSC_Hydrofluoric_Acid!$T20,'Tables - Part 2'!$AV$6:$AV$13,0),MATCH(HSC_Hydrofluoric_Acid!$R20,'Tables - Part 2'!$AX$5:$BA$5,0)))/2)/2,0)</f>
        <v>0</v>
      </c>
      <c r="AS20" s="248">
        <f>IF($Q20=$AS$3,(((INDEX('Tables - Part 2'!$BF$6:$BI$13,MATCH(HSC_Hydrofluoric_Acid!$T20,'Tables - Part 2'!$AV$6:$AV$13,0),MATCH(HSC_Hydrofluoric_Acid!$R20,'Tables - Part 2'!$AX$5:$BA$5,0))+(INDEX('Tables - Part 2'!$BF$6:$BI$13,MATCH(HSC_Hydrofluoric_Acid!$T20,'Tables - Part 2'!$AV$6:$AV$13,0),MATCH(HSC_Hydrofluoric_Acid!$R20,'Tables - Part 2'!$AX$5:$BA$5,0))+INDEX('Tables - Part 2'!$AX$17:$BA$24,MATCH(HSC_Hydrofluoric_Acid!$T20,'Tables - Part 2'!$AV$6:$AV$13,0),MATCH(HSC_Hydrofluoric_Acid!$R20,'Tables - Part 2'!$AX$5:$BA$5,0)))/2)/2)+((INDEX('Tables - Part 2'!$BF$6:$BI$13,MATCH(HSC_Hydrofluoric_Acid!$T20,'Tables - Part 2'!$AV$6:$AV$13,0),MATCH(HSC_Hydrofluoric_Acid!$R20,'Tables - Part 2'!$AX$5:$BA$5,0))+INDEX('Tables - Part 2'!$AX$17:$BA$24,MATCH(HSC_Hydrofluoric_Acid!$T20,'Tables - Part 2'!$AV$6:$AV$13,0),MATCH(HSC_Hydrofluoric_Acid!$R20,'Tables - Part 2'!$AX$5:$BA$5,0)))/2))/2,0)</f>
        <v>0</v>
      </c>
      <c r="AT20" s="248">
        <f>IF($Q20=$AT$3,(INDEX('Tables - Part 2'!$BF$6:$BI$13,MATCH(HSC_Hydrofluoric_Acid!$T20,'Tables - Part 2'!$AV$6:$AV$13,0),MATCH(HSC_Hydrofluoric_Acid!$R20,'Tables - Part 2'!$AX$5:$BA$5,0))+INDEX('Tables - Part 2'!$AX$17:$BA$24,MATCH(HSC_Hydrofluoric_Acid!$T20,'Tables - Part 2'!$AV$6:$AV$13,0),MATCH(HSC_Hydrofluoric_Acid!$R20,'Tables - Part 2'!$AX$5:$BA$5,0)))/2,0)</f>
        <v>0</v>
      </c>
      <c r="AU20" s="248">
        <f>IF($Q20=$AU$3,(((INDEX('Tables - Part 2'!$BF$6:$BI$13,MATCH(HSC_Hydrofluoric_Acid!$T20,'Tables - Part 2'!$AV$6:$AV$13,0),MATCH(HSC_Hydrofluoric_Acid!$R20,'Tables - Part 2'!$AX$5:$BA$5,0))+INDEX('Tables - Part 2'!$AX$17:$BA$24,MATCH(HSC_Hydrofluoric_Acid!$T20,'Tables - Part 2'!$AV$6:$AV$13,0),MATCH(HSC_Hydrofluoric_Acid!$R20,'Tables - Part 2'!$AX$5:$BA$5,0)))/2)+((((INDEX('Tables - Part 2'!$BF$6:$BI$13,MATCH(HSC_Hydrofluoric_Acid!$T20,'Tables - Part 2'!$AV$6:$AV$13,0),MATCH(HSC_Hydrofluoric_Acid!$R20,'Tables - Part 2'!$AX$5:$BA$5,0))+INDEX('Tables - Part 2'!$AX$17:$BA$24,MATCH(HSC_Hydrofluoric_Acid!$T20,'Tables - Part 2'!$AV$6:$AV$13,0),MATCH(HSC_Hydrofluoric_Acid!$R20,'Tables - Part 2'!$AX$5:$BA$5,0)))/2)+INDEX('Tables - Part 2'!$AX$17:$BA$24,MATCH(HSC_Hydrofluoric_Acid!$T20,'Tables - Part 2'!$AV$6:$AV$13,0),MATCH(HSC_Hydrofluoric_Acid!$R20,'Tables - Part 2'!$AX$5:$BA$5,0)))/2))/2,0)</f>
        <v>0</v>
      </c>
      <c r="AV20" s="248">
        <f>IF($Q20=$AV$3,(((INDEX('Tables - Part 2'!$BF$6:$BI$13,MATCH(HSC_Hydrofluoric_Acid!$T20,'Tables - Part 2'!$AV$6:$AV$13,0),MATCH(HSC_Hydrofluoric_Acid!$R20,'Tables - Part 2'!$AX$5:$BA$5,0))+INDEX('Tables - Part 2'!$AX$17:$BA$24,MATCH(HSC_Hydrofluoric_Acid!$T20,'Tables - Part 2'!$AV$6:$AV$13,0),MATCH(HSC_Hydrofluoric_Acid!$R20,'Tables - Part 2'!$AX$5:$BA$5,0)))/2)+INDEX('Tables - Part 2'!$AX$17:$BA$24,MATCH(HSC_Hydrofluoric_Acid!$T20,'Tables - Part 2'!$AV$6:$AV$13,0),MATCH(HSC_Hydrofluoric_Acid!$R20,'Tables - Part 2'!$AX$5:$BA$5,0)))/2,0)</f>
        <v>0</v>
      </c>
      <c r="AW20" s="248">
        <f>IF($Q20=$AW$3,(((((INDEX('Tables - Part 2'!$BF$6:$BI$13,MATCH(HSC_Hydrofluoric_Acid!$T20,'Tables - Part 2'!$AV$6:$AV$13,0),MATCH(HSC_Hydrofluoric_Acid!$R20,'Tables - Part 2'!$AX$5:$BA$5,0))+INDEX('Tables - Part 2'!$AX$17:$BA$24,MATCH(HSC_Hydrofluoric_Acid!$T20,'Tables - Part 2'!$AV$6:$AV$13,0),MATCH(HSC_Hydrofluoric_Acid!$R20,'Tables - Part 2'!$AX$5:$BA$5,0)))/2)+INDEX('Tables - Part 2'!$AX$17:$BA$24,MATCH(HSC_Hydrofluoric_Acid!$T20,'Tables - Part 2'!$AV$6:$AV$13,0),MATCH(HSC_Hydrofluoric_Acid!$R20,'Tables - Part 2'!$AX$5:$BA$5,0)))/2)+(INDEX('Tables - Part 2'!$AX$17:$BA$24,MATCH(HSC_Hydrofluoric_Acid!$T20,'Tables - Part 2'!$AV$6:$AV$13,0),MATCH(HSC_Hydrofluoric_Acid!$R20,'Tables - Part 2'!$AX$5:$BA$5,0))))/2,0)</f>
        <v>0</v>
      </c>
      <c r="AX20" s="248">
        <f>IF($Q20=$AX$3,INDEX('Tables - Part 2'!$AX$17:$BA$24,MATCH(HSC_Hydrofluoric_Acid!$T20,'Tables - Part 2'!$AV$6:$AV$13,0),MATCH(HSC_Hydrofluoric_Acid!$R20,'Tables - Part 2'!$AX$5:$BA$5,0)),0)</f>
        <v>0</v>
      </c>
      <c r="AY20" s="248">
        <f>IF($Q20=$AY$3,((INDEX('Tables - Part 2'!$AX$17:$BA$24,MATCH(HSC_Hydrofluoric_Acid!$T20,'Tables - Part 2'!$AV$6:$AV$13,0),MATCH(HSC_Hydrofluoric_Acid!$R20,'Tables - Part 2'!$AX$5:$BA$5,0)))+(((INDEX('Tables - Part 2'!$AX$17:$BA$24,MATCH(HSC_Hydrofluoric_Acid!$T20,'Tables - Part 2'!$AV$6:$AV$13,0),MATCH(HSC_Hydrofluoric_Acid!$R20,'Tables - Part 2'!$AX$5:$BA$5,0)))+(INDEX('Tables - Part 2'!$AX$17:$BA$24,MATCH(HSC_Hydrofluoric_Acid!$T20,'Tables - Part 2'!$AV$6:$AV$13,0),MATCH(HSC_Hydrofluoric_Acid!$R20,'Tables - Part 2'!$AX$5:$BA$5,0))+INDEX('Tables - Part 2'!$BB$17:$BE$24,MATCH(HSC_Hydrofluoric_Acid!$T20,'Tables - Part 2'!$AV$6:$AV$13,0),MATCH(HSC_Hydrofluoric_Acid!$R20,'Tables - Part 2'!$AX$5:$BA$5,0)))/2)/2))/2,0)</f>
        <v>0</v>
      </c>
      <c r="AZ20" s="248">
        <f>IF($Q20=$AZ$3,((INDEX('Tables - Part 2'!$AX$17:$BA$24,MATCH(HSC_Hydrofluoric_Acid!$T20,'Tables - Part 2'!$AV$6:$AV$13,0),MATCH(HSC_Hydrofluoric_Acid!$R20,'Tables - Part 2'!$AX$5:$BA$5,0)))+(INDEX('Tables - Part 2'!$AX$17:$BA$24,MATCH(HSC_Hydrofluoric_Acid!$T20,'Tables - Part 2'!$AV$6:$AV$13,0),MATCH(HSC_Hydrofluoric_Acid!$R20,'Tables - Part 2'!$AX$5:$BA$5,0))+INDEX('Tables - Part 2'!$BB$17:$BE$24,MATCH(HSC_Hydrofluoric_Acid!$T20,'Tables - Part 2'!$AV$6:$AV$13,0),MATCH(HSC_Hydrofluoric_Acid!$R20,'Tables - Part 2'!$AX$5:$BA$5,0)))/2)/2,0)</f>
        <v>0</v>
      </c>
      <c r="BA20" s="248">
        <f>IF($Q20=$BA$3,((((INDEX('Tables - Part 2'!$AX$17:$BA$24,MATCH(HSC_Hydrofluoric_Acid!$T20,'Tables - Part 2'!$AV$6:$AV$13,0),MATCH(HSC_Hydrofluoric_Acid!$R20,'Tables - Part 2'!$AX$5:$BA$5,0)))+(INDEX('Tables - Part 2'!$AX$17:$BA$24,MATCH(HSC_Hydrofluoric_Acid!$T20,'Tables - Part 2'!$AV$6:$AV$13,0),MATCH(HSC_Hydrofluoric_Acid!$R20,'Tables - Part 2'!$AX$5:$BA$5,0))+INDEX('Tables - Part 2'!$BB$17:$BE$24,MATCH(HSC_Hydrofluoric_Acid!$T20,'Tables - Part 2'!$AV$6:$AV$13,0),MATCH(HSC_Hydrofluoric_Acid!$R20,'Tables - Part 2'!$AX$5:$BA$5,0)))/2)/2)+((INDEX('Tables - Part 2'!$AX$17:$BA$24,MATCH(HSC_Hydrofluoric_Acid!$T20,'Tables - Part 2'!$AV$6:$AV$13,0),MATCH(HSC_Hydrofluoric_Acid!$R20,'Tables - Part 2'!$AX$5:$BA$5,0))+INDEX('Tables - Part 2'!$BB$17:$BE$24,MATCH(HSC_Hydrofluoric_Acid!$T20,'Tables - Part 2'!$AV$6:$AV$13,0),MATCH(HSC_Hydrofluoric_Acid!$R20,'Tables - Part 2'!$AX$5:$BA$5,0)))/2))/2,0)</f>
        <v>0</v>
      </c>
      <c r="BB20" s="248">
        <f>IF($Q20=$BB$3,(INDEX('Tables - Part 2'!$AX$17:$BA$24,MATCH(HSC_Hydrofluoric_Acid!$T20,'Tables - Part 2'!$AV$6:$AV$13,0),MATCH(HSC_Hydrofluoric_Acid!$R20,'Tables - Part 2'!$AX$5:$BA$5,0))+INDEX('Tables - Part 2'!$BB$17:$BE$24,MATCH(HSC_Hydrofluoric_Acid!$T20,'Tables - Part 2'!$AV$6:$AV$13,0),MATCH(HSC_Hydrofluoric_Acid!$R20,'Tables - Part 2'!$AX$5:$BA$5,0)))/2,0)</f>
        <v>0</v>
      </c>
      <c r="BC20" s="248">
        <f>IF($Q20=$BC$3,(((INDEX('Tables - Part 2'!$AX$17:$BA$24,MATCH(HSC_Hydrofluoric_Acid!$T20,'Tables - Part 2'!$AV$6:$AV$13,0),MATCH(HSC_Hydrofluoric_Acid!$R20,'Tables - Part 2'!$AX$5:$BA$5,0))+INDEX('Tables - Part 2'!$BB$17:$BE$24,MATCH(HSC_Hydrofluoric_Acid!$T20,'Tables - Part 2'!$AV$6:$AV$13,0),MATCH(HSC_Hydrofluoric_Acid!$R20,'Tables - Part 2'!$AX$5:$BA$5,0)))/2)+((((INDEX('Tables - Part 2'!$AX$17:$BA$24,MATCH(HSC_Hydrofluoric_Acid!$T20,'Tables - Part 2'!$AV$6:$AV$13,0),MATCH(HSC_Hydrofluoric_Acid!$R20,'Tables - Part 2'!$AX$5:$BA$5,0))+INDEX('Tables - Part 2'!$BB$17:$BE$24,MATCH(HSC_Hydrofluoric_Acid!$T20,'Tables - Part 2'!$AV$6:$AV$13,0),MATCH(HSC_Hydrofluoric_Acid!$R20,'Tables - Part 2'!$AX$5:$BA$5,0)))/2)+INDEX('Tables - Part 2'!$BB$17:$BE$24,MATCH(HSC_Hydrofluoric_Acid!$T20,'Tables - Part 2'!$AV$6:$AV$13,0),MATCH(HSC_Hydrofluoric_Acid!$R20,'Tables - Part 2'!$AX$5:$BA$5,0)))/2))/2,0)</f>
        <v>0</v>
      </c>
      <c r="BD20" s="248">
        <f>IF($Q20=$BD$3,(((INDEX('Tables - Part 2'!$AX$17:$BA$24,MATCH(HSC_Hydrofluoric_Acid!$T20,'Tables - Part 2'!$AV$6:$AV$13,0),MATCH(HSC_Hydrofluoric_Acid!$R20,'Tables - Part 2'!$AX$5:$BA$5,0))+INDEX('Tables - Part 2'!$BB$17:$BE$24,MATCH(HSC_Hydrofluoric_Acid!$T20,'Tables - Part 2'!$AV$6:$AV$13,0),MATCH(HSC_Hydrofluoric_Acid!$R20,'Tables - Part 2'!$AX$5:$BA$5,0)))/2)+INDEX('Tables - Part 2'!$BB$17:$BE$24,MATCH(HSC_Hydrofluoric_Acid!$T20,'Tables - Part 2'!$AV$6:$AV$13,0),MATCH(HSC_Hydrofluoric_Acid!$R20,'Tables - Part 2'!$AX$5:$BA$5,0)))/2,0)</f>
        <v>0</v>
      </c>
      <c r="BE20" s="248">
        <f>IF($Q20=$BE$3,(((((INDEX('Tables - Part 2'!$AX$17:$BA$24,MATCH(HSC_Hydrofluoric_Acid!$T20,'Tables - Part 2'!$AV$6:$AV$13,0),MATCH(HSC_Hydrofluoric_Acid!$R20,'Tables - Part 2'!$AX$5:$BA$5,0))+INDEX('Tables - Part 2'!$BB$17:$BE$24,MATCH(HSC_Hydrofluoric_Acid!$T20,'Tables - Part 2'!$AV$6:$AV$13,0),MATCH(HSC_Hydrofluoric_Acid!$R20,'Tables - Part 2'!$AX$5:$BA$5,0)))/2)+INDEX('Tables - Part 2'!$BB$17:$BE$24,MATCH(HSC_Hydrofluoric_Acid!$T20,'Tables - Part 2'!$AV$6:$AV$13,0),MATCH(HSC_Hydrofluoric_Acid!$R20,'Tables - Part 2'!$AX$5:$BA$5,0)))/2)+(INDEX('Tables - Part 2'!$BB$17:$BE$24,MATCH(HSC_Hydrofluoric_Acid!$T20,'Tables - Part 2'!$AV$6:$AV$13,0),MATCH(HSC_Hydrofluoric_Acid!$R20,'Tables - Part 2'!$AX$5:$BA$5,0))))/2,0)</f>
        <v>0</v>
      </c>
      <c r="BF20" s="248">
        <f>IF($Q20=$BF$3,INDEX('Tables - Part 2'!$BB$17:$BE$24,MATCH(HSC_Hydrofluoric_Acid!$T20,'Tables - Part 2'!$AV$6:$AV$13,0),MATCH(HSC_Hydrofluoric_Acid!$R20,'Tables - Part 2'!$AX$5:$BA$5,0)),0)</f>
        <v>0</v>
      </c>
      <c r="BG20" s="248">
        <f>IF($Q20=$BG$3,((INDEX('Tables - Part 2'!$BB$17:$BE$24,MATCH(HSC_Hydrofluoric_Acid!$T20,'Tables - Part 2'!$AV$6:$AV$13,0),MATCH(HSC_Hydrofluoric_Acid!$R20,'Tables - Part 2'!$AX$5:$BA$5,0)))+(((INDEX('Tables - Part 2'!$BB$17:$BE$24,MATCH(HSC_Hydrofluoric_Acid!$T20,'Tables - Part 2'!$AV$6:$AV$13,0),MATCH(HSC_Hydrofluoric_Acid!$R20,'Tables - Part 2'!$AX$5:$BA$5,0)))+(INDEX('Tables - Part 2'!$BB$17:$BE$24,MATCH(HSC_Hydrofluoric_Acid!$T20,'Tables - Part 2'!$AV$6:$AV$13,0),MATCH(HSC_Hydrofluoric_Acid!$R20,'Tables - Part 2'!$AX$5:$BA$5,0))+INDEX('Tables - Part 2'!$BF$17:$BI$24,MATCH(HSC_Hydrofluoric_Acid!$T20,'Tables - Part 2'!$AV$6:$AV$13,0),MATCH(HSC_Hydrofluoric_Acid!$R20,'Tables - Part 2'!$AX$5:$BA$5,0)))/2)/2))/2,0)</f>
        <v>0</v>
      </c>
      <c r="BH20" s="248">
        <f>IF($Q20=$BH$3,((INDEX('Tables - Part 2'!$BB$17:$BE$24,MATCH(HSC_Hydrofluoric_Acid!$T20,'Tables - Part 2'!$AV$6:$AV$13,0),MATCH(HSC_Hydrofluoric_Acid!$R20,'Tables - Part 2'!$AX$5:$BA$5,0)))+(INDEX('Tables - Part 2'!$BB$17:$BE$24,MATCH(HSC_Hydrofluoric_Acid!$T20,'Tables - Part 2'!$AV$6:$AV$13,0),MATCH(HSC_Hydrofluoric_Acid!$R20,'Tables - Part 2'!$AX$5:$BA$5,0))+INDEX('Tables - Part 2'!$BF$17:$BI$24,MATCH(HSC_Hydrofluoric_Acid!$T20,'Tables - Part 2'!$AV$6:$AV$13,0),MATCH(HSC_Hydrofluoric_Acid!$R20,'Tables - Part 2'!$AX$5:$BA$5,0)))/2)/2,0)</f>
        <v>0</v>
      </c>
      <c r="BI20" s="248">
        <f>IF($Q20=$BI$3,((((INDEX('Tables - Part 2'!$BB$17:$BE$24,MATCH(HSC_Hydrofluoric_Acid!$T20,'Tables - Part 2'!$AV$6:$AV$13,0),MATCH(HSC_Hydrofluoric_Acid!$R20,'Tables - Part 2'!$AX$5:$BA$5,0)))+(INDEX('Tables - Part 2'!$BB$17:$BE$24,MATCH(HSC_Hydrofluoric_Acid!$T20,'Tables - Part 2'!$AV$6:$AV$13,0),MATCH(HSC_Hydrofluoric_Acid!$R20,'Tables - Part 2'!$AX$5:$BA$5,0))+INDEX('Tables - Part 2'!$BF$17:$BI$24,MATCH(HSC_Hydrofluoric_Acid!$T20,'Tables - Part 2'!$AV$6:$AV$13,0),MATCH(HSC_Hydrofluoric_Acid!$R20,'Tables - Part 2'!$AX$5:$BA$5,0)))/2)/2)+((INDEX('Tables - Part 2'!$BB$17:$BE$24,MATCH(HSC_Hydrofluoric_Acid!$T20,'Tables - Part 2'!$AV$6:$AV$13,0),MATCH(HSC_Hydrofluoric_Acid!$R20,'Tables - Part 2'!$AX$5:$BA$5,0))+INDEX('Tables - Part 2'!$BF$17:$BI$24,MATCH(HSC_Hydrofluoric_Acid!$T20,'Tables - Part 2'!$AV$6:$AV$13,0),MATCH(HSC_Hydrofluoric_Acid!$R20,'Tables - Part 2'!$AX$5:$BA$5,0)))/2))/2,0)</f>
        <v>0</v>
      </c>
      <c r="BJ20" s="248">
        <f>IF($Q20=$BJ$3,(INDEX('Tables - Part 2'!$BB$17:$BE$24,MATCH(HSC_Hydrofluoric_Acid!$T20,'Tables - Part 2'!$AV$6:$AV$13,0),MATCH(HSC_Hydrofluoric_Acid!$R20,'Tables - Part 2'!$AX$5:$BA$5,0))+INDEX('Tables - Part 2'!$BF$17:$BI$24,MATCH(HSC_Hydrofluoric_Acid!$T20,'Tables - Part 2'!$AV$6:$AV$13,0),MATCH(HSC_Hydrofluoric_Acid!$R20,'Tables - Part 2'!$AX$5:$BA$5,0)))/2,0)</f>
        <v>0</v>
      </c>
      <c r="BK20" s="248">
        <f>IF($Q20=$BK$3,(((INDEX('Tables - Part 2'!$BB$17:$BE$24,MATCH(HSC_Hydrofluoric_Acid!$T20,'Tables - Part 2'!$AV$6:$AV$13,0),MATCH(HSC_Hydrofluoric_Acid!$R20,'Tables - Part 2'!$AX$5:$BA$5,0))+INDEX('Tables - Part 2'!$BF$17:$BI$24,MATCH(HSC_Hydrofluoric_Acid!$T20,'Tables - Part 2'!$AV$6:$AV$13,0),MATCH(HSC_Hydrofluoric_Acid!$R20,'Tables - Part 2'!$AX$5:$BA$5,0)))/2)+((((INDEX('Tables - Part 2'!$BB$17:$BE$24,MATCH(HSC_Hydrofluoric_Acid!$T20,'Tables - Part 2'!$AV$6:$AV$13,0),MATCH(HSC_Hydrofluoric_Acid!$R20,'Tables - Part 2'!$AX$5:$BA$5,0))+INDEX('Tables - Part 2'!$BF$17:$BI$24,MATCH(HSC_Hydrofluoric_Acid!$T20,'Tables - Part 2'!$AV$6:$AV$13,0),MATCH(HSC_Hydrofluoric_Acid!$R20,'Tables - Part 2'!$AX$5:$BA$5,0)))/2)+INDEX('Tables - Part 2'!$BF$17:$BI$24,MATCH(HSC_Hydrofluoric_Acid!$T20,'Tables - Part 2'!$AV$6:$AV$13,0),MATCH(HSC_Hydrofluoric_Acid!$R20,'Tables - Part 2'!$AX$5:$BA$5,0)))/2))/2,0)</f>
        <v>0</v>
      </c>
      <c r="BL20" s="248">
        <f>IF($Q20=$BL$3,(((INDEX('Tables - Part 2'!$BB$17:$BE$24,MATCH(HSC_Hydrofluoric_Acid!$T20,'Tables - Part 2'!$AV$6:$AV$13,0),MATCH(HSC_Hydrofluoric_Acid!$R20,'Tables - Part 2'!$AX$5:$BA$5,0))+INDEX('Tables - Part 2'!$BF$17:$BI$24,MATCH(HSC_Hydrofluoric_Acid!$T20,'Tables - Part 2'!$AV$6:$AV$13,0),MATCH(HSC_Hydrofluoric_Acid!$R20,'Tables - Part 2'!$AX$5:$BA$5,0)))/2)+INDEX('Tables - Part 2'!$BF$17:$BI$24,MATCH(HSC_Hydrofluoric_Acid!$T20,'Tables - Part 2'!$AV$6:$AV$13,0),MATCH(HSC_Hydrofluoric_Acid!$R20,'Tables - Part 2'!$AX$5:$BA$5,0)))/2,0)</f>
        <v>0</v>
      </c>
      <c r="BM20" s="248">
        <f>IF($Q20=$BM$3,(((((INDEX('Tables - Part 2'!$BB$17:$BE$24,MATCH(HSC_Hydrofluoric_Acid!$T20,'Tables - Part 2'!$AV$6:$AV$13,0),MATCH(HSC_Hydrofluoric_Acid!$R20,'Tables - Part 2'!$AX$5:$BA$5,0))+INDEX('Tables - Part 2'!$BF$17:$BI$24,MATCH(HSC_Hydrofluoric_Acid!$T20,'Tables - Part 2'!$AV$6:$AV$13,0),MATCH(HSC_Hydrofluoric_Acid!$R20,'Tables - Part 2'!$AX$5:$BA$5,0)))/2)+INDEX('Tables - Part 2'!$BF$17:$BI$24,MATCH(HSC_Hydrofluoric_Acid!$T20,'Tables - Part 2'!$AV$6:$AV$13,0),MATCH(HSC_Hydrofluoric_Acid!$R20,'Tables - Part 2'!$AX$5:$BA$5,0)))/2)+(INDEX('Tables - Part 2'!$BF$17:$BI$24,MATCH(HSC_Hydrofluoric_Acid!$T20,'Tables - Part 2'!$AV$6:$AV$13,0),MATCH(HSC_Hydrofluoric_Acid!$R20,'Tables - Part 2'!$AX$5:$BA$5,0))))/2,0)</f>
        <v>0</v>
      </c>
      <c r="BN20" s="248">
        <f>IF($Q20=$BN$3,INDEX('Tables - Part 2'!$BF$17:$BI$24,MATCH(HSC_Hydrofluoric_Acid!$T20,'Tables - Part 2'!$AV$6:$AV$13,0),MATCH(HSC_Hydrofluoric_Acid!$R20,'Tables - Part 2'!$AX$5:$BA$5,0)),0)</f>
        <v>0</v>
      </c>
      <c r="BO20" s="248">
        <f t="shared" si="6"/>
        <v>0</v>
      </c>
      <c r="BP20" s="238">
        <f t="shared" si="8"/>
        <v>1</v>
      </c>
      <c r="BQ20" s="238">
        <f t="shared" si="7"/>
        <v>16.77288246840839</v>
      </c>
    </row>
    <row r="21" spans="2:69" x14ac:dyDescent="0.35">
      <c r="B21" s="161" t="str">
        <f>'Tratamento de Dados'!B29</f>
        <v>V-9</v>
      </c>
      <c r="C21" s="161" t="str">
        <f>'Tratamento de Dados'!D29</f>
        <v>Casco</v>
      </c>
      <c r="D21" s="209" t="s">
        <v>245</v>
      </c>
      <c r="E21" s="209" t="s">
        <v>61</v>
      </c>
      <c r="F21" s="209" t="s">
        <v>244</v>
      </c>
      <c r="G21" s="209" t="s">
        <v>244</v>
      </c>
      <c r="H21" s="209" t="s">
        <v>1112</v>
      </c>
      <c r="I21" s="209" t="s">
        <v>245</v>
      </c>
      <c r="J21" s="210">
        <v>39092</v>
      </c>
      <c r="K21" s="209">
        <v>0</v>
      </c>
      <c r="L21" s="209">
        <v>1</v>
      </c>
      <c r="M21" s="209">
        <v>1</v>
      </c>
      <c r="N21" s="209">
        <v>4</v>
      </c>
      <c r="O21" s="253">
        <f>'Tratamento de Dados'!DA29</f>
        <v>0</v>
      </c>
      <c r="P21" s="253">
        <f>'Tratamento de Dados'!DB29</f>
        <v>0</v>
      </c>
      <c r="Q21" s="256">
        <f t="shared" si="0"/>
        <v>2.5</v>
      </c>
      <c r="R21" s="246" t="str">
        <f t="shared" si="1"/>
        <v>B</v>
      </c>
      <c r="S21" s="238" t="str" cm="1">
        <f t="array" ref="S21">IF(D21=$BV$2,$BT$4,IF(OR(F21=$BV$3,G21=$BV$3),$BT$5,INDEX(IF(I21=$BV$2,'Tables - Part 2'!$EA$5:$EC$5,'Tables - Part 2'!$DX$5:$DZ$5),,MATCH(HSC_Hydrofluoric_Acid!H21,'Tables - Part 2'!$DX$4:$DZ$4,0))))</f>
        <v>Low</v>
      </c>
      <c r="T21" s="238">
        <f>IF(AND(D21=$BV$2,E21&lt;&gt;$BV$2),"Fitness-For-Service",INDEX('Tables - Part 2'!$EF$4:$EF$7,MATCH(HSC_Hydrofluoric_Acid!S21,'Tables - Part 2'!$EE$4:$EE$7,0),))</f>
        <v>1</v>
      </c>
      <c r="U21" s="238">
        <f>IF(J21=0,(Thinning!G22-Thinning!F22)/365.25,(Thinning!G22-J21)/365.25)</f>
        <v>12.980150581793293</v>
      </c>
      <c r="V21" s="248">
        <f t="shared" si="2"/>
        <v>0</v>
      </c>
      <c r="W21" s="248">
        <f t="shared" si="3"/>
        <v>2.5</v>
      </c>
      <c r="X21" s="248">
        <f t="shared" si="4"/>
        <v>3</v>
      </c>
      <c r="Y21" s="247">
        <f t="shared" si="5"/>
        <v>4</v>
      </c>
      <c r="Z21" s="248">
        <f>IF($Q21=$Z$3,INDEX('Tables - Part 2'!$AX$6:$BA$13,MATCH(HSC_Hydrofluoric_Acid!T21,'Tables - Part 2'!$AV$6:$AV$13,0),MATCH(HSC_Hydrofluoric_Acid!R21,'Tables - Part 2'!$AX$5:$BA$5,0)),0)</f>
        <v>0</v>
      </c>
      <c r="AA21" s="248">
        <f>IF($Q21=$AA$3,(INDEX('Tables - Part 2'!$AX$6:$BA$13,MATCH(HSC_Hydrofluoric_Acid!T21,'Tables - Part 2'!$AV$6:$AV$13,0),MATCH(HSC_Hydrofluoric_Acid!R21,'Tables - Part 2'!$AX$5:$BA$5,0))+(INDEX('Tables - Part 2'!$AX$6:$BA$13,MATCH(HSC_Hydrofluoric_Acid!T21,'Tables - Part 2'!$AV$6:$AV$13,0),MATCH(HSC_Hydrofluoric_Acid!R21,'Tables - Part 2'!$AX$5:$BA$5,0))+((INDEX('Tables - Part 2'!$AX$6:$BA$13,MATCH(HSC_Hydrofluoric_Acid!T21,'Tables - Part 2'!$AV$6:$AV$13,0),MATCH(HSC_Hydrofluoric_Acid!R21,'Tables - Part 2'!$AX$5:$BA$5,0))+INDEX('Tables - Part 2'!$BB$6:$BE$13,MATCH(HSC_Hydrofluoric_Acid!$T21,'Tables - Part 2'!$AV$6:$AV$13,0),MATCH(HSC_Hydrofluoric_Acid!$R21,'Tables - Part 2'!$AX$5:$BA$5,0)))/2))/2)/2,0)</f>
        <v>0</v>
      </c>
      <c r="AB21" s="248">
        <f>IF($Q21=$AB$3,(INDEX('Tables - Part 2'!$AX$6:$BA$13,MATCH(HSC_Hydrofluoric_Acid!T21,'Tables - Part 2'!$AV$6:$AV$13,0),MATCH(HSC_Hydrofluoric_Acid!R21,'Tables - Part 2'!$AX$5:$BA$5,0))+((INDEX('Tables - Part 2'!$AX$6:$BA$13,MATCH(HSC_Hydrofluoric_Acid!T21,'Tables - Part 2'!$AV$6:$AV$13,0),MATCH(HSC_Hydrofluoric_Acid!R21,'Tables - Part 2'!$AX$5:$BA$5,0))+INDEX('Tables - Part 2'!$BB$6:$BE$13,MATCH(HSC_Hydrofluoric_Acid!$T21,'Tables - Part 2'!$AV$6:$AV$13,0),MATCH(HSC_Hydrofluoric_Acid!$R21,'Tables - Part 2'!$AX$5:$BA$5,0)))/2))/2,0)</f>
        <v>0</v>
      </c>
      <c r="AC21" s="248">
        <f>IF($Q21=$AC$3,(((INDEX('Tables - Part 2'!$AX$6:$BA$13,MATCH(HSC_Hydrofluoric_Acid!T21,'Tables - Part 2'!$AV$6:$AV$13,0),MATCH(HSC_Hydrofluoric_Acid!R21,'Tables - Part 2'!$AX$5:$BA$5,0))+((INDEX('Tables - Part 2'!$AX$6:$BA$13,MATCH(HSC_Hydrofluoric_Acid!T21,'Tables - Part 2'!$AV$6:$AV$13,0),MATCH(HSC_Hydrofluoric_Acid!R21,'Tables - Part 2'!$AX$5:$BA$5,0))+INDEX('Tables - Part 2'!$BB$6:$BE$13,MATCH(HSC_Hydrofluoric_Acid!$T21,'Tables - Part 2'!$AV$6:$AV$13,0),MATCH(HSC_Hydrofluoric_Acid!$R21,'Tables - Part 2'!$AX$5:$BA$5,0)))/2))/2)+(INDEX('Tables - Part 2'!$AX$6:$BA$13,MATCH(HSC_Hydrofluoric_Acid!T21,'Tables - Part 2'!$AV$6:$AV$13,0),MATCH(HSC_Hydrofluoric_Acid!R21,'Tables - Part 2'!$AX$5:$BA$5,0))+INDEX('Tables - Part 2'!$BB$6:$BE$13,MATCH(HSC_Hydrofluoric_Acid!$T21,'Tables - Part 2'!$AV$6:$AV$13,0),MATCH(HSC_Hydrofluoric_Acid!$R21,'Tables - Part 2'!$AX$5:$BA$5,0)))/2)/2,0)</f>
        <v>0</v>
      </c>
      <c r="AD21" s="248">
        <f>IF($Q21=$AD$3,(INDEX('Tables - Part 2'!$AX$6:$BA$13,MATCH(HSC_Hydrofluoric_Acid!T21,'Tables - Part 2'!$AV$6:$AV$13,0),MATCH(HSC_Hydrofluoric_Acid!R21,'Tables - Part 2'!$AX$5:$BA$5,0))+INDEX('Tables - Part 2'!$BB$6:$BE$13,MATCH(HSC_Hydrofluoric_Acid!$T21,'Tables - Part 2'!$AV$6:$AV$13,0),MATCH(HSC_Hydrofluoric_Acid!$R21,'Tables - Part 2'!$AX$5:$BA$5,0)))/2,0)</f>
        <v>0</v>
      </c>
      <c r="AE21" s="248">
        <f>IF($Q21=$AE$3,(((INDEX('Tables - Part 2'!$AX$6:$BA$13,MATCH(HSC_Hydrofluoric_Acid!T21,'Tables - Part 2'!$AV$6:$AV$13,0),MATCH(HSC_Hydrofluoric_Acid!R21,'Tables - Part 2'!$AX$5:$BA$5,0))+INDEX('Tables - Part 2'!$BB$6:$BE$13,MATCH(HSC_Hydrofluoric_Acid!$T21,'Tables - Part 2'!$AV$6:$AV$13,0),MATCH(HSC_Hydrofluoric_Acid!$R21,'Tables - Part 2'!$AX$5:$BA$5,0)))/2)+(((INDEX('Tables - Part 2'!$AX$6:$BA$13,MATCH(HSC_Hydrofluoric_Acid!T21,'Tables - Part 2'!$AV$6:$AV$13,0),MATCH(HSC_Hydrofluoric_Acid!R21,'Tables - Part 2'!$AX$5:$BA$5,0))+INDEX('Tables - Part 2'!$BB$6:$BE$13,MATCH(HSC_Hydrofluoric_Acid!$T21,'Tables - Part 2'!$AV$6:$AV$13,0),MATCH(HSC_Hydrofluoric_Acid!$R21,'Tables - Part 2'!$AX$5:$BA$5,0)))/2)+INDEX('Tables - Part 2'!$BB$6:$BE$13,MATCH(HSC_Hydrofluoric_Acid!$T21,'Tables - Part 2'!$AV$6:$AV$13,0),MATCH(HSC_Hydrofluoric_Acid!$R21,'Tables - Part 2'!$AX$5:$BA$5,0)))/2)/2,0)</f>
        <v>0</v>
      </c>
      <c r="AF21" s="248">
        <f>IF($Q21=$AF$3,(((INDEX('Tables - Part 2'!$AX$6:$BA$13,MATCH(HSC_Hydrofluoric_Acid!T21,'Tables - Part 2'!$AV$6:$AV$13,0),MATCH(HSC_Hydrofluoric_Acid!R21,'Tables - Part 2'!$AX$5:$BA$5,0))+INDEX('Tables - Part 2'!$BB$6:$BE$13,MATCH(HSC_Hydrofluoric_Acid!$T21,'Tables - Part 2'!$AV$6:$AV$13,0),MATCH(HSC_Hydrofluoric_Acid!$R21,'Tables - Part 2'!$AX$5:$BA$5,0)))/2)+INDEX('Tables - Part 2'!$BB$6:$BE$13,MATCH(HSC_Hydrofluoric_Acid!$T21,'Tables - Part 2'!$AV$6:$AV$13,0),MATCH(HSC_Hydrofluoric_Acid!$R21,'Tables - Part 2'!$AX$5:$BA$5,0)))/2,0)</f>
        <v>0</v>
      </c>
      <c r="AG21" s="248">
        <f>IF($Q21=$AG$3,(((((INDEX('Tables - Part 2'!$AX$6:$BA$13,MATCH(HSC_Hydrofluoric_Acid!T21,'Tables - Part 2'!$AV$6:$AV$13,0),MATCH(HSC_Hydrofluoric_Acid!R21,'Tables - Part 2'!$AX$5:$BA$5,0))+INDEX('Tables - Part 2'!$BB$6:$BE$13,MATCH(HSC_Hydrofluoric_Acid!$T21,'Tables - Part 2'!$AV$6:$AV$13,0),MATCH(HSC_Hydrofluoric_Acid!$R21,'Tables - Part 2'!$AX$5:$BA$5,0)))/2)+INDEX('Tables - Part 2'!$BB$6:$BE$13,MATCH(HSC_Hydrofluoric_Acid!$T21,'Tables - Part 2'!$AV$6:$AV$13,0),MATCH(HSC_Hydrofluoric_Acid!$R21,'Tables - Part 2'!$AX$5:$BA$5,0)))/2)+INDEX('Tables - Part 2'!$BB$6:$BE$13,MATCH(HSC_Hydrofluoric_Acid!$T21,'Tables - Part 2'!$AV$6:$AV$13,0),MATCH(HSC_Hydrofluoric_Acid!$R21,'Tables - Part 2'!$AX$5:$BA$5,0)))/2,0)</f>
        <v>0</v>
      </c>
      <c r="AH21" s="248">
        <f>IF($Q21=$AH$3,INDEX('Tables - Part 2'!$BB$6:$BE$13,MATCH(HSC_Hydrofluoric_Acid!$T21,'Tables - Part 2'!$AV$6:$AV$13,0),MATCH(HSC_Hydrofluoric_Acid!$R21,'Tables - Part 2'!$AX$5:$BA$5,0)),0)</f>
        <v>0</v>
      </c>
      <c r="AI21" s="248">
        <f>IF($Q21=$AI$3,((INDEX('Tables - Part 2'!$BB$6:$BE$13,MATCH(HSC_Hydrofluoric_Acid!$T21,'Tables - Part 2'!$AV$6:$AV$13,0),MATCH(HSC_Hydrofluoric_Acid!$R21,'Tables - Part 2'!$AX$5:$BA$5,0)))+(INDEX('Tables - Part 2'!$BB$6:$BE$13,MATCH(HSC_Hydrofluoric_Acid!$T21,'Tables - Part 2'!$AV$6:$AV$13,0),MATCH(HSC_Hydrofluoric_Acid!$R21,'Tables - Part 2'!$AX$5:$BA$5,0))+(INDEX('Tables - Part 2'!$BB$6:$BE$13,MATCH(HSC_Hydrofluoric_Acid!$T21,'Tables - Part 2'!$AV$6:$AV$13,0),MATCH(HSC_Hydrofluoric_Acid!$R21,'Tables - Part 2'!$AX$5:$BA$5,0))+INDEX('Tables - Part 2'!$BF$6:$BI$13,MATCH(HSC_Hydrofluoric_Acid!$T21,'Tables - Part 2'!$AV$6:$AV$13,0),MATCH(HSC_Hydrofluoric_Acid!$R21,'Tables - Part 2'!$AX$5:$BA$5,0)))/2)/2)/2,0)</f>
        <v>0</v>
      </c>
      <c r="AJ21" s="248">
        <f>IF($Q21=$AJ$3,(INDEX('Tables - Part 2'!$BB$6:$BE$13,MATCH(HSC_Hydrofluoric_Acid!$T21,'Tables - Part 2'!$AV$6:$AV$13,0),MATCH(HSC_Hydrofluoric_Acid!$R21,'Tables - Part 2'!$AX$5:$BA$5,0))+(INDEX('Tables - Part 2'!$BB$6:$BE$13,MATCH(HSC_Hydrofluoric_Acid!$T21,'Tables - Part 2'!$AV$6:$AV$13,0),MATCH(HSC_Hydrofluoric_Acid!$R21,'Tables - Part 2'!$AX$5:$BA$5,0))+INDEX('Tables - Part 2'!$BF$6:$BI$13,MATCH(HSC_Hydrofluoric_Acid!$T21,'Tables - Part 2'!$AV$6:$AV$13,0),MATCH(HSC_Hydrofluoric_Acid!$R21,'Tables - Part 2'!$AX$5:$BA$5,0)))/2)/2,0)</f>
        <v>0</v>
      </c>
      <c r="AK21" s="248">
        <f>IF($Q21=$AK$3,(((INDEX('Tables - Part 2'!$BB$6:$BE$13,MATCH(HSC_Hydrofluoric_Acid!$T21,'Tables - Part 2'!$AV$6:$AV$13,0),MATCH(HSC_Hydrofluoric_Acid!$R21,'Tables - Part 2'!$AX$5:$BA$5,0))+(INDEX('Tables - Part 2'!$BB$6:$BE$13,MATCH(HSC_Hydrofluoric_Acid!$T21,'Tables - Part 2'!$AV$6:$AV$13,0),MATCH(HSC_Hydrofluoric_Acid!$R21,'Tables - Part 2'!$AX$5:$BA$5,0))+INDEX('Tables - Part 2'!$BF$6:$BI$13,MATCH(HSC_Hydrofluoric_Acid!$T21,'Tables - Part 2'!$AV$6:$AV$13,0),MATCH(HSC_Hydrofluoric_Acid!$R21,'Tables - Part 2'!$AX$5:$BA$5,0)))/2)/2)+((INDEX('Tables - Part 2'!$BB$6:$BE$13,MATCH(HSC_Hydrofluoric_Acid!$T21,'Tables - Part 2'!$AV$6:$AV$13,0),MATCH(HSC_Hydrofluoric_Acid!$R21,'Tables - Part 2'!$AX$5:$BA$5,0))+INDEX('Tables - Part 2'!$BF$6:$BI$13,MATCH(HSC_Hydrofluoric_Acid!$T21,'Tables - Part 2'!$AV$6:$AV$13,0),MATCH(HSC_Hydrofluoric_Acid!$R21,'Tables - Part 2'!$AX$5:$BA$5,0)))/2))/2,0)</f>
        <v>0</v>
      </c>
      <c r="AL21" s="248">
        <f>IF($Q21=$AL$3,(INDEX('Tables - Part 2'!$BB$6:$BE$13,MATCH(HSC_Hydrofluoric_Acid!$T21,'Tables - Part 2'!$AV$6:$AV$13,0),MATCH(HSC_Hydrofluoric_Acid!$R21,'Tables - Part 2'!$AX$5:$BA$5,0))+INDEX('Tables - Part 2'!$BF$6:$BI$13,MATCH(HSC_Hydrofluoric_Acid!$T21,'Tables - Part 2'!$AV$6:$AV$13,0),MATCH(HSC_Hydrofluoric_Acid!$R21,'Tables - Part 2'!$AX$5:$BA$5,0)))/2,0)</f>
        <v>1</v>
      </c>
      <c r="AM21" s="248">
        <f>IF($Q21=$AM$3,(((INDEX('Tables - Part 2'!$BB$6:$BE$13,MATCH(HSC_Hydrofluoric_Acid!$T21,'Tables - Part 2'!$AV$6:$AV$13,0),MATCH(HSC_Hydrofluoric_Acid!$R21,'Tables - Part 2'!$AX$5:$BA$5,0))+INDEX('Tables - Part 2'!$BF$6:$BI$13,MATCH(HSC_Hydrofluoric_Acid!$T21,'Tables - Part 2'!$AV$6:$AV$13,0),MATCH(HSC_Hydrofluoric_Acid!$R21,'Tables - Part 2'!$AX$5:$BA$5,0)))/2)+((((INDEX('Tables - Part 2'!$BB$6:$BE$13,MATCH(HSC_Hydrofluoric_Acid!$T21,'Tables - Part 2'!$AV$6:$AV$13,0),MATCH(HSC_Hydrofluoric_Acid!$R21,'Tables - Part 2'!$AX$5:$BA$5,0))+INDEX('Tables - Part 2'!$BF$6:$BI$13,MATCH(HSC_Hydrofluoric_Acid!$T21,'Tables - Part 2'!$AV$6:$AV$13,0),MATCH(HSC_Hydrofluoric_Acid!$R21,'Tables - Part 2'!$AX$5:$BA$5,0)))/2)+INDEX('Tables - Part 2'!$BF$6:$BI$13,MATCH(HSC_Hydrofluoric_Acid!$T21,'Tables - Part 2'!$AV$6:$AV$13,0),MATCH(HSC_Hydrofluoric_Acid!$R21,'Tables - Part 2'!$AX$5:$BA$5,0)))/2))/2,0)</f>
        <v>0</v>
      </c>
      <c r="AN21" s="248">
        <f>IF($Q21=$AN$3,(((INDEX('Tables - Part 2'!$BB$6:$BE$13,MATCH(HSC_Hydrofluoric_Acid!$T21,'Tables - Part 2'!$AV$6:$AV$13,0),MATCH(HSC_Hydrofluoric_Acid!$R21,'Tables - Part 2'!$AX$5:$BA$5,0))+INDEX('Tables - Part 2'!$BF$6:$BI$13,MATCH(HSC_Hydrofluoric_Acid!$T21,'Tables - Part 2'!$AV$6:$AV$13,0),MATCH(HSC_Hydrofluoric_Acid!$R21,'Tables - Part 2'!$AX$5:$BA$5,0)))/2)+INDEX('Tables - Part 2'!$BF$6:$BI$13,MATCH(HSC_Hydrofluoric_Acid!$T21,'Tables - Part 2'!$AV$6:$AV$13,0),MATCH(HSC_Hydrofluoric_Acid!$R21,'Tables - Part 2'!$AX$5:$BA$5,0)))/2,0)</f>
        <v>0</v>
      </c>
      <c r="AO21" s="248">
        <f>IF($Q21=$AO$3,(((((INDEX('Tables - Part 2'!$BB$6:$BE$13,MATCH(HSC_Hydrofluoric_Acid!$T21,'Tables - Part 2'!$AV$6:$AV$13,0),MATCH(HSC_Hydrofluoric_Acid!$R21,'Tables - Part 2'!$AX$5:$BA$5,0))+INDEX('Tables - Part 2'!$BF$6:$BI$13,MATCH(HSC_Hydrofluoric_Acid!$T21,'Tables - Part 2'!$AV$6:$AV$13,0),MATCH(HSC_Hydrofluoric_Acid!$R21,'Tables - Part 2'!$AX$5:$BA$5,0)))/2)+INDEX('Tables - Part 2'!$BF$6:$BI$13,MATCH(HSC_Hydrofluoric_Acid!$T21,'Tables - Part 2'!$AV$6:$AV$13,0),MATCH(HSC_Hydrofluoric_Acid!$R21,'Tables - Part 2'!$AX$5:$BA$5,0)))/2)+INDEX('Tables - Part 2'!$BF$6:$BI$13,MATCH(HSC_Hydrofluoric_Acid!$T21,'Tables - Part 2'!$AV$6:$AV$13,0),MATCH(HSC_Hydrofluoric_Acid!$R21,'Tables - Part 2'!$AX$5:$BA$5,0)))/2,0)</f>
        <v>0</v>
      </c>
      <c r="AP21" s="248">
        <f>IF($Q21=$AP$3,INDEX('Tables - Part 2'!$BF$6:$BI$13,MATCH(HSC_Hydrofluoric_Acid!$T21,'Tables - Part 2'!$AV$6:$AV$13,0),MATCH(HSC_Hydrofluoric_Acid!$R21,'Tables - Part 2'!$AX$5:$BA$5,0)),0)</f>
        <v>0</v>
      </c>
      <c r="AQ21" s="248">
        <f>IF($Q21=$AQ$3,(INDEX('Tables - Part 2'!$BF$6:$BI$13,MATCH(HSC_Hydrofluoric_Acid!$T21,'Tables - Part 2'!$AV$6:$AV$13,0),MATCH(HSC_Hydrofluoric_Acid!$R21,'Tables - Part 2'!$AX$5:$BA$5,0))+((INDEX('Tables - Part 2'!$BF$6:$BI$13,MATCH(HSC_Hydrofluoric_Acid!$T21,'Tables - Part 2'!$AV$6:$AV$13,0),MATCH(HSC_Hydrofluoric_Acid!$R21,'Tables - Part 2'!$AX$5:$BA$5,0))+(INDEX('Tables - Part 2'!$BF$6:$BI$13,MATCH(HSC_Hydrofluoric_Acid!$T21,'Tables - Part 2'!$AV$6:$AV$13,0),MATCH(HSC_Hydrofluoric_Acid!$R21,'Tables - Part 2'!$AX$5:$BA$5,0))+INDEX('Tables - Part 2'!$AX$17:$BA$24,MATCH(HSC_Hydrofluoric_Acid!$T21,'Tables - Part 2'!$AV$6:$AV$13,0),MATCH(HSC_Hydrofluoric_Acid!$R21,'Tables - Part 2'!$AX$5:$BA$5,0)))/2)/2))/2,0)</f>
        <v>0</v>
      </c>
      <c r="AR21" s="248">
        <f>IF($Q21=$AR$3,(INDEX('Tables - Part 2'!$BF$6:$BI$13,MATCH(HSC_Hydrofluoric_Acid!$T21,'Tables - Part 2'!$AV$6:$AV$13,0),MATCH(HSC_Hydrofluoric_Acid!$R21,'Tables - Part 2'!$AX$5:$BA$5,0))+(INDEX('Tables - Part 2'!$BF$6:$BI$13,MATCH(HSC_Hydrofluoric_Acid!$T21,'Tables - Part 2'!$AV$6:$AV$13,0),MATCH(HSC_Hydrofluoric_Acid!$R21,'Tables - Part 2'!$AX$5:$BA$5,0))+INDEX('Tables - Part 2'!$AX$17:$BA$24,MATCH(HSC_Hydrofluoric_Acid!$T21,'Tables - Part 2'!$AV$6:$AV$13,0),MATCH(HSC_Hydrofluoric_Acid!$R21,'Tables - Part 2'!$AX$5:$BA$5,0)))/2)/2,0)</f>
        <v>0</v>
      </c>
      <c r="AS21" s="248">
        <f>IF($Q21=$AS$3,(((INDEX('Tables - Part 2'!$BF$6:$BI$13,MATCH(HSC_Hydrofluoric_Acid!$T21,'Tables - Part 2'!$AV$6:$AV$13,0),MATCH(HSC_Hydrofluoric_Acid!$R21,'Tables - Part 2'!$AX$5:$BA$5,0))+(INDEX('Tables - Part 2'!$BF$6:$BI$13,MATCH(HSC_Hydrofluoric_Acid!$T21,'Tables - Part 2'!$AV$6:$AV$13,0),MATCH(HSC_Hydrofluoric_Acid!$R21,'Tables - Part 2'!$AX$5:$BA$5,0))+INDEX('Tables - Part 2'!$AX$17:$BA$24,MATCH(HSC_Hydrofluoric_Acid!$T21,'Tables - Part 2'!$AV$6:$AV$13,0),MATCH(HSC_Hydrofluoric_Acid!$R21,'Tables - Part 2'!$AX$5:$BA$5,0)))/2)/2)+((INDEX('Tables - Part 2'!$BF$6:$BI$13,MATCH(HSC_Hydrofluoric_Acid!$T21,'Tables - Part 2'!$AV$6:$AV$13,0),MATCH(HSC_Hydrofluoric_Acid!$R21,'Tables - Part 2'!$AX$5:$BA$5,0))+INDEX('Tables - Part 2'!$AX$17:$BA$24,MATCH(HSC_Hydrofluoric_Acid!$T21,'Tables - Part 2'!$AV$6:$AV$13,0),MATCH(HSC_Hydrofluoric_Acid!$R21,'Tables - Part 2'!$AX$5:$BA$5,0)))/2))/2,0)</f>
        <v>0</v>
      </c>
      <c r="AT21" s="248">
        <f>IF($Q21=$AT$3,(INDEX('Tables - Part 2'!$BF$6:$BI$13,MATCH(HSC_Hydrofluoric_Acid!$T21,'Tables - Part 2'!$AV$6:$AV$13,0),MATCH(HSC_Hydrofluoric_Acid!$R21,'Tables - Part 2'!$AX$5:$BA$5,0))+INDEX('Tables - Part 2'!$AX$17:$BA$24,MATCH(HSC_Hydrofluoric_Acid!$T21,'Tables - Part 2'!$AV$6:$AV$13,0),MATCH(HSC_Hydrofluoric_Acid!$R21,'Tables - Part 2'!$AX$5:$BA$5,0)))/2,0)</f>
        <v>0</v>
      </c>
      <c r="AU21" s="248">
        <f>IF($Q21=$AU$3,(((INDEX('Tables - Part 2'!$BF$6:$BI$13,MATCH(HSC_Hydrofluoric_Acid!$T21,'Tables - Part 2'!$AV$6:$AV$13,0),MATCH(HSC_Hydrofluoric_Acid!$R21,'Tables - Part 2'!$AX$5:$BA$5,0))+INDEX('Tables - Part 2'!$AX$17:$BA$24,MATCH(HSC_Hydrofluoric_Acid!$T21,'Tables - Part 2'!$AV$6:$AV$13,0),MATCH(HSC_Hydrofluoric_Acid!$R21,'Tables - Part 2'!$AX$5:$BA$5,0)))/2)+((((INDEX('Tables - Part 2'!$BF$6:$BI$13,MATCH(HSC_Hydrofluoric_Acid!$T21,'Tables - Part 2'!$AV$6:$AV$13,0),MATCH(HSC_Hydrofluoric_Acid!$R21,'Tables - Part 2'!$AX$5:$BA$5,0))+INDEX('Tables - Part 2'!$AX$17:$BA$24,MATCH(HSC_Hydrofluoric_Acid!$T21,'Tables - Part 2'!$AV$6:$AV$13,0),MATCH(HSC_Hydrofluoric_Acid!$R21,'Tables - Part 2'!$AX$5:$BA$5,0)))/2)+INDEX('Tables - Part 2'!$AX$17:$BA$24,MATCH(HSC_Hydrofluoric_Acid!$T21,'Tables - Part 2'!$AV$6:$AV$13,0),MATCH(HSC_Hydrofluoric_Acid!$R21,'Tables - Part 2'!$AX$5:$BA$5,0)))/2))/2,0)</f>
        <v>0</v>
      </c>
      <c r="AV21" s="248">
        <f>IF($Q21=$AV$3,(((INDEX('Tables - Part 2'!$BF$6:$BI$13,MATCH(HSC_Hydrofluoric_Acid!$T21,'Tables - Part 2'!$AV$6:$AV$13,0),MATCH(HSC_Hydrofluoric_Acid!$R21,'Tables - Part 2'!$AX$5:$BA$5,0))+INDEX('Tables - Part 2'!$AX$17:$BA$24,MATCH(HSC_Hydrofluoric_Acid!$T21,'Tables - Part 2'!$AV$6:$AV$13,0),MATCH(HSC_Hydrofluoric_Acid!$R21,'Tables - Part 2'!$AX$5:$BA$5,0)))/2)+INDEX('Tables - Part 2'!$AX$17:$BA$24,MATCH(HSC_Hydrofluoric_Acid!$T21,'Tables - Part 2'!$AV$6:$AV$13,0),MATCH(HSC_Hydrofluoric_Acid!$R21,'Tables - Part 2'!$AX$5:$BA$5,0)))/2,0)</f>
        <v>0</v>
      </c>
      <c r="AW21" s="248">
        <f>IF($Q21=$AW$3,(((((INDEX('Tables - Part 2'!$BF$6:$BI$13,MATCH(HSC_Hydrofluoric_Acid!$T21,'Tables - Part 2'!$AV$6:$AV$13,0),MATCH(HSC_Hydrofluoric_Acid!$R21,'Tables - Part 2'!$AX$5:$BA$5,0))+INDEX('Tables - Part 2'!$AX$17:$BA$24,MATCH(HSC_Hydrofluoric_Acid!$T21,'Tables - Part 2'!$AV$6:$AV$13,0),MATCH(HSC_Hydrofluoric_Acid!$R21,'Tables - Part 2'!$AX$5:$BA$5,0)))/2)+INDEX('Tables - Part 2'!$AX$17:$BA$24,MATCH(HSC_Hydrofluoric_Acid!$T21,'Tables - Part 2'!$AV$6:$AV$13,0),MATCH(HSC_Hydrofluoric_Acid!$R21,'Tables - Part 2'!$AX$5:$BA$5,0)))/2)+(INDEX('Tables - Part 2'!$AX$17:$BA$24,MATCH(HSC_Hydrofluoric_Acid!$T21,'Tables - Part 2'!$AV$6:$AV$13,0),MATCH(HSC_Hydrofluoric_Acid!$R21,'Tables - Part 2'!$AX$5:$BA$5,0))))/2,0)</f>
        <v>0</v>
      </c>
      <c r="AX21" s="248">
        <f>IF($Q21=$AX$3,INDEX('Tables - Part 2'!$AX$17:$BA$24,MATCH(HSC_Hydrofluoric_Acid!$T21,'Tables - Part 2'!$AV$6:$AV$13,0),MATCH(HSC_Hydrofluoric_Acid!$R21,'Tables - Part 2'!$AX$5:$BA$5,0)),0)</f>
        <v>0</v>
      </c>
      <c r="AY21" s="248">
        <f>IF($Q21=$AY$3,((INDEX('Tables - Part 2'!$AX$17:$BA$24,MATCH(HSC_Hydrofluoric_Acid!$T21,'Tables - Part 2'!$AV$6:$AV$13,0),MATCH(HSC_Hydrofluoric_Acid!$R21,'Tables - Part 2'!$AX$5:$BA$5,0)))+(((INDEX('Tables - Part 2'!$AX$17:$BA$24,MATCH(HSC_Hydrofluoric_Acid!$T21,'Tables - Part 2'!$AV$6:$AV$13,0),MATCH(HSC_Hydrofluoric_Acid!$R21,'Tables - Part 2'!$AX$5:$BA$5,0)))+(INDEX('Tables - Part 2'!$AX$17:$BA$24,MATCH(HSC_Hydrofluoric_Acid!$T21,'Tables - Part 2'!$AV$6:$AV$13,0),MATCH(HSC_Hydrofluoric_Acid!$R21,'Tables - Part 2'!$AX$5:$BA$5,0))+INDEX('Tables - Part 2'!$BB$17:$BE$24,MATCH(HSC_Hydrofluoric_Acid!$T21,'Tables - Part 2'!$AV$6:$AV$13,0),MATCH(HSC_Hydrofluoric_Acid!$R21,'Tables - Part 2'!$AX$5:$BA$5,0)))/2)/2))/2,0)</f>
        <v>0</v>
      </c>
      <c r="AZ21" s="248">
        <f>IF($Q21=$AZ$3,((INDEX('Tables - Part 2'!$AX$17:$BA$24,MATCH(HSC_Hydrofluoric_Acid!$T21,'Tables - Part 2'!$AV$6:$AV$13,0),MATCH(HSC_Hydrofluoric_Acid!$R21,'Tables - Part 2'!$AX$5:$BA$5,0)))+(INDEX('Tables - Part 2'!$AX$17:$BA$24,MATCH(HSC_Hydrofluoric_Acid!$T21,'Tables - Part 2'!$AV$6:$AV$13,0),MATCH(HSC_Hydrofluoric_Acid!$R21,'Tables - Part 2'!$AX$5:$BA$5,0))+INDEX('Tables - Part 2'!$BB$17:$BE$24,MATCH(HSC_Hydrofluoric_Acid!$T21,'Tables - Part 2'!$AV$6:$AV$13,0),MATCH(HSC_Hydrofluoric_Acid!$R21,'Tables - Part 2'!$AX$5:$BA$5,0)))/2)/2,0)</f>
        <v>0</v>
      </c>
      <c r="BA21" s="248">
        <f>IF($Q21=$BA$3,((((INDEX('Tables - Part 2'!$AX$17:$BA$24,MATCH(HSC_Hydrofluoric_Acid!$T21,'Tables - Part 2'!$AV$6:$AV$13,0),MATCH(HSC_Hydrofluoric_Acid!$R21,'Tables - Part 2'!$AX$5:$BA$5,0)))+(INDEX('Tables - Part 2'!$AX$17:$BA$24,MATCH(HSC_Hydrofluoric_Acid!$T21,'Tables - Part 2'!$AV$6:$AV$13,0),MATCH(HSC_Hydrofluoric_Acid!$R21,'Tables - Part 2'!$AX$5:$BA$5,0))+INDEX('Tables - Part 2'!$BB$17:$BE$24,MATCH(HSC_Hydrofluoric_Acid!$T21,'Tables - Part 2'!$AV$6:$AV$13,0),MATCH(HSC_Hydrofluoric_Acid!$R21,'Tables - Part 2'!$AX$5:$BA$5,0)))/2)/2)+((INDEX('Tables - Part 2'!$AX$17:$BA$24,MATCH(HSC_Hydrofluoric_Acid!$T21,'Tables - Part 2'!$AV$6:$AV$13,0),MATCH(HSC_Hydrofluoric_Acid!$R21,'Tables - Part 2'!$AX$5:$BA$5,0))+INDEX('Tables - Part 2'!$BB$17:$BE$24,MATCH(HSC_Hydrofluoric_Acid!$T21,'Tables - Part 2'!$AV$6:$AV$13,0),MATCH(HSC_Hydrofluoric_Acid!$R21,'Tables - Part 2'!$AX$5:$BA$5,0)))/2))/2,0)</f>
        <v>0</v>
      </c>
      <c r="BB21" s="248">
        <f>IF($Q21=$BB$3,(INDEX('Tables - Part 2'!$AX$17:$BA$24,MATCH(HSC_Hydrofluoric_Acid!$T21,'Tables - Part 2'!$AV$6:$AV$13,0),MATCH(HSC_Hydrofluoric_Acid!$R21,'Tables - Part 2'!$AX$5:$BA$5,0))+INDEX('Tables - Part 2'!$BB$17:$BE$24,MATCH(HSC_Hydrofluoric_Acid!$T21,'Tables - Part 2'!$AV$6:$AV$13,0),MATCH(HSC_Hydrofluoric_Acid!$R21,'Tables - Part 2'!$AX$5:$BA$5,0)))/2,0)</f>
        <v>0</v>
      </c>
      <c r="BC21" s="248">
        <f>IF($Q21=$BC$3,(((INDEX('Tables - Part 2'!$AX$17:$BA$24,MATCH(HSC_Hydrofluoric_Acid!$T21,'Tables - Part 2'!$AV$6:$AV$13,0),MATCH(HSC_Hydrofluoric_Acid!$R21,'Tables - Part 2'!$AX$5:$BA$5,0))+INDEX('Tables - Part 2'!$BB$17:$BE$24,MATCH(HSC_Hydrofluoric_Acid!$T21,'Tables - Part 2'!$AV$6:$AV$13,0),MATCH(HSC_Hydrofluoric_Acid!$R21,'Tables - Part 2'!$AX$5:$BA$5,0)))/2)+((((INDEX('Tables - Part 2'!$AX$17:$BA$24,MATCH(HSC_Hydrofluoric_Acid!$T21,'Tables - Part 2'!$AV$6:$AV$13,0),MATCH(HSC_Hydrofluoric_Acid!$R21,'Tables - Part 2'!$AX$5:$BA$5,0))+INDEX('Tables - Part 2'!$BB$17:$BE$24,MATCH(HSC_Hydrofluoric_Acid!$T21,'Tables - Part 2'!$AV$6:$AV$13,0),MATCH(HSC_Hydrofluoric_Acid!$R21,'Tables - Part 2'!$AX$5:$BA$5,0)))/2)+INDEX('Tables - Part 2'!$BB$17:$BE$24,MATCH(HSC_Hydrofluoric_Acid!$T21,'Tables - Part 2'!$AV$6:$AV$13,0),MATCH(HSC_Hydrofluoric_Acid!$R21,'Tables - Part 2'!$AX$5:$BA$5,0)))/2))/2,0)</f>
        <v>0</v>
      </c>
      <c r="BD21" s="248">
        <f>IF($Q21=$BD$3,(((INDEX('Tables - Part 2'!$AX$17:$BA$24,MATCH(HSC_Hydrofluoric_Acid!$T21,'Tables - Part 2'!$AV$6:$AV$13,0),MATCH(HSC_Hydrofluoric_Acid!$R21,'Tables - Part 2'!$AX$5:$BA$5,0))+INDEX('Tables - Part 2'!$BB$17:$BE$24,MATCH(HSC_Hydrofluoric_Acid!$T21,'Tables - Part 2'!$AV$6:$AV$13,0),MATCH(HSC_Hydrofluoric_Acid!$R21,'Tables - Part 2'!$AX$5:$BA$5,0)))/2)+INDEX('Tables - Part 2'!$BB$17:$BE$24,MATCH(HSC_Hydrofluoric_Acid!$T21,'Tables - Part 2'!$AV$6:$AV$13,0),MATCH(HSC_Hydrofluoric_Acid!$R21,'Tables - Part 2'!$AX$5:$BA$5,0)))/2,0)</f>
        <v>0</v>
      </c>
      <c r="BE21" s="248">
        <f>IF($Q21=$BE$3,(((((INDEX('Tables - Part 2'!$AX$17:$BA$24,MATCH(HSC_Hydrofluoric_Acid!$T21,'Tables - Part 2'!$AV$6:$AV$13,0),MATCH(HSC_Hydrofluoric_Acid!$R21,'Tables - Part 2'!$AX$5:$BA$5,0))+INDEX('Tables - Part 2'!$BB$17:$BE$24,MATCH(HSC_Hydrofluoric_Acid!$T21,'Tables - Part 2'!$AV$6:$AV$13,0),MATCH(HSC_Hydrofluoric_Acid!$R21,'Tables - Part 2'!$AX$5:$BA$5,0)))/2)+INDEX('Tables - Part 2'!$BB$17:$BE$24,MATCH(HSC_Hydrofluoric_Acid!$T21,'Tables - Part 2'!$AV$6:$AV$13,0),MATCH(HSC_Hydrofluoric_Acid!$R21,'Tables - Part 2'!$AX$5:$BA$5,0)))/2)+(INDEX('Tables - Part 2'!$BB$17:$BE$24,MATCH(HSC_Hydrofluoric_Acid!$T21,'Tables - Part 2'!$AV$6:$AV$13,0),MATCH(HSC_Hydrofluoric_Acid!$R21,'Tables - Part 2'!$AX$5:$BA$5,0))))/2,0)</f>
        <v>0</v>
      </c>
      <c r="BF21" s="248">
        <f>IF($Q21=$BF$3,INDEX('Tables - Part 2'!$BB$17:$BE$24,MATCH(HSC_Hydrofluoric_Acid!$T21,'Tables - Part 2'!$AV$6:$AV$13,0),MATCH(HSC_Hydrofluoric_Acid!$R21,'Tables - Part 2'!$AX$5:$BA$5,0)),0)</f>
        <v>0</v>
      </c>
      <c r="BG21" s="248">
        <f>IF($Q21=$BG$3,((INDEX('Tables - Part 2'!$BB$17:$BE$24,MATCH(HSC_Hydrofluoric_Acid!$T21,'Tables - Part 2'!$AV$6:$AV$13,0),MATCH(HSC_Hydrofluoric_Acid!$R21,'Tables - Part 2'!$AX$5:$BA$5,0)))+(((INDEX('Tables - Part 2'!$BB$17:$BE$24,MATCH(HSC_Hydrofluoric_Acid!$T21,'Tables - Part 2'!$AV$6:$AV$13,0),MATCH(HSC_Hydrofluoric_Acid!$R21,'Tables - Part 2'!$AX$5:$BA$5,0)))+(INDEX('Tables - Part 2'!$BB$17:$BE$24,MATCH(HSC_Hydrofluoric_Acid!$T21,'Tables - Part 2'!$AV$6:$AV$13,0),MATCH(HSC_Hydrofluoric_Acid!$R21,'Tables - Part 2'!$AX$5:$BA$5,0))+INDEX('Tables - Part 2'!$BF$17:$BI$24,MATCH(HSC_Hydrofluoric_Acid!$T21,'Tables - Part 2'!$AV$6:$AV$13,0),MATCH(HSC_Hydrofluoric_Acid!$R21,'Tables - Part 2'!$AX$5:$BA$5,0)))/2)/2))/2,0)</f>
        <v>0</v>
      </c>
      <c r="BH21" s="248">
        <f>IF($Q21=$BH$3,((INDEX('Tables - Part 2'!$BB$17:$BE$24,MATCH(HSC_Hydrofluoric_Acid!$T21,'Tables - Part 2'!$AV$6:$AV$13,0),MATCH(HSC_Hydrofluoric_Acid!$R21,'Tables - Part 2'!$AX$5:$BA$5,0)))+(INDEX('Tables - Part 2'!$BB$17:$BE$24,MATCH(HSC_Hydrofluoric_Acid!$T21,'Tables - Part 2'!$AV$6:$AV$13,0),MATCH(HSC_Hydrofluoric_Acid!$R21,'Tables - Part 2'!$AX$5:$BA$5,0))+INDEX('Tables - Part 2'!$BF$17:$BI$24,MATCH(HSC_Hydrofluoric_Acid!$T21,'Tables - Part 2'!$AV$6:$AV$13,0),MATCH(HSC_Hydrofluoric_Acid!$R21,'Tables - Part 2'!$AX$5:$BA$5,0)))/2)/2,0)</f>
        <v>0</v>
      </c>
      <c r="BI21" s="248">
        <f>IF($Q21=$BI$3,((((INDEX('Tables - Part 2'!$BB$17:$BE$24,MATCH(HSC_Hydrofluoric_Acid!$T21,'Tables - Part 2'!$AV$6:$AV$13,0),MATCH(HSC_Hydrofluoric_Acid!$R21,'Tables - Part 2'!$AX$5:$BA$5,0)))+(INDEX('Tables - Part 2'!$BB$17:$BE$24,MATCH(HSC_Hydrofluoric_Acid!$T21,'Tables - Part 2'!$AV$6:$AV$13,0),MATCH(HSC_Hydrofluoric_Acid!$R21,'Tables - Part 2'!$AX$5:$BA$5,0))+INDEX('Tables - Part 2'!$BF$17:$BI$24,MATCH(HSC_Hydrofluoric_Acid!$T21,'Tables - Part 2'!$AV$6:$AV$13,0),MATCH(HSC_Hydrofluoric_Acid!$R21,'Tables - Part 2'!$AX$5:$BA$5,0)))/2)/2)+((INDEX('Tables - Part 2'!$BB$17:$BE$24,MATCH(HSC_Hydrofluoric_Acid!$T21,'Tables - Part 2'!$AV$6:$AV$13,0),MATCH(HSC_Hydrofluoric_Acid!$R21,'Tables - Part 2'!$AX$5:$BA$5,0))+INDEX('Tables - Part 2'!$BF$17:$BI$24,MATCH(HSC_Hydrofluoric_Acid!$T21,'Tables - Part 2'!$AV$6:$AV$13,0),MATCH(HSC_Hydrofluoric_Acid!$R21,'Tables - Part 2'!$AX$5:$BA$5,0)))/2))/2,0)</f>
        <v>0</v>
      </c>
      <c r="BJ21" s="248">
        <f>IF($Q21=$BJ$3,(INDEX('Tables - Part 2'!$BB$17:$BE$24,MATCH(HSC_Hydrofluoric_Acid!$T21,'Tables - Part 2'!$AV$6:$AV$13,0),MATCH(HSC_Hydrofluoric_Acid!$R21,'Tables - Part 2'!$AX$5:$BA$5,0))+INDEX('Tables - Part 2'!$BF$17:$BI$24,MATCH(HSC_Hydrofluoric_Acid!$T21,'Tables - Part 2'!$AV$6:$AV$13,0),MATCH(HSC_Hydrofluoric_Acid!$R21,'Tables - Part 2'!$AX$5:$BA$5,0)))/2,0)</f>
        <v>0</v>
      </c>
      <c r="BK21" s="248">
        <f>IF($Q21=$BK$3,(((INDEX('Tables - Part 2'!$BB$17:$BE$24,MATCH(HSC_Hydrofluoric_Acid!$T21,'Tables - Part 2'!$AV$6:$AV$13,0),MATCH(HSC_Hydrofluoric_Acid!$R21,'Tables - Part 2'!$AX$5:$BA$5,0))+INDEX('Tables - Part 2'!$BF$17:$BI$24,MATCH(HSC_Hydrofluoric_Acid!$T21,'Tables - Part 2'!$AV$6:$AV$13,0),MATCH(HSC_Hydrofluoric_Acid!$R21,'Tables - Part 2'!$AX$5:$BA$5,0)))/2)+((((INDEX('Tables - Part 2'!$BB$17:$BE$24,MATCH(HSC_Hydrofluoric_Acid!$T21,'Tables - Part 2'!$AV$6:$AV$13,0),MATCH(HSC_Hydrofluoric_Acid!$R21,'Tables - Part 2'!$AX$5:$BA$5,0))+INDEX('Tables - Part 2'!$BF$17:$BI$24,MATCH(HSC_Hydrofluoric_Acid!$T21,'Tables - Part 2'!$AV$6:$AV$13,0),MATCH(HSC_Hydrofluoric_Acid!$R21,'Tables - Part 2'!$AX$5:$BA$5,0)))/2)+INDEX('Tables - Part 2'!$BF$17:$BI$24,MATCH(HSC_Hydrofluoric_Acid!$T21,'Tables - Part 2'!$AV$6:$AV$13,0),MATCH(HSC_Hydrofluoric_Acid!$R21,'Tables - Part 2'!$AX$5:$BA$5,0)))/2))/2,0)</f>
        <v>0</v>
      </c>
      <c r="BL21" s="248">
        <f>IF($Q21=$BL$3,(((INDEX('Tables - Part 2'!$BB$17:$BE$24,MATCH(HSC_Hydrofluoric_Acid!$T21,'Tables - Part 2'!$AV$6:$AV$13,0),MATCH(HSC_Hydrofluoric_Acid!$R21,'Tables - Part 2'!$AX$5:$BA$5,0))+INDEX('Tables - Part 2'!$BF$17:$BI$24,MATCH(HSC_Hydrofluoric_Acid!$T21,'Tables - Part 2'!$AV$6:$AV$13,0),MATCH(HSC_Hydrofluoric_Acid!$R21,'Tables - Part 2'!$AX$5:$BA$5,0)))/2)+INDEX('Tables - Part 2'!$BF$17:$BI$24,MATCH(HSC_Hydrofluoric_Acid!$T21,'Tables - Part 2'!$AV$6:$AV$13,0),MATCH(HSC_Hydrofluoric_Acid!$R21,'Tables - Part 2'!$AX$5:$BA$5,0)))/2,0)</f>
        <v>0</v>
      </c>
      <c r="BM21" s="248">
        <f>IF($Q21=$BM$3,(((((INDEX('Tables - Part 2'!$BB$17:$BE$24,MATCH(HSC_Hydrofluoric_Acid!$T21,'Tables - Part 2'!$AV$6:$AV$13,0),MATCH(HSC_Hydrofluoric_Acid!$R21,'Tables - Part 2'!$AX$5:$BA$5,0))+INDEX('Tables - Part 2'!$BF$17:$BI$24,MATCH(HSC_Hydrofluoric_Acid!$T21,'Tables - Part 2'!$AV$6:$AV$13,0),MATCH(HSC_Hydrofluoric_Acid!$R21,'Tables - Part 2'!$AX$5:$BA$5,0)))/2)+INDEX('Tables - Part 2'!$BF$17:$BI$24,MATCH(HSC_Hydrofluoric_Acid!$T21,'Tables - Part 2'!$AV$6:$AV$13,0),MATCH(HSC_Hydrofluoric_Acid!$R21,'Tables - Part 2'!$AX$5:$BA$5,0)))/2)+(INDEX('Tables - Part 2'!$BF$17:$BI$24,MATCH(HSC_Hydrofluoric_Acid!$T21,'Tables - Part 2'!$AV$6:$AV$13,0),MATCH(HSC_Hydrofluoric_Acid!$R21,'Tables - Part 2'!$AX$5:$BA$5,0))))/2,0)</f>
        <v>0</v>
      </c>
      <c r="BN21" s="248">
        <f>IF($Q21=$BN$3,INDEX('Tables - Part 2'!$BF$17:$BI$24,MATCH(HSC_Hydrofluoric_Acid!$T21,'Tables - Part 2'!$AV$6:$AV$13,0),MATCH(HSC_Hydrofluoric_Acid!$R21,'Tables - Part 2'!$AX$5:$BA$5,0)),0)</f>
        <v>0</v>
      </c>
      <c r="BO21" s="248">
        <f t="shared" si="6"/>
        <v>0</v>
      </c>
      <c r="BP21" s="238">
        <f t="shared" si="8"/>
        <v>1</v>
      </c>
      <c r="BQ21" s="238">
        <f t="shared" si="7"/>
        <v>16.77288246840839</v>
      </c>
    </row>
  </sheetData>
  <mergeCells count="1">
    <mergeCell ref="V2:Y2"/>
  </mergeCells>
  <dataValidations count="2">
    <dataValidation type="list" allowBlank="1" showInputMessage="1" showErrorMessage="1" sqref="E4:E21" xr:uid="{00000000-0002-0000-1600-000000000000}">
      <formula1>$BV$2:$BV$4</formula1>
    </dataValidation>
    <dataValidation type="list" allowBlank="1" showInputMessage="1" showErrorMessage="1" sqref="F4:G21 I4:I21" xr:uid="{00000000-0002-0000-1600-000001000000}">
      <formula1>$U$8:$U$9</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3000000}">
          <x14:formula1>
            <xm:f>'Tables - Part 2'!$DX$4:$DZ$4</xm:f>
          </x14:formula1>
          <xm:sqref>H4:H21</xm:sqref>
        </x14:dataValidation>
        <x14:dataValidation type="list" allowBlank="1" showInputMessage="1" showErrorMessage="1" xr:uid="{00000000-0002-0000-1600-000004000000}">
          <x14:formula1>
            <xm:f>COF!$TH$10:$TH$11</xm:f>
          </x14:formula1>
          <xm:sqref>D4:D21</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27">
    <tabColor rgb="FFFFFF00"/>
  </sheetPr>
  <dimension ref="B1:CF21"/>
  <sheetViews>
    <sheetView topLeftCell="Y1" zoomScale="70" zoomScaleNormal="70" workbookViewId="0">
      <selection activeCell="AM10" sqref="AM10"/>
    </sheetView>
  </sheetViews>
  <sheetFormatPr defaultRowHeight="14.5" x14ac:dyDescent="0.35"/>
  <cols>
    <col min="1" max="1" width="1.26953125" customWidth="1"/>
    <col min="2" max="3" width="18.26953125" customWidth="1"/>
    <col min="4" max="4" width="21.26953125" customWidth="1"/>
    <col min="5" max="5" width="10.453125" customWidth="1"/>
    <col min="6" max="6" width="12.1796875" bestFit="1" customWidth="1"/>
    <col min="7" max="7" width="21.7265625" customWidth="1"/>
    <col min="8" max="8" width="37.26953125" customWidth="1"/>
    <col min="9" max="9" width="7.26953125" customWidth="1"/>
    <col min="10" max="10" width="26.81640625" bestFit="1" customWidth="1"/>
    <col min="11" max="11" width="23.54296875" customWidth="1"/>
    <col min="12" max="12" width="13.453125" customWidth="1"/>
    <col min="13" max="15" width="12.81640625" customWidth="1"/>
    <col min="16" max="16" width="16.1796875" customWidth="1"/>
    <col min="17" max="17" width="12.81640625" customWidth="1"/>
    <col min="18" max="18" width="16.453125" customWidth="1"/>
    <col min="19" max="19" width="12.1796875" customWidth="1"/>
    <col min="20" max="20" width="25.26953125" bestFit="1" customWidth="1"/>
    <col min="21" max="22" width="11" customWidth="1"/>
    <col min="23" max="27" width="19.81640625" customWidth="1"/>
    <col min="28" max="28" width="5.7265625" bestFit="1" customWidth="1"/>
    <col min="29" max="29" width="6" customWidth="1"/>
    <col min="30" max="30" width="5.54296875" customWidth="1"/>
    <col min="31" max="31" width="6.7265625" customWidth="1"/>
    <col min="32" max="32" width="6" customWidth="1"/>
    <col min="33" max="33" width="6.7265625" customWidth="1"/>
    <col min="34" max="34" width="5.54296875" customWidth="1"/>
    <col min="35" max="35" width="6" customWidth="1"/>
    <col min="36" max="36" width="5.7265625" bestFit="1" customWidth="1"/>
    <col min="37" max="37" width="6.7265625" customWidth="1"/>
    <col min="38" max="38" width="6" customWidth="1"/>
    <col min="39" max="39" width="6.7265625" customWidth="1"/>
    <col min="40" max="40" width="4.81640625" customWidth="1"/>
    <col min="41" max="41" width="6" customWidth="1"/>
    <col min="42" max="42" width="5.54296875" customWidth="1"/>
    <col min="43" max="43" width="6.7265625" customWidth="1"/>
    <col min="44" max="44" width="6" customWidth="1"/>
    <col min="45" max="45" width="6.7265625" customWidth="1"/>
    <col min="46" max="48" width="6" customWidth="1"/>
    <col min="49" max="49" width="6.7265625" customWidth="1"/>
    <col min="50" max="50" width="6" customWidth="1"/>
    <col min="51" max="51" width="6.7265625" customWidth="1"/>
    <col min="52" max="54" width="6" customWidth="1"/>
    <col min="55" max="55" width="6.7265625" customWidth="1"/>
    <col min="56" max="56" width="6" customWidth="1"/>
    <col min="57" max="57" width="6.7265625" customWidth="1"/>
    <col min="58" max="60" width="6" customWidth="1"/>
    <col min="61" max="61" width="6.7265625" customWidth="1"/>
    <col min="62" max="62" width="6" customWidth="1"/>
    <col min="63" max="63" width="6.7265625" customWidth="1"/>
    <col min="64" max="64" width="4.81640625" customWidth="1"/>
    <col min="65" max="65" width="6" customWidth="1"/>
    <col min="66" max="66" width="5.54296875" customWidth="1"/>
    <col min="67" max="67" width="6.7265625" customWidth="1"/>
    <col min="68" max="69" width="4.81640625" customWidth="1"/>
    <col min="70" max="71" width="19.81640625" customWidth="1"/>
    <col min="72" max="73" width="9.1796875" customWidth="1"/>
    <col min="74" max="74" width="26.81640625" customWidth="1"/>
    <col min="75" max="75" width="23.54296875" customWidth="1"/>
    <col min="76" max="76" width="35.54296875" customWidth="1"/>
  </cols>
  <sheetData>
    <row r="1" spans="2:84" ht="3.75" customHeight="1" x14ac:dyDescent="0.35"/>
    <row r="2" spans="2:84" x14ac:dyDescent="0.35">
      <c r="X2" s="702" t="s">
        <v>897</v>
      </c>
      <c r="Y2" s="702"/>
      <c r="Z2" s="702"/>
      <c r="AA2" s="702"/>
      <c r="AB2" s="449"/>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1"/>
      <c r="BS2" s="451"/>
      <c r="BV2" s="237" t="s">
        <v>839</v>
      </c>
      <c r="BX2" s="158" t="s">
        <v>244</v>
      </c>
      <c r="CC2" s="208"/>
      <c r="CD2" s="208"/>
      <c r="CF2" s="208"/>
    </row>
    <row r="3" spans="2:84" ht="29.25" customHeight="1" x14ac:dyDescent="0.35">
      <c r="B3" s="346" t="s">
        <v>968</v>
      </c>
      <c r="C3" s="346" t="s">
        <v>969</v>
      </c>
      <c r="D3" s="139" t="s">
        <v>843</v>
      </c>
      <c r="E3" s="139" t="s">
        <v>860</v>
      </c>
      <c r="F3" s="139" t="s">
        <v>1195</v>
      </c>
      <c r="G3" s="139" t="s">
        <v>1196</v>
      </c>
      <c r="H3" s="346" t="s">
        <v>859</v>
      </c>
      <c r="I3" s="346" t="s">
        <v>858</v>
      </c>
      <c r="J3" s="346" t="s">
        <v>874</v>
      </c>
      <c r="K3" s="139" t="s">
        <v>867</v>
      </c>
      <c r="L3" s="139" t="s">
        <v>893</v>
      </c>
      <c r="M3" s="139" t="s">
        <v>894</v>
      </c>
      <c r="N3" s="139" t="s">
        <v>895</v>
      </c>
      <c r="O3" s="139" t="s">
        <v>896</v>
      </c>
      <c r="P3" s="139" t="s">
        <v>882</v>
      </c>
      <c r="Q3" s="139" t="s">
        <v>880</v>
      </c>
      <c r="R3" s="139" t="s">
        <v>882</v>
      </c>
      <c r="S3" s="139" t="s">
        <v>880</v>
      </c>
      <c r="T3" s="346" t="s">
        <v>855</v>
      </c>
      <c r="U3" s="244" t="s">
        <v>861</v>
      </c>
      <c r="V3" s="346" t="s">
        <v>873</v>
      </c>
      <c r="W3" s="346" t="s">
        <v>869</v>
      </c>
      <c r="X3" s="346" t="s">
        <v>278</v>
      </c>
      <c r="Y3" s="346" t="s">
        <v>279</v>
      </c>
      <c r="Z3" s="346" t="s">
        <v>280</v>
      </c>
      <c r="AA3" s="346" t="s">
        <v>274</v>
      </c>
      <c r="AB3" s="346">
        <v>1</v>
      </c>
      <c r="AC3" s="252">
        <v>1.125</v>
      </c>
      <c r="AD3" s="346">
        <v>1.25</v>
      </c>
      <c r="AE3" s="346">
        <v>1.375</v>
      </c>
      <c r="AF3" s="254">
        <v>1.5</v>
      </c>
      <c r="AG3" s="346">
        <v>1.625</v>
      </c>
      <c r="AH3" s="346">
        <v>1.75</v>
      </c>
      <c r="AI3" s="252">
        <v>1.875</v>
      </c>
      <c r="AJ3" s="346">
        <v>2</v>
      </c>
      <c r="AK3" s="346">
        <v>2.125</v>
      </c>
      <c r="AL3" s="252">
        <v>2.25</v>
      </c>
      <c r="AM3" s="346">
        <v>2.375</v>
      </c>
      <c r="AN3" s="346">
        <v>2.5</v>
      </c>
      <c r="AO3" s="252">
        <v>2.625</v>
      </c>
      <c r="AP3" s="346">
        <v>2.75</v>
      </c>
      <c r="AQ3" s="346">
        <v>2.875</v>
      </c>
      <c r="AR3" s="255">
        <v>3</v>
      </c>
      <c r="AS3" s="346">
        <v>3.125</v>
      </c>
      <c r="AT3" s="346">
        <v>3.25</v>
      </c>
      <c r="AU3" s="252">
        <v>3.375</v>
      </c>
      <c r="AV3" s="346">
        <v>3.5</v>
      </c>
      <c r="AW3" s="346">
        <v>3.625</v>
      </c>
      <c r="AX3" s="252">
        <v>3.75</v>
      </c>
      <c r="AY3" s="346">
        <v>3.875</v>
      </c>
      <c r="AZ3" s="346">
        <v>4</v>
      </c>
      <c r="BA3" s="252">
        <v>4.125</v>
      </c>
      <c r="BB3" s="346">
        <v>4.25</v>
      </c>
      <c r="BC3" s="346">
        <v>4.375</v>
      </c>
      <c r="BD3" s="254">
        <v>4.5</v>
      </c>
      <c r="BE3" s="346">
        <v>4.625</v>
      </c>
      <c r="BF3" s="346">
        <v>4.75</v>
      </c>
      <c r="BG3" s="252">
        <v>4.875</v>
      </c>
      <c r="BH3" s="346">
        <v>5</v>
      </c>
      <c r="BI3" s="346">
        <v>5.125</v>
      </c>
      <c r="BJ3" s="252">
        <v>5.25</v>
      </c>
      <c r="BK3" s="346">
        <v>5.375</v>
      </c>
      <c r="BL3" s="346">
        <v>5.5</v>
      </c>
      <c r="BM3" s="252">
        <v>5.625</v>
      </c>
      <c r="BN3" s="346">
        <v>5.75</v>
      </c>
      <c r="BO3" s="346">
        <v>5.875</v>
      </c>
      <c r="BP3" s="346">
        <v>6</v>
      </c>
      <c r="BQ3" s="346" t="s">
        <v>281</v>
      </c>
      <c r="BR3" s="346" t="s">
        <v>1210</v>
      </c>
      <c r="BS3" s="141" t="s">
        <v>1211</v>
      </c>
      <c r="BV3" s="237" t="s">
        <v>840</v>
      </c>
      <c r="BX3" s="158" t="s">
        <v>245</v>
      </c>
      <c r="CB3" s="208"/>
    </row>
    <row r="4" spans="2:84" x14ac:dyDescent="0.35">
      <c r="B4" s="161" t="str">
        <f>'Tratamento de Dados'!B12</f>
        <v>V-90</v>
      </c>
      <c r="C4" s="161" t="str">
        <f>'Tratamento de Dados'!D12</f>
        <v>Casco</v>
      </c>
      <c r="D4" s="209" t="s">
        <v>245</v>
      </c>
      <c r="E4" s="209" t="s">
        <v>61</v>
      </c>
      <c r="F4" s="209" t="s">
        <v>244</v>
      </c>
      <c r="G4" s="209" t="s">
        <v>244</v>
      </c>
      <c r="H4" s="209" t="s">
        <v>1208</v>
      </c>
      <c r="I4" s="209" t="s">
        <v>245</v>
      </c>
      <c r="J4" s="209" t="s">
        <v>898</v>
      </c>
      <c r="K4" s="210">
        <v>39092</v>
      </c>
      <c r="L4" s="209">
        <v>0</v>
      </c>
      <c r="M4" s="209">
        <v>1</v>
      </c>
      <c r="N4" s="209">
        <v>1</v>
      </c>
      <c r="O4" s="209">
        <v>4</v>
      </c>
      <c r="P4" s="253">
        <f>'Tratamento de Dados'!DA12</f>
        <v>0</v>
      </c>
      <c r="Q4" s="253">
        <f>'Tratamento de Dados'!DB12</f>
        <v>0</v>
      </c>
      <c r="R4" s="256">
        <f t="shared" ref="R4:R21" si="0">IF(P4=0,IF(X4&gt;=1,X4,IF(Y4&gt;=1,Y4,IF(Z4&gt;=1,Z4,IF(AA4&gt;=1,AA4,0)))),P4)</f>
        <v>2.5</v>
      </c>
      <c r="S4" s="246" t="str">
        <f t="shared" ref="S4:S21" si="1">IF(Q4=0,IF(X4&gt;=1,$X$3,IF(Y4&gt;=1,$Y$3,IF(Z4&gt;=1,$Z$3,IF(AA4&gt;=1,$AA$3,"E")))),Q4)</f>
        <v>B</v>
      </c>
      <c r="T4" s="238" t="str" cm="1">
        <f t="array" ref="T4">IF(D4=$BX$2,$BV$4,IF(OR(F4=$BX$3,G4=$BX$3),$BV$5,INDEX(IF(I4=$BX$2,'Tables - Part 2'!$EI$6:$EK$6,'Tables - Part 2'!$EI$5:$EK$5),,MATCH('HIC-SOHIC-HF'!H4,'Tables - Part 2'!$EI$4:$EK$4,0))))</f>
        <v>High</v>
      </c>
      <c r="U4" s="238">
        <f>IF(AND(D4=$BX$2,E4&lt;&gt;$BX$2),"Fitness-For-Service",INDEX('Tables - Part 2'!$EN$4:$EN$7,MATCH('HIC-SOHIC-HF'!T4,'Tables - Part 2'!$EM$4:$EM$7,0),))</f>
        <v>100</v>
      </c>
      <c r="V4" s="238">
        <f>INDEX('Tables - Part 2'!$EQ$4:$EQ$7,MATCH('HIC-SOHIC-HF'!J4,'Tables - Part 2'!$EP$4:$EP$7,0))</f>
        <v>1</v>
      </c>
      <c r="W4" s="238">
        <f>IF(K4=0,(Thinning!G5-Thinning!F5)/365.25,(Thinning!G5-K4)/365.25)</f>
        <v>12.980150581793293</v>
      </c>
      <c r="X4" s="248">
        <f t="shared" ref="X4:X21" si="2">IF(L4=0,0,_xlfn.FLOOR.MATH((Y4/2)+L4,0.25))</f>
        <v>0</v>
      </c>
      <c r="Y4" s="248">
        <f t="shared" ref="Y4:Y21" si="3">IF(AND(L4=0,M4=0),0,_xlfn.FLOOR.MATH((Z4/2)+M4,0.25))</f>
        <v>2.5</v>
      </c>
      <c r="Z4" s="248">
        <f t="shared" ref="Z4:Z21" si="4">_xlfn.FLOOR.MATH((AA4/2)+N4,0.25)</f>
        <v>3</v>
      </c>
      <c r="AA4" s="247">
        <f t="shared" ref="AA4:AA21" si="5">O4</f>
        <v>4</v>
      </c>
      <c r="AB4" s="248">
        <f>IF($R4=$AB$3,INDEX('Tables - Part 2'!$AX$6:$BA$13,MATCH('HIC-SOHIC-HF'!U4,'Tables - Part 2'!$AV$6:$AV$13,0),MATCH('HIC-SOHIC-HF'!S4,'Tables - Part 2'!$AX$5:$BA$5,0)),0)</f>
        <v>0</v>
      </c>
      <c r="AC4" s="248">
        <f>IF($R4=$AC$3,(INDEX('Tables - Part 2'!$AX$6:$BA$13,MATCH('HIC-SOHIC-HF'!U4,'Tables - Part 2'!$AV$6:$AV$13,0),MATCH('HIC-SOHIC-HF'!S4,'Tables - Part 2'!$AX$5:$BA$5,0))+(INDEX('Tables - Part 2'!$AX$6:$BA$13,MATCH('HIC-SOHIC-HF'!U4,'Tables - Part 2'!$AV$6:$AV$13,0),MATCH('HIC-SOHIC-HF'!S4,'Tables - Part 2'!$AX$5:$BA$5,0))+((INDEX('Tables - Part 2'!$AX$6:$BA$13,MATCH('HIC-SOHIC-HF'!U4,'Tables - Part 2'!$AV$6:$AV$13,0),MATCH('HIC-SOHIC-HF'!S4,'Tables - Part 2'!$AX$5:$BA$5,0))+INDEX('Tables - Part 2'!$BB$6:$BE$13,MATCH('HIC-SOHIC-HF'!$U4,'Tables - Part 2'!$AV$6:$AV$13,0),MATCH('HIC-SOHIC-HF'!$S4,'Tables - Part 2'!$AX$5:$BA$5,0)))/2))/2)/2,0)</f>
        <v>0</v>
      </c>
      <c r="AD4" s="248">
        <f>IF($R4=$AD$3,(INDEX('Tables - Part 2'!$AX$6:$BA$13,MATCH('HIC-SOHIC-HF'!U4,'Tables - Part 2'!$AV$6:$AV$13,0),MATCH('HIC-SOHIC-HF'!S4,'Tables - Part 2'!$AX$5:$BA$5,0))+((INDEX('Tables - Part 2'!$AX$6:$BA$13,MATCH('HIC-SOHIC-HF'!U4,'Tables - Part 2'!$AV$6:$AV$13,0),MATCH('HIC-SOHIC-HF'!S4,'Tables - Part 2'!$AX$5:$BA$5,0))+INDEX('Tables - Part 2'!$BB$6:$BE$13,MATCH('HIC-SOHIC-HF'!$U4,'Tables - Part 2'!$AV$6:$AV$13,0),MATCH('HIC-SOHIC-HF'!$S4,'Tables - Part 2'!$AX$5:$BA$5,0)))/2))/2,0)</f>
        <v>0</v>
      </c>
      <c r="AE4" s="248">
        <f>IF($R4=$AE$3,(((INDEX('Tables - Part 2'!$AX$6:$BA$13,MATCH('HIC-SOHIC-HF'!U4,'Tables - Part 2'!$AV$6:$AV$13,0),MATCH('HIC-SOHIC-HF'!S4,'Tables - Part 2'!$AX$5:$BA$5,0))+((INDEX('Tables - Part 2'!$AX$6:$BA$13,MATCH('HIC-SOHIC-HF'!U4,'Tables - Part 2'!$AV$6:$AV$13,0),MATCH('HIC-SOHIC-HF'!S4,'Tables - Part 2'!$AX$5:$BA$5,0))+INDEX('Tables - Part 2'!$BB$6:$BE$13,MATCH('HIC-SOHIC-HF'!$U4,'Tables - Part 2'!$AV$6:$AV$13,0),MATCH('HIC-SOHIC-HF'!$S4,'Tables - Part 2'!$AX$5:$BA$5,0)))/2))/2)+(INDEX('Tables - Part 2'!$AX$6:$BA$13,MATCH('HIC-SOHIC-HF'!U4,'Tables - Part 2'!$AV$6:$AV$13,0),MATCH('HIC-SOHIC-HF'!S4,'Tables - Part 2'!$AX$5:$BA$5,0))+INDEX('Tables - Part 2'!$BB$6:$BE$13,MATCH('HIC-SOHIC-HF'!$U4,'Tables - Part 2'!$AV$6:$AV$13,0),MATCH('HIC-SOHIC-HF'!$S4,'Tables - Part 2'!$AX$5:$BA$5,0)))/2)/2,0)</f>
        <v>0</v>
      </c>
      <c r="AF4" s="248">
        <f>IF($R4=$AF$3,(INDEX('Tables - Part 2'!$AX$6:$BA$13,MATCH('HIC-SOHIC-HF'!U4,'Tables - Part 2'!$AV$6:$AV$13,0),MATCH('HIC-SOHIC-HF'!S4,'Tables - Part 2'!$AX$5:$BA$5,0))+INDEX('Tables - Part 2'!$BB$6:$BE$13,MATCH('HIC-SOHIC-HF'!$U4,'Tables - Part 2'!$AV$6:$AV$13,0),MATCH('HIC-SOHIC-HF'!$S4,'Tables - Part 2'!$AX$5:$BA$5,0)))/2,0)</f>
        <v>0</v>
      </c>
      <c r="AG4" s="248">
        <f>IF($R4=$AG$3,(((INDEX('Tables - Part 2'!$AX$6:$BA$13,MATCH('HIC-SOHIC-HF'!U4,'Tables - Part 2'!$AV$6:$AV$13,0),MATCH('HIC-SOHIC-HF'!S4,'Tables - Part 2'!$AX$5:$BA$5,0))+INDEX('Tables - Part 2'!$BB$6:$BE$13,MATCH('HIC-SOHIC-HF'!$U4,'Tables - Part 2'!$AV$6:$AV$13,0),MATCH('HIC-SOHIC-HF'!$S4,'Tables - Part 2'!$AX$5:$BA$5,0)))/2)+(((INDEX('Tables - Part 2'!$AX$6:$BA$13,MATCH('HIC-SOHIC-HF'!U4,'Tables - Part 2'!$AV$6:$AV$13,0),MATCH('HIC-SOHIC-HF'!S4,'Tables - Part 2'!$AX$5:$BA$5,0))+INDEX('Tables - Part 2'!$BB$6:$BE$13,MATCH('HIC-SOHIC-HF'!$U4,'Tables - Part 2'!$AV$6:$AV$13,0),MATCH('HIC-SOHIC-HF'!$S4,'Tables - Part 2'!$AX$5:$BA$5,0)))/2)+INDEX('Tables - Part 2'!$BB$6:$BE$13,MATCH('HIC-SOHIC-HF'!$U4,'Tables - Part 2'!$AV$6:$AV$13,0),MATCH('HIC-SOHIC-HF'!$S4,'Tables - Part 2'!$AX$5:$BA$5,0)))/2)/2,0)</f>
        <v>0</v>
      </c>
      <c r="AH4" s="248">
        <f>IF($R4=$AH$3,(((INDEX('Tables - Part 2'!$AX$6:$BA$13,MATCH('HIC-SOHIC-HF'!U4,'Tables - Part 2'!$AV$6:$AV$13,0),MATCH('HIC-SOHIC-HF'!S4,'Tables - Part 2'!$AX$5:$BA$5,0))+INDEX('Tables - Part 2'!$BB$6:$BE$13,MATCH('HIC-SOHIC-HF'!$U4,'Tables - Part 2'!$AV$6:$AV$13,0),MATCH('HIC-SOHIC-HF'!$S4,'Tables - Part 2'!$AX$5:$BA$5,0)))/2)+INDEX('Tables - Part 2'!$BB$6:$BE$13,MATCH('HIC-SOHIC-HF'!$U4,'Tables - Part 2'!$AV$6:$AV$13,0),MATCH('HIC-SOHIC-HF'!$S4,'Tables - Part 2'!$AX$5:$BA$5,0)))/2,0)</f>
        <v>0</v>
      </c>
      <c r="AI4" s="248">
        <f>IF($R4=$AI$3,(((((INDEX('Tables - Part 2'!$AX$6:$BA$13,MATCH('HIC-SOHIC-HF'!U4,'Tables - Part 2'!$AV$6:$AV$13,0),MATCH('HIC-SOHIC-HF'!S4,'Tables - Part 2'!$AX$5:$BA$5,0))+INDEX('Tables - Part 2'!$BB$6:$BE$13,MATCH('HIC-SOHIC-HF'!$U4,'Tables - Part 2'!$AV$6:$AV$13,0),MATCH('HIC-SOHIC-HF'!$S4,'Tables - Part 2'!$AX$5:$BA$5,0)))/2)+INDEX('Tables - Part 2'!$BB$6:$BE$13,MATCH('HIC-SOHIC-HF'!$U4,'Tables - Part 2'!$AV$6:$AV$13,0),MATCH('HIC-SOHIC-HF'!$S4,'Tables - Part 2'!$AX$5:$BA$5,0)))/2)+INDEX('Tables - Part 2'!$BB$6:$BE$13,MATCH('HIC-SOHIC-HF'!$U4,'Tables - Part 2'!$AV$6:$AV$13,0),MATCH('HIC-SOHIC-HF'!$S4,'Tables - Part 2'!$AX$5:$BA$5,0)))/2,0)</f>
        <v>0</v>
      </c>
      <c r="AJ4" s="248">
        <f>IF($R4=$AJ$3,INDEX('Tables - Part 2'!$BB$6:$BE$13,MATCH('HIC-SOHIC-HF'!$U4,'Tables - Part 2'!$AV$6:$AV$13,0),MATCH('HIC-SOHIC-HF'!$S4,'Tables - Part 2'!$AX$5:$BA$5,0)),0)</f>
        <v>0</v>
      </c>
      <c r="AK4" s="248">
        <f>IF($R4=$AK$3,((INDEX('Tables - Part 2'!$BB$6:$BE$13,MATCH('HIC-SOHIC-HF'!$U4,'Tables - Part 2'!$AV$6:$AV$13,0),MATCH('HIC-SOHIC-HF'!$S4,'Tables - Part 2'!$AX$5:$BA$5,0)))+(INDEX('Tables - Part 2'!$BB$6:$BE$13,MATCH('HIC-SOHIC-HF'!$U4,'Tables - Part 2'!$AV$6:$AV$13,0),MATCH('HIC-SOHIC-HF'!$S4,'Tables - Part 2'!$AX$5:$BA$5,0))+(INDEX('Tables - Part 2'!$BB$6:$BE$13,MATCH('HIC-SOHIC-HF'!$U4,'Tables - Part 2'!$AV$6:$AV$13,0),MATCH('HIC-SOHIC-HF'!$S4,'Tables - Part 2'!$AX$5:$BA$5,0))+INDEX('Tables - Part 2'!$BF$6:$BI$13,MATCH('HIC-SOHIC-HF'!$U4,'Tables - Part 2'!$AV$6:$AV$13,0),MATCH('HIC-SOHIC-HF'!$S4,'Tables - Part 2'!$AX$5:$BA$5,0)))/2)/2)/2,0)</f>
        <v>0</v>
      </c>
      <c r="AL4" s="248">
        <f>IF($R4=$AL$3,(INDEX('Tables - Part 2'!$BB$6:$BE$13,MATCH('HIC-SOHIC-HF'!$U4,'Tables - Part 2'!$AV$6:$AV$13,0),MATCH('HIC-SOHIC-HF'!$S4,'Tables - Part 2'!$AX$5:$BA$5,0))+(INDEX('Tables - Part 2'!$BB$6:$BE$13,MATCH('HIC-SOHIC-HF'!$U4,'Tables - Part 2'!$AV$6:$AV$13,0),MATCH('HIC-SOHIC-HF'!$S4,'Tables - Part 2'!$AX$5:$BA$5,0))+INDEX('Tables - Part 2'!$BF$6:$BI$13,MATCH('HIC-SOHIC-HF'!$U4,'Tables - Part 2'!$AV$6:$AV$13,0),MATCH('HIC-SOHIC-HF'!$S4,'Tables - Part 2'!$AX$5:$BA$5,0)))/2)/2,0)</f>
        <v>0</v>
      </c>
      <c r="AM4" s="248">
        <f>IF($R4=$AM$3,(((INDEX('Tables - Part 2'!$BB$6:$BE$13,MATCH('HIC-SOHIC-HF'!$U4,'Tables - Part 2'!$AV$6:$AV$13,0),MATCH('HIC-SOHIC-HF'!$S4,'Tables - Part 2'!$AX$5:$BA$5,0))+(INDEX('Tables - Part 2'!$BB$6:$BE$13,MATCH('HIC-SOHIC-HF'!$U4,'Tables - Part 2'!$AV$6:$AV$13,0),MATCH('HIC-SOHIC-HF'!$S4,'Tables - Part 2'!$AX$5:$BA$5,0))+INDEX('Tables - Part 2'!$BF$6:$BI$13,MATCH('HIC-SOHIC-HF'!$U4,'Tables - Part 2'!$AV$6:$AV$13,0),MATCH('HIC-SOHIC-HF'!$S4,'Tables - Part 2'!$AX$5:$BA$5,0)))/2)/2)+((INDEX('Tables - Part 2'!$BB$6:$BE$13,MATCH('HIC-SOHIC-HF'!$U4,'Tables - Part 2'!$AV$6:$AV$13,0),MATCH('HIC-SOHIC-HF'!$S4,'Tables - Part 2'!$AX$5:$BA$5,0))+INDEX('Tables - Part 2'!$BF$6:$BI$13,MATCH('HIC-SOHIC-HF'!$U4,'Tables - Part 2'!$AV$6:$AV$13,0),MATCH('HIC-SOHIC-HF'!$S4,'Tables - Part 2'!$AX$5:$BA$5,0)))/2))/2,0)</f>
        <v>0</v>
      </c>
      <c r="AN4" s="248">
        <f>IF($R4=$AN$3,(INDEX('Tables - Part 2'!$BB$6:$BE$13,MATCH('HIC-SOHIC-HF'!$U4,'Tables - Part 2'!$AV$6:$AV$13,0),MATCH('HIC-SOHIC-HF'!$S4,'Tables - Part 2'!$AX$5:$BA$5,0))+INDEX('Tables - Part 2'!$BF$6:$BI$13,MATCH('HIC-SOHIC-HF'!$U4,'Tables - Part 2'!$AV$6:$AV$13,0),MATCH('HIC-SOHIC-HF'!$S4,'Tables - Part 2'!$AX$5:$BA$5,0)))/2,0)</f>
        <v>3</v>
      </c>
      <c r="AO4" s="248">
        <f>IF($R4=$AO$3,(((INDEX('Tables - Part 2'!$BB$6:$BE$13,MATCH('HIC-SOHIC-HF'!$U4,'Tables - Part 2'!$AV$6:$AV$13,0),MATCH('HIC-SOHIC-HF'!$S4,'Tables - Part 2'!$AX$5:$BA$5,0))+INDEX('Tables - Part 2'!$BF$6:$BI$13,MATCH('HIC-SOHIC-HF'!$U4,'Tables - Part 2'!$AV$6:$AV$13,0),MATCH('HIC-SOHIC-HF'!$S4,'Tables - Part 2'!$AX$5:$BA$5,0)))/2)+((((INDEX('Tables - Part 2'!$BB$6:$BE$13,MATCH('HIC-SOHIC-HF'!$U4,'Tables - Part 2'!$AV$6:$AV$13,0),MATCH('HIC-SOHIC-HF'!$S4,'Tables - Part 2'!$AX$5:$BA$5,0))+INDEX('Tables - Part 2'!$BF$6:$BI$13,MATCH('HIC-SOHIC-HF'!$U4,'Tables - Part 2'!$AV$6:$AV$13,0),MATCH('HIC-SOHIC-HF'!$S4,'Tables - Part 2'!$AX$5:$BA$5,0)))/2)+INDEX('Tables - Part 2'!$BF$6:$BI$13,MATCH('HIC-SOHIC-HF'!$U4,'Tables - Part 2'!$AV$6:$AV$13,0),MATCH('HIC-SOHIC-HF'!$S4,'Tables - Part 2'!$AX$5:$BA$5,0)))/2))/2,0)</f>
        <v>0</v>
      </c>
      <c r="AP4" s="248">
        <f>IF($R4=$AP$3,(((INDEX('Tables - Part 2'!$BB$6:$BE$13,MATCH('HIC-SOHIC-HF'!$U4,'Tables - Part 2'!$AV$6:$AV$13,0),MATCH('HIC-SOHIC-HF'!$S4,'Tables - Part 2'!$AX$5:$BA$5,0))+INDEX('Tables - Part 2'!$BF$6:$BI$13,MATCH('HIC-SOHIC-HF'!$U4,'Tables - Part 2'!$AV$6:$AV$13,0),MATCH('HIC-SOHIC-HF'!$S4,'Tables - Part 2'!$AX$5:$BA$5,0)))/2)+INDEX('Tables - Part 2'!$BF$6:$BI$13,MATCH('HIC-SOHIC-HF'!$U4,'Tables - Part 2'!$AV$6:$AV$13,0),MATCH('HIC-SOHIC-HF'!$S4,'Tables - Part 2'!$AX$5:$BA$5,0)))/2,0)</f>
        <v>0</v>
      </c>
      <c r="AQ4" s="248">
        <f>IF($R4=$AQ$3,(((((INDEX('Tables - Part 2'!$BB$6:$BE$13,MATCH('HIC-SOHIC-HF'!$U4,'Tables - Part 2'!$AV$6:$AV$13,0),MATCH('HIC-SOHIC-HF'!$S4,'Tables - Part 2'!$AX$5:$BA$5,0))+INDEX('Tables - Part 2'!$BF$6:$BI$13,MATCH('HIC-SOHIC-HF'!$U4,'Tables - Part 2'!$AV$6:$AV$13,0),MATCH('HIC-SOHIC-HF'!$S4,'Tables - Part 2'!$AX$5:$BA$5,0)))/2)+INDEX('Tables - Part 2'!$BF$6:$BI$13,MATCH('HIC-SOHIC-HF'!$U4,'Tables - Part 2'!$AV$6:$AV$13,0),MATCH('HIC-SOHIC-HF'!$S4,'Tables - Part 2'!$AX$5:$BA$5,0)))/2)+INDEX('Tables - Part 2'!$BF$6:$BI$13,MATCH('HIC-SOHIC-HF'!$U4,'Tables - Part 2'!$AV$6:$AV$13,0),MATCH('HIC-SOHIC-HF'!$S4,'Tables - Part 2'!$AX$5:$BA$5,0)))/2,0)</f>
        <v>0</v>
      </c>
      <c r="AR4" s="248">
        <f>IF($R4=$AR$3,INDEX('Tables - Part 2'!$BF$6:$BI$13,MATCH('HIC-SOHIC-HF'!$U4,'Tables - Part 2'!$AV$6:$AV$13,0),MATCH('HIC-SOHIC-HF'!$S4,'Tables - Part 2'!$AX$5:$BA$5,0)),0)</f>
        <v>0</v>
      </c>
      <c r="AS4" s="248">
        <f>IF($R4=$AS$3,(INDEX('Tables - Part 2'!$BF$6:$BI$13,MATCH('HIC-SOHIC-HF'!$U4,'Tables - Part 2'!$AV$6:$AV$13,0),MATCH('HIC-SOHIC-HF'!$S4,'Tables - Part 2'!$AX$5:$BA$5,0))+((INDEX('Tables - Part 2'!$BF$6:$BI$13,MATCH('HIC-SOHIC-HF'!$U4,'Tables - Part 2'!$AV$6:$AV$13,0),MATCH('HIC-SOHIC-HF'!$S4,'Tables - Part 2'!$AX$5:$BA$5,0))+(INDEX('Tables - Part 2'!$BF$6:$BI$13,MATCH('HIC-SOHIC-HF'!$U4,'Tables - Part 2'!$AV$6:$AV$13,0),MATCH('HIC-SOHIC-HF'!$S4,'Tables - Part 2'!$AX$5:$BA$5,0))+INDEX('Tables - Part 2'!$AX$17:$BA$24,MATCH('HIC-SOHIC-HF'!$U4,'Tables - Part 2'!$AV$6:$AV$13,0),MATCH('HIC-SOHIC-HF'!$S4,'Tables - Part 2'!$AX$5:$BA$5,0)))/2)/2))/2,0)</f>
        <v>0</v>
      </c>
      <c r="AT4" s="248">
        <f>IF($R4=$AT$3,(INDEX('Tables - Part 2'!$BF$6:$BI$13,MATCH('HIC-SOHIC-HF'!$U4,'Tables - Part 2'!$AV$6:$AV$13,0),MATCH('HIC-SOHIC-HF'!$S4,'Tables - Part 2'!$AX$5:$BA$5,0))+(INDEX('Tables - Part 2'!$BF$6:$BI$13,MATCH('HIC-SOHIC-HF'!$U4,'Tables - Part 2'!$AV$6:$AV$13,0),MATCH('HIC-SOHIC-HF'!$S4,'Tables - Part 2'!$AX$5:$BA$5,0))+INDEX('Tables - Part 2'!$AX$17:$BA$24,MATCH('HIC-SOHIC-HF'!$U4,'Tables - Part 2'!$AV$6:$AV$13,0),MATCH('HIC-SOHIC-HF'!$S4,'Tables - Part 2'!$AX$5:$BA$5,0)))/2)/2,0)</f>
        <v>0</v>
      </c>
      <c r="AU4" s="248">
        <f>IF($R4=$AU$3,(((INDEX('Tables - Part 2'!$BF$6:$BI$13,MATCH('HIC-SOHIC-HF'!$U4,'Tables - Part 2'!$AV$6:$AV$13,0),MATCH('HIC-SOHIC-HF'!$S4,'Tables - Part 2'!$AX$5:$BA$5,0))+(INDEX('Tables - Part 2'!$BF$6:$BI$13,MATCH('HIC-SOHIC-HF'!$U4,'Tables - Part 2'!$AV$6:$AV$13,0),MATCH('HIC-SOHIC-HF'!$S4,'Tables - Part 2'!$AX$5:$BA$5,0))+INDEX('Tables - Part 2'!$AX$17:$BA$24,MATCH('HIC-SOHIC-HF'!$U4,'Tables - Part 2'!$AV$6:$AV$13,0),MATCH('HIC-SOHIC-HF'!$S4,'Tables - Part 2'!$AX$5:$BA$5,0)))/2)/2)+((INDEX('Tables - Part 2'!$BF$6:$BI$13,MATCH('HIC-SOHIC-HF'!$U4,'Tables - Part 2'!$AV$6:$AV$13,0),MATCH('HIC-SOHIC-HF'!$S4,'Tables - Part 2'!$AX$5:$BA$5,0))+INDEX('Tables - Part 2'!$AX$17:$BA$24,MATCH('HIC-SOHIC-HF'!$U4,'Tables - Part 2'!$AV$6:$AV$13,0),MATCH('HIC-SOHIC-HF'!$S4,'Tables - Part 2'!$AX$5:$BA$5,0)))/2))/2,0)</f>
        <v>0</v>
      </c>
      <c r="AV4" s="248">
        <f>IF($R4=$AV$3,(INDEX('Tables - Part 2'!$BF$6:$BI$13,MATCH('HIC-SOHIC-HF'!$U4,'Tables - Part 2'!$AV$6:$AV$13,0),MATCH('HIC-SOHIC-HF'!$S4,'Tables - Part 2'!$AX$5:$BA$5,0))+INDEX('Tables - Part 2'!$AX$17:$BA$24,MATCH('HIC-SOHIC-HF'!$U4,'Tables - Part 2'!$AV$6:$AV$13,0),MATCH('HIC-SOHIC-HF'!$S4,'Tables - Part 2'!$AX$5:$BA$5,0)))/2,0)</f>
        <v>0</v>
      </c>
      <c r="AW4" s="248">
        <f>IF($R4=$AW$3,(((INDEX('Tables - Part 2'!$BF$6:$BI$13,MATCH('HIC-SOHIC-HF'!$U4,'Tables - Part 2'!$AV$6:$AV$13,0),MATCH('HIC-SOHIC-HF'!$S4,'Tables - Part 2'!$AX$5:$BA$5,0))+INDEX('Tables - Part 2'!$AX$17:$BA$24,MATCH('HIC-SOHIC-HF'!$U4,'Tables - Part 2'!$AV$6:$AV$13,0),MATCH('HIC-SOHIC-HF'!$S4,'Tables - Part 2'!$AX$5:$BA$5,0)))/2)+((((INDEX('Tables - Part 2'!$BF$6:$BI$13,MATCH('HIC-SOHIC-HF'!$U4,'Tables - Part 2'!$AV$6:$AV$13,0),MATCH('HIC-SOHIC-HF'!$S4,'Tables - Part 2'!$AX$5:$BA$5,0))+INDEX('Tables - Part 2'!$AX$17:$BA$24,MATCH('HIC-SOHIC-HF'!$U4,'Tables - Part 2'!$AV$6:$AV$13,0),MATCH('HIC-SOHIC-HF'!$S4,'Tables - Part 2'!$AX$5:$BA$5,0)))/2)+INDEX('Tables - Part 2'!$AX$17:$BA$24,MATCH('HIC-SOHIC-HF'!$U4,'Tables - Part 2'!$AV$6:$AV$13,0),MATCH('HIC-SOHIC-HF'!$S4,'Tables - Part 2'!$AX$5:$BA$5,0)))/2))/2,0)</f>
        <v>0</v>
      </c>
      <c r="AX4" s="248">
        <f>IF($R4=$AX$3,(((INDEX('Tables - Part 2'!$BF$6:$BI$13,MATCH('HIC-SOHIC-HF'!$U4,'Tables - Part 2'!$AV$6:$AV$13,0),MATCH('HIC-SOHIC-HF'!$S4,'Tables - Part 2'!$AX$5:$BA$5,0))+INDEX('Tables - Part 2'!$AX$17:$BA$24,MATCH('HIC-SOHIC-HF'!$U4,'Tables - Part 2'!$AV$6:$AV$13,0),MATCH('HIC-SOHIC-HF'!$S4,'Tables - Part 2'!$AX$5:$BA$5,0)))/2)+INDEX('Tables - Part 2'!$AX$17:$BA$24,MATCH('HIC-SOHIC-HF'!$U4,'Tables - Part 2'!$AV$6:$AV$13,0),MATCH('HIC-SOHIC-HF'!$S4,'Tables - Part 2'!$AX$5:$BA$5,0)))/2,0)</f>
        <v>0</v>
      </c>
      <c r="AY4" s="248">
        <f>IF($R4=$AY$3,(((((INDEX('Tables - Part 2'!$BF$6:$BI$13,MATCH('HIC-SOHIC-HF'!$U4,'Tables - Part 2'!$AV$6:$AV$13,0),MATCH('HIC-SOHIC-HF'!$S4,'Tables - Part 2'!$AX$5:$BA$5,0))+INDEX('Tables - Part 2'!$AX$17:$BA$24,MATCH('HIC-SOHIC-HF'!$U4,'Tables - Part 2'!$AV$6:$AV$13,0),MATCH('HIC-SOHIC-HF'!$S4,'Tables - Part 2'!$AX$5:$BA$5,0)))/2)+INDEX('Tables - Part 2'!$AX$17:$BA$24,MATCH('HIC-SOHIC-HF'!$U4,'Tables - Part 2'!$AV$6:$AV$13,0),MATCH('HIC-SOHIC-HF'!$S4,'Tables - Part 2'!$AX$5:$BA$5,0)))/2)+(INDEX('Tables - Part 2'!$AX$17:$BA$24,MATCH('HIC-SOHIC-HF'!$U4,'Tables - Part 2'!$AV$6:$AV$13,0),MATCH('HIC-SOHIC-HF'!$S4,'Tables - Part 2'!$AX$5:$BA$5,0))))/2,0)</f>
        <v>0</v>
      </c>
      <c r="AZ4" s="248">
        <f>IF($R4=$AZ$3,INDEX('Tables - Part 2'!$AX$17:$BA$24,MATCH('HIC-SOHIC-HF'!$U4,'Tables - Part 2'!$AV$6:$AV$13,0),MATCH('HIC-SOHIC-HF'!$S4,'Tables - Part 2'!$AX$5:$BA$5,0)),0)</f>
        <v>0</v>
      </c>
      <c r="BA4" s="248">
        <f>IF($R4=$BA$3,((INDEX('Tables - Part 2'!$AX$17:$BA$24,MATCH('HIC-SOHIC-HF'!$U4,'Tables - Part 2'!$AV$6:$AV$13,0),MATCH('HIC-SOHIC-HF'!$S4,'Tables - Part 2'!$AX$5:$BA$5,0)))+(((INDEX('Tables - Part 2'!$AX$17:$BA$24,MATCH('HIC-SOHIC-HF'!$U4,'Tables - Part 2'!$AV$6:$AV$13,0),MATCH('HIC-SOHIC-HF'!$S4,'Tables - Part 2'!$AX$5:$BA$5,0)))+(INDEX('Tables - Part 2'!$AX$17:$BA$24,MATCH('HIC-SOHIC-HF'!$U4,'Tables - Part 2'!$AV$6:$AV$13,0),MATCH('HIC-SOHIC-HF'!$S4,'Tables - Part 2'!$AX$5:$BA$5,0))+INDEX('Tables - Part 2'!$BB$17:$BE$24,MATCH('HIC-SOHIC-HF'!$U4,'Tables - Part 2'!$AV$6:$AV$13,0),MATCH('HIC-SOHIC-HF'!$S4,'Tables - Part 2'!$AX$5:$BA$5,0)))/2)/2))/2,0)</f>
        <v>0</v>
      </c>
      <c r="BB4" s="248">
        <f>IF($R4=$BB$3,((INDEX('Tables - Part 2'!$AX$17:$BA$24,MATCH('HIC-SOHIC-HF'!$U4,'Tables - Part 2'!$AV$6:$AV$13,0),MATCH('HIC-SOHIC-HF'!$S4,'Tables - Part 2'!$AX$5:$BA$5,0)))+(INDEX('Tables - Part 2'!$AX$17:$BA$24,MATCH('HIC-SOHIC-HF'!$U4,'Tables - Part 2'!$AV$6:$AV$13,0),MATCH('HIC-SOHIC-HF'!$S4,'Tables - Part 2'!$AX$5:$BA$5,0))+INDEX('Tables - Part 2'!$BB$17:$BE$24,MATCH('HIC-SOHIC-HF'!$U4,'Tables - Part 2'!$AV$6:$AV$13,0),MATCH('HIC-SOHIC-HF'!$S4,'Tables - Part 2'!$AX$5:$BA$5,0)))/2)/2,0)</f>
        <v>0</v>
      </c>
      <c r="BC4" s="248">
        <f>IF($R4=$BC$3,((((INDEX('Tables - Part 2'!$AX$17:$BA$24,MATCH('HIC-SOHIC-HF'!$U4,'Tables - Part 2'!$AV$6:$AV$13,0),MATCH('HIC-SOHIC-HF'!$S4,'Tables - Part 2'!$AX$5:$BA$5,0)))+(INDEX('Tables - Part 2'!$AX$17:$BA$24,MATCH('HIC-SOHIC-HF'!$U4,'Tables - Part 2'!$AV$6:$AV$13,0),MATCH('HIC-SOHIC-HF'!$S4,'Tables - Part 2'!$AX$5:$BA$5,0))+INDEX('Tables - Part 2'!$BB$17:$BE$24,MATCH('HIC-SOHIC-HF'!$U4,'Tables - Part 2'!$AV$6:$AV$13,0),MATCH('HIC-SOHIC-HF'!$S4,'Tables - Part 2'!$AX$5:$BA$5,0)))/2)/2)+((INDEX('Tables - Part 2'!$AX$17:$BA$24,MATCH('HIC-SOHIC-HF'!$U4,'Tables - Part 2'!$AV$6:$AV$13,0),MATCH('HIC-SOHIC-HF'!$S4,'Tables - Part 2'!$AX$5:$BA$5,0))+INDEX('Tables - Part 2'!$BB$17:$BE$24,MATCH('HIC-SOHIC-HF'!$U4,'Tables - Part 2'!$AV$6:$AV$13,0),MATCH('HIC-SOHIC-HF'!$S4,'Tables - Part 2'!$AX$5:$BA$5,0)))/2))/2,0)</f>
        <v>0</v>
      </c>
      <c r="BD4" s="248">
        <f>IF($R4=$BD$3,(INDEX('Tables - Part 2'!$AX$17:$BA$24,MATCH('HIC-SOHIC-HF'!$U4,'Tables - Part 2'!$AV$6:$AV$13,0),MATCH('HIC-SOHIC-HF'!$S4,'Tables - Part 2'!$AX$5:$BA$5,0))+INDEX('Tables - Part 2'!$BB$17:$BE$24,MATCH('HIC-SOHIC-HF'!$U4,'Tables - Part 2'!$AV$6:$AV$13,0),MATCH('HIC-SOHIC-HF'!$S4,'Tables - Part 2'!$AX$5:$BA$5,0)))/2,0)</f>
        <v>0</v>
      </c>
      <c r="BE4" s="248">
        <f>IF($R4=$BE$3,(((INDEX('Tables - Part 2'!$AX$17:$BA$24,MATCH('HIC-SOHIC-HF'!$U4,'Tables - Part 2'!$AV$6:$AV$13,0),MATCH('HIC-SOHIC-HF'!$S4,'Tables - Part 2'!$AX$5:$BA$5,0))+INDEX('Tables - Part 2'!$BB$17:$BE$24,MATCH('HIC-SOHIC-HF'!$U4,'Tables - Part 2'!$AV$6:$AV$13,0),MATCH('HIC-SOHIC-HF'!$S4,'Tables - Part 2'!$AX$5:$BA$5,0)))/2)+((((INDEX('Tables - Part 2'!$AX$17:$BA$24,MATCH('HIC-SOHIC-HF'!$U4,'Tables - Part 2'!$AV$6:$AV$13,0),MATCH('HIC-SOHIC-HF'!$S4,'Tables - Part 2'!$AX$5:$BA$5,0))+INDEX('Tables - Part 2'!$BB$17:$BE$24,MATCH('HIC-SOHIC-HF'!$U4,'Tables - Part 2'!$AV$6:$AV$13,0),MATCH('HIC-SOHIC-HF'!$S4,'Tables - Part 2'!$AX$5:$BA$5,0)))/2)+INDEX('Tables - Part 2'!$BB$17:$BE$24,MATCH('HIC-SOHIC-HF'!$U4,'Tables - Part 2'!$AV$6:$AV$13,0),MATCH('HIC-SOHIC-HF'!$S4,'Tables - Part 2'!$AX$5:$BA$5,0)))/2))/2,0)</f>
        <v>0</v>
      </c>
      <c r="BF4" s="248">
        <f>IF($R4=$BF$3,(((INDEX('Tables - Part 2'!$AX$17:$BA$24,MATCH('HIC-SOHIC-HF'!$U4,'Tables - Part 2'!$AV$6:$AV$13,0),MATCH('HIC-SOHIC-HF'!$S4,'Tables - Part 2'!$AX$5:$BA$5,0))+INDEX('Tables - Part 2'!$BB$17:$BE$24,MATCH('HIC-SOHIC-HF'!$U4,'Tables - Part 2'!$AV$6:$AV$13,0),MATCH('HIC-SOHIC-HF'!$S4,'Tables - Part 2'!$AX$5:$BA$5,0)))/2)+INDEX('Tables - Part 2'!$BB$17:$BE$24,MATCH('HIC-SOHIC-HF'!$U4,'Tables - Part 2'!$AV$6:$AV$13,0),MATCH('HIC-SOHIC-HF'!$S4,'Tables - Part 2'!$AX$5:$BA$5,0)))/2,0)</f>
        <v>0</v>
      </c>
      <c r="BG4" s="248">
        <f>IF($R4=$BG$3,(((((INDEX('Tables - Part 2'!$AX$17:$BA$24,MATCH('HIC-SOHIC-HF'!$U4,'Tables - Part 2'!$AV$6:$AV$13,0),MATCH('HIC-SOHIC-HF'!$S4,'Tables - Part 2'!$AX$5:$BA$5,0))+INDEX('Tables - Part 2'!$BB$17:$BE$24,MATCH('HIC-SOHIC-HF'!$U4,'Tables - Part 2'!$AV$6:$AV$13,0),MATCH('HIC-SOHIC-HF'!$S4,'Tables - Part 2'!$AX$5:$BA$5,0)))/2)+INDEX('Tables - Part 2'!$BB$17:$BE$24,MATCH('HIC-SOHIC-HF'!$U4,'Tables - Part 2'!$AV$6:$AV$13,0),MATCH('HIC-SOHIC-HF'!$S4,'Tables - Part 2'!$AX$5:$BA$5,0)))/2)+(INDEX('Tables - Part 2'!$BB$17:$BE$24,MATCH('HIC-SOHIC-HF'!$U4,'Tables - Part 2'!$AV$6:$AV$13,0),MATCH('HIC-SOHIC-HF'!$S4,'Tables - Part 2'!$AX$5:$BA$5,0))))/2,0)</f>
        <v>0</v>
      </c>
      <c r="BH4" s="248">
        <f>IF($R4=$BH$3,INDEX('Tables - Part 2'!$BB$17:$BE$24,MATCH('HIC-SOHIC-HF'!$U4,'Tables - Part 2'!$AV$6:$AV$13,0),MATCH('HIC-SOHIC-HF'!$S4,'Tables - Part 2'!$AX$5:$BA$5,0)),0)</f>
        <v>0</v>
      </c>
      <c r="BI4" s="248">
        <f>IF($R4=$BI$3,((INDEX('Tables - Part 2'!$BB$17:$BE$24,MATCH('HIC-SOHIC-HF'!$U4,'Tables - Part 2'!$AV$6:$AV$13,0),MATCH('HIC-SOHIC-HF'!$S4,'Tables - Part 2'!$AX$5:$BA$5,0)))+(((INDEX('Tables - Part 2'!$BB$17:$BE$24,MATCH('HIC-SOHIC-HF'!$U4,'Tables - Part 2'!$AV$6:$AV$13,0),MATCH('HIC-SOHIC-HF'!$S4,'Tables - Part 2'!$AX$5:$BA$5,0)))+(INDEX('Tables - Part 2'!$BB$17:$BE$24,MATCH('HIC-SOHIC-HF'!$U4,'Tables - Part 2'!$AV$6:$AV$13,0),MATCH('HIC-SOHIC-HF'!$S4,'Tables - Part 2'!$AX$5:$BA$5,0))+INDEX('Tables - Part 2'!$BF$17:$BI$24,MATCH('HIC-SOHIC-HF'!$U4,'Tables - Part 2'!$AV$6:$AV$13,0),MATCH('HIC-SOHIC-HF'!$S4,'Tables - Part 2'!$AX$5:$BA$5,0)))/2)/2))/2,0)</f>
        <v>0</v>
      </c>
      <c r="BJ4" s="248">
        <f>IF($R4=$BJ$3,((INDEX('Tables - Part 2'!$BB$17:$BE$24,MATCH('HIC-SOHIC-HF'!$U4,'Tables - Part 2'!$AV$6:$AV$13,0),MATCH('HIC-SOHIC-HF'!$S4,'Tables - Part 2'!$AX$5:$BA$5,0)))+(INDEX('Tables - Part 2'!$BB$17:$BE$24,MATCH('HIC-SOHIC-HF'!$U4,'Tables - Part 2'!$AV$6:$AV$13,0),MATCH('HIC-SOHIC-HF'!$S4,'Tables - Part 2'!$AX$5:$BA$5,0))+INDEX('Tables - Part 2'!$BF$17:$BI$24,MATCH('HIC-SOHIC-HF'!$U4,'Tables - Part 2'!$AV$6:$AV$13,0),MATCH('HIC-SOHIC-HF'!$S4,'Tables - Part 2'!$AX$5:$BA$5,0)))/2)/2,0)</f>
        <v>0</v>
      </c>
      <c r="BK4" s="248">
        <f>IF($R4=$BK$3,((((INDEX('Tables - Part 2'!$BB$17:$BE$24,MATCH('HIC-SOHIC-HF'!$U4,'Tables - Part 2'!$AV$6:$AV$13,0),MATCH('HIC-SOHIC-HF'!$S4,'Tables - Part 2'!$AX$5:$BA$5,0)))+(INDEX('Tables - Part 2'!$BB$17:$BE$24,MATCH('HIC-SOHIC-HF'!$U4,'Tables - Part 2'!$AV$6:$AV$13,0),MATCH('HIC-SOHIC-HF'!$S4,'Tables - Part 2'!$AX$5:$BA$5,0))+INDEX('Tables - Part 2'!$BF$17:$BI$24,MATCH('HIC-SOHIC-HF'!$U4,'Tables - Part 2'!$AV$6:$AV$13,0),MATCH('HIC-SOHIC-HF'!$S4,'Tables - Part 2'!$AX$5:$BA$5,0)))/2)/2)+((INDEX('Tables - Part 2'!$BB$17:$BE$24,MATCH('HIC-SOHIC-HF'!$U4,'Tables - Part 2'!$AV$6:$AV$13,0),MATCH('HIC-SOHIC-HF'!$S4,'Tables - Part 2'!$AX$5:$BA$5,0))+INDEX('Tables - Part 2'!$BF$17:$BI$24,MATCH('HIC-SOHIC-HF'!$U4,'Tables - Part 2'!$AV$6:$AV$13,0),MATCH('HIC-SOHIC-HF'!$S4,'Tables - Part 2'!$AX$5:$BA$5,0)))/2))/2,0)</f>
        <v>0</v>
      </c>
      <c r="BL4" s="248">
        <f>IF($R4=$BL$3,(INDEX('Tables - Part 2'!$BB$17:$BE$24,MATCH('HIC-SOHIC-HF'!$U4,'Tables - Part 2'!$AV$6:$AV$13,0),MATCH('HIC-SOHIC-HF'!$S4,'Tables - Part 2'!$AX$5:$BA$5,0))+INDEX('Tables - Part 2'!$BF$17:$BI$24,MATCH('HIC-SOHIC-HF'!$U4,'Tables - Part 2'!$AV$6:$AV$13,0),MATCH('HIC-SOHIC-HF'!$S4,'Tables - Part 2'!$AX$5:$BA$5,0)))/2,0)</f>
        <v>0</v>
      </c>
      <c r="BM4" s="248">
        <f>IF($R4=$BM$3,(((INDEX('Tables - Part 2'!$BB$17:$BE$24,MATCH('HIC-SOHIC-HF'!$U4,'Tables - Part 2'!$AV$6:$AV$13,0),MATCH('HIC-SOHIC-HF'!$S4,'Tables - Part 2'!$AX$5:$BA$5,0))+INDEX('Tables - Part 2'!$BF$17:$BI$24,MATCH('HIC-SOHIC-HF'!$U4,'Tables - Part 2'!$AV$6:$AV$13,0),MATCH('HIC-SOHIC-HF'!$S4,'Tables - Part 2'!$AX$5:$BA$5,0)))/2)+((((INDEX('Tables - Part 2'!$BB$17:$BE$24,MATCH('HIC-SOHIC-HF'!$U4,'Tables - Part 2'!$AV$6:$AV$13,0),MATCH('HIC-SOHIC-HF'!$S4,'Tables - Part 2'!$AX$5:$BA$5,0))+INDEX('Tables - Part 2'!$BF$17:$BI$24,MATCH('HIC-SOHIC-HF'!$U4,'Tables - Part 2'!$AV$6:$AV$13,0),MATCH('HIC-SOHIC-HF'!$S4,'Tables - Part 2'!$AX$5:$BA$5,0)))/2)+INDEX('Tables - Part 2'!$BF$17:$BI$24,MATCH('HIC-SOHIC-HF'!$U4,'Tables - Part 2'!$AV$6:$AV$13,0),MATCH('HIC-SOHIC-HF'!$S4,'Tables - Part 2'!$AX$5:$BA$5,0)))/2))/2,0)</f>
        <v>0</v>
      </c>
      <c r="BN4" s="248">
        <f>IF($R4=$BN$3,(((INDEX('Tables - Part 2'!$BB$17:$BE$24,MATCH('HIC-SOHIC-HF'!$U4,'Tables - Part 2'!$AV$6:$AV$13,0),MATCH('HIC-SOHIC-HF'!$S4,'Tables - Part 2'!$AX$5:$BA$5,0))+INDEX('Tables - Part 2'!$BF$17:$BI$24,MATCH('HIC-SOHIC-HF'!$U4,'Tables - Part 2'!$AV$6:$AV$13,0),MATCH('HIC-SOHIC-HF'!$S4,'Tables - Part 2'!$AX$5:$BA$5,0)))/2)+INDEX('Tables - Part 2'!$BF$17:$BI$24,MATCH('HIC-SOHIC-HF'!$U4,'Tables - Part 2'!$AV$6:$AV$13,0),MATCH('HIC-SOHIC-HF'!$S4,'Tables - Part 2'!$AX$5:$BA$5,0)))/2,0)</f>
        <v>0</v>
      </c>
      <c r="BO4" s="248">
        <f>IF($R4=$BO$3,(((((INDEX('Tables - Part 2'!$BB$17:$BE$24,MATCH('HIC-SOHIC-HF'!$U4,'Tables - Part 2'!$AV$6:$AV$13,0),MATCH('HIC-SOHIC-HF'!$S4,'Tables - Part 2'!$AX$5:$BA$5,0))+INDEX('Tables - Part 2'!$BF$17:$BI$24,MATCH('HIC-SOHIC-HF'!$U4,'Tables - Part 2'!$AV$6:$AV$13,0),MATCH('HIC-SOHIC-HF'!$S4,'Tables - Part 2'!$AX$5:$BA$5,0)))/2)+INDEX('Tables - Part 2'!$BF$17:$BI$24,MATCH('HIC-SOHIC-HF'!$U4,'Tables - Part 2'!$AV$6:$AV$13,0),MATCH('HIC-SOHIC-HF'!$S4,'Tables - Part 2'!$AX$5:$BA$5,0)))/2)+(INDEX('Tables - Part 2'!$BF$17:$BI$24,MATCH('HIC-SOHIC-HF'!$U4,'Tables - Part 2'!$AV$6:$AV$13,0),MATCH('HIC-SOHIC-HF'!$S4,'Tables - Part 2'!$AX$5:$BA$5,0))))/2,0)</f>
        <v>0</v>
      </c>
      <c r="BP4" s="248">
        <f>IF($R4=$BP$3,INDEX('Tables - Part 2'!$BF$17:$BI$24,MATCH('HIC-SOHIC-HF'!$U4,'Tables - Part 2'!$AV$6:$AV$13,0),MATCH('HIC-SOHIC-HF'!$S4,'Tables - Part 2'!$AX$5:$BA$5,0)),0)</f>
        <v>0</v>
      </c>
      <c r="BQ4" s="248">
        <f t="shared" ref="BQ4:BQ21" si="6">IF(R4=0,U4,0)</f>
        <v>0</v>
      </c>
      <c r="BR4" s="238">
        <f>SUM(AB4:BQ4)</f>
        <v>3</v>
      </c>
      <c r="BS4" s="238">
        <f>IF(B4="",0,MIN(BR4*POWER(MAX(W4,1),1.1)/V4,5000))</f>
        <v>50.318647405225171</v>
      </c>
      <c r="BV4" s="237" t="s">
        <v>841</v>
      </c>
      <c r="BX4" t="s">
        <v>61</v>
      </c>
      <c r="CB4" s="208"/>
    </row>
    <row r="5" spans="2:84" x14ac:dyDescent="0.35">
      <c r="B5" s="161" t="str">
        <f>'Tratamento de Dados'!B13</f>
        <v>V-07</v>
      </c>
      <c r="C5" s="161" t="str">
        <f>'Tratamento de Dados'!D13</f>
        <v>Tampo_Sul</v>
      </c>
      <c r="D5" s="209" t="s">
        <v>245</v>
      </c>
      <c r="E5" s="209" t="s">
        <v>61</v>
      </c>
      <c r="F5" s="209" t="s">
        <v>244</v>
      </c>
      <c r="G5" s="209" t="s">
        <v>244</v>
      </c>
      <c r="H5" s="209" t="s">
        <v>1208</v>
      </c>
      <c r="I5" s="209" t="s">
        <v>245</v>
      </c>
      <c r="J5" s="209" t="s">
        <v>898</v>
      </c>
      <c r="K5" s="210">
        <v>39092</v>
      </c>
      <c r="L5" s="209">
        <v>0</v>
      </c>
      <c r="M5" s="209">
        <v>1</v>
      </c>
      <c r="N5" s="209">
        <v>1</v>
      </c>
      <c r="O5" s="209">
        <v>4</v>
      </c>
      <c r="P5" s="253">
        <f>'Tratamento de Dados'!DA13</f>
        <v>0</v>
      </c>
      <c r="Q5" s="253">
        <f>'Tratamento de Dados'!DB13</f>
        <v>0</v>
      </c>
      <c r="R5" s="256">
        <f t="shared" si="0"/>
        <v>2.5</v>
      </c>
      <c r="S5" s="246" t="str">
        <f t="shared" si="1"/>
        <v>B</v>
      </c>
      <c r="T5" s="238" t="str" cm="1">
        <f t="array" ref="T5">IF(D5=$BX$2,$BV$4,IF(OR(F5=$BX$3,G5=$BX$3),$BV$5,INDEX(IF(I5=$BX$2,'Tables - Part 2'!$EI$6:$EK$6,'Tables - Part 2'!$EI$5:$EK$5),,MATCH('HIC-SOHIC-HF'!H5,'Tables - Part 2'!$EI$4:$EK$4,0))))</f>
        <v>High</v>
      </c>
      <c r="U5" s="238">
        <f>IF(AND(D5=$BX$2,E5&lt;&gt;$BX$2),"Fitness-For-Service",INDEX('Tables - Part 2'!$EN$4:$EN$7,MATCH('HIC-SOHIC-HF'!T5,'Tables - Part 2'!$EM$4:$EM$7,0),))</f>
        <v>100</v>
      </c>
      <c r="V5" s="238">
        <f>INDEX('Tables - Part 2'!$EQ$4:$EQ$7,MATCH('HIC-SOHIC-HF'!J5,'Tables - Part 2'!$EP$4:$EP$7,0))</f>
        <v>1</v>
      </c>
      <c r="W5" s="238">
        <f>IF(K5=0,(Thinning!G6-Thinning!F6)/365.25,(Thinning!G6-K5)/365.25)</f>
        <v>13.390828199863108</v>
      </c>
      <c r="X5" s="248">
        <f t="shared" si="2"/>
        <v>0</v>
      </c>
      <c r="Y5" s="248">
        <f t="shared" si="3"/>
        <v>2.5</v>
      </c>
      <c r="Z5" s="248">
        <f t="shared" si="4"/>
        <v>3</v>
      </c>
      <c r="AA5" s="247">
        <f t="shared" si="5"/>
        <v>4</v>
      </c>
      <c r="AB5" s="248">
        <f>IF($R5=$AB$3,INDEX('Tables - Part 2'!$AX$6:$BA$13,MATCH('HIC-SOHIC-HF'!U5,'Tables - Part 2'!$AV$6:$AV$13,0),MATCH('HIC-SOHIC-HF'!S5,'Tables - Part 2'!$AX$5:$BA$5,0)),0)</f>
        <v>0</v>
      </c>
      <c r="AC5" s="248">
        <f>IF($R5=$AC$3,(INDEX('Tables - Part 2'!$AX$6:$BA$13,MATCH('HIC-SOHIC-HF'!U5,'Tables - Part 2'!$AV$6:$AV$13,0),MATCH('HIC-SOHIC-HF'!S5,'Tables - Part 2'!$AX$5:$BA$5,0))+(INDEX('Tables - Part 2'!$AX$6:$BA$13,MATCH('HIC-SOHIC-HF'!U5,'Tables - Part 2'!$AV$6:$AV$13,0),MATCH('HIC-SOHIC-HF'!S5,'Tables - Part 2'!$AX$5:$BA$5,0))+((INDEX('Tables - Part 2'!$AX$6:$BA$13,MATCH('HIC-SOHIC-HF'!U5,'Tables - Part 2'!$AV$6:$AV$13,0),MATCH('HIC-SOHIC-HF'!S5,'Tables - Part 2'!$AX$5:$BA$5,0))+INDEX('Tables - Part 2'!$BB$6:$BE$13,MATCH('HIC-SOHIC-HF'!$U5,'Tables - Part 2'!$AV$6:$AV$13,0),MATCH('HIC-SOHIC-HF'!$S5,'Tables - Part 2'!$AX$5:$BA$5,0)))/2))/2)/2,0)</f>
        <v>0</v>
      </c>
      <c r="AD5" s="248">
        <f>IF($R5=$AD$3,(INDEX('Tables - Part 2'!$AX$6:$BA$13,MATCH('HIC-SOHIC-HF'!U5,'Tables - Part 2'!$AV$6:$AV$13,0),MATCH('HIC-SOHIC-HF'!S5,'Tables - Part 2'!$AX$5:$BA$5,0))+((INDEX('Tables - Part 2'!$AX$6:$BA$13,MATCH('HIC-SOHIC-HF'!U5,'Tables - Part 2'!$AV$6:$AV$13,0),MATCH('HIC-SOHIC-HF'!S5,'Tables - Part 2'!$AX$5:$BA$5,0))+INDEX('Tables - Part 2'!$BB$6:$BE$13,MATCH('HIC-SOHIC-HF'!$U5,'Tables - Part 2'!$AV$6:$AV$13,0),MATCH('HIC-SOHIC-HF'!$S5,'Tables - Part 2'!$AX$5:$BA$5,0)))/2))/2,0)</f>
        <v>0</v>
      </c>
      <c r="AE5" s="248">
        <f>IF($R5=$AE$3,(((INDEX('Tables - Part 2'!$AX$6:$BA$13,MATCH('HIC-SOHIC-HF'!U5,'Tables - Part 2'!$AV$6:$AV$13,0),MATCH('HIC-SOHIC-HF'!S5,'Tables - Part 2'!$AX$5:$BA$5,0))+((INDEX('Tables - Part 2'!$AX$6:$BA$13,MATCH('HIC-SOHIC-HF'!U5,'Tables - Part 2'!$AV$6:$AV$13,0),MATCH('HIC-SOHIC-HF'!S5,'Tables - Part 2'!$AX$5:$BA$5,0))+INDEX('Tables - Part 2'!$BB$6:$BE$13,MATCH('HIC-SOHIC-HF'!$U5,'Tables - Part 2'!$AV$6:$AV$13,0),MATCH('HIC-SOHIC-HF'!$S5,'Tables - Part 2'!$AX$5:$BA$5,0)))/2))/2)+(INDEX('Tables - Part 2'!$AX$6:$BA$13,MATCH('HIC-SOHIC-HF'!U5,'Tables - Part 2'!$AV$6:$AV$13,0),MATCH('HIC-SOHIC-HF'!S5,'Tables - Part 2'!$AX$5:$BA$5,0))+INDEX('Tables - Part 2'!$BB$6:$BE$13,MATCH('HIC-SOHIC-HF'!$U5,'Tables - Part 2'!$AV$6:$AV$13,0),MATCH('HIC-SOHIC-HF'!$S5,'Tables - Part 2'!$AX$5:$BA$5,0)))/2)/2,0)</f>
        <v>0</v>
      </c>
      <c r="AF5" s="248">
        <f>IF($R5=$AF$3,(INDEX('Tables - Part 2'!$AX$6:$BA$13,MATCH('HIC-SOHIC-HF'!U5,'Tables - Part 2'!$AV$6:$AV$13,0),MATCH('HIC-SOHIC-HF'!S5,'Tables - Part 2'!$AX$5:$BA$5,0))+INDEX('Tables - Part 2'!$BB$6:$BE$13,MATCH('HIC-SOHIC-HF'!$U5,'Tables - Part 2'!$AV$6:$AV$13,0),MATCH('HIC-SOHIC-HF'!$S5,'Tables - Part 2'!$AX$5:$BA$5,0)))/2,0)</f>
        <v>0</v>
      </c>
      <c r="AG5" s="248">
        <f>IF($R5=$AG$3,(((INDEX('Tables - Part 2'!$AX$6:$BA$13,MATCH('HIC-SOHIC-HF'!U5,'Tables - Part 2'!$AV$6:$AV$13,0),MATCH('HIC-SOHIC-HF'!S5,'Tables - Part 2'!$AX$5:$BA$5,0))+INDEX('Tables - Part 2'!$BB$6:$BE$13,MATCH('HIC-SOHIC-HF'!$U5,'Tables - Part 2'!$AV$6:$AV$13,0),MATCH('HIC-SOHIC-HF'!$S5,'Tables - Part 2'!$AX$5:$BA$5,0)))/2)+(((INDEX('Tables - Part 2'!$AX$6:$BA$13,MATCH('HIC-SOHIC-HF'!U5,'Tables - Part 2'!$AV$6:$AV$13,0),MATCH('HIC-SOHIC-HF'!S5,'Tables - Part 2'!$AX$5:$BA$5,0))+INDEX('Tables - Part 2'!$BB$6:$BE$13,MATCH('HIC-SOHIC-HF'!$U5,'Tables - Part 2'!$AV$6:$AV$13,0),MATCH('HIC-SOHIC-HF'!$S5,'Tables - Part 2'!$AX$5:$BA$5,0)))/2)+INDEX('Tables - Part 2'!$BB$6:$BE$13,MATCH('HIC-SOHIC-HF'!$U5,'Tables - Part 2'!$AV$6:$AV$13,0),MATCH('HIC-SOHIC-HF'!$S5,'Tables - Part 2'!$AX$5:$BA$5,0)))/2)/2,0)</f>
        <v>0</v>
      </c>
      <c r="AH5" s="248">
        <f>IF($R5=$AH$3,(((INDEX('Tables - Part 2'!$AX$6:$BA$13,MATCH('HIC-SOHIC-HF'!U5,'Tables - Part 2'!$AV$6:$AV$13,0),MATCH('HIC-SOHIC-HF'!S5,'Tables - Part 2'!$AX$5:$BA$5,0))+INDEX('Tables - Part 2'!$BB$6:$BE$13,MATCH('HIC-SOHIC-HF'!$U5,'Tables - Part 2'!$AV$6:$AV$13,0),MATCH('HIC-SOHIC-HF'!$S5,'Tables - Part 2'!$AX$5:$BA$5,0)))/2)+INDEX('Tables - Part 2'!$BB$6:$BE$13,MATCH('HIC-SOHIC-HF'!$U5,'Tables - Part 2'!$AV$6:$AV$13,0),MATCH('HIC-SOHIC-HF'!$S5,'Tables - Part 2'!$AX$5:$BA$5,0)))/2,0)</f>
        <v>0</v>
      </c>
      <c r="AI5" s="248">
        <f>IF($R5=$AI$3,(((((INDEX('Tables - Part 2'!$AX$6:$BA$13,MATCH('HIC-SOHIC-HF'!U5,'Tables - Part 2'!$AV$6:$AV$13,0),MATCH('HIC-SOHIC-HF'!S5,'Tables - Part 2'!$AX$5:$BA$5,0))+INDEX('Tables - Part 2'!$BB$6:$BE$13,MATCH('HIC-SOHIC-HF'!$U5,'Tables - Part 2'!$AV$6:$AV$13,0),MATCH('HIC-SOHIC-HF'!$S5,'Tables - Part 2'!$AX$5:$BA$5,0)))/2)+INDEX('Tables - Part 2'!$BB$6:$BE$13,MATCH('HIC-SOHIC-HF'!$U5,'Tables - Part 2'!$AV$6:$AV$13,0),MATCH('HIC-SOHIC-HF'!$S5,'Tables - Part 2'!$AX$5:$BA$5,0)))/2)+INDEX('Tables - Part 2'!$BB$6:$BE$13,MATCH('HIC-SOHIC-HF'!$U5,'Tables - Part 2'!$AV$6:$AV$13,0),MATCH('HIC-SOHIC-HF'!$S5,'Tables - Part 2'!$AX$5:$BA$5,0)))/2,0)</f>
        <v>0</v>
      </c>
      <c r="AJ5" s="248">
        <f>IF($R5=$AJ$3,INDEX('Tables - Part 2'!$BB$6:$BE$13,MATCH('HIC-SOHIC-HF'!$U5,'Tables - Part 2'!$AV$6:$AV$13,0),MATCH('HIC-SOHIC-HF'!$S5,'Tables - Part 2'!$AX$5:$BA$5,0)),0)</f>
        <v>0</v>
      </c>
      <c r="AK5" s="248">
        <f>IF($R5=$AK$3,((INDEX('Tables - Part 2'!$BB$6:$BE$13,MATCH('HIC-SOHIC-HF'!$U5,'Tables - Part 2'!$AV$6:$AV$13,0),MATCH('HIC-SOHIC-HF'!$S5,'Tables - Part 2'!$AX$5:$BA$5,0)))+(INDEX('Tables - Part 2'!$BB$6:$BE$13,MATCH('HIC-SOHIC-HF'!$U5,'Tables - Part 2'!$AV$6:$AV$13,0),MATCH('HIC-SOHIC-HF'!$S5,'Tables - Part 2'!$AX$5:$BA$5,0))+(INDEX('Tables - Part 2'!$BB$6:$BE$13,MATCH('HIC-SOHIC-HF'!$U5,'Tables - Part 2'!$AV$6:$AV$13,0),MATCH('HIC-SOHIC-HF'!$S5,'Tables - Part 2'!$AX$5:$BA$5,0))+INDEX('Tables - Part 2'!$BF$6:$BI$13,MATCH('HIC-SOHIC-HF'!$U5,'Tables - Part 2'!$AV$6:$AV$13,0),MATCH('HIC-SOHIC-HF'!$S5,'Tables - Part 2'!$AX$5:$BA$5,0)))/2)/2)/2,0)</f>
        <v>0</v>
      </c>
      <c r="AL5" s="248">
        <f>IF($R5=$AL$3,(INDEX('Tables - Part 2'!$BB$6:$BE$13,MATCH('HIC-SOHIC-HF'!$U5,'Tables - Part 2'!$AV$6:$AV$13,0),MATCH('HIC-SOHIC-HF'!$S5,'Tables - Part 2'!$AX$5:$BA$5,0))+(INDEX('Tables - Part 2'!$BB$6:$BE$13,MATCH('HIC-SOHIC-HF'!$U5,'Tables - Part 2'!$AV$6:$AV$13,0),MATCH('HIC-SOHIC-HF'!$S5,'Tables - Part 2'!$AX$5:$BA$5,0))+INDEX('Tables - Part 2'!$BF$6:$BI$13,MATCH('HIC-SOHIC-HF'!$U5,'Tables - Part 2'!$AV$6:$AV$13,0),MATCH('HIC-SOHIC-HF'!$S5,'Tables - Part 2'!$AX$5:$BA$5,0)))/2)/2,0)</f>
        <v>0</v>
      </c>
      <c r="AM5" s="248">
        <f>IF($R5=$AM$3,(((INDEX('Tables - Part 2'!$BB$6:$BE$13,MATCH('HIC-SOHIC-HF'!$U5,'Tables - Part 2'!$AV$6:$AV$13,0),MATCH('HIC-SOHIC-HF'!$S5,'Tables - Part 2'!$AX$5:$BA$5,0))+(INDEX('Tables - Part 2'!$BB$6:$BE$13,MATCH('HIC-SOHIC-HF'!$U5,'Tables - Part 2'!$AV$6:$AV$13,0),MATCH('HIC-SOHIC-HF'!$S5,'Tables - Part 2'!$AX$5:$BA$5,0))+INDEX('Tables - Part 2'!$BF$6:$BI$13,MATCH('HIC-SOHIC-HF'!$U5,'Tables - Part 2'!$AV$6:$AV$13,0),MATCH('HIC-SOHIC-HF'!$S5,'Tables - Part 2'!$AX$5:$BA$5,0)))/2)/2)+((INDEX('Tables - Part 2'!$BB$6:$BE$13,MATCH('HIC-SOHIC-HF'!$U5,'Tables - Part 2'!$AV$6:$AV$13,0),MATCH('HIC-SOHIC-HF'!$S5,'Tables - Part 2'!$AX$5:$BA$5,0))+INDEX('Tables - Part 2'!$BF$6:$BI$13,MATCH('HIC-SOHIC-HF'!$U5,'Tables - Part 2'!$AV$6:$AV$13,0),MATCH('HIC-SOHIC-HF'!$S5,'Tables - Part 2'!$AX$5:$BA$5,0)))/2))/2,0)</f>
        <v>0</v>
      </c>
      <c r="AN5" s="248">
        <f>IF($R5=$AN$3,(INDEX('Tables - Part 2'!$BB$6:$BE$13,MATCH('HIC-SOHIC-HF'!$U5,'Tables - Part 2'!$AV$6:$AV$13,0),MATCH('HIC-SOHIC-HF'!$S5,'Tables - Part 2'!$AX$5:$BA$5,0))+INDEX('Tables - Part 2'!$BF$6:$BI$13,MATCH('HIC-SOHIC-HF'!$U5,'Tables - Part 2'!$AV$6:$AV$13,0),MATCH('HIC-SOHIC-HF'!$S5,'Tables - Part 2'!$AX$5:$BA$5,0)))/2,0)</f>
        <v>3</v>
      </c>
      <c r="AO5" s="248">
        <f>IF($R5=$AO$3,(((INDEX('Tables - Part 2'!$BB$6:$BE$13,MATCH('HIC-SOHIC-HF'!$U5,'Tables - Part 2'!$AV$6:$AV$13,0),MATCH('HIC-SOHIC-HF'!$S5,'Tables - Part 2'!$AX$5:$BA$5,0))+INDEX('Tables - Part 2'!$BF$6:$BI$13,MATCH('HIC-SOHIC-HF'!$U5,'Tables - Part 2'!$AV$6:$AV$13,0),MATCH('HIC-SOHIC-HF'!$S5,'Tables - Part 2'!$AX$5:$BA$5,0)))/2)+((((INDEX('Tables - Part 2'!$BB$6:$BE$13,MATCH('HIC-SOHIC-HF'!$U5,'Tables - Part 2'!$AV$6:$AV$13,0),MATCH('HIC-SOHIC-HF'!$S5,'Tables - Part 2'!$AX$5:$BA$5,0))+INDEX('Tables - Part 2'!$BF$6:$BI$13,MATCH('HIC-SOHIC-HF'!$U5,'Tables - Part 2'!$AV$6:$AV$13,0),MATCH('HIC-SOHIC-HF'!$S5,'Tables - Part 2'!$AX$5:$BA$5,0)))/2)+INDEX('Tables - Part 2'!$BF$6:$BI$13,MATCH('HIC-SOHIC-HF'!$U5,'Tables - Part 2'!$AV$6:$AV$13,0),MATCH('HIC-SOHIC-HF'!$S5,'Tables - Part 2'!$AX$5:$BA$5,0)))/2))/2,0)</f>
        <v>0</v>
      </c>
      <c r="AP5" s="248">
        <f>IF($R5=$AP$3,(((INDEX('Tables - Part 2'!$BB$6:$BE$13,MATCH('HIC-SOHIC-HF'!$U5,'Tables - Part 2'!$AV$6:$AV$13,0),MATCH('HIC-SOHIC-HF'!$S5,'Tables - Part 2'!$AX$5:$BA$5,0))+INDEX('Tables - Part 2'!$BF$6:$BI$13,MATCH('HIC-SOHIC-HF'!$U5,'Tables - Part 2'!$AV$6:$AV$13,0),MATCH('HIC-SOHIC-HF'!$S5,'Tables - Part 2'!$AX$5:$BA$5,0)))/2)+INDEX('Tables - Part 2'!$BF$6:$BI$13,MATCH('HIC-SOHIC-HF'!$U5,'Tables - Part 2'!$AV$6:$AV$13,0),MATCH('HIC-SOHIC-HF'!$S5,'Tables - Part 2'!$AX$5:$BA$5,0)))/2,0)</f>
        <v>0</v>
      </c>
      <c r="AQ5" s="248">
        <f>IF($R5=$AQ$3,(((((INDEX('Tables - Part 2'!$BB$6:$BE$13,MATCH('HIC-SOHIC-HF'!$U5,'Tables - Part 2'!$AV$6:$AV$13,0),MATCH('HIC-SOHIC-HF'!$S5,'Tables - Part 2'!$AX$5:$BA$5,0))+INDEX('Tables - Part 2'!$BF$6:$BI$13,MATCH('HIC-SOHIC-HF'!$U5,'Tables - Part 2'!$AV$6:$AV$13,0),MATCH('HIC-SOHIC-HF'!$S5,'Tables - Part 2'!$AX$5:$BA$5,0)))/2)+INDEX('Tables - Part 2'!$BF$6:$BI$13,MATCH('HIC-SOHIC-HF'!$U5,'Tables - Part 2'!$AV$6:$AV$13,0),MATCH('HIC-SOHIC-HF'!$S5,'Tables - Part 2'!$AX$5:$BA$5,0)))/2)+INDEX('Tables - Part 2'!$BF$6:$BI$13,MATCH('HIC-SOHIC-HF'!$U5,'Tables - Part 2'!$AV$6:$AV$13,0),MATCH('HIC-SOHIC-HF'!$S5,'Tables - Part 2'!$AX$5:$BA$5,0)))/2,0)</f>
        <v>0</v>
      </c>
      <c r="AR5" s="248">
        <f>IF($R5=$AR$3,INDEX('Tables - Part 2'!$BF$6:$BI$13,MATCH('HIC-SOHIC-HF'!$U5,'Tables - Part 2'!$AV$6:$AV$13,0),MATCH('HIC-SOHIC-HF'!$S5,'Tables - Part 2'!$AX$5:$BA$5,0)),0)</f>
        <v>0</v>
      </c>
      <c r="AS5" s="248">
        <f>IF($R5=$AS$3,(INDEX('Tables - Part 2'!$BF$6:$BI$13,MATCH('HIC-SOHIC-HF'!$U5,'Tables - Part 2'!$AV$6:$AV$13,0),MATCH('HIC-SOHIC-HF'!$S5,'Tables - Part 2'!$AX$5:$BA$5,0))+((INDEX('Tables - Part 2'!$BF$6:$BI$13,MATCH('HIC-SOHIC-HF'!$U5,'Tables - Part 2'!$AV$6:$AV$13,0),MATCH('HIC-SOHIC-HF'!$S5,'Tables - Part 2'!$AX$5:$BA$5,0))+(INDEX('Tables - Part 2'!$BF$6:$BI$13,MATCH('HIC-SOHIC-HF'!$U5,'Tables - Part 2'!$AV$6:$AV$13,0),MATCH('HIC-SOHIC-HF'!$S5,'Tables - Part 2'!$AX$5:$BA$5,0))+INDEX('Tables - Part 2'!$AX$17:$BA$24,MATCH('HIC-SOHIC-HF'!$U5,'Tables - Part 2'!$AV$6:$AV$13,0),MATCH('HIC-SOHIC-HF'!$S5,'Tables - Part 2'!$AX$5:$BA$5,0)))/2)/2))/2,0)</f>
        <v>0</v>
      </c>
      <c r="AT5" s="248">
        <f>IF($R5=$AT$3,(INDEX('Tables - Part 2'!$BF$6:$BI$13,MATCH('HIC-SOHIC-HF'!$U5,'Tables - Part 2'!$AV$6:$AV$13,0),MATCH('HIC-SOHIC-HF'!$S5,'Tables - Part 2'!$AX$5:$BA$5,0))+(INDEX('Tables - Part 2'!$BF$6:$BI$13,MATCH('HIC-SOHIC-HF'!$U5,'Tables - Part 2'!$AV$6:$AV$13,0),MATCH('HIC-SOHIC-HF'!$S5,'Tables - Part 2'!$AX$5:$BA$5,0))+INDEX('Tables - Part 2'!$AX$17:$BA$24,MATCH('HIC-SOHIC-HF'!$U5,'Tables - Part 2'!$AV$6:$AV$13,0),MATCH('HIC-SOHIC-HF'!$S5,'Tables - Part 2'!$AX$5:$BA$5,0)))/2)/2,0)</f>
        <v>0</v>
      </c>
      <c r="AU5" s="248">
        <f>IF($R5=$AU$3,(((INDEX('Tables - Part 2'!$BF$6:$BI$13,MATCH('HIC-SOHIC-HF'!$U5,'Tables - Part 2'!$AV$6:$AV$13,0),MATCH('HIC-SOHIC-HF'!$S5,'Tables - Part 2'!$AX$5:$BA$5,0))+(INDEX('Tables - Part 2'!$BF$6:$BI$13,MATCH('HIC-SOHIC-HF'!$U5,'Tables - Part 2'!$AV$6:$AV$13,0),MATCH('HIC-SOHIC-HF'!$S5,'Tables - Part 2'!$AX$5:$BA$5,0))+INDEX('Tables - Part 2'!$AX$17:$BA$24,MATCH('HIC-SOHIC-HF'!$U5,'Tables - Part 2'!$AV$6:$AV$13,0),MATCH('HIC-SOHIC-HF'!$S5,'Tables - Part 2'!$AX$5:$BA$5,0)))/2)/2)+((INDEX('Tables - Part 2'!$BF$6:$BI$13,MATCH('HIC-SOHIC-HF'!$U5,'Tables - Part 2'!$AV$6:$AV$13,0),MATCH('HIC-SOHIC-HF'!$S5,'Tables - Part 2'!$AX$5:$BA$5,0))+INDEX('Tables - Part 2'!$AX$17:$BA$24,MATCH('HIC-SOHIC-HF'!$U5,'Tables - Part 2'!$AV$6:$AV$13,0),MATCH('HIC-SOHIC-HF'!$S5,'Tables - Part 2'!$AX$5:$BA$5,0)))/2))/2,0)</f>
        <v>0</v>
      </c>
      <c r="AV5" s="248">
        <f>IF($R5=$AV$3,(INDEX('Tables - Part 2'!$BF$6:$BI$13,MATCH('HIC-SOHIC-HF'!$U5,'Tables - Part 2'!$AV$6:$AV$13,0),MATCH('HIC-SOHIC-HF'!$S5,'Tables - Part 2'!$AX$5:$BA$5,0))+INDEX('Tables - Part 2'!$AX$17:$BA$24,MATCH('HIC-SOHIC-HF'!$U5,'Tables - Part 2'!$AV$6:$AV$13,0),MATCH('HIC-SOHIC-HF'!$S5,'Tables - Part 2'!$AX$5:$BA$5,0)))/2,0)</f>
        <v>0</v>
      </c>
      <c r="AW5" s="248">
        <f>IF($R5=$AW$3,(((INDEX('Tables - Part 2'!$BF$6:$BI$13,MATCH('HIC-SOHIC-HF'!$U5,'Tables - Part 2'!$AV$6:$AV$13,0),MATCH('HIC-SOHIC-HF'!$S5,'Tables - Part 2'!$AX$5:$BA$5,0))+INDEX('Tables - Part 2'!$AX$17:$BA$24,MATCH('HIC-SOHIC-HF'!$U5,'Tables - Part 2'!$AV$6:$AV$13,0),MATCH('HIC-SOHIC-HF'!$S5,'Tables - Part 2'!$AX$5:$BA$5,0)))/2)+((((INDEX('Tables - Part 2'!$BF$6:$BI$13,MATCH('HIC-SOHIC-HF'!$U5,'Tables - Part 2'!$AV$6:$AV$13,0),MATCH('HIC-SOHIC-HF'!$S5,'Tables - Part 2'!$AX$5:$BA$5,0))+INDEX('Tables - Part 2'!$AX$17:$BA$24,MATCH('HIC-SOHIC-HF'!$U5,'Tables - Part 2'!$AV$6:$AV$13,0),MATCH('HIC-SOHIC-HF'!$S5,'Tables - Part 2'!$AX$5:$BA$5,0)))/2)+INDEX('Tables - Part 2'!$AX$17:$BA$24,MATCH('HIC-SOHIC-HF'!$U5,'Tables - Part 2'!$AV$6:$AV$13,0),MATCH('HIC-SOHIC-HF'!$S5,'Tables - Part 2'!$AX$5:$BA$5,0)))/2))/2,0)</f>
        <v>0</v>
      </c>
      <c r="AX5" s="248">
        <f>IF($R5=$AX$3,(((INDEX('Tables - Part 2'!$BF$6:$BI$13,MATCH('HIC-SOHIC-HF'!$U5,'Tables - Part 2'!$AV$6:$AV$13,0),MATCH('HIC-SOHIC-HF'!$S5,'Tables - Part 2'!$AX$5:$BA$5,0))+INDEX('Tables - Part 2'!$AX$17:$BA$24,MATCH('HIC-SOHIC-HF'!$U5,'Tables - Part 2'!$AV$6:$AV$13,0),MATCH('HIC-SOHIC-HF'!$S5,'Tables - Part 2'!$AX$5:$BA$5,0)))/2)+INDEX('Tables - Part 2'!$AX$17:$BA$24,MATCH('HIC-SOHIC-HF'!$U5,'Tables - Part 2'!$AV$6:$AV$13,0),MATCH('HIC-SOHIC-HF'!$S5,'Tables - Part 2'!$AX$5:$BA$5,0)))/2,0)</f>
        <v>0</v>
      </c>
      <c r="AY5" s="248">
        <f>IF($R5=$AY$3,(((((INDEX('Tables - Part 2'!$BF$6:$BI$13,MATCH('HIC-SOHIC-HF'!$U5,'Tables - Part 2'!$AV$6:$AV$13,0),MATCH('HIC-SOHIC-HF'!$S5,'Tables - Part 2'!$AX$5:$BA$5,0))+INDEX('Tables - Part 2'!$AX$17:$BA$24,MATCH('HIC-SOHIC-HF'!$U5,'Tables - Part 2'!$AV$6:$AV$13,0),MATCH('HIC-SOHIC-HF'!$S5,'Tables - Part 2'!$AX$5:$BA$5,0)))/2)+INDEX('Tables - Part 2'!$AX$17:$BA$24,MATCH('HIC-SOHIC-HF'!$U5,'Tables - Part 2'!$AV$6:$AV$13,0),MATCH('HIC-SOHIC-HF'!$S5,'Tables - Part 2'!$AX$5:$BA$5,0)))/2)+(INDEX('Tables - Part 2'!$AX$17:$BA$24,MATCH('HIC-SOHIC-HF'!$U5,'Tables - Part 2'!$AV$6:$AV$13,0),MATCH('HIC-SOHIC-HF'!$S5,'Tables - Part 2'!$AX$5:$BA$5,0))))/2,0)</f>
        <v>0</v>
      </c>
      <c r="AZ5" s="248">
        <f>IF($R5=$AZ$3,INDEX('Tables - Part 2'!$AX$17:$BA$24,MATCH('HIC-SOHIC-HF'!$U5,'Tables - Part 2'!$AV$6:$AV$13,0),MATCH('HIC-SOHIC-HF'!$S5,'Tables - Part 2'!$AX$5:$BA$5,0)),0)</f>
        <v>0</v>
      </c>
      <c r="BA5" s="248">
        <f>IF($R5=$BA$3,((INDEX('Tables - Part 2'!$AX$17:$BA$24,MATCH('HIC-SOHIC-HF'!$U5,'Tables - Part 2'!$AV$6:$AV$13,0),MATCH('HIC-SOHIC-HF'!$S5,'Tables - Part 2'!$AX$5:$BA$5,0)))+(((INDEX('Tables - Part 2'!$AX$17:$BA$24,MATCH('HIC-SOHIC-HF'!$U5,'Tables - Part 2'!$AV$6:$AV$13,0),MATCH('HIC-SOHIC-HF'!$S5,'Tables - Part 2'!$AX$5:$BA$5,0)))+(INDEX('Tables - Part 2'!$AX$17:$BA$24,MATCH('HIC-SOHIC-HF'!$U5,'Tables - Part 2'!$AV$6:$AV$13,0),MATCH('HIC-SOHIC-HF'!$S5,'Tables - Part 2'!$AX$5:$BA$5,0))+INDEX('Tables - Part 2'!$BB$17:$BE$24,MATCH('HIC-SOHIC-HF'!$U5,'Tables - Part 2'!$AV$6:$AV$13,0),MATCH('HIC-SOHIC-HF'!$S5,'Tables - Part 2'!$AX$5:$BA$5,0)))/2)/2))/2,0)</f>
        <v>0</v>
      </c>
      <c r="BB5" s="248">
        <f>IF($R5=$BB$3,((INDEX('Tables - Part 2'!$AX$17:$BA$24,MATCH('HIC-SOHIC-HF'!$U5,'Tables - Part 2'!$AV$6:$AV$13,0),MATCH('HIC-SOHIC-HF'!$S5,'Tables - Part 2'!$AX$5:$BA$5,0)))+(INDEX('Tables - Part 2'!$AX$17:$BA$24,MATCH('HIC-SOHIC-HF'!$U5,'Tables - Part 2'!$AV$6:$AV$13,0),MATCH('HIC-SOHIC-HF'!$S5,'Tables - Part 2'!$AX$5:$BA$5,0))+INDEX('Tables - Part 2'!$BB$17:$BE$24,MATCH('HIC-SOHIC-HF'!$U5,'Tables - Part 2'!$AV$6:$AV$13,0),MATCH('HIC-SOHIC-HF'!$S5,'Tables - Part 2'!$AX$5:$BA$5,0)))/2)/2,0)</f>
        <v>0</v>
      </c>
      <c r="BC5" s="248">
        <f>IF($R5=$BC$3,((((INDEX('Tables - Part 2'!$AX$17:$BA$24,MATCH('HIC-SOHIC-HF'!$U5,'Tables - Part 2'!$AV$6:$AV$13,0),MATCH('HIC-SOHIC-HF'!$S5,'Tables - Part 2'!$AX$5:$BA$5,0)))+(INDEX('Tables - Part 2'!$AX$17:$BA$24,MATCH('HIC-SOHIC-HF'!$U5,'Tables - Part 2'!$AV$6:$AV$13,0),MATCH('HIC-SOHIC-HF'!$S5,'Tables - Part 2'!$AX$5:$BA$5,0))+INDEX('Tables - Part 2'!$BB$17:$BE$24,MATCH('HIC-SOHIC-HF'!$U5,'Tables - Part 2'!$AV$6:$AV$13,0),MATCH('HIC-SOHIC-HF'!$S5,'Tables - Part 2'!$AX$5:$BA$5,0)))/2)/2)+((INDEX('Tables - Part 2'!$AX$17:$BA$24,MATCH('HIC-SOHIC-HF'!$U5,'Tables - Part 2'!$AV$6:$AV$13,0),MATCH('HIC-SOHIC-HF'!$S5,'Tables - Part 2'!$AX$5:$BA$5,0))+INDEX('Tables - Part 2'!$BB$17:$BE$24,MATCH('HIC-SOHIC-HF'!$U5,'Tables - Part 2'!$AV$6:$AV$13,0),MATCH('HIC-SOHIC-HF'!$S5,'Tables - Part 2'!$AX$5:$BA$5,0)))/2))/2,0)</f>
        <v>0</v>
      </c>
      <c r="BD5" s="248">
        <f>IF($R5=$BD$3,(INDEX('Tables - Part 2'!$AX$17:$BA$24,MATCH('HIC-SOHIC-HF'!$U5,'Tables - Part 2'!$AV$6:$AV$13,0),MATCH('HIC-SOHIC-HF'!$S5,'Tables - Part 2'!$AX$5:$BA$5,0))+INDEX('Tables - Part 2'!$BB$17:$BE$24,MATCH('HIC-SOHIC-HF'!$U5,'Tables - Part 2'!$AV$6:$AV$13,0),MATCH('HIC-SOHIC-HF'!$S5,'Tables - Part 2'!$AX$5:$BA$5,0)))/2,0)</f>
        <v>0</v>
      </c>
      <c r="BE5" s="248">
        <f>IF($R5=$BE$3,(((INDEX('Tables - Part 2'!$AX$17:$BA$24,MATCH('HIC-SOHIC-HF'!$U5,'Tables - Part 2'!$AV$6:$AV$13,0),MATCH('HIC-SOHIC-HF'!$S5,'Tables - Part 2'!$AX$5:$BA$5,0))+INDEX('Tables - Part 2'!$BB$17:$BE$24,MATCH('HIC-SOHIC-HF'!$U5,'Tables - Part 2'!$AV$6:$AV$13,0),MATCH('HIC-SOHIC-HF'!$S5,'Tables - Part 2'!$AX$5:$BA$5,0)))/2)+((((INDEX('Tables - Part 2'!$AX$17:$BA$24,MATCH('HIC-SOHIC-HF'!$U5,'Tables - Part 2'!$AV$6:$AV$13,0),MATCH('HIC-SOHIC-HF'!$S5,'Tables - Part 2'!$AX$5:$BA$5,0))+INDEX('Tables - Part 2'!$BB$17:$BE$24,MATCH('HIC-SOHIC-HF'!$U5,'Tables - Part 2'!$AV$6:$AV$13,0),MATCH('HIC-SOHIC-HF'!$S5,'Tables - Part 2'!$AX$5:$BA$5,0)))/2)+INDEX('Tables - Part 2'!$BB$17:$BE$24,MATCH('HIC-SOHIC-HF'!$U5,'Tables - Part 2'!$AV$6:$AV$13,0),MATCH('HIC-SOHIC-HF'!$S5,'Tables - Part 2'!$AX$5:$BA$5,0)))/2))/2,0)</f>
        <v>0</v>
      </c>
      <c r="BF5" s="248">
        <f>IF($R5=$BF$3,(((INDEX('Tables - Part 2'!$AX$17:$BA$24,MATCH('HIC-SOHIC-HF'!$U5,'Tables - Part 2'!$AV$6:$AV$13,0),MATCH('HIC-SOHIC-HF'!$S5,'Tables - Part 2'!$AX$5:$BA$5,0))+INDEX('Tables - Part 2'!$BB$17:$BE$24,MATCH('HIC-SOHIC-HF'!$U5,'Tables - Part 2'!$AV$6:$AV$13,0),MATCH('HIC-SOHIC-HF'!$S5,'Tables - Part 2'!$AX$5:$BA$5,0)))/2)+INDEX('Tables - Part 2'!$BB$17:$BE$24,MATCH('HIC-SOHIC-HF'!$U5,'Tables - Part 2'!$AV$6:$AV$13,0),MATCH('HIC-SOHIC-HF'!$S5,'Tables - Part 2'!$AX$5:$BA$5,0)))/2,0)</f>
        <v>0</v>
      </c>
      <c r="BG5" s="248">
        <f>IF($R5=$BG$3,(((((INDEX('Tables - Part 2'!$AX$17:$BA$24,MATCH('HIC-SOHIC-HF'!$U5,'Tables - Part 2'!$AV$6:$AV$13,0),MATCH('HIC-SOHIC-HF'!$S5,'Tables - Part 2'!$AX$5:$BA$5,0))+INDEX('Tables - Part 2'!$BB$17:$BE$24,MATCH('HIC-SOHIC-HF'!$U5,'Tables - Part 2'!$AV$6:$AV$13,0),MATCH('HIC-SOHIC-HF'!$S5,'Tables - Part 2'!$AX$5:$BA$5,0)))/2)+INDEX('Tables - Part 2'!$BB$17:$BE$24,MATCH('HIC-SOHIC-HF'!$U5,'Tables - Part 2'!$AV$6:$AV$13,0),MATCH('HIC-SOHIC-HF'!$S5,'Tables - Part 2'!$AX$5:$BA$5,0)))/2)+(INDEX('Tables - Part 2'!$BB$17:$BE$24,MATCH('HIC-SOHIC-HF'!$U5,'Tables - Part 2'!$AV$6:$AV$13,0),MATCH('HIC-SOHIC-HF'!$S5,'Tables - Part 2'!$AX$5:$BA$5,0))))/2,0)</f>
        <v>0</v>
      </c>
      <c r="BH5" s="248">
        <f>IF($R5=$BH$3,INDEX('Tables - Part 2'!$BB$17:$BE$24,MATCH('HIC-SOHIC-HF'!$U5,'Tables - Part 2'!$AV$6:$AV$13,0),MATCH('HIC-SOHIC-HF'!$S5,'Tables - Part 2'!$AX$5:$BA$5,0)),0)</f>
        <v>0</v>
      </c>
      <c r="BI5" s="248">
        <f>IF($R5=$BI$3,((INDEX('Tables - Part 2'!$BB$17:$BE$24,MATCH('HIC-SOHIC-HF'!$U5,'Tables - Part 2'!$AV$6:$AV$13,0),MATCH('HIC-SOHIC-HF'!$S5,'Tables - Part 2'!$AX$5:$BA$5,0)))+(((INDEX('Tables - Part 2'!$BB$17:$BE$24,MATCH('HIC-SOHIC-HF'!$U5,'Tables - Part 2'!$AV$6:$AV$13,0),MATCH('HIC-SOHIC-HF'!$S5,'Tables - Part 2'!$AX$5:$BA$5,0)))+(INDEX('Tables - Part 2'!$BB$17:$BE$24,MATCH('HIC-SOHIC-HF'!$U5,'Tables - Part 2'!$AV$6:$AV$13,0),MATCH('HIC-SOHIC-HF'!$S5,'Tables - Part 2'!$AX$5:$BA$5,0))+INDEX('Tables - Part 2'!$BF$17:$BI$24,MATCH('HIC-SOHIC-HF'!$U5,'Tables - Part 2'!$AV$6:$AV$13,0),MATCH('HIC-SOHIC-HF'!$S5,'Tables - Part 2'!$AX$5:$BA$5,0)))/2)/2))/2,0)</f>
        <v>0</v>
      </c>
      <c r="BJ5" s="248">
        <f>IF($R5=$BJ$3,((INDEX('Tables - Part 2'!$BB$17:$BE$24,MATCH('HIC-SOHIC-HF'!$U5,'Tables - Part 2'!$AV$6:$AV$13,0),MATCH('HIC-SOHIC-HF'!$S5,'Tables - Part 2'!$AX$5:$BA$5,0)))+(INDEX('Tables - Part 2'!$BB$17:$BE$24,MATCH('HIC-SOHIC-HF'!$U5,'Tables - Part 2'!$AV$6:$AV$13,0),MATCH('HIC-SOHIC-HF'!$S5,'Tables - Part 2'!$AX$5:$BA$5,0))+INDEX('Tables - Part 2'!$BF$17:$BI$24,MATCH('HIC-SOHIC-HF'!$U5,'Tables - Part 2'!$AV$6:$AV$13,0),MATCH('HIC-SOHIC-HF'!$S5,'Tables - Part 2'!$AX$5:$BA$5,0)))/2)/2,0)</f>
        <v>0</v>
      </c>
      <c r="BK5" s="248">
        <f>IF($R5=$BK$3,((((INDEX('Tables - Part 2'!$BB$17:$BE$24,MATCH('HIC-SOHIC-HF'!$U5,'Tables - Part 2'!$AV$6:$AV$13,0),MATCH('HIC-SOHIC-HF'!$S5,'Tables - Part 2'!$AX$5:$BA$5,0)))+(INDEX('Tables - Part 2'!$BB$17:$BE$24,MATCH('HIC-SOHIC-HF'!$U5,'Tables - Part 2'!$AV$6:$AV$13,0),MATCH('HIC-SOHIC-HF'!$S5,'Tables - Part 2'!$AX$5:$BA$5,0))+INDEX('Tables - Part 2'!$BF$17:$BI$24,MATCH('HIC-SOHIC-HF'!$U5,'Tables - Part 2'!$AV$6:$AV$13,0),MATCH('HIC-SOHIC-HF'!$S5,'Tables - Part 2'!$AX$5:$BA$5,0)))/2)/2)+((INDEX('Tables - Part 2'!$BB$17:$BE$24,MATCH('HIC-SOHIC-HF'!$U5,'Tables - Part 2'!$AV$6:$AV$13,0),MATCH('HIC-SOHIC-HF'!$S5,'Tables - Part 2'!$AX$5:$BA$5,0))+INDEX('Tables - Part 2'!$BF$17:$BI$24,MATCH('HIC-SOHIC-HF'!$U5,'Tables - Part 2'!$AV$6:$AV$13,0),MATCH('HIC-SOHIC-HF'!$S5,'Tables - Part 2'!$AX$5:$BA$5,0)))/2))/2,0)</f>
        <v>0</v>
      </c>
      <c r="BL5" s="248">
        <f>IF($R5=$BL$3,(INDEX('Tables - Part 2'!$BB$17:$BE$24,MATCH('HIC-SOHIC-HF'!$U5,'Tables - Part 2'!$AV$6:$AV$13,0),MATCH('HIC-SOHIC-HF'!$S5,'Tables - Part 2'!$AX$5:$BA$5,0))+INDEX('Tables - Part 2'!$BF$17:$BI$24,MATCH('HIC-SOHIC-HF'!$U5,'Tables - Part 2'!$AV$6:$AV$13,0),MATCH('HIC-SOHIC-HF'!$S5,'Tables - Part 2'!$AX$5:$BA$5,0)))/2,0)</f>
        <v>0</v>
      </c>
      <c r="BM5" s="248">
        <f>IF($R5=$BM$3,(((INDEX('Tables - Part 2'!$BB$17:$BE$24,MATCH('HIC-SOHIC-HF'!$U5,'Tables - Part 2'!$AV$6:$AV$13,0),MATCH('HIC-SOHIC-HF'!$S5,'Tables - Part 2'!$AX$5:$BA$5,0))+INDEX('Tables - Part 2'!$BF$17:$BI$24,MATCH('HIC-SOHIC-HF'!$U5,'Tables - Part 2'!$AV$6:$AV$13,0),MATCH('HIC-SOHIC-HF'!$S5,'Tables - Part 2'!$AX$5:$BA$5,0)))/2)+((((INDEX('Tables - Part 2'!$BB$17:$BE$24,MATCH('HIC-SOHIC-HF'!$U5,'Tables - Part 2'!$AV$6:$AV$13,0),MATCH('HIC-SOHIC-HF'!$S5,'Tables - Part 2'!$AX$5:$BA$5,0))+INDEX('Tables - Part 2'!$BF$17:$BI$24,MATCH('HIC-SOHIC-HF'!$U5,'Tables - Part 2'!$AV$6:$AV$13,0),MATCH('HIC-SOHIC-HF'!$S5,'Tables - Part 2'!$AX$5:$BA$5,0)))/2)+INDEX('Tables - Part 2'!$BF$17:$BI$24,MATCH('HIC-SOHIC-HF'!$U5,'Tables - Part 2'!$AV$6:$AV$13,0),MATCH('HIC-SOHIC-HF'!$S5,'Tables - Part 2'!$AX$5:$BA$5,0)))/2))/2,0)</f>
        <v>0</v>
      </c>
      <c r="BN5" s="248">
        <f>IF($R5=$BN$3,(((INDEX('Tables - Part 2'!$BB$17:$BE$24,MATCH('HIC-SOHIC-HF'!$U5,'Tables - Part 2'!$AV$6:$AV$13,0),MATCH('HIC-SOHIC-HF'!$S5,'Tables - Part 2'!$AX$5:$BA$5,0))+INDEX('Tables - Part 2'!$BF$17:$BI$24,MATCH('HIC-SOHIC-HF'!$U5,'Tables - Part 2'!$AV$6:$AV$13,0),MATCH('HIC-SOHIC-HF'!$S5,'Tables - Part 2'!$AX$5:$BA$5,0)))/2)+INDEX('Tables - Part 2'!$BF$17:$BI$24,MATCH('HIC-SOHIC-HF'!$U5,'Tables - Part 2'!$AV$6:$AV$13,0),MATCH('HIC-SOHIC-HF'!$S5,'Tables - Part 2'!$AX$5:$BA$5,0)))/2,0)</f>
        <v>0</v>
      </c>
      <c r="BO5" s="248">
        <f>IF($R5=$BO$3,(((((INDEX('Tables - Part 2'!$BB$17:$BE$24,MATCH('HIC-SOHIC-HF'!$U5,'Tables - Part 2'!$AV$6:$AV$13,0),MATCH('HIC-SOHIC-HF'!$S5,'Tables - Part 2'!$AX$5:$BA$5,0))+INDEX('Tables - Part 2'!$BF$17:$BI$24,MATCH('HIC-SOHIC-HF'!$U5,'Tables - Part 2'!$AV$6:$AV$13,0),MATCH('HIC-SOHIC-HF'!$S5,'Tables - Part 2'!$AX$5:$BA$5,0)))/2)+INDEX('Tables - Part 2'!$BF$17:$BI$24,MATCH('HIC-SOHIC-HF'!$U5,'Tables - Part 2'!$AV$6:$AV$13,0),MATCH('HIC-SOHIC-HF'!$S5,'Tables - Part 2'!$AX$5:$BA$5,0)))/2)+(INDEX('Tables - Part 2'!$BF$17:$BI$24,MATCH('HIC-SOHIC-HF'!$U5,'Tables - Part 2'!$AV$6:$AV$13,0),MATCH('HIC-SOHIC-HF'!$S5,'Tables - Part 2'!$AX$5:$BA$5,0))))/2,0)</f>
        <v>0</v>
      </c>
      <c r="BP5" s="248">
        <f>IF($R5=$BP$3,INDEX('Tables - Part 2'!$BF$17:$BI$24,MATCH('HIC-SOHIC-HF'!$U5,'Tables - Part 2'!$AV$6:$AV$13,0),MATCH('HIC-SOHIC-HF'!$S5,'Tables - Part 2'!$AX$5:$BA$5,0)),0)</f>
        <v>0</v>
      </c>
      <c r="BQ5" s="248">
        <f t="shared" si="6"/>
        <v>0</v>
      </c>
      <c r="BR5" s="238">
        <f t="shared" ref="BR5:BR21" si="7">SUM(AB5:BQ5)</f>
        <v>3</v>
      </c>
      <c r="BS5" s="238">
        <f t="shared" ref="BS5:BS21" si="8">IF(B5="",0,MIN(BR5*POWER(MAX(W5,1),1.1)/V5,5000))</f>
        <v>52.072620873645036</v>
      </c>
      <c r="BV5" s="438" t="s">
        <v>898</v>
      </c>
    </row>
    <row r="6" spans="2:84" x14ac:dyDescent="0.35">
      <c r="B6" s="161" t="str">
        <f>'Tratamento de Dados'!B14</f>
        <v>V-10</v>
      </c>
      <c r="C6" s="161" t="str">
        <f>'Tratamento de Dados'!D14</f>
        <v>Casco</v>
      </c>
      <c r="D6" s="209" t="s">
        <v>245</v>
      </c>
      <c r="E6" s="209" t="s">
        <v>61</v>
      </c>
      <c r="F6" s="209" t="s">
        <v>244</v>
      </c>
      <c r="G6" s="209" t="s">
        <v>244</v>
      </c>
      <c r="H6" s="209" t="s">
        <v>1208</v>
      </c>
      <c r="I6" s="209" t="s">
        <v>245</v>
      </c>
      <c r="J6" s="209" t="s">
        <v>898</v>
      </c>
      <c r="K6" s="210">
        <v>39092</v>
      </c>
      <c r="L6" s="209">
        <v>0</v>
      </c>
      <c r="M6" s="209">
        <v>1</v>
      </c>
      <c r="N6" s="209">
        <v>1</v>
      </c>
      <c r="O6" s="209">
        <v>4</v>
      </c>
      <c r="P6" s="253">
        <f>'Tratamento de Dados'!DA14</f>
        <v>0</v>
      </c>
      <c r="Q6" s="253">
        <f>'Tratamento de Dados'!DB14</f>
        <v>0</v>
      </c>
      <c r="R6" s="256">
        <f t="shared" si="0"/>
        <v>2.5</v>
      </c>
      <c r="S6" s="246" t="str">
        <f t="shared" si="1"/>
        <v>B</v>
      </c>
      <c r="T6" s="238" t="str" cm="1">
        <f t="array" ref="T6">IF(D6=$BX$2,$BV$4,IF(OR(F6=$BX$3,G6=$BX$3),$BV$5,INDEX(IF(I6=$BX$2,'Tables - Part 2'!$EI$6:$EK$6,'Tables - Part 2'!$EI$5:$EK$5),,MATCH('HIC-SOHIC-HF'!H6,'Tables - Part 2'!$EI$4:$EK$4,0))))</f>
        <v>High</v>
      </c>
      <c r="U6" s="238">
        <f>IF(AND(D6=$BX$2,E6&lt;&gt;$BX$2),"Fitness-For-Service",INDEX('Tables - Part 2'!$EN$4:$EN$7,MATCH('HIC-SOHIC-HF'!T6,'Tables - Part 2'!$EM$4:$EM$7,0),))</f>
        <v>100</v>
      </c>
      <c r="V6" s="238">
        <f>INDEX('Tables - Part 2'!$EQ$4:$EQ$7,MATCH('HIC-SOHIC-HF'!J6,'Tables - Part 2'!$EP$4:$EP$7,0))</f>
        <v>1</v>
      </c>
      <c r="W6" s="238">
        <f>IF(K6=0,(Thinning!G7-Thinning!F7)/365.25,(Thinning!G7-K6)/365.25)</f>
        <v>12.980150581793293</v>
      </c>
      <c r="X6" s="248">
        <f t="shared" si="2"/>
        <v>0</v>
      </c>
      <c r="Y6" s="248">
        <f t="shared" si="3"/>
        <v>2.5</v>
      </c>
      <c r="Z6" s="248">
        <f t="shared" si="4"/>
        <v>3</v>
      </c>
      <c r="AA6" s="247">
        <f t="shared" si="5"/>
        <v>4</v>
      </c>
      <c r="AB6" s="248">
        <f>IF($R6=$AB$3,INDEX('Tables - Part 2'!$AX$6:$BA$13,MATCH('HIC-SOHIC-HF'!U6,'Tables - Part 2'!$AV$6:$AV$13,0),MATCH('HIC-SOHIC-HF'!S6,'Tables - Part 2'!$AX$5:$BA$5,0)),0)</f>
        <v>0</v>
      </c>
      <c r="AC6" s="248">
        <f>IF($R6=$AC$3,(INDEX('Tables - Part 2'!$AX$6:$BA$13,MATCH('HIC-SOHIC-HF'!U6,'Tables - Part 2'!$AV$6:$AV$13,0),MATCH('HIC-SOHIC-HF'!S6,'Tables - Part 2'!$AX$5:$BA$5,0))+(INDEX('Tables - Part 2'!$AX$6:$BA$13,MATCH('HIC-SOHIC-HF'!U6,'Tables - Part 2'!$AV$6:$AV$13,0),MATCH('HIC-SOHIC-HF'!S6,'Tables - Part 2'!$AX$5:$BA$5,0))+((INDEX('Tables - Part 2'!$AX$6:$BA$13,MATCH('HIC-SOHIC-HF'!U6,'Tables - Part 2'!$AV$6:$AV$13,0),MATCH('HIC-SOHIC-HF'!S6,'Tables - Part 2'!$AX$5:$BA$5,0))+INDEX('Tables - Part 2'!$BB$6:$BE$13,MATCH('HIC-SOHIC-HF'!$U6,'Tables - Part 2'!$AV$6:$AV$13,0),MATCH('HIC-SOHIC-HF'!$S6,'Tables - Part 2'!$AX$5:$BA$5,0)))/2))/2)/2,0)</f>
        <v>0</v>
      </c>
      <c r="AD6" s="248">
        <f>IF($R6=$AD$3,(INDEX('Tables - Part 2'!$AX$6:$BA$13,MATCH('HIC-SOHIC-HF'!U6,'Tables - Part 2'!$AV$6:$AV$13,0),MATCH('HIC-SOHIC-HF'!S6,'Tables - Part 2'!$AX$5:$BA$5,0))+((INDEX('Tables - Part 2'!$AX$6:$BA$13,MATCH('HIC-SOHIC-HF'!U6,'Tables - Part 2'!$AV$6:$AV$13,0),MATCH('HIC-SOHIC-HF'!S6,'Tables - Part 2'!$AX$5:$BA$5,0))+INDEX('Tables - Part 2'!$BB$6:$BE$13,MATCH('HIC-SOHIC-HF'!$U6,'Tables - Part 2'!$AV$6:$AV$13,0),MATCH('HIC-SOHIC-HF'!$S6,'Tables - Part 2'!$AX$5:$BA$5,0)))/2))/2,0)</f>
        <v>0</v>
      </c>
      <c r="AE6" s="248">
        <f>IF($R6=$AE$3,(((INDEX('Tables - Part 2'!$AX$6:$BA$13,MATCH('HIC-SOHIC-HF'!U6,'Tables - Part 2'!$AV$6:$AV$13,0),MATCH('HIC-SOHIC-HF'!S6,'Tables - Part 2'!$AX$5:$BA$5,0))+((INDEX('Tables - Part 2'!$AX$6:$BA$13,MATCH('HIC-SOHIC-HF'!U6,'Tables - Part 2'!$AV$6:$AV$13,0),MATCH('HIC-SOHIC-HF'!S6,'Tables - Part 2'!$AX$5:$BA$5,0))+INDEX('Tables - Part 2'!$BB$6:$BE$13,MATCH('HIC-SOHIC-HF'!$U6,'Tables - Part 2'!$AV$6:$AV$13,0),MATCH('HIC-SOHIC-HF'!$S6,'Tables - Part 2'!$AX$5:$BA$5,0)))/2))/2)+(INDEX('Tables - Part 2'!$AX$6:$BA$13,MATCH('HIC-SOHIC-HF'!U6,'Tables - Part 2'!$AV$6:$AV$13,0),MATCH('HIC-SOHIC-HF'!S6,'Tables - Part 2'!$AX$5:$BA$5,0))+INDEX('Tables - Part 2'!$BB$6:$BE$13,MATCH('HIC-SOHIC-HF'!$U6,'Tables - Part 2'!$AV$6:$AV$13,0),MATCH('HIC-SOHIC-HF'!$S6,'Tables - Part 2'!$AX$5:$BA$5,0)))/2)/2,0)</f>
        <v>0</v>
      </c>
      <c r="AF6" s="248">
        <f>IF($R6=$AF$3,(INDEX('Tables - Part 2'!$AX$6:$BA$13,MATCH('HIC-SOHIC-HF'!U6,'Tables - Part 2'!$AV$6:$AV$13,0),MATCH('HIC-SOHIC-HF'!S6,'Tables - Part 2'!$AX$5:$BA$5,0))+INDEX('Tables - Part 2'!$BB$6:$BE$13,MATCH('HIC-SOHIC-HF'!$U6,'Tables - Part 2'!$AV$6:$AV$13,0),MATCH('HIC-SOHIC-HF'!$S6,'Tables - Part 2'!$AX$5:$BA$5,0)))/2,0)</f>
        <v>0</v>
      </c>
      <c r="AG6" s="248">
        <f>IF($R6=$AG$3,(((INDEX('Tables - Part 2'!$AX$6:$BA$13,MATCH('HIC-SOHIC-HF'!U6,'Tables - Part 2'!$AV$6:$AV$13,0),MATCH('HIC-SOHIC-HF'!S6,'Tables - Part 2'!$AX$5:$BA$5,0))+INDEX('Tables - Part 2'!$BB$6:$BE$13,MATCH('HIC-SOHIC-HF'!$U6,'Tables - Part 2'!$AV$6:$AV$13,0),MATCH('HIC-SOHIC-HF'!$S6,'Tables - Part 2'!$AX$5:$BA$5,0)))/2)+(((INDEX('Tables - Part 2'!$AX$6:$BA$13,MATCH('HIC-SOHIC-HF'!U6,'Tables - Part 2'!$AV$6:$AV$13,0),MATCH('HIC-SOHIC-HF'!S6,'Tables - Part 2'!$AX$5:$BA$5,0))+INDEX('Tables - Part 2'!$BB$6:$BE$13,MATCH('HIC-SOHIC-HF'!$U6,'Tables - Part 2'!$AV$6:$AV$13,0),MATCH('HIC-SOHIC-HF'!$S6,'Tables - Part 2'!$AX$5:$BA$5,0)))/2)+INDEX('Tables - Part 2'!$BB$6:$BE$13,MATCH('HIC-SOHIC-HF'!$U6,'Tables - Part 2'!$AV$6:$AV$13,0),MATCH('HIC-SOHIC-HF'!$S6,'Tables - Part 2'!$AX$5:$BA$5,0)))/2)/2,0)</f>
        <v>0</v>
      </c>
      <c r="AH6" s="248">
        <f>IF($R6=$AH$3,(((INDEX('Tables - Part 2'!$AX$6:$BA$13,MATCH('HIC-SOHIC-HF'!U6,'Tables - Part 2'!$AV$6:$AV$13,0),MATCH('HIC-SOHIC-HF'!S6,'Tables - Part 2'!$AX$5:$BA$5,0))+INDEX('Tables - Part 2'!$BB$6:$BE$13,MATCH('HIC-SOHIC-HF'!$U6,'Tables - Part 2'!$AV$6:$AV$13,0),MATCH('HIC-SOHIC-HF'!$S6,'Tables - Part 2'!$AX$5:$BA$5,0)))/2)+INDEX('Tables - Part 2'!$BB$6:$BE$13,MATCH('HIC-SOHIC-HF'!$U6,'Tables - Part 2'!$AV$6:$AV$13,0),MATCH('HIC-SOHIC-HF'!$S6,'Tables - Part 2'!$AX$5:$BA$5,0)))/2,0)</f>
        <v>0</v>
      </c>
      <c r="AI6" s="248">
        <f>IF($R6=$AI$3,(((((INDEX('Tables - Part 2'!$AX$6:$BA$13,MATCH('HIC-SOHIC-HF'!U6,'Tables - Part 2'!$AV$6:$AV$13,0),MATCH('HIC-SOHIC-HF'!S6,'Tables - Part 2'!$AX$5:$BA$5,0))+INDEX('Tables - Part 2'!$BB$6:$BE$13,MATCH('HIC-SOHIC-HF'!$U6,'Tables - Part 2'!$AV$6:$AV$13,0),MATCH('HIC-SOHIC-HF'!$S6,'Tables - Part 2'!$AX$5:$BA$5,0)))/2)+INDEX('Tables - Part 2'!$BB$6:$BE$13,MATCH('HIC-SOHIC-HF'!$U6,'Tables - Part 2'!$AV$6:$AV$13,0),MATCH('HIC-SOHIC-HF'!$S6,'Tables - Part 2'!$AX$5:$BA$5,0)))/2)+INDEX('Tables - Part 2'!$BB$6:$BE$13,MATCH('HIC-SOHIC-HF'!$U6,'Tables - Part 2'!$AV$6:$AV$13,0),MATCH('HIC-SOHIC-HF'!$S6,'Tables - Part 2'!$AX$5:$BA$5,0)))/2,0)</f>
        <v>0</v>
      </c>
      <c r="AJ6" s="248">
        <f>IF($R6=$AJ$3,INDEX('Tables - Part 2'!$BB$6:$BE$13,MATCH('HIC-SOHIC-HF'!$U6,'Tables - Part 2'!$AV$6:$AV$13,0),MATCH('HIC-SOHIC-HF'!$S6,'Tables - Part 2'!$AX$5:$BA$5,0)),0)</f>
        <v>0</v>
      </c>
      <c r="AK6" s="248">
        <f>IF($R6=$AK$3,((INDEX('Tables - Part 2'!$BB$6:$BE$13,MATCH('HIC-SOHIC-HF'!$U6,'Tables - Part 2'!$AV$6:$AV$13,0),MATCH('HIC-SOHIC-HF'!$S6,'Tables - Part 2'!$AX$5:$BA$5,0)))+(INDEX('Tables - Part 2'!$BB$6:$BE$13,MATCH('HIC-SOHIC-HF'!$U6,'Tables - Part 2'!$AV$6:$AV$13,0),MATCH('HIC-SOHIC-HF'!$S6,'Tables - Part 2'!$AX$5:$BA$5,0))+(INDEX('Tables - Part 2'!$BB$6:$BE$13,MATCH('HIC-SOHIC-HF'!$U6,'Tables - Part 2'!$AV$6:$AV$13,0),MATCH('HIC-SOHIC-HF'!$S6,'Tables - Part 2'!$AX$5:$BA$5,0))+INDEX('Tables - Part 2'!$BF$6:$BI$13,MATCH('HIC-SOHIC-HF'!$U6,'Tables - Part 2'!$AV$6:$AV$13,0),MATCH('HIC-SOHIC-HF'!$S6,'Tables - Part 2'!$AX$5:$BA$5,0)))/2)/2)/2,0)</f>
        <v>0</v>
      </c>
      <c r="AL6" s="248">
        <f>IF($R6=$AL$3,(INDEX('Tables - Part 2'!$BB$6:$BE$13,MATCH('HIC-SOHIC-HF'!$U6,'Tables - Part 2'!$AV$6:$AV$13,0),MATCH('HIC-SOHIC-HF'!$S6,'Tables - Part 2'!$AX$5:$BA$5,0))+(INDEX('Tables - Part 2'!$BB$6:$BE$13,MATCH('HIC-SOHIC-HF'!$U6,'Tables - Part 2'!$AV$6:$AV$13,0),MATCH('HIC-SOHIC-HF'!$S6,'Tables - Part 2'!$AX$5:$BA$5,0))+INDEX('Tables - Part 2'!$BF$6:$BI$13,MATCH('HIC-SOHIC-HF'!$U6,'Tables - Part 2'!$AV$6:$AV$13,0),MATCH('HIC-SOHIC-HF'!$S6,'Tables - Part 2'!$AX$5:$BA$5,0)))/2)/2,0)</f>
        <v>0</v>
      </c>
      <c r="AM6" s="248">
        <f>IF($R6=$AM$3,(((INDEX('Tables - Part 2'!$BB$6:$BE$13,MATCH('HIC-SOHIC-HF'!$U6,'Tables - Part 2'!$AV$6:$AV$13,0),MATCH('HIC-SOHIC-HF'!$S6,'Tables - Part 2'!$AX$5:$BA$5,0))+(INDEX('Tables - Part 2'!$BB$6:$BE$13,MATCH('HIC-SOHIC-HF'!$U6,'Tables - Part 2'!$AV$6:$AV$13,0),MATCH('HIC-SOHIC-HF'!$S6,'Tables - Part 2'!$AX$5:$BA$5,0))+INDEX('Tables - Part 2'!$BF$6:$BI$13,MATCH('HIC-SOHIC-HF'!$U6,'Tables - Part 2'!$AV$6:$AV$13,0),MATCH('HIC-SOHIC-HF'!$S6,'Tables - Part 2'!$AX$5:$BA$5,0)))/2)/2)+((INDEX('Tables - Part 2'!$BB$6:$BE$13,MATCH('HIC-SOHIC-HF'!$U6,'Tables - Part 2'!$AV$6:$AV$13,0),MATCH('HIC-SOHIC-HF'!$S6,'Tables - Part 2'!$AX$5:$BA$5,0))+INDEX('Tables - Part 2'!$BF$6:$BI$13,MATCH('HIC-SOHIC-HF'!$U6,'Tables - Part 2'!$AV$6:$AV$13,0),MATCH('HIC-SOHIC-HF'!$S6,'Tables - Part 2'!$AX$5:$BA$5,0)))/2))/2,0)</f>
        <v>0</v>
      </c>
      <c r="AN6" s="248">
        <f>IF($R6=$AN$3,(INDEX('Tables - Part 2'!$BB$6:$BE$13,MATCH('HIC-SOHIC-HF'!$U6,'Tables - Part 2'!$AV$6:$AV$13,0),MATCH('HIC-SOHIC-HF'!$S6,'Tables - Part 2'!$AX$5:$BA$5,0))+INDEX('Tables - Part 2'!$BF$6:$BI$13,MATCH('HIC-SOHIC-HF'!$U6,'Tables - Part 2'!$AV$6:$AV$13,0),MATCH('HIC-SOHIC-HF'!$S6,'Tables - Part 2'!$AX$5:$BA$5,0)))/2,0)</f>
        <v>3</v>
      </c>
      <c r="AO6" s="248">
        <f>IF($R6=$AO$3,(((INDEX('Tables - Part 2'!$BB$6:$BE$13,MATCH('HIC-SOHIC-HF'!$U6,'Tables - Part 2'!$AV$6:$AV$13,0),MATCH('HIC-SOHIC-HF'!$S6,'Tables - Part 2'!$AX$5:$BA$5,0))+INDEX('Tables - Part 2'!$BF$6:$BI$13,MATCH('HIC-SOHIC-HF'!$U6,'Tables - Part 2'!$AV$6:$AV$13,0),MATCH('HIC-SOHIC-HF'!$S6,'Tables - Part 2'!$AX$5:$BA$5,0)))/2)+((((INDEX('Tables - Part 2'!$BB$6:$BE$13,MATCH('HIC-SOHIC-HF'!$U6,'Tables - Part 2'!$AV$6:$AV$13,0),MATCH('HIC-SOHIC-HF'!$S6,'Tables - Part 2'!$AX$5:$BA$5,0))+INDEX('Tables - Part 2'!$BF$6:$BI$13,MATCH('HIC-SOHIC-HF'!$U6,'Tables - Part 2'!$AV$6:$AV$13,0),MATCH('HIC-SOHIC-HF'!$S6,'Tables - Part 2'!$AX$5:$BA$5,0)))/2)+INDEX('Tables - Part 2'!$BF$6:$BI$13,MATCH('HIC-SOHIC-HF'!$U6,'Tables - Part 2'!$AV$6:$AV$13,0),MATCH('HIC-SOHIC-HF'!$S6,'Tables - Part 2'!$AX$5:$BA$5,0)))/2))/2,0)</f>
        <v>0</v>
      </c>
      <c r="AP6" s="248">
        <f>IF($R6=$AP$3,(((INDEX('Tables - Part 2'!$BB$6:$BE$13,MATCH('HIC-SOHIC-HF'!$U6,'Tables - Part 2'!$AV$6:$AV$13,0),MATCH('HIC-SOHIC-HF'!$S6,'Tables - Part 2'!$AX$5:$BA$5,0))+INDEX('Tables - Part 2'!$BF$6:$BI$13,MATCH('HIC-SOHIC-HF'!$U6,'Tables - Part 2'!$AV$6:$AV$13,0),MATCH('HIC-SOHIC-HF'!$S6,'Tables - Part 2'!$AX$5:$BA$5,0)))/2)+INDEX('Tables - Part 2'!$BF$6:$BI$13,MATCH('HIC-SOHIC-HF'!$U6,'Tables - Part 2'!$AV$6:$AV$13,0),MATCH('HIC-SOHIC-HF'!$S6,'Tables - Part 2'!$AX$5:$BA$5,0)))/2,0)</f>
        <v>0</v>
      </c>
      <c r="AQ6" s="248">
        <f>IF($R6=$AQ$3,(((((INDEX('Tables - Part 2'!$BB$6:$BE$13,MATCH('HIC-SOHIC-HF'!$U6,'Tables - Part 2'!$AV$6:$AV$13,0),MATCH('HIC-SOHIC-HF'!$S6,'Tables - Part 2'!$AX$5:$BA$5,0))+INDEX('Tables - Part 2'!$BF$6:$BI$13,MATCH('HIC-SOHIC-HF'!$U6,'Tables - Part 2'!$AV$6:$AV$13,0),MATCH('HIC-SOHIC-HF'!$S6,'Tables - Part 2'!$AX$5:$BA$5,0)))/2)+INDEX('Tables - Part 2'!$BF$6:$BI$13,MATCH('HIC-SOHIC-HF'!$U6,'Tables - Part 2'!$AV$6:$AV$13,0),MATCH('HIC-SOHIC-HF'!$S6,'Tables - Part 2'!$AX$5:$BA$5,0)))/2)+INDEX('Tables - Part 2'!$BF$6:$BI$13,MATCH('HIC-SOHIC-HF'!$U6,'Tables - Part 2'!$AV$6:$AV$13,0),MATCH('HIC-SOHIC-HF'!$S6,'Tables - Part 2'!$AX$5:$BA$5,0)))/2,0)</f>
        <v>0</v>
      </c>
      <c r="AR6" s="248">
        <f>IF($R6=$AR$3,INDEX('Tables - Part 2'!$BF$6:$BI$13,MATCH('HIC-SOHIC-HF'!$U6,'Tables - Part 2'!$AV$6:$AV$13,0),MATCH('HIC-SOHIC-HF'!$S6,'Tables - Part 2'!$AX$5:$BA$5,0)),0)</f>
        <v>0</v>
      </c>
      <c r="AS6" s="248">
        <f>IF($R6=$AS$3,(INDEX('Tables - Part 2'!$BF$6:$BI$13,MATCH('HIC-SOHIC-HF'!$U6,'Tables - Part 2'!$AV$6:$AV$13,0),MATCH('HIC-SOHIC-HF'!$S6,'Tables - Part 2'!$AX$5:$BA$5,0))+((INDEX('Tables - Part 2'!$BF$6:$BI$13,MATCH('HIC-SOHIC-HF'!$U6,'Tables - Part 2'!$AV$6:$AV$13,0),MATCH('HIC-SOHIC-HF'!$S6,'Tables - Part 2'!$AX$5:$BA$5,0))+(INDEX('Tables - Part 2'!$BF$6:$BI$13,MATCH('HIC-SOHIC-HF'!$U6,'Tables - Part 2'!$AV$6:$AV$13,0),MATCH('HIC-SOHIC-HF'!$S6,'Tables - Part 2'!$AX$5:$BA$5,0))+INDEX('Tables - Part 2'!$AX$17:$BA$24,MATCH('HIC-SOHIC-HF'!$U6,'Tables - Part 2'!$AV$6:$AV$13,0),MATCH('HIC-SOHIC-HF'!$S6,'Tables - Part 2'!$AX$5:$BA$5,0)))/2)/2))/2,0)</f>
        <v>0</v>
      </c>
      <c r="AT6" s="248">
        <f>IF($R6=$AT$3,(INDEX('Tables - Part 2'!$BF$6:$BI$13,MATCH('HIC-SOHIC-HF'!$U6,'Tables - Part 2'!$AV$6:$AV$13,0),MATCH('HIC-SOHIC-HF'!$S6,'Tables - Part 2'!$AX$5:$BA$5,0))+(INDEX('Tables - Part 2'!$BF$6:$BI$13,MATCH('HIC-SOHIC-HF'!$U6,'Tables - Part 2'!$AV$6:$AV$13,0),MATCH('HIC-SOHIC-HF'!$S6,'Tables - Part 2'!$AX$5:$BA$5,0))+INDEX('Tables - Part 2'!$AX$17:$BA$24,MATCH('HIC-SOHIC-HF'!$U6,'Tables - Part 2'!$AV$6:$AV$13,0),MATCH('HIC-SOHIC-HF'!$S6,'Tables - Part 2'!$AX$5:$BA$5,0)))/2)/2,0)</f>
        <v>0</v>
      </c>
      <c r="AU6" s="248">
        <f>IF($R6=$AU$3,(((INDEX('Tables - Part 2'!$BF$6:$BI$13,MATCH('HIC-SOHIC-HF'!$U6,'Tables - Part 2'!$AV$6:$AV$13,0),MATCH('HIC-SOHIC-HF'!$S6,'Tables - Part 2'!$AX$5:$BA$5,0))+(INDEX('Tables - Part 2'!$BF$6:$BI$13,MATCH('HIC-SOHIC-HF'!$U6,'Tables - Part 2'!$AV$6:$AV$13,0),MATCH('HIC-SOHIC-HF'!$S6,'Tables - Part 2'!$AX$5:$BA$5,0))+INDEX('Tables - Part 2'!$AX$17:$BA$24,MATCH('HIC-SOHIC-HF'!$U6,'Tables - Part 2'!$AV$6:$AV$13,0),MATCH('HIC-SOHIC-HF'!$S6,'Tables - Part 2'!$AX$5:$BA$5,0)))/2)/2)+((INDEX('Tables - Part 2'!$BF$6:$BI$13,MATCH('HIC-SOHIC-HF'!$U6,'Tables - Part 2'!$AV$6:$AV$13,0),MATCH('HIC-SOHIC-HF'!$S6,'Tables - Part 2'!$AX$5:$BA$5,0))+INDEX('Tables - Part 2'!$AX$17:$BA$24,MATCH('HIC-SOHIC-HF'!$U6,'Tables - Part 2'!$AV$6:$AV$13,0),MATCH('HIC-SOHIC-HF'!$S6,'Tables - Part 2'!$AX$5:$BA$5,0)))/2))/2,0)</f>
        <v>0</v>
      </c>
      <c r="AV6" s="248">
        <f>IF($R6=$AV$3,(INDEX('Tables - Part 2'!$BF$6:$BI$13,MATCH('HIC-SOHIC-HF'!$U6,'Tables - Part 2'!$AV$6:$AV$13,0),MATCH('HIC-SOHIC-HF'!$S6,'Tables - Part 2'!$AX$5:$BA$5,0))+INDEX('Tables - Part 2'!$AX$17:$BA$24,MATCH('HIC-SOHIC-HF'!$U6,'Tables - Part 2'!$AV$6:$AV$13,0),MATCH('HIC-SOHIC-HF'!$S6,'Tables - Part 2'!$AX$5:$BA$5,0)))/2,0)</f>
        <v>0</v>
      </c>
      <c r="AW6" s="248">
        <f>IF($R6=$AW$3,(((INDEX('Tables - Part 2'!$BF$6:$BI$13,MATCH('HIC-SOHIC-HF'!$U6,'Tables - Part 2'!$AV$6:$AV$13,0),MATCH('HIC-SOHIC-HF'!$S6,'Tables - Part 2'!$AX$5:$BA$5,0))+INDEX('Tables - Part 2'!$AX$17:$BA$24,MATCH('HIC-SOHIC-HF'!$U6,'Tables - Part 2'!$AV$6:$AV$13,0),MATCH('HIC-SOHIC-HF'!$S6,'Tables - Part 2'!$AX$5:$BA$5,0)))/2)+((((INDEX('Tables - Part 2'!$BF$6:$BI$13,MATCH('HIC-SOHIC-HF'!$U6,'Tables - Part 2'!$AV$6:$AV$13,0),MATCH('HIC-SOHIC-HF'!$S6,'Tables - Part 2'!$AX$5:$BA$5,0))+INDEX('Tables - Part 2'!$AX$17:$BA$24,MATCH('HIC-SOHIC-HF'!$U6,'Tables - Part 2'!$AV$6:$AV$13,0),MATCH('HIC-SOHIC-HF'!$S6,'Tables - Part 2'!$AX$5:$BA$5,0)))/2)+INDEX('Tables - Part 2'!$AX$17:$BA$24,MATCH('HIC-SOHIC-HF'!$U6,'Tables - Part 2'!$AV$6:$AV$13,0),MATCH('HIC-SOHIC-HF'!$S6,'Tables - Part 2'!$AX$5:$BA$5,0)))/2))/2,0)</f>
        <v>0</v>
      </c>
      <c r="AX6" s="248">
        <f>IF($R6=$AX$3,(((INDEX('Tables - Part 2'!$BF$6:$BI$13,MATCH('HIC-SOHIC-HF'!$U6,'Tables - Part 2'!$AV$6:$AV$13,0),MATCH('HIC-SOHIC-HF'!$S6,'Tables - Part 2'!$AX$5:$BA$5,0))+INDEX('Tables - Part 2'!$AX$17:$BA$24,MATCH('HIC-SOHIC-HF'!$U6,'Tables - Part 2'!$AV$6:$AV$13,0),MATCH('HIC-SOHIC-HF'!$S6,'Tables - Part 2'!$AX$5:$BA$5,0)))/2)+INDEX('Tables - Part 2'!$AX$17:$BA$24,MATCH('HIC-SOHIC-HF'!$U6,'Tables - Part 2'!$AV$6:$AV$13,0),MATCH('HIC-SOHIC-HF'!$S6,'Tables - Part 2'!$AX$5:$BA$5,0)))/2,0)</f>
        <v>0</v>
      </c>
      <c r="AY6" s="248">
        <f>IF($R6=$AY$3,(((((INDEX('Tables - Part 2'!$BF$6:$BI$13,MATCH('HIC-SOHIC-HF'!$U6,'Tables - Part 2'!$AV$6:$AV$13,0),MATCH('HIC-SOHIC-HF'!$S6,'Tables - Part 2'!$AX$5:$BA$5,0))+INDEX('Tables - Part 2'!$AX$17:$BA$24,MATCH('HIC-SOHIC-HF'!$U6,'Tables - Part 2'!$AV$6:$AV$13,0),MATCH('HIC-SOHIC-HF'!$S6,'Tables - Part 2'!$AX$5:$BA$5,0)))/2)+INDEX('Tables - Part 2'!$AX$17:$BA$24,MATCH('HIC-SOHIC-HF'!$U6,'Tables - Part 2'!$AV$6:$AV$13,0),MATCH('HIC-SOHIC-HF'!$S6,'Tables - Part 2'!$AX$5:$BA$5,0)))/2)+(INDEX('Tables - Part 2'!$AX$17:$BA$24,MATCH('HIC-SOHIC-HF'!$U6,'Tables - Part 2'!$AV$6:$AV$13,0),MATCH('HIC-SOHIC-HF'!$S6,'Tables - Part 2'!$AX$5:$BA$5,0))))/2,0)</f>
        <v>0</v>
      </c>
      <c r="AZ6" s="248">
        <f>IF($R6=$AZ$3,INDEX('Tables - Part 2'!$AX$17:$BA$24,MATCH('HIC-SOHIC-HF'!$U6,'Tables - Part 2'!$AV$6:$AV$13,0),MATCH('HIC-SOHIC-HF'!$S6,'Tables - Part 2'!$AX$5:$BA$5,0)),0)</f>
        <v>0</v>
      </c>
      <c r="BA6" s="248">
        <f>IF($R6=$BA$3,((INDEX('Tables - Part 2'!$AX$17:$BA$24,MATCH('HIC-SOHIC-HF'!$U6,'Tables - Part 2'!$AV$6:$AV$13,0),MATCH('HIC-SOHIC-HF'!$S6,'Tables - Part 2'!$AX$5:$BA$5,0)))+(((INDEX('Tables - Part 2'!$AX$17:$BA$24,MATCH('HIC-SOHIC-HF'!$U6,'Tables - Part 2'!$AV$6:$AV$13,0),MATCH('HIC-SOHIC-HF'!$S6,'Tables - Part 2'!$AX$5:$BA$5,0)))+(INDEX('Tables - Part 2'!$AX$17:$BA$24,MATCH('HIC-SOHIC-HF'!$U6,'Tables - Part 2'!$AV$6:$AV$13,0),MATCH('HIC-SOHIC-HF'!$S6,'Tables - Part 2'!$AX$5:$BA$5,0))+INDEX('Tables - Part 2'!$BB$17:$BE$24,MATCH('HIC-SOHIC-HF'!$U6,'Tables - Part 2'!$AV$6:$AV$13,0),MATCH('HIC-SOHIC-HF'!$S6,'Tables - Part 2'!$AX$5:$BA$5,0)))/2)/2))/2,0)</f>
        <v>0</v>
      </c>
      <c r="BB6" s="248">
        <f>IF($R6=$BB$3,((INDEX('Tables - Part 2'!$AX$17:$BA$24,MATCH('HIC-SOHIC-HF'!$U6,'Tables - Part 2'!$AV$6:$AV$13,0),MATCH('HIC-SOHIC-HF'!$S6,'Tables - Part 2'!$AX$5:$BA$5,0)))+(INDEX('Tables - Part 2'!$AX$17:$BA$24,MATCH('HIC-SOHIC-HF'!$U6,'Tables - Part 2'!$AV$6:$AV$13,0),MATCH('HIC-SOHIC-HF'!$S6,'Tables - Part 2'!$AX$5:$BA$5,0))+INDEX('Tables - Part 2'!$BB$17:$BE$24,MATCH('HIC-SOHIC-HF'!$U6,'Tables - Part 2'!$AV$6:$AV$13,0),MATCH('HIC-SOHIC-HF'!$S6,'Tables - Part 2'!$AX$5:$BA$5,0)))/2)/2,0)</f>
        <v>0</v>
      </c>
      <c r="BC6" s="248">
        <f>IF($R6=$BC$3,((((INDEX('Tables - Part 2'!$AX$17:$BA$24,MATCH('HIC-SOHIC-HF'!$U6,'Tables - Part 2'!$AV$6:$AV$13,0),MATCH('HIC-SOHIC-HF'!$S6,'Tables - Part 2'!$AX$5:$BA$5,0)))+(INDEX('Tables - Part 2'!$AX$17:$BA$24,MATCH('HIC-SOHIC-HF'!$U6,'Tables - Part 2'!$AV$6:$AV$13,0),MATCH('HIC-SOHIC-HF'!$S6,'Tables - Part 2'!$AX$5:$BA$5,0))+INDEX('Tables - Part 2'!$BB$17:$BE$24,MATCH('HIC-SOHIC-HF'!$U6,'Tables - Part 2'!$AV$6:$AV$13,0),MATCH('HIC-SOHIC-HF'!$S6,'Tables - Part 2'!$AX$5:$BA$5,0)))/2)/2)+((INDEX('Tables - Part 2'!$AX$17:$BA$24,MATCH('HIC-SOHIC-HF'!$U6,'Tables - Part 2'!$AV$6:$AV$13,0),MATCH('HIC-SOHIC-HF'!$S6,'Tables - Part 2'!$AX$5:$BA$5,0))+INDEX('Tables - Part 2'!$BB$17:$BE$24,MATCH('HIC-SOHIC-HF'!$U6,'Tables - Part 2'!$AV$6:$AV$13,0),MATCH('HIC-SOHIC-HF'!$S6,'Tables - Part 2'!$AX$5:$BA$5,0)))/2))/2,0)</f>
        <v>0</v>
      </c>
      <c r="BD6" s="248">
        <f>IF($R6=$BD$3,(INDEX('Tables - Part 2'!$AX$17:$BA$24,MATCH('HIC-SOHIC-HF'!$U6,'Tables - Part 2'!$AV$6:$AV$13,0),MATCH('HIC-SOHIC-HF'!$S6,'Tables - Part 2'!$AX$5:$BA$5,0))+INDEX('Tables - Part 2'!$BB$17:$BE$24,MATCH('HIC-SOHIC-HF'!$U6,'Tables - Part 2'!$AV$6:$AV$13,0),MATCH('HIC-SOHIC-HF'!$S6,'Tables - Part 2'!$AX$5:$BA$5,0)))/2,0)</f>
        <v>0</v>
      </c>
      <c r="BE6" s="248">
        <f>IF($R6=$BE$3,(((INDEX('Tables - Part 2'!$AX$17:$BA$24,MATCH('HIC-SOHIC-HF'!$U6,'Tables - Part 2'!$AV$6:$AV$13,0),MATCH('HIC-SOHIC-HF'!$S6,'Tables - Part 2'!$AX$5:$BA$5,0))+INDEX('Tables - Part 2'!$BB$17:$BE$24,MATCH('HIC-SOHIC-HF'!$U6,'Tables - Part 2'!$AV$6:$AV$13,0),MATCH('HIC-SOHIC-HF'!$S6,'Tables - Part 2'!$AX$5:$BA$5,0)))/2)+((((INDEX('Tables - Part 2'!$AX$17:$BA$24,MATCH('HIC-SOHIC-HF'!$U6,'Tables - Part 2'!$AV$6:$AV$13,0),MATCH('HIC-SOHIC-HF'!$S6,'Tables - Part 2'!$AX$5:$BA$5,0))+INDEX('Tables - Part 2'!$BB$17:$BE$24,MATCH('HIC-SOHIC-HF'!$U6,'Tables - Part 2'!$AV$6:$AV$13,0),MATCH('HIC-SOHIC-HF'!$S6,'Tables - Part 2'!$AX$5:$BA$5,0)))/2)+INDEX('Tables - Part 2'!$BB$17:$BE$24,MATCH('HIC-SOHIC-HF'!$U6,'Tables - Part 2'!$AV$6:$AV$13,0),MATCH('HIC-SOHIC-HF'!$S6,'Tables - Part 2'!$AX$5:$BA$5,0)))/2))/2,0)</f>
        <v>0</v>
      </c>
      <c r="BF6" s="248">
        <f>IF($R6=$BF$3,(((INDEX('Tables - Part 2'!$AX$17:$BA$24,MATCH('HIC-SOHIC-HF'!$U6,'Tables - Part 2'!$AV$6:$AV$13,0),MATCH('HIC-SOHIC-HF'!$S6,'Tables - Part 2'!$AX$5:$BA$5,0))+INDEX('Tables - Part 2'!$BB$17:$BE$24,MATCH('HIC-SOHIC-HF'!$U6,'Tables - Part 2'!$AV$6:$AV$13,0),MATCH('HIC-SOHIC-HF'!$S6,'Tables - Part 2'!$AX$5:$BA$5,0)))/2)+INDEX('Tables - Part 2'!$BB$17:$BE$24,MATCH('HIC-SOHIC-HF'!$U6,'Tables - Part 2'!$AV$6:$AV$13,0),MATCH('HIC-SOHIC-HF'!$S6,'Tables - Part 2'!$AX$5:$BA$5,0)))/2,0)</f>
        <v>0</v>
      </c>
      <c r="BG6" s="248">
        <f>IF($R6=$BG$3,(((((INDEX('Tables - Part 2'!$AX$17:$BA$24,MATCH('HIC-SOHIC-HF'!$U6,'Tables - Part 2'!$AV$6:$AV$13,0),MATCH('HIC-SOHIC-HF'!$S6,'Tables - Part 2'!$AX$5:$BA$5,0))+INDEX('Tables - Part 2'!$BB$17:$BE$24,MATCH('HIC-SOHIC-HF'!$U6,'Tables - Part 2'!$AV$6:$AV$13,0),MATCH('HIC-SOHIC-HF'!$S6,'Tables - Part 2'!$AX$5:$BA$5,0)))/2)+INDEX('Tables - Part 2'!$BB$17:$BE$24,MATCH('HIC-SOHIC-HF'!$U6,'Tables - Part 2'!$AV$6:$AV$13,0),MATCH('HIC-SOHIC-HF'!$S6,'Tables - Part 2'!$AX$5:$BA$5,0)))/2)+(INDEX('Tables - Part 2'!$BB$17:$BE$24,MATCH('HIC-SOHIC-HF'!$U6,'Tables - Part 2'!$AV$6:$AV$13,0),MATCH('HIC-SOHIC-HF'!$S6,'Tables - Part 2'!$AX$5:$BA$5,0))))/2,0)</f>
        <v>0</v>
      </c>
      <c r="BH6" s="248">
        <f>IF($R6=$BH$3,INDEX('Tables - Part 2'!$BB$17:$BE$24,MATCH('HIC-SOHIC-HF'!$U6,'Tables - Part 2'!$AV$6:$AV$13,0),MATCH('HIC-SOHIC-HF'!$S6,'Tables - Part 2'!$AX$5:$BA$5,0)),0)</f>
        <v>0</v>
      </c>
      <c r="BI6" s="248">
        <f>IF($R6=$BI$3,((INDEX('Tables - Part 2'!$BB$17:$BE$24,MATCH('HIC-SOHIC-HF'!$U6,'Tables - Part 2'!$AV$6:$AV$13,0),MATCH('HIC-SOHIC-HF'!$S6,'Tables - Part 2'!$AX$5:$BA$5,0)))+(((INDEX('Tables - Part 2'!$BB$17:$BE$24,MATCH('HIC-SOHIC-HF'!$U6,'Tables - Part 2'!$AV$6:$AV$13,0),MATCH('HIC-SOHIC-HF'!$S6,'Tables - Part 2'!$AX$5:$BA$5,0)))+(INDEX('Tables - Part 2'!$BB$17:$BE$24,MATCH('HIC-SOHIC-HF'!$U6,'Tables - Part 2'!$AV$6:$AV$13,0),MATCH('HIC-SOHIC-HF'!$S6,'Tables - Part 2'!$AX$5:$BA$5,0))+INDEX('Tables - Part 2'!$BF$17:$BI$24,MATCH('HIC-SOHIC-HF'!$U6,'Tables - Part 2'!$AV$6:$AV$13,0),MATCH('HIC-SOHIC-HF'!$S6,'Tables - Part 2'!$AX$5:$BA$5,0)))/2)/2))/2,0)</f>
        <v>0</v>
      </c>
      <c r="BJ6" s="248">
        <f>IF($R6=$BJ$3,((INDEX('Tables - Part 2'!$BB$17:$BE$24,MATCH('HIC-SOHIC-HF'!$U6,'Tables - Part 2'!$AV$6:$AV$13,0),MATCH('HIC-SOHIC-HF'!$S6,'Tables - Part 2'!$AX$5:$BA$5,0)))+(INDEX('Tables - Part 2'!$BB$17:$BE$24,MATCH('HIC-SOHIC-HF'!$U6,'Tables - Part 2'!$AV$6:$AV$13,0),MATCH('HIC-SOHIC-HF'!$S6,'Tables - Part 2'!$AX$5:$BA$5,0))+INDEX('Tables - Part 2'!$BF$17:$BI$24,MATCH('HIC-SOHIC-HF'!$U6,'Tables - Part 2'!$AV$6:$AV$13,0),MATCH('HIC-SOHIC-HF'!$S6,'Tables - Part 2'!$AX$5:$BA$5,0)))/2)/2,0)</f>
        <v>0</v>
      </c>
      <c r="BK6" s="248">
        <f>IF($R6=$BK$3,((((INDEX('Tables - Part 2'!$BB$17:$BE$24,MATCH('HIC-SOHIC-HF'!$U6,'Tables - Part 2'!$AV$6:$AV$13,0),MATCH('HIC-SOHIC-HF'!$S6,'Tables - Part 2'!$AX$5:$BA$5,0)))+(INDEX('Tables - Part 2'!$BB$17:$BE$24,MATCH('HIC-SOHIC-HF'!$U6,'Tables - Part 2'!$AV$6:$AV$13,0),MATCH('HIC-SOHIC-HF'!$S6,'Tables - Part 2'!$AX$5:$BA$5,0))+INDEX('Tables - Part 2'!$BF$17:$BI$24,MATCH('HIC-SOHIC-HF'!$U6,'Tables - Part 2'!$AV$6:$AV$13,0),MATCH('HIC-SOHIC-HF'!$S6,'Tables - Part 2'!$AX$5:$BA$5,0)))/2)/2)+((INDEX('Tables - Part 2'!$BB$17:$BE$24,MATCH('HIC-SOHIC-HF'!$U6,'Tables - Part 2'!$AV$6:$AV$13,0),MATCH('HIC-SOHIC-HF'!$S6,'Tables - Part 2'!$AX$5:$BA$5,0))+INDEX('Tables - Part 2'!$BF$17:$BI$24,MATCH('HIC-SOHIC-HF'!$U6,'Tables - Part 2'!$AV$6:$AV$13,0),MATCH('HIC-SOHIC-HF'!$S6,'Tables - Part 2'!$AX$5:$BA$5,0)))/2))/2,0)</f>
        <v>0</v>
      </c>
      <c r="BL6" s="248">
        <f>IF($R6=$BL$3,(INDEX('Tables - Part 2'!$BB$17:$BE$24,MATCH('HIC-SOHIC-HF'!$U6,'Tables - Part 2'!$AV$6:$AV$13,0),MATCH('HIC-SOHIC-HF'!$S6,'Tables - Part 2'!$AX$5:$BA$5,0))+INDEX('Tables - Part 2'!$BF$17:$BI$24,MATCH('HIC-SOHIC-HF'!$U6,'Tables - Part 2'!$AV$6:$AV$13,0),MATCH('HIC-SOHIC-HF'!$S6,'Tables - Part 2'!$AX$5:$BA$5,0)))/2,0)</f>
        <v>0</v>
      </c>
      <c r="BM6" s="248">
        <f>IF($R6=$BM$3,(((INDEX('Tables - Part 2'!$BB$17:$BE$24,MATCH('HIC-SOHIC-HF'!$U6,'Tables - Part 2'!$AV$6:$AV$13,0),MATCH('HIC-SOHIC-HF'!$S6,'Tables - Part 2'!$AX$5:$BA$5,0))+INDEX('Tables - Part 2'!$BF$17:$BI$24,MATCH('HIC-SOHIC-HF'!$U6,'Tables - Part 2'!$AV$6:$AV$13,0),MATCH('HIC-SOHIC-HF'!$S6,'Tables - Part 2'!$AX$5:$BA$5,0)))/2)+((((INDEX('Tables - Part 2'!$BB$17:$BE$24,MATCH('HIC-SOHIC-HF'!$U6,'Tables - Part 2'!$AV$6:$AV$13,0),MATCH('HIC-SOHIC-HF'!$S6,'Tables - Part 2'!$AX$5:$BA$5,0))+INDEX('Tables - Part 2'!$BF$17:$BI$24,MATCH('HIC-SOHIC-HF'!$U6,'Tables - Part 2'!$AV$6:$AV$13,0),MATCH('HIC-SOHIC-HF'!$S6,'Tables - Part 2'!$AX$5:$BA$5,0)))/2)+INDEX('Tables - Part 2'!$BF$17:$BI$24,MATCH('HIC-SOHIC-HF'!$U6,'Tables - Part 2'!$AV$6:$AV$13,0),MATCH('HIC-SOHIC-HF'!$S6,'Tables - Part 2'!$AX$5:$BA$5,0)))/2))/2,0)</f>
        <v>0</v>
      </c>
      <c r="BN6" s="248">
        <f>IF($R6=$BN$3,(((INDEX('Tables - Part 2'!$BB$17:$BE$24,MATCH('HIC-SOHIC-HF'!$U6,'Tables - Part 2'!$AV$6:$AV$13,0),MATCH('HIC-SOHIC-HF'!$S6,'Tables - Part 2'!$AX$5:$BA$5,0))+INDEX('Tables - Part 2'!$BF$17:$BI$24,MATCH('HIC-SOHIC-HF'!$U6,'Tables - Part 2'!$AV$6:$AV$13,0),MATCH('HIC-SOHIC-HF'!$S6,'Tables - Part 2'!$AX$5:$BA$5,0)))/2)+INDEX('Tables - Part 2'!$BF$17:$BI$24,MATCH('HIC-SOHIC-HF'!$U6,'Tables - Part 2'!$AV$6:$AV$13,0),MATCH('HIC-SOHIC-HF'!$S6,'Tables - Part 2'!$AX$5:$BA$5,0)))/2,0)</f>
        <v>0</v>
      </c>
      <c r="BO6" s="248">
        <f>IF($R6=$BO$3,(((((INDEX('Tables - Part 2'!$BB$17:$BE$24,MATCH('HIC-SOHIC-HF'!$U6,'Tables - Part 2'!$AV$6:$AV$13,0),MATCH('HIC-SOHIC-HF'!$S6,'Tables - Part 2'!$AX$5:$BA$5,0))+INDEX('Tables - Part 2'!$BF$17:$BI$24,MATCH('HIC-SOHIC-HF'!$U6,'Tables - Part 2'!$AV$6:$AV$13,0),MATCH('HIC-SOHIC-HF'!$S6,'Tables - Part 2'!$AX$5:$BA$5,0)))/2)+INDEX('Tables - Part 2'!$BF$17:$BI$24,MATCH('HIC-SOHIC-HF'!$U6,'Tables - Part 2'!$AV$6:$AV$13,0),MATCH('HIC-SOHIC-HF'!$S6,'Tables - Part 2'!$AX$5:$BA$5,0)))/2)+(INDEX('Tables - Part 2'!$BF$17:$BI$24,MATCH('HIC-SOHIC-HF'!$U6,'Tables - Part 2'!$AV$6:$AV$13,0),MATCH('HIC-SOHIC-HF'!$S6,'Tables - Part 2'!$AX$5:$BA$5,0))))/2,0)</f>
        <v>0</v>
      </c>
      <c r="BP6" s="248">
        <f>IF($R6=$BP$3,INDEX('Tables - Part 2'!$BF$17:$BI$24,MATCH('HIC-SOHIC-HF'!$U6,'Tables - Part 2'!$AV$6:$AV$13,0),MATCH('HIC-SOHIC-HF'!$S6,'Tables - Part 2'!$AX$5:$BA$5,0)),0)</f>
        <v>0</v>
      </c>
      <c r="BQ6" s="248">
        <f t="shared" si="6"/>
        <v>0</v>
      </c>
      <c r="BR6" s="238">
        <f t="shared" si="7"/>
        <v>3</v>
      </c>
      <c r="BS6" s="238">
        <f t="shared" si="8"/>
        <v>50.318647405225171</v>
      </c>
    </row>
    <row r="7" spans="2:84" x14ac:dyDescent="0.35">
      <c r="B7" s="161" t="str">
        <f>'Tratamento de Dados'!B15</f>
        <v>V-11</v>
      </c>
      <c r="C7" s="161" t="str">
        <f>'Tratamento de Dados'!D15</f>
        <v>Casco</v>
      </c>
      <c r="D7" s="209" t="s">
        <v>245</v>
      </c>
      <c r="E7" s="209" t="s">
        <v>61</v>
      </c>
      <c r="F7" s="209" t="s">
        <v>244</v>
      </c>
      <c r="G7" s="209" t="s">
        <v>244</v>
      </c>
      <c r="H7" s="209" t="s">
        <v>1208</v>
      </c>
      <c r="I7" s="209" t="s">
        <v>245</v>
      </c>
      <c r="J7" s="209" t="s">
        <v>898</v>
      </c>
      <c r="K7" s="210">
        <v>39092</v>
      </c>
      <c r="L7" s="209">
        <v>0</v>
      </c>
      <c r="M7" s="209">
        <v>1</v>
      </c>
      <c r="N7" s="209">
        <v>1</v>
      </c>
      <c r="O7" s="209">
        <v>4</v>
      </c>
      <c r="P7" s="253">
        <f>'Tratamento de Dados'!DA15</f>
        <v>0</v>
      </c>
      <c r="Q7" s="253">
        <f>'Tratamento de Dados'!DB15</f>
        <v>0</v>
      </c>
      <c r="R7" s="256">
        <f t="shared" si="0"/>
        <v>2.5</v>
      </c>
      <c r="S7" s="246" t="str">
        <f t="shared" si="1"/>
        <v>B</v>
      </c>
      <c r="T7" s="238" t="str" cm="1">
        <f t="array" ref="T7">IF(D7=$BX$2,$BV$4,IF(OR(F7=$BX$3,G7=$BX$3),$BV$5,INDEX(IF(I7=$BX$2,'Tables - Part 2'!$EI$6:$EK$6,'Tables - Part 2'!$EI$5:$EK$5),,MATCH('HIC-SOHIC-HF'!H7,'Tables - Part 2'!$EI$4:$EK$4,0))))</f>
        <v>High</v>
      </c>
      <c r="U7" s="238">
        <f>IF(AND(D7=$BX$2,E7&lt;&gt;$BX$2),"Fitness-For-Service",INDEX('Tables - Part 2'!$EN$4:$EN$7,MATCH('HIC-SOHIC-HF'!T7,'Tables - Part 2'!$EM$4:$EM$7,0),))</f>
        <v>100</v>
      </c>
      <c r="V7" s="238">
        <f>INDEX('Tables - Part 2'!$EQ$4:$EQ$7,MATCH('HIC-SOHIC-HF'!J7,'Tables - Part 2'!$EP$4:$EP$7,0))</f>
        <v>1</v>
      </c>
      <c r="W7" s="238">
        <f>IF(K7=0,(Thinning!G8-Thinning!F8)/365.25,(Thinning!G8-K7)/365.25)</f>
        <v>12.980150581793293</v>
      </c>
      <c r="X7" s="248">
        <f t="shared" si="2"/>
        <v>0</v>
      </c>
      <c r="Y7" s="248">
        <f t="shared" si="3"/>
        <v>2.5</v>
      </c>
      <c r="Z7" s="248">
        <f t="shared" si="4"/>
        <v>3</v>
      </c>
      <c r="AA7" s="247">
        <f t="shared" si="5"/>
        <v>4</v>
      </c>
      <c r="AB7" s="248">
        <f>IF($R7=$AB$3,INDEX('Tables - Part 2'!$AX$6:$BA$13,MATCH('HIC-SOHIC-HF'!U7,'Tables - Part 2'!$AV$6:$AV$13,0),MATCH('HIC-SOHIC-HF'!S7,'Tables - Part 2'!$AX$5:$BA$5,0)),0)</f>
        <v>0</v>
      </c>
      <c r="AC7" s="248">
        <f>IF($R7=$AC$3,(INDEX('Tables - Part 2'!$AX$6:$BA$13,MATCH('HIC-SOHIC-HF'!U7,'Tables - Part 2'!$AV$6:$AV$13,0),MATCH('HIC-SOHIC-HF'!S7,'Tables - Part 2'!$AX$5:$BA$5,0))+(INDEX('Tables - Part 2'!$AX$6:$BA$13,MATCH('HIC-SOHIC-HF'!U7,'Tables - Part 2'!$AV$6:$AV$13,0),MATCH('HIC-SOHIC-HF'!S7,'Tables - Part 2'!$AX$5:$BA$5,0))+((INDEX('Tables - Part 2'!$AX$6:$BA$13,MATCH('HIC-SOHIC-HF'!U7,'Tables - Part 2'!$AV$6:$AV$13,0),MATCH('HIC-SOHIC-HF'!S7,'Tables - Part 2'!$AX$5:$BA$5,0))+INDEX('Tables - Part 2'!$BB$6:$BE$13,MATCH('HIC-SOHIC-HF'!$U7,'Tables - Part 2'!$AV$6:$AV$13,0),MATCH('HIC-SOHIC-HF'!$S7,'Tables - Part 2'!$AX$5:$BA$5,0)))/2))/2)/2,0)</f>
        <v>0</v>
      </c>
      <c r="AD7" s="248">
        <f>IF($R7=$AD$3,(INDEX('Tables - Part 2'!$AX$6:$BA$13,MATCH('HIC-SOHIC-HF'!U7,'Tables - Part 2'!$AV$6:$AV$13,0),MATCH('HIC-SOHIC-HF'!S7,'Tables - Part 2'!$AX$5:$BA$5,0))+((INDEX('Tables - Part 2'!$AX$6:$BA$13,MATCH('HIC-SOHIC-HF'!U7,'Tables - Part 2'!$AV$6:$AV$13,0),MATCH('HIC-SOHIC-HF'!S7,'Tables - Part 2'!$AX$5:$BA$5,0))+INDEX('Tables - Part 2'!$BB$6:$BE$13,MATCH('HIC-SOHIC-HF'!$U7,'Tables - Part 2'!$AV$6:$AV$13,0),MATCH('HIC-SOHIC-HF'!$S7,'Tables - Part 2'!$AX$5:$BA$5,0)))/2))/2,0)</f>
        <v>0</v>
      </c>
      <c r="AE7" s="248">
        <f>IF($R7=$AE$3,(((INDEX('Tables - Part 2'!$AX$6:$BA$13,MATCH('HIC-SOHIC-HF'!U7,'Tables - Part 2'!$AV$6:$AV$13,0),MATCH('HIC-SOHIC-HF'!S7,'Tables - Part 2'!$AX$5:$BA$5,0))+((INDEX('Tables - Part 2'!$AX$6:$BA$13,MATCH('HIC-SOHIC-HF'!U7,'Tables - Part 2'!$AV$6:$AV$13,0),MATCH('HIC-SOHIC-HF'!S7,'Tables - Part 2'!$AX$5:$BA$5,0))+INDEX('Tables - Part 2'!$BB$6:$BE$13,MATCH('HIC-SOHIC-HF'!$U7,'Tables - Part 2'!$AV$6:$AV$13,0),MATCH('HIC-SOHIC-HF'!$S7,'Tables - Part 2'!$AX$5:$BA$5,0)))/2))/2)+(INDEX('Tables - Part 2'!$AX$6:$BA$13,MATCH('HIC-SOHIC-HF'!U7,'Tables - Part 2'!$AV$6:$AV$13,0),MATCH('HIC-SOHIC-HF'!S7,'Tables - Part 2'!$AX$5:$BA$5,0))+INDEX('Tables - Part 2'!$BB$6:$BE$13,MATCH('HIC-SOHIC-HF'!$U7,'Tables - Part 2'!$AV$6:$AV$13,0),MATCH('HIC-SOHIC-HF'!$S7,'Tables - Part 2'!$AX$5:$BA$5,0)))/2)/2,0)</f>
        <v>0</v>
      </c>
      <c r="AF7" s="248">
        <f>IF($R7=$AF$3,(INDEX('Tables - Part 2'!$AX$6:$BA$13,MATCH('HIC-SOHIC-HF'!U7,'Tables - Part 2'!$AV$6:$AV$13,0),MATCH('HIC-SOHIC-HF'!S7,'Tables - Part 2'!$AX$5:$BA$5,0))+INDEX('Tables - Part 2'!$BB$6:$BE$13,MATCH('HIC-SOHIC-HF'!$U7,'Tables - Part 2'!$AV$6:$AV$13,0),MATCH('HIC-SOHIC-HF'!$S7,'Tables - Part 2'!$AX$5:$BA$5,0)))/2,0)</f>
        <v>0</v>
      </c>
      <c r="AG7" s="248">
        <f>IF($R7=$AG$3,(((INDEX('Tables - Part 2'!$AX$6:$BA$13,MATCH('HIC-SOHIC-HF'!U7,'Tables - Part 2'!$AV$6:$AV$13,0),MATCH('HIC-SOHIC-HF'!S7,'Tables - Part 2'!$AX$5:$BA$5,0))+INDEX('Tables - Part 2'!$BB$6:$BE$13,MATCH('HIC-SOHIC-HF'!$U7,'Tables - Part 2'!$AV$6:$AV$13,0),MATCH('HIC-SOHIC-HF'!$S7,'Tables - Part 2'!$AX$5:$BA$5,0)))/2)+(((INDEX('Tables - Part 2'!$AX$6:$BA$13,MATCH('HIC-SOHIC-HF'!U7,'Tables - Part 2'!$AV$6:$AV$13,0),MATCH('HIC-SOHIC-HF'!S7,'Tables - Part 2'!$AX$5:$BA$5,0))+INDEX('Tables - Part 2'!$BB$6:$BE$13,MATCH('HIC-SOHIC-HF'!$U7,'Tables - Part 2'!$AV$6:$AV$13,0),MATCH('HIC-SOHIC-HF'!$S7,'Tables - Part 2'!$AX$5:$BA$5,0)))/2)+INDEX('Tables - Part 2'!$BB$6:$BE$13,MATCH('HIC-SOHIC-HF'!$U7,'Tables - Part 2'!$AV$6:$AV$13,0),MATCH('HIC-SOHIC-HF'!$S7,'Tables - Part 2'!$AX$5:$BA$5,0)))/2)/2,0)</f>
        <v>0</v>
      </c>
      <c r="AH7" s="248">
        <f>IF($R7=$AH$3,(((INDEX('Tables - Part 2'!$AX$6:$BA$13,MATCH('HIC-SOHIC-HF'!U7,'Tables - Part 2'!$AV$6:$AV$13,0),MATCH('HIC-SOHIC-HF'!S7,'Tables - Part 2'!$AX$5:$BA$5,0))+INDEX('Tables - Part 2'!$BB$6:$BE$13,MATCH('HIC-SOHIC-HF'!$U7,'Tables - Part 2'!$AV$6:$AV$13,0),MATCH('HIC-SOHIC-HF'!$S7,'Tables - Part 2'!$AX$5:$BA$5,0)))/2)+INDEX('Tables - Part 2'!$BB$6:$BE$13,MATCH('HIC-SOHIC-HF'!$U7,'Tables - Part 2'!$AV$6:$AV$13,0),MATCH('HIC-SOHIC-HF'!$S7,'Tables - Part 2'!$AX$5:$BA$5,0)))/2,0)</f>
        <v>0</v>
      </c>
      <c r="AI7" s="248">
        <f>IF($R7=$AI$3,(((((INDEX('Tables - Part 2'!$AX$6:$BA$13,MATCH('HIC-SOHIC-HF'!U7,'Tables - Part 2'!$AV$6:$AV$13,0),MATCH('HIC-SOHIC-HF'!S7,'Tables - Part 2'!$AX$5:$BA$5,0))+INDEX('Tables - Part 2'!$BB$6:$BE$13,MATCH('HIC-SOHIC-HF'!$U7,'Tables - Part 2'!$AV$6:$AV$13,0),MATCH('HIC-SOHIC-HF'!$S7,'Tables - Part 2'!$AX$5:$BA$5,0)))/2)+INDEX('Tables - Part 2'!$BB$6:$BE$13,MATCH('HIC-SOHIC-HF'!$U7,'Tables - Part 2'!$AV$6:$AV$13,0),MATCH('HIC-SOHIC-HF'!$S7,'Tables - Part 2'!$AX$5:$BA$5,0)))/2)+INDEX('Tables - Part 2'!$BB$6:$BE$13,MATCH('HIC-SOHIC-HF'!$U7,'Tables - Part 2'!$AV$6:$AV$13,0),MATCH('HIC-SOHIC-HF'!$S7,'Tables - Part 2'!$AX$5:$BA$5,0)))/2,0)</f>
        <v>0</v>
      </c>
      <c r="AJ7" s="248">
        <f>IF($R7=$AJ$3,INDEX('Tables - Part 2'!$BB$6:$BE$13,MATCH('HIC-SOHIC-HF'!$U7,'Tables - Part 2'!$AV$6:$AV$13,0),MATCH('HIC-SOHIC-HF'!$S7,'Tables - Part 2'!$AX$5:$BA$5,0)),0)</f>
        <v>0</v>
      </c>
      <c r="AK7" s="248">
        <f>IF($R7=$AK$3,((INDEX('Tables - Part 2'!$BB$6:$BE$13,MATCH('HIC-SOHIC-HF'!$U7,'Tables - Part 2'!$AV$6:$AV$13,0),MATCH('HIC-SOHIC-HF'!$S7,'Tables - Part 2'!$AX$5:$BA$5,0)))+(INDEX('Tables - Part 2'!$BB$6:$BE$13,MATCH('HIC-SOHIC-HF'!$U7,'Tables - Part 2'!$AV$6:$AV$13,0),MATCH('HIC-SOHIC-HF'!$S7,'Tables - Part 2'!$AX$5:$BA$5,0))+(INDEX('Tables - Part 2'!$BB$6:$BE$13,MATCH('HIC-SOHIC-HF'!$U7,'Tables - Part 2'!$AV$6:$AV$13,0),MATCH('HIC-SOHIC-HF'!$S7,'Tables - Part 2'!$AX$5:$BA$5,0))+INDEX('Tables - Part 2'!$BF$6:$BI$13,MATCH('HIC-SOHIC-HF'!$U7,'Tables - Part 2'!$AV$6:$AV$13,0),MATCH('HIC-SOHIC-HF'!$S7,'Tables - Part 2'!$AX$5:$BA$5,0)))/2)/2)/2,0)</f>
        <v>0</v>
      </c>
      <c r="AL7" s="248">
        <f>IF($R7=$AL$3,(INDEX('Tables - Part 2'!$BB$6:$BE$13,MATCH('HIC-SOHIC-HF'!$U7,'Tables - Part 2'!$AV$6:$AV$13,0),MATCH('HIC-SOHIC-HF'!$S7,'Tables - Part 2'!$AX$5:$BA$5,0))+(INDEX('Tables - Part 2'!$BB$6:$BE$13,MATCH('HIC-SOHIC-HF'!$U7,'Tables - Part 2'!$AV$6:$AV$13,0),MATCH('HIC-SOHIC-HF'!$S7,'Tables - Part 2'!$AX$5:$BA$5,0))+INDEX('Tables - Part 2'!$BF$6:$BI$13,MATCH('HIC-SOHIC-HF'!$U7,'Tables - Part 2'!$AV$6:$AV$13,0),MATCH('HIC-SOHIC-HF'!$S7,'Tables - Part 2'!$AX$5:$BA$5,0)))/2)/2,0)</f>
        <v>0</v>
      </c>
      <c r="AM7" s="248">
        <f>IF($R7=$AM$3,(((INDEX('Tables - Part 2'!$BB$6:$BE$13,MATCH('HIC-SOHIC-HF'!$U7,'Tables - Part 2'!$AV$6:$AV$13,0),MATCH('HIC-SOHIC-HF'!$S7,'Tables - Part 2'!$AX$5:$BA$5,0))+(INDEX('Tables - Part 2'!$BB$6:$BE$13,MATCH('HIC-SOHIC-HF'!$U7,'Tables - Part 2'!$AV$6:$AV$13,0),MATCH('HIC-SOHIC-HF'!$S7,'Tables - Part 2'!$AX$5:$BA$5,0))+INDEX('Tables - Part 2'!$BF$6:$BI$13,MATCH('HIC-SOHIC-HF'!$U7,'Tables - Part 2'!$AV$6:$AV$13,0),MATCH('HIC-SOHIC-HF'!$S7,'Tables - Part 2'!$AX$5:$BA$5,0)))/2)/2)+((INDEX('Tables - Part 2'!$BB$6:$BE$13,MATCH('HIC-SOHIC-HF'!$U7,'Tables - Part 2'!$AV$6:$AV$13,0),MATCH('HIC-SOHIC-HF'!$S7,'Tables - Part 2'!$AX$5:$BA$5,0))+INDEX('Tables - Part 2'!$BF$6:$BI$13,MATCH('HIC-SOHIC-HF'!$U7,'Tables - Part 2'!$AV$6:$AV$13,0),MATCH('HIC-SOHIC-HF'!$S7,'Tables - Part 2'!$AX$5:$BA$5,0)))/2))/2,0)</f>
        <v>0</v>
      </c>
      <c r="AN7" s="248">
        <f>IF($R7=$AN$3,(INDEX('Tables - Part 2'!$BB$6:$BE$13,MATCH('HIC-SOHIC-HF'!$U7,'Tables - Part 2'!$AV$6:$AV$13,0),MATCH('HIC-SOHIC-HF'!$S7,'Tables - Part 2'!$AX$5:$BA$5,0))+INDEX('Tables - Part 2'!$BF$6:$BI$13,MATCH('HIC-SOHIC-HF'!$U7,'Tables - Part 2'!$AV$6:$AV$13,0),MATCH('HIC-SOHIC-HF'!$S7,'Tables - Part 2'!$AX$5:$BA$5,0)))/2,0)</f>
        <v>3</v>
      </c>
      <c r="AO7" s="248">
        <f>IF($R7=$AO$3,(((INDEX('Tables - Part 2'!$BB$6:$BE$13,MATCH('HIC-SOHIC-HF'!$U7,'Tables - Part 2'!$AV$6:$AV$13,0),MATCH('HIC-SOHIC-HF'!$S7,'Tables - Part 2'!$AX$5:$BA$5,0))+INDEX('Tables - Part 2'!$BF$6:$BI$13,MATCH('HIC-SOHIC-HF'!$U7,'Tables - Part 2'!$AV$6:$AV$13,0),MATCH('HIC-SOHIC-HF'!$S7,'Tables - Part 2'!$AX$5:$BA$5,0)))/2)+((((INDEX('Tables - Part 2'!$BB$6:$BE$13,MATCH('HIC-SOHIC-HF'!$U7,'Tables - Part 2'!$AV$6:$AV$13,0),MATCH('HIC-SOHIC-HF'!$S7,'Tables - Part 2'!$AX$5:$BA$5,0))+INDEX('Tables - Part 2'!$BF$6:$BI$13,MATCH('HIC-SOHIC-HF'!$U7,'Tables - Part 2'!$AV$6:$AV$13,0),MATCH('HIC-SOHIC-HF'!$S7,'Tables - Part 2'!$AX$5:$BA$5,0)))/2)+INDEX('Tables - Part 2'!$BF$6:$BI$13,MATCH('HIC-SOHIC-HF'!$U7,'Tables - Part 2'!$AV$6:$AV$13,0),MATCH('HIC-SOHIC-HF'!$S7,'Tables - Part 2'!$AX$5:$BA$5,0)))/2))/2,0)</f>
        <v>0</v>
      </c>
      <c r="AP7" s="248">
        <f>IF($R7=$AP$3,(((INDEX('Tables - Part 2'!$BB$6:$BE$13,MATCH('HIC-SOHIC-HF'!$U7,'Tables - Part 2'!$AV$6:$AV$13,0),MATCH('HIC-SOHIC-HF'!$S7,'Tables - Part 2'!$AX$5:$BA$5,0))+INDEX('Tables - Part 2'!$BF$6:$BI$13,MATCH('HIC-SOHIC-HF'!$U7,'Tables - Part 2'!$AV$6:$AV$13,0),MATCH('HIC-SOHIC-HF'!$S7,'Tables - Part 2'!$AX$5:$BA$5,0)))/2)+INDEX('Tables - Part 2'!$BF$6:$BI$13,MATCH('HIC-SOHIC-HF'!$U7,'Tables - Part 2'!$AV$6:$AV$13,0),MATCH('HIC-SOHIC-HF'!$S7,'Tables - Part 2'!$AX$5:$BA$5,0)))/2,0)</f>
        <v>0</v>
      </c>
      <c r="AQ7" s="248">
        <f>IF($R7=$AQ$3,(((((INDEX('Tables - Part 2'!$BB$6:$BE$13,MATCH('HIC-SOHIC-HF'!$U7,'Tables - Part 2'!$AV$6:$AV$13,0),MATCH('HIC-SOHIC-HF'!$S7,'Tables - Part 2'!$AX$5:$BA$5,0))+INDEX('Tables - Part 2'!$BF$6:$BI$13,MATCH('HIC-SOHIC-HF'!$U7,'Tables - Part 2'!$AV$6:$AV$13,0),MATCH('HIC-SOHIC-HF'!$S7,'Tables - Part 2'!$AX$5:$BA$5,0)))/2)+INDEX('Tables - Part 2'!$BF$6:$BI$13,MATCH('HIC-SOHIC-HF'!$U7,'Tables - Part 2'!$AV$6:$AV$13,0),MATCH('HIC-SOHIC-HF'!$S7,'Tables - Part 2'!$AX$5:$BA$5,0)))/2)+INDEX('Tables - Part 2'!$BF$6:$BI$13,MATCH('HIC-SOHIC-HF'!$U7,'Tables - Part 2'!$AV$6:$AV$13,0),MATCH('HIC-SOHIC-HF'!$S7,'Tables - Part 2'!$AX$5:$BA$5,0)))/2,0)</f>
        <v>0</v>
      </c>
      <c r="AR7" s="248">
        <f>IF($R7=$AR$3,INDEX('Tables - Part 2'!$BF$6:$BI$13,MATCH('HIC-SOHIC-HF'!$U7,'Tables - Part 2'!$AV$6:$AV$13,0),MATCH('HIC-SOHIC-HF'!$S7,'Tables - Part 2'!$AX$5:$BA$5,0)),0)</f>
        <v>0</v>
      </c>
      <c r="AS7" s="248">
        <f>IF($R7=$AS$3,(INDEX('Tables - Part 2'!$BF$6:$BI$13,MATCH('HIC-SOHIC-HF'!$U7,'Tables - Part 2'!$AV$6:$AV$13,0),MATCH('HIC-SOHIC-HF'!$S7,'Tables - Part 2'!$AX$5:$BA$5,0))+((INDEX('Tables - Part 2'!$BF$6:$BI$13,MATCH('HIC-SOHIC-HF'!$U7,'Tables - Part 2'!$AV$6:$AV$13,0),MATCH('HIC-SOHIC-HF'!$S7,'Tables - Part 2'!$AX$5:$BA$5,0))+(INDEX('Tables - Part 2'!$BF$6:$BI$13,MATCH('HIC-SOHIC-HF'!$U7,'Tables - Part 2'!$AV$6:$AV$13,0),MATCH('HIC-SOHIC-HF'!$S7,'Tables - Part 2'!$AX$5:$BA$5,0))+INDEX('Tables - Part 2'!$AX$17:$BA$24,MATCH('HIC-SOHIC-HF'!$U7,'Tables - Part 2'!$AV$6:$AV$13,0),MATCH('HIC-SOHIC-HF'!$S7,'Tables - Part 2'!$AX$5:$BA$5,0)))/2)/2))/2,0)</f>
        <v>0</v>
      </c>
      <c r="AT7" s="248">
        <f>IF($R7=$AT$3,(INDEX('Tables - Part 2'!$BF$6:$BI$13,MATCH('HIC-SOHIC-HF'!$U7,'Tables - Part 2'!$AV$6:$AV$13,0),MATCH('HIC-SOHIC-HF'!$S7,'Tables - Part 2'!$AX$5:$BA$5,0))+(INDEX('Tables - Part 2'!$BF$6:$BI$13,MATCH('HIC-SOHIC-HF'!$U7,'Tables - Part 2'!$AV$6:$AV$13,0),MATCH('HIC-SOHIC-HF'!$S7,'Tables - Part 2'!$AX$5:$BA$5,0))+INDEX('Tables - Part 2'!$AX$17:$BA$24,MATCH('HIC-SOHIC-HF'!$U7,'Tables - Part 2'!$AV$6:$AV$13,0),MATCH('HIC-SOHIC-HF'!$S7,'Tables - Part 2'!$AX$5:$BA$5,0)))/2)/2,0)</f>
        <v>0</v>
      </c>
      <c r="AU7" s="248">
        <f>IF($R7=$AU$3,(((INDEX('Tables - Part 2'!$BF$6:$BI$13,MATCH('HIC-SOHIC-HF'!$U7,'Tables - Part 2'!$AV$6:$AV$13,0),MATCH('HIC-SOHIC-HF'!$S7,'Tables - Part 2'!$AX$5:$BA$5,0))+(INDEX('Tables - Part 2'!$BF$6:$BI$13,MATCH('HIC-SOHIC-HF'!$U7,'Tables - Part 2'!$AV$6:$AV$13,0),MATCH('HIC-SOHIC-HF'!$S7,'Tables - Part 2'!$AX$5:$BA$5,0))+INDEX('Tables - Part 2'!$AX$17:$BA$24,MATCH('HIC-SOHIC-HF'!$U7,'Tables - Part 2'!$AV$6:$AV$13,0),MATCH('HIC-SOHIC-HF'!$S7,'Tables - Part 2'!$AX$5:$BA$5,0)))/2)/2)+((INDEX('Tables - Part 2'!$BF$6:$BI$13,MATCH('HIC-SOHIC-HF'!$U7,'Tables - Part 2'!$AV$6:$AV$13,0),MATCH('HIC-SOHIC-HF'!$S7,'Tables - Part 2'!$AX$5:$BA$5,0))+INDEX('Tables - Part 2'!$AX$17:$BA$24,MATCH('HIC-SOHIC-HF'!$U7,'Tables - Part 2'!$AV$6:$AV$13,0),MATCH('HIC-SOHIC-HF'!$S7,'Tables - Part 2'!$AX$5:$BA$5,0)))/2))/2,0)</f>
        <v>0</v>
      </c>
      <c r="AV7" s="248">
        <f>IF($R7=$AV$3,(INDEX('Tables - Part 2'!$BF$6:$BI$13,MATCH('HIC-SOHIC-HF'!$U7,'Tables - Part 2'!$AV$6:$AV$13,0),MATCH('HIC-SOHIC-HF'!$S7,'Tables - Part 2'!$AX$5:$BA$5,0))+INDEX('Tables - Part 2'!$AX$17:$BA$24,MATCH('HIC-SOHIC-HF'!$U7,'Tables - Part 2'!$AV$6:$AV$13,0),MATCH('HIC-SOHIC-HF'!$S7,'Tables - Part 2'!$AX$5:$BA$5,0)))/2,0)</f>
        <v>0</v>
      </c>
      <c r="AW7" s="248">
        <f>IF($R7=$AW$3,(((INDEX('Tables - Part 2'!$BF$6:$BI$13,MATCH('HIC-SOHIC-HF'!$U7,'Tables - Part 2'!$AV$6:$AV$13,0),MATCH('HIC-SOHIC-HF'!$S7,'Tables - Part 2'!$AX$5:$BA$5,0))+INDEX('Tables - Part 2'!$AX$17:$BA$24,MATCH('HIC-SOHIC-HF'!$U7,'Tables - Part 2'!$AV$6:$AV$13,0),MATCH('HIC-SOHIC-HF'!$S7,'Tables - Part 2'!$AX$5:$BA$5,0)))/2)+((((INDEX('Tables - Part 2'!$BF$6:$BI$13,MATCH('HIC-SOHIC-HF'!$U7,'Tables - Part 2'!$AV$6:$AV$13,0),MATCH('HIC-SOHIC-HF'!$S7,'Tables - Part 2'!$AX$5:$BA$5,0))+INDEX('Tables - Part 2'!$AX$17:$BA$24,MATCH('HIC-SOHIC-HF'!$U7,'Tables - Part 2'!$AV$6:$AV$13,0),MATCH('HIC-SOHIC-HF'!$S7,'Tables - Part 2'!$AX$5:$BA$5,0)))/2)+INDEX('Tables - Part 2'!$AX$17:$BA$24,MATCH('HIC-SOHIC-HF'!$U7,'Tables - Part 2'!$AV$6:$AV$13,0),MATCH('HIC-SOHIC-HF'!$S7,'Tables - Part 2'!$AX$5:$BA$5,0)))/2))/2,0)</f>
        <v>0</v>
      </c>
      <c r="AX7" s="248">
        <f>IF($R7=$AX$3,(((INDEX('Tables - Part 2'!$BF$6:$BI$13,MATCH('HIC-SOHIC-HF'!$U7,'Tables - Part 2'!$AV$6:$AV$13,0),MATCH('HIC-SOHIC-HF'!$S7,'Tables - Part 2'!$AX$5:$BA$5,0))+INDEX('Tables - Part 2'!$AX$17:$BA$24,MATCH('HIC-SOHIC-HF'!$U7,'Tables - Part 2'!$AV$6:$AV$13,0),MATCH('HIC-SOHIC-HF'!$S7,'Tables - Part 2'!$AX$5:$BA$5,0)))/2)+INDEX('Tables - Part 2'!$AX$17:$BA$24,MATCH('HIC-SOHIC-HF'!$U7,'Tables - Part 2'!$AV$6:$AV$13,0),MATCH('HIC-SOHIC-HF'!$S7,'Tables - Part 2'!$AX$5:$BA$5,0)))/2,0)</f>
        <v>0</v>
      </c>
      <c r="AY7" s="248">
        <f>IF($R7=$AY$3,(((((INDEX('Tables - Part 2'!$BF$6:$BI$13,MATCH('HIC-SOHIC-HF'!$U7,'Tables - Part 2'!$AV$6:$AV$13,0),MATCH('HIC-SOHIC-HF'!$S7,'Tables - Part 2'!$AX$5:$BA$5,0))+INDEX('Tables - Part 2'!$AX$17:$BA$24,MATCH('HIC-SOHIC-HF'!$U7,'Tables - Part 2'!$AV$6:$AV$13,0),MATCH('HIC-SOHIC-HF'!$S7,'Tables - Part 2'!$AX$5:$BA$5,0)))/2)+INDEX('Tables - Part 2'!$AX$17:$BA$24,MATCH('HIC-SOHIC-HF'!$U7,'Tables - Part 2'!$AV$6:$AV$13,0),MATCH('HIC-SOHIC-HF'!$S7,'Tables - Part 2'!$AX$5:$BA$5,0)))/2)+(INDEX('Tables - Part 2'!$AX$17:$BA$24,MATCH('HIC-SOHIC-HF'!$U7,'Tables - Part 2'!$AV$6:$AV$13,0),MATCH('HIC-SOHIC-HF'!$S7,'Tables - Part 2'!$AX$5:$BA$5,0))))/2,0)</f>
        <v>0</v>
      </c>
      <c r="AZ7" s="248">
        <f>IF($R7=$AZ$3,INDEX('Tables - Part 2'!$AX$17:$BA$24,MATCH('HIC-SOHIC-HF'!$U7,'Tables - Part 2'!$AV$6:$AV$13,0),MATCH('HIC-SOHIC-HF'!$S7,'Tables - Part 2'!$AX$5:$BA$5,0)),0)</f>
        <v>0</v>
      </c>
      <c r="BA7" s="248">
        <f>IF($R7=$BA$3,((INDEX('Tables - Part 2'!$AX$17:$BA$24,MATCH('HIC-SOHIC-HF'!$U7,'Tables - Part 2'!$AV$6:$AV$13,0),MATCH('HIC-SOHIC-HF'!$S7,'Tables - Part 2'!$AX$5:$BA$5,0)))+(((INDEX('Tables - Part 2'!$AX$17:$BA$24,MATCH('HIC-SOHIC-HF'!$U7,'Tables - Part 2'!$AV$6:$AV$13,0),MATCH('HIC-SOHIC-HF'!$S7,'Tables - Part 2'!$AX$5:$BA$5,0)))+(INDEX('Tables - Part 2'!$AX$17:$BA$24,MATCH('HIC-SOHIC-HF'!$U7,'Tables - Part 2'!$AV$6:$AV$13,0),MATCH('HIC-SOHIC-HF'!$S7,'Tables - Part 2'!$AX$5:$BA$5,0))+INDEX('Tables - Part 2'!$BB$17:$BE$24,MATCH('HIC-SOHIC-HF'!$U7,'Tables - Part 2'!$AV$6:$AV$13,0),MATCH('HIC-SOHIC-HF'!$S7,'Tables - Part 2'!$AX$5:$BA$5,0)))/2)/2))/2,0)</f>
        <v>0</v>
      </c>
      <c r="BB7" s="248">
        <f>IF($R7=$BB$3,((INDEX('Tables - Part 2'!$AX$17:$BA$24,MATCH('HIC-SOHIC-HF'!$U7,'Tables - Part 2'!$AV$6:$AV$13,0),MATCH('HIC-SOHIC-HF'!$S7,'Tables - Part 2'!$AX$5:$BA$5,0)))+(INDEX('Tables - Part 2'!$AX$17:$BA$24,MATCH('HIC-SOHIC-HF'!$U7,'Tables - Part 2'!$AV$6:$AV$13,0),MATCH('HIC-SOHIC-HF'!$S7,'Tables - Part 2'!$AX$5:$BA$5,0))+INDEX('Tables - Part 2'!$BB$17:$BE$24,MATCH('HIC-SOHIC-HF'!$U7,'Tables - Part 2'!$AV$6:$AV$13,0),MATCH('HIC-SOHIC-HF'!$S7,'Tables - Part 2'!$AX$5:$BA$5,0)))/2)/2,0)</f>
        <v>0</v>
      </c>
      <c r="BC7" s="248">
        <f>IF($R7=$BC$3,((((INDEX('Tables - Part 2'!$AX$17:$BA$24,MATCH('HIC-SOHIC-HF'!$U7,'Tables - Part 2'!$AV$6:$AV$13,0),MATCH('HIC-SOHIC-HF'!$S7,'Tables - Part 2'!$AX$5:$BA$5,0)))+(INDEX('Tables - Part 2'!$AX$17:$BA$24,MATCH('HIC-SOHIC-HF'!$U7,'Tables - Part 2'!$AV$6:$AV$13,0),MATCH('HIC-SOHIC-HF'!$S7,'Tables - Part 2'!$AX$5:$BA$5,0))+INDEX('Tables - Part 2'!$BB$17:$BE$24,MATCH('HIC-SOHIC-HF'!$U7,'Tables - Part 2'!$AV$6:$AV$13,0),MATCH('HIC-SOHIC-HF'!$S7,'Tables - Part 2'!$AX$5:$BA$5,0)))/2)/2)+((INDEX('Tables - Part 2'!$AX$17:$BA$24,MATCH('HIC-SOHIC-HF'!$U7,'Tables - Part 2'!$AV$6:$AV$13,0),MATCH('HIC-SOHIC-HF'!$S7,'Tables - Part 2'!$AX$5:$BA$5,0))+INDEX('Tables - Part 2'!$BB$17:$BE$24,MATCH('HIC-SOHIC-HF'!$U7,'Tables - Part 2'!$AV$6:$AV$13,0),MATCH('HIC-SOHIC-HF'!$S7,'Tables - Part 2'!$AX$5:$BA$5,0)))/2))/2,0)</f>
        <v>0</v>
      </c>
      <c r="BD7" s="248">
        <f>IF($R7=$BD$3,(INDEX('Tables - Part 2'!$AX$17:$BA$24,MATCH('HIC-SOHIC-HF'!$U7,'Tables - Part 2'!$AV$6:$AV$13,0),MATCH('HIC-SOHIC-HF'!$S7,'Tables - Part 2'!$AX$5:$BA$5,0))+INDEX('Tables - Part 2'!$BB$17:$BE$24,MATCH('HIC-SOHIC-HF'!$U7,'Tables - Part 2'!$AV$6:$AV$13,0),MATCH('HIC-SOHIC-HF'!$S7,'Tables - Part 2'!$AX$5:$BA$5,0)))/2,0)</f>
        <v>0</v>
      </c>
      <c r="BE7" s="248">
        <f>IF($R7=$BE$3,(((INDEX('Tables - Part 2'!$AX$17:$BA$24,MATCH('HIC-SOHIC-HF'!$U7,'Tables - Part 2'!$AV$6:$AV$13,0),MATCH('HIC-SOHIC-HF'!$S7,'Tables - Part 2'!$AX$5:$BA$5,0))+INDEX('Tables - Part 2'!$BB$17:$BE$24,MATCH('HIC-SOHIC-HF'!$U7,'Tables - Part 2'!$AV$6:$AV$13,0),MATCH('HIC-SOHIC-HF'!$S7,'Tables - Part 2'!$AX$5:$BA$5,0)))/2)+((((INDEX('Tables - Part 2'!$AX$17:$BA$24,MATCH('HIC-SOHIC-HF'!$U7,'Tables - Part 2'!$AV$6:$AV$13,0),MATCH('HIC-SOHIC-HF'!$S7,'Tables - Part 2'!$AX$5:$BA$5,0))+INDEX('Tables - Part 2'!$BB$17:$BE$24,MATCH('HIC-SOHIC-HF'!$U7,'Tables - Part 2'!$AV$6:$AV$13,0),MATCH('HIC-SOHIC-HF'!$S7,'Tables - Part 2'!$AX$5:$BA$5,0)))/2)+INDEX('Tables - Part 2'!$BB$17:$BE$24,MATCH('HIC-SOHIC-HF'!$U7,'Tables - Part 2'!$AV$6:$AV$13,0),MATCH('HIC-SOHIC-HF'!$S7,'Tables - Part 2'!$AX$5:$BA$5,0)))/2))/2,0)</f>
        <v>0</v>
      </c>
      <c r="BF7" s="248">
        <f>IF($R7=$BF$3,(((INDEX('Tables - Part 2'!$AX$17:$BA$24,MATCH('HIC-SOHIC-HF'!$U7,'Tables - Part 2'!$AV$6:$AV$13,0),MATCH('HIC-SOHIC-HF'!$S7,'Tables - Part 2'!$AX$5:$BA$5,0))+INDEX('Tables - Part 2'!$BB$17:$BE$24,MATCH('HIC-SOHIC-HF'!$U7,'Tables - Part 2'!$AV$6:$AV$13,0),MATCH('HIC-SOHIC-HF'!$S7,'Tables - Part 2'!$AX$5:$BA$5,0)))/2)+INDEX('Tables - Part 2'!$BB$17:$BE$24,MATCH('HIC-SOHIC-HF'!$U7,'Tables - Part 2'!$AV$6:$AV$13,0),MATCH('HIC-SOHIC-HF'!$S7,'Tables - Part 2'!$AX$5:$BA$5,0)))/2,0)</f>
        <v>0</v>
      </c>
      <c r="BG7" s="248">
        <f>IF($R7=$BG$3,(((((INDEX('Tables - Part 2'!$AX$17:$BA$24,MATCH('HIC-SOHIC-HF'!$U7,'Tables - Part 2'!$AV$6:$AV$13,0),MATCH('HIC-SOHIC-HF'!$S7,'Tables - Part 2'!$AX$5:$BA$5,0))+INDEX('Tables - Part 2'!$BB$17:$BE$24,MATCH('HIC-SOHIC-HF'!$U7,'Tables - Part 2'!$AV$6:$AV$13,0),MATCH('HIC-SOHIC-HF'!$S7,'Tables - Part 2'!$AX$5:$BA$5,0)))/2)+INDEX('Tables - Part 2'!$BB$17:$BE$24,MATCH('HIC-SOHIC-HF'!$U7,'Tables - Part 2'!$AV$6:$AV$13,0),MATCH('HIC-SOHIC-HF'!$S7,'Tables - Part 2'!$AX$5:$BA$5,0)))/2)+(INDEX('Tables - Part 2'!$BB$17:$BE$24,MATCH('HIC-SOHIC-HF'!$U7,'Tables - Part 2'!$AV$6:$AV$13,0),MATCH('HIC-SOHIC-HF'!$S7,'Tables - Part 2'!$AX$5:$BA$5,0))))/2,0)</f>
        <v>0</v>
      </c>
      <c r="BH7" s="248">
        <f>IF($R7=$BH$3,INDEX('Tables - Part 2'!$BB$17:$BE$24,MATCH('HIC-SOHIC-HF'!$U7,'Tables - Part 2'!$AV$6:$AV$13,0),MATCH('HIC-SOHIC-HF'!$S7,'Tables - Part 2'!$AX$5:$BA$5,0)),0)</f>
        <v>0</v>
      </c>
      <c r="BI7" s="248">
        <f>IF($R7=$BI$3,((INDEX('Tables - Part 2'!$BB$17:$BE$24,MATCH('HIC-SOHIC-HF'!$U7,'Tables - Part 2'!$AV$6:$AV$13,0),MATCH('HIC-SOHIC-HF'!$S7,'Tables - Part 2'!$AX$5:$BA$5,0)))+(((INDEX('Tables - Part 2'!$BB$17:$BE$24,MATCH('HIC-SOHIC-HF'!$U7,'Tables - Part 2'!$AV$6:$AV$13,0),MATCH('HIC-SOHIC-HF'!$S7,'Tables - Part 2'!$AX$5:$BA$5,0)))+(INDEX('Tables - Part 2'!$BB$17:$BE$24,MATCH('HIC-SOHIC-HF'!$U7,'Tables - Part 2'!$AV$6:$AV$13,0),MATCH('HIC-SOHIC-HF'!$S7,'Tables - Part 2'!$AX$5:$BA$5,0))+INDEX('Tables - Part 2'!$BF$17:$BI$24,MATCH('HIC-SOHIC-HF'!$U7,'Tables - Part 2'!$AV$6:$AV$13,0),MATCH('HIC-SOHIC-HF'!$S7,'Tables - Part 2'!$AX$5:$BA$5,0)))/2)/2))/2,0)</f>
        <v>0</v>
      </c>
      <c r="BJ7" s="248">
        <f>IF($R7=$BJ$3,((INDEX('Tables - Part 2'!$BB$17:$BE$24,MATCH('HIC-SOHIC-HF'!$U7,'Tables - Part 2'!$AV$6:$AV$13,0),MATCH('HIC-SOHIC-HF'!$S7,'Tables - Part 2'!$AX$5:$BA$5,0)))+(INDEX('Tables - Part 2'!$BB$17:$BE$24,MATCH('HIC-SOHIC-HF'!$U7,'Tables - Part 2'!$AV$6:$AV$13,0),MATCH('HIC-SOHIC-HF'!$S7,'Tables - Part 2'!$AX$5:$BA$5,0))+INDEX('Tables - Part 2'!$BF$17:$BI$24,MATCH('HIC-SOHIC-HF'!$U7,'Tables - Part 2'!$AV$6:$AV$13,0),MATCH('HIC-SOHIC-HF'!$S7,'Tables - Part 2'!$AX$5:$BA$5,0)))/2)/2,0)</f>
        <v>0</v>
      </c>
      <c r="BK7" s="248">
        <f>IF($R7=$BK$3,((((INDEX('Tables - Part 2'!$BB$17:$BE$24,MATCH('HIC-SOHIC-HF'!$U7,'Tables - Part 2'!$AV$6:$AV$13,0),MATCH('HIC-SOHIC-HF'!$S7,'Tables - Part 2'!$AX$5:$BA$5,0)))+(INDEX('Tables - Part 2'!$BB$17:$BE$24,MATCH('HIC-SOHIC-HF'!$U7,'Tables - Part 2'!$AV$6:$AV$13,0),MATCH('HIC-SOHIC-HF'!$S7,'Tables - Part 2'!$AX$5:$BA$5,0))+INDEX('Tables - Part 2'!$BF$17:$BI$24,MATCH('HIC-SOHIC-HF'!$U7,'Tables - Part 2'!$AV$6:$AV$13,0),MATCH('HIC-SOHIC-HF'!$S7,'Tables - Part 2'!$AX$5:$BA$5,0)))/2)/2)+((INDEX('Tables - Part 2'!$BB$17:$BE$24,MATCH('HIC-SOHIC-HF'!$U7,'Tables - Part 2'!$AV$6:$AV$13,0),MATCH('HIC-SOHIC-HF'!$S7,'Tables - Part 2'!$AX$5:$BA$5,0))+INDEX('Tables - Part 2'!$BF$17:$BI$24,MATCH('HIC-SOHIC-HF'!$U7,'Tables - Part 2'!$AV$6:$AV$13,0),MATCH('HIC-SOHIC-HF'!$S7,'Tables - Part 2'!$AX$5:$BA$5,0)))/2))/2,0)</f>
        <v>0</v>
      </c>
      <c r="BL7" s="248">
        <f>IF($R7=$BL$3,(INDEX('Tables - Part 2'!$BB$17:$BE$24,MATCH('HIC-SOHIC-HF'!$U7,'Tables - Part 2'!$AV$6:$AV$13,0),MATCH('HIC-SOHIC-HF'!$S7,'Tables - Part 2'!$AX$5:$BA$5,0))+INDEX('Tables - Part 2'!$BF$17:$BI$24,MATCH('HIC-SOHIC-HF'!$U7,'Tables - Part 2'!$AV$6:$AV$13,0),MATCH('HIC-SOHIC-HF'!$S7,'Tables - Part 2'!$AX$5:$BA$5,0)))/2,0)</f>
        <v>0</v>
      </c>
      <c r="BM7" s="248">
        <f>IF($R7=$BM$3,(((INDEX('Tables - Part 2'!$BB$17:$BE$24,MATCH('HIC-SOHIC-HF'!$U7,'Tables - Part 2'!$AV$6:$AV$13,0),MATCH('HIC-SOHIC-HF'!$S7,'Tables - Part 2'!$AX$5:$BA$5,0))+INDEX('Tables - Part 2'!$BF$17:$BI$24,MATCH('HIC-SOHIC-HF'!$U7,'Tables - Part 2'!$AV$6:$AV$13,0),MATCH('HIC-SOHIC-HF'!$S7,'Tables - Part 2'!$AX$5:$BA$5,0)))/2)+((((INDEX('Tables - Part 2'!$BB$17:$BE$24,MATCH('HIC-SOHIC-HF'!$U7,'Tables - Part 2'!$AV$6:$AV$13,0),MATCH('HIC-SOHIC-HF'!$S7,'Tables - Part 2'!$AX$5:$BA$5,0))+INDEX('Tables - Part 2'!$BF$17:$BI$24,MATCH('HIC-SOHIC-HF'!$U7,'Tables - Part 2'!$AV$6:$AV$13,0),MATCH('HIC-SOHIC-HF'!$S7,'Tables - Part 2'!$AX$5:$BA$5,0)))/2)+INDEX('Tables - Part 2'!$BF$17:$BI$24,MATCH('HIC-SOHIC-HF'!$U7,'Tables - Part 2'!$AV$6:$AV$13,0),MATCH('HIC-SOHIC-HF'!$S7,'Tables - Part 2'!$AX$5:$BA$5,0)))/2))/2,0)</f>
        <v>0</v>
      </c>
      <c r="BN7" s="248">
        <f>IF($R7=$BN$3,(((INDEX('Tables - Part 2'!$BB$17:$BE$24,MATCH('HIC-SOHIC-HF'!$U7,'Tables - Part 2'!$AV$6:$AV$13,0),MATCH('HIC-SOHIC-HF'!$S7,'Tables - Part 2'!$AX$5:$BA$5,0))+INDEX('Tables - Part 2'!$BF$17:$BI$24,MATCH('HIC-SOHIC-HF'!$U7,'Tables - Part 2'!$AV$6:$AV$13,0),MATCH('HIC-SOHIC-HF'!$S7,'Tables - Part 2'!$AX$5:$BA$5,0)))/2)+INDEX('Tables - Part 2'!$BF$17:$BI$24,MATCH('HIC-SOHIC-HF'!$U7,'Tables - Part 2'!$AV$6:$AV$13,0),MATCH('HIC-SOHIC-HF'!$S7,'Tables - Part 2'!$AX$5:$BA$5,0)))/2,0)</f>
        <v>0</v>
      </c>
      <c r="BO7" s="248">
        <f>IF($R7=$BO$3,(((((INDEX('Tables - Part 2'!$BB$17:$BE$24,MATCH('HIC-SOHIC-HF'!$U7,'Tables - Part 2'!$AV$6:$AV$13,0),MATCH('HIC-SOHIC-HF'!$S7,'Tables - Part 2'!$AX$5:$BA$5,0))+INDEX('Tables - Part 2'!$BF$17:$BI$24,MATCH('HIC-SOHIC-HF'!$U7,'Tables - Part 2'!$AV$6:$AV$13,0),MATCH('HIC-SOHIC-HF'!$S7,'Tables - Part 2'!$AX$5:$BA$5,0)))/2)+INDEX('Tables - Part 2'!$BF$17:$BI$24,MATCH('HIC-SOHIC-HF'!$U7,'Tables - Part 2'!$AV$6:$AV$13,0),MATCH('HIC-SOHIC-HF'!$S7,'Tables - Part 2'!$AX$5:$BA$5,0)))/2)+(INDEX('Tables - Part 2'!$BF$17:$BI$24,MATCH('HIC-SOHIC-HF'!$U7,'Tables - Part 2'!$AV$6:$AV$13,0),MATCH('HIC-SOHIC-HF'!$S7,'Tables - Part 2'!$AX$5:$BA$5,0))))/2,0)</f>
        <v>0</v>
      </c>
      <c r="BP7" s="248">
        <f>IF($R7=$BP$3,INDEX('Tables - Part 2'!$BF$17:$BI$24,MATCH('HIC-SOHIC-HF'!$U7,'Tables - Part 2'!$AV$6:$AV$13,0),MATCH('HIC-SOHIC-HF'!$S7,'Tables - Part 2'!$AX$5:$BA$5,0)),0)</f>
        <v>0</v>
      </c>
      <c r="BQ7" s="248">
        <f t="shared" si="6"/>
        <v>0</v>
      </c>
      <c r="BR7" s="238">
        <f t="shared" si="7"/>
        <v>3</v>
      </c>
      <c r="BS7" s="238">
        <f t="shared" si="8"/>
        <v>50.318647405225171</v>
      </c>
    </row>
    <row r="8" spans="2:84" x14ac:dyDescent="0.35">
      <c r="B8" s="161" t="str">
        <f>'Tratamento de Dados'!B16</f>
        <v>V-13</v>
      </c>
      <c r="C8" s="161" t="str">
        <f>'Tratamento de Dados'!D16</f>
        <v>Casco</v>
      </c>
      <c r="D8" s="209" t="s">
        <v>245</v>
      </c>
      <c r="E8" s="209" t="s">
        <v>61</v>
      </c>
      <c r="F8" s="209" t="s">
        <v>244</v>
      </c>
      <c r="G8" s="209" t="s">
        <v>244</v>
      </c>
      <c r="H8" s="209" t="s">
        <v>1208</v>
      </c>
      <c r="I8" s="209" t="s">
        <v>245</v>
      </c>
      <c r="J8" s="209" t="s">
        <v>898</v>
      </c>
      <c r="K8" s="210">
        <v>39092</v>
      </c>
      <c r="L8" s="209">
        <v>0</v>
      </c>
      <c r="M8" s="209">
        <v>1</v>
      </c>
      <c r="N8" s="209">
        <v>1</v>
      </c>
      <c r="O8" s="209">
        <v>4</v>
      </c>
      <c r="P8" s="253">
        <f>'Tratamento de Dados'!DA16</f>
        <v>0</v>
      </c>
      <c r="Q8" s="253">
        <f>'Tratamento de Dados'!DB16</f>
        <v>0</v>
      </c>
      <c r="R8" s="256">
        <f t="shared" si="0"/>
        <v>2.5</v>
      </c>
      <c r="S8" s="246" t="str">
        <f t="shared" si="1"/>
        <v>B</v>
      </c>
      <c r="T8" s="238" t="str" cm="1">
        <f t="array" ref="T8">IF(D8=$BX$2,$BV$4,IF(OR(F8=$BX$3,G8=$BX$3),$BV$5,INDEX(IF(I8=$BX$2,'Tables - Part 2'!$EI$6:$EK$6,'Tables - Part 2'!$EI$5:$EK$5),,MATCH('HIC-SOHIC-HF'!H8,'Tables - Part 2'!$EI$4:$EK$4,0))))</f>
        <v>High</v>
      </c>
      <c r="U8" s="238">
        <f>IF(AND(D8=$BX$2,E8&lt;&gt;$BX$2),"Fitness-For-Service",INDEX('Tables - Part 2'!$EN$4:$EN$7,MATCH('HIC-SOHIC-HF'!T8,'Tables - Part 2'!$EM$4:$EM$7,0),))</f>
        <v>100</v>
      </c>
      <c r="V8" s="238">
        <f>INDEX('Tables - Part 2'!$EQ$4:$EQ$7,MATCH('HIC-SOHIC-HF'!J8,'Tables - Part 2'!$EP$4:$EP$7,0))</f>
        <v>1</v>
      </c>
      <c r="W8" s="238">
        <f>IF(K8=0,(Thinning!G9-Thinning!F9)/365.25,(Thinning!G9-K8)/365.25)</f>
        <v>12.980150581793293</v>
      </c>
      <c r="X8" s="248">
        <f t="shared" si="2"/>
        <v>0</v>
      </c>
      <c r="Y8" s="248">
        <f t="shared" si="3"/>
        <v>2.5</v>
      </c>
      <c r="Z8" s="248">
        <f t="shared" si="4"/>
        <v>3</v>
      </c>
      <c r="AA8" s="247">
        <f t="shared" si="5"/>
        <v>4</v>
      </c>
      <c r="AB8" s="248">
        <f>IF($R8=$AB$3,INDEX('Tables - Part 2'!$AX$6:$BA$13,MATCH('HIC-SOHIC-HF'!U8,'Tables - Part 2'!$AV$6:$AV$13,0),MATCH('HIC-SOHIC-HF'!S8,'Tables - Part 2'!$AX$5:$BA$5,0)),0)</f>
        <v>0</v>
      </c>
      <c r="AC8" s="248">
        <f>IF($R8=$AC$3,(INDEX('Tables - Part 2'!$AX$6:$BA$13,MATCH('HIC-SOHIC-HF'!U8,'Tables - Part 2'!$AV$6:$AV$13,0),MATCH('HIC-SOHIC-HF'!S8,'Tables - Part 2'!$AX$5:$BA$5,0))+(INDEX('Tables - Part 2'!$AX$6:$BA$13,MATCH('HIC-SOHIC-HF'!U8,'Tables - Part 2'!$AV$6:$AV$13,0),MATCH('HIC-SOHIC-HF'!S8,'Tables - Part 2'!$AX$5:$BA$5,0))+((INDEX('Tables - Part 2'!$AX$6:$BA$13,MATCH('HIC-SOHIC-HF'!U8,'Tables - Part 2'!$AV$6:$AV$13,0),MATCH('HIC-SOHIC-HF'!S8,'Tables - Part 2'!$AX$5:$BA$5,0))+INDEX('Tables - Part 2'!$BB$6:$BE$13,MATCH('HIC-SOHIC-HF'!$U8,'Tables - Part 2'!$AV$6:$AV$13,0),MATCH('HIC-SOHIC-HF'!$S8,'Tables - Part 2'!$AX$5:$BA$5,0)))/2))/2)/2,0)</f>
        <v>0</v>
      </c>
      <c r="AD8" s="248">
        <f>IF($R8=$AD$3,(INDEX('Tables - Part 2'!$AX$6:$BA$13,MATCH('HIC-SOHIC-HF'!U8,'Tables - Part 2'!$AV$6:$AV$13,0),MATCH('HIC-SOHIC-HF'!S8,'Tables - Part 2'!$AX$5:$BA$5,0))+((INDEX('Tables - Part 2'!$AX$6:$BA$13,MATCH('HIC-SOHIC-HF'!U8,'Tables - Part 2'!$AV$6:$AV$13,0),MATCH('HIC-SOHIC-HF'!S8,'Tables - Part 2'!$AX$5:$BA$5,0))+INDEX('Tables - Part 2'!$BB$6:$BE$13,MATCH('HIC-SOHIC-HF'!$U8,'Tables - Part 2'!$AV$6:$AV$13,0),MATCH('HIC-SOHIC-HF'!$S8,'Tables - Part 2'!$AX$5:$BA$5,0)))/2))/2,0)</f>
        <v>0</v>
      </c>
      <c r="AE8" s="248">
        <f>IF($R8=$AE$3,(((INDEX('Tables - Part 2'!$AX$6:$BA$13,MATCH('HIC-SOHIC-HF'!U8,'Tables - Part 2'!$AV$6:$AV$13,0),MATCH('HIC-SOHIC-HF'!S8,'Tables - Part 2'!$AX$5:$BA$5,0))+((INDEX('Tables - Part 2'!$AX$6:$BA$13,MATCH('HIC-SOHIC-HF'!U8,'Tables - Part 2'!$AV$6:$AV$13,0),MATCH('HIC-SOHIC-HF'!S8,'Tables - Part 2'!$AX$5:$BA$5,0))+INDEX('Tables - Part 2'!$BB$6:$BE$13,MATCH('HIC-SOHIC-HF'!$U8,'Tables - Part 2'!$AV$6:$AV$13,0),MATCH('HIC-SOHIC-HF'!$S8,'Tables - Part 2'!$AX$5:$BA$5,0)))/2))/2)+(INDEX('Tables - Part 2'!$AX$6:$BA$13,MATCH('HIC-SOHIC-HF'!U8,'Tables - Part 2'!$AV$6:$AV$13,0),MATCH('HIC-SOHIC-HF'!S8,'Tables - Part 2'!$AX$5:$BA$5,0))+INDEX('Tables - Part 2'!$BB$6:$BE$13,MATCH('HIC-SOHIC-HF'!$U8,'Tables - Part 2'!$AV$6:$AV$13,0),MATCH('HIC-SOHIC-HF'!$S8,'Tables - Part 2'!$AX$5:$BA$5,0)))/2)/2,0)</f>
        <v>0</v>
      </c>
      <c r="AF8" s="248">
        <f>IF($R8=$AF$3,(INDEX('Tables - Part 2'!$AX$6:$BA$13,MATCH('HIC-SOHIC-HF'!U8,'Tables - Part 2'!$AV$6:$AV$13,0),MATCH('HIC-SOHIC-HF'!S8,'Tables - Part 2'!$AX$5:$BA$5,0))+INDEX('Tables - Part 2'!$BB$6:$BE$13,MATCH('HIC-SOHIC-HF'!$U8,'Tables - Part 2'!$AV$6:$AV$13,0),MATCH('HIC-SOHIC-HF'!$S8,'Tables - Part 2'!$AX$5:$BA$5,0)))/2,0)</f>
        <v>0</v>
      </c>
      <c r="AG8" s="248">
        <f>IF($R8=$AG$3,(((INDEX('Tables - Part 2'!$AX$6:$BA$13,MATCH('HIC-SOHIC-HF'!U8,'Tables - Part 2'!$AV$6:$AV$13,0),MATCH('HIC-SOHIC-HF'!S8,'Tables - Part 2'!$AX$5:$BA$5,0))+INDEX('Tables - Part 2'!$BB$6:$BE$13,MATCH('HIC-SOHIC-HF'!$U8,'Tables - Part 2'!$AV$6:$AV$13,0),MATCH('HIC-SOHIC-HF'!$S8,'Tables - Part 2'!$AX$5:$BA$5,0)))/2)+(((INDEX('Tables - Part 2'!$AX$6:$BA$13,MATCH('HIC-SOHIC-HF'!U8,'Tables - Part 2'!$AV$6:$AV$13,0),MATCH('HIC-SOHIC-HF'!S8,'Tables - Part 2'!$AX$5:$BA$5,0))+INDEX('Tables - Part 2'!$BB$6:$BE$13,MATCH('HIC-SOHIC-HF'!$U8,'Tables - Part 2'!$AV$6:$AV$13,0),MATCH('HIC-SOHIC-HF'!$S8,'Tables - Part 2'!$AX$5:$BA$5,0)))/2)+INDEX('Tables - Part 2'!$BB$6:$BE$13,MATCH('HIC-SOHIC-HF'!$U8,'Tables - Part 2'!$AV$6:$AV$13,0),MATCH('HIC-SOHIC-HF'!$S8,'Tables - Part 2'!$AX$5:$BA$5,0)))/2)/2,0)</f>
        <v>0</v>
      </c>
      <c r="AH8" s="248">
        <f>IF($R8=$AH$3,(((INDEX('Tables - Part 2'!$AX$6:$BA$13,MATCH('HIC-SOHIC-HF'!U8,'Tables - Part 2'!$AV$6:$AV$13,0),MATCH('HIC-SOHIC-HF'!S8,'Tables - Part 2'!$AX$5:$BA$5,0))+INDEX('Tables - Part 2'!$BB$6:$BE$13,MATCH('HIC-SOHIC-HF'!$U8,'Tables - Part 2'!$AV$6:$AV$13,0),MATCH('HIC-SOHIC-HF'!$S8,'Tables - Part 2'!$AX$5:$BA$5,0)))/2)+INDEX('Tables - Part 2'!$BB$6:$BE$13,MATCH('HIC-SOHIC-HF'!$U8,'Tables - Part 2'!$AV$6:$AV$13,0),MATCH('HIC-SOHIC-HF'!$S8,'Tables - Part 2'!$AX$5:$BA$5,0)))/2,0)</f>
        <v>0</v>
      </c>
      <c r="AI8" s="248">
        <f>IF($R8=$AI$3,(((((INDEX('Tables - Part 2'!$AX$6:$BA$13,MATCH('HIC-SOHIC-HF'!U8,'Tables - Part 2'!$AV$6:$AV$13,0),MATCH('HIC-SOHIC-HF'!S8,'Tables - Part 2'!$AX$5:$BA$5,0))+INDEX('Tables - Part 2'!$BB$6:$BE$13,MATCH('HIC-SOHIC-HF'!$U8,'Tables - Part 2'!$AV$6:$AV$13,0),MATCH('HIC-SOHIC-HF'!$S8,'Tables - Part 2'!$AX$5:$BA$5,0)))/2)+INDEX('Tables - Part 2'!$BB$6:$BE$13,MATCH('HIC-SOHIC-HF'!$U8,'Tables - Part 2'!$AV$6:$AV$13,0),MATCH('HIC-SOHIC-HF'!$S8,'Tables - Part 2'!$AX$5:$BA$5,0)))/2)+INDEX('Tables - Part 2'!$BB$6:$BE$13,MATCH('HIC-SOHIC-HF'!$U8,'Tables - Part 2'!$AV$6:$AV$13,0),MATCH('HIC-SOHIC-HF'!$S8,'Tables - Part 2'!$AX$5:$BA$5,0)))/2,0)</f>
        <v>0</v>
      </c>
      <c r="AJ8" s="248">
        <f>IF($R8=$AJ$3,INDEX('Tables - Part 2'!$BB$6:$BE$13,MATCH('HIC-SOHIC-HF'!$U8,'Tables - Part 2'!$AV$6:$AV$13,0),MATCH('HIC-SOHIC-HF'!$S8,'Tables - Part 2'!$AX$5:$BA$5,0)),0)</f>
        <v>0</v>
      </c>
      <c r="AK8" s="248">
        <f>IF($R8=$AK$3,((INDEX('Tables - Part 2'!$BB$6:$BE$13,MATCH('HIC-SOHIC-HF'!$U8,'Tables - Part 2'!$AV$6:$AV$13,0),MATCH('HIC-SOHIC-HF'!$S8,'Tables - Part 2'!$AX$5:$BA$5,0)))+(INDEX('Tables - Part 2'!$BB$6:$BE$13,MATCH('HIC-SOHIC-HF'!$U8,'Tables - Part 2'!$AV$6:$AV$13,0),MATCH('HIC-SOHIC-HF'!$S8,'Tables - Part 2'!$AX$5:$BA$5,0))+(INDEX('Tables - Part 2'!$BB$6:$BE$13,MATCH('HIC-SOHIC-HF'!$U8,'Tables - Part 2'!$AV$6:$AV$13,0),MATCH('HIC-SOHIC-HF'!$S8,'Tables - Part 2'!$AX$5:$BA$5,0))+INDEX('Tables - Part 2'!$BF$6:$BI$13,MATCH('HIC-SOHIC-HF'!$U8,'Tables - Part 2'!$AV$6:$AV$13,0),MATCH('HIC-SOHIC-HF'!$S8,'Tables - Part 2'!$AX$5:$BA$5,0)))/2)/2)/2,0)</f>
        <v>0</v>
      </c>
      <c r="AL8" s="248">
        <f>IF($R8=$AL$3,(INDEX('Tables - Part 2'!$BB$6:$BE$13,MATCH('HIC-SOHIC-HF'!$U8,'Tables - Part 2'!$AV$6:$AV$13,0),MATCH('HIC-SOHIC-HF'!$S8,'Tables - Part 2'!$AX$5:$BA$5,0))+(INDEX('Tables - Part 2'!$BB$6:$BE$13,MATCH('HIC-SOHIC-HF'!$U8,'Tables - Part 2'!$AV$6:$AV$13,0),MATCH('HIC-SOHIC-HF'!$S8,'Tables - Part 2'!$AX$5:$BA$5,0))+INDEX('Tables - Part 2'!$BF$6:$BI$13,MATCH('HIC-SOHIC-HF'!$U8,'Tables - Part 2'!$AV$6:$AV$13,0),MATCH('HIC-SOHIC-HF'!$S8,'Tables - Part 2'!$AX$5:$BA$5,0)))/2)/2,0)</f>
        <v>0</v>
      </c>
      <c r="AM8" s="248">
        <f>IF($R8=$AM$3,(((INDEX('Tables - Part 2'!$BB$6:$BE$13,MATCH('HIC-SOHIC-HF'!$U8,'Tables - Part 2'!$AV$6:$AV$13,0),MATCH('HIC-SOHIC-HF'!$S8,'Tables - Part 2'!$AX$5:$BA$5,0))+(INDEX('Tables - Part 2'!$BB$6:$BE$13,MATCH('HIC-SOHIC-HF'!$U8,'Tables - Part 2'!$AV$6:$AV$13,0),MATCH('HIC-SOHIC-HF'!$S8,'Tables - Part 2'!$AX$5:$BA$5,0))+INDEX('Tables - Part 2'!$BF$6:$BI$13,MATCH('HIC-SOHIC-HF'!$U8,'Tables - Part 2'!$AV$6:$AV$13,0),MATCH('HIC-SOHIC-HF'!$S8,'Tables - Part 2'!$AX$5:$BA$5,0)))/2)/2)+((INDEX('Tables - Part 2'!$BB$6:$BE$13,MATCH('HIC-SOHIC-HF'!$U8,'Tables - Part 2'!$AV$6:$AV$13,0),MATCH('HIC-SOHIC-HF'!$S8,'Tables - Part 2'!$AX$5:$BA$5,0))+INDEX('Tables - Part 2'!$BF$6:$BI$13,MATCH('HIC-SOHIC-HF'!$U8,'Tables - Part 2'!$AV$6:$AV$13,0),MATCH('HIC-SOHIC-HF'!$S8,'Tables - Part 2'!$AX$5:$BA$5,0)))/2))/2,0)</f>
        <v>0</v>
      </c>
      <c r="AN8" s="248">
        <f>IF($R8=$AN$3,(INDEX('Tables - Part 2'!$BB$6:$BE$13,MATCH('HIC-SOHIC-HF'!$U8,'Tables - Part 2'!$AV$6:$AV$13,0),MATCH('HIC-SOHIC-HF'!$S8,'Tables - Part 2'!$AX$5:$BA$5,0))+INDEX('Tables - Part 2'!$BF$6:$BI$13,MATCH('HIC-SOHIC-HF'!$U8,'Tables - Part 2'!$AV$6:$AV$13,0),MATCH('HIC-SOHIC-HF'!$S8,'Tables - Part 2'!$AX$5:$BA$5,0)))/2,0)</f>
        <v>3</v>
      </c>
      <c r="AO8" s="248">
        <f>IF($R8=$AO$3,(((INDEX('Tables - Part 2'!$BB$6:$BE$13,MATCH('HIC-SOHIC-HF'!$U8,'Tables - Part 2'!$AV$6:$AV$13,0),MATCH('HIC-SOHIC-HF'!$S8,'Tables - Part 2'!$AX$5:$BA$5,0))+INDEX('Tables - Part 2'!$BF$6:$BI$13,MATCH('HIC-SOHIC-HF'!$U8,'Tables - Part 2'!$AV$6:$AV$13,0),MATCH('HIC-SOHIC-HF'!$S8,'Tables - Part 2'!$AX$5:$BA$5,0)))/2)+((((INDEX('Tables - Part 2'!$BB$6:$BE$13,MATCH('HIC-SOHIC-HF'!$U8,'Tables - Part 2'!$AV$6:$AV$13,0),MATCH('HIC-SOHIC-HF'!$S8,'Tables - Part 2'!$AX$5:$BA$5,0))+INDEX('Tables - Part 2'!$BF$6:$BI$13,MATCH('HIC-SOHIC-HF'!$U8,'Tables - Part 2'!$AV$6:$AV$13,0),MATCH('HIC-SOHIC-HF'!$S8,'Tables - Part 2'!$AX$5:$BA$5,0)))/2)+INDEX('Tables - Part 2'!$BF$6:$BI$13,MATCH('HIC-SOHIC-HF'!$U8,'Tables - Part 2'!$AV$6:$AV$13,0),MATCH('HIC-SOHIC-HF'!$S8,'Tables - Part 2'!$AX$5:$BA$5,0)))/2))/2,0)</f>
        <v>0</v>
      </c>
      <c r="AP8" s="248">
        <f>IF($R8=$AP$3,(((INDEX('Tables - Part 2'!$BB$6:$BE$13,MATCH('HIC-SOHIC-HF'!$U8,'Tables - Part 2'!$AV$6:$AV$13,0),MATCH('HIC-SOHIC-HF'!$S8,'Tables - Part 2'!$AX$5:$BA$5,0))+INDEX('Tables - Part 2'!$BF$6:$BI$13,MATCH('HIC-SOHIC-HF'!$U8,'Tables - Part 2'!$AV$6:$AV$13,0),MATCH('HIC-SOHIC-HF'!$S8,'Tables - Part 2'!$AX$5:$BA$5,0)))/2)+INDEX('Tables - Part 2'!$BF$6:$BI$13,MATCH('HIC-SOHIC-HF'!$U8,'Tables - Part 2'!$AV$6:$AV$13,0),MATCH('HIC-SOHIC-HF'!$S8,'Tables - Part 2'!$AX$5:$BA$5,0)))/2,0)</f>
        <v>0</v>
      </c>
      <c r="AQ8" s="248">
        <f>IF($R8=$AQ$3,(((((INDEX('Tables - Part 2'!$BB$6:$BE$13,MATCH('HIC-SOHIC-HF'!$U8,'Tables - Part 2'!$AV$6:$AV$13,0),MATCH('HIC-SOHIC-HF'!$S8,'Tables - Part 2'!$AX$5:$BA$5,0))+INDEX('Tables - Part 2'!$BF$6:$BI$13,MATCH('HIC-SOHIC-HF'!$U8,'Tables - Part 2'!$AV$6:$AV$13,0),MATCH('HIC-SOHIC-HF'!$S8,'Tables - Part 2'!$AX$5:$BA$5,0)))/2)+INDEX('Tables - Part 2'!$BF$6:$BI$13,MATCH('HIC-SOHIC-HF'!$U8,'Tables - Part 2'!$AV$6:$AV$13,0),MATCH('HIC-SOHIC-HF'!$S8,'Tables - Part 2'!$AX$5:$BA$5,0)))/2)+INDEX('Tables - Part 2'!$BF$6:$BI$13,MATCH('HIC-SOHIC-HF'!$U8,'Tables - Part 2'!$AV$6:$AV$13,0),MATCH('HIC-SOHIC-HF'!$S8,'Tables - Part 2'!$AX$5:$BA$5,0)))/2,0)</f>
        <v>0</v>
      </c>
      <c r="AR8" s="248">
        <f>IF($R8=$AR$3,INDEX('Tables - Part 2'!$BF$6:$BI$13,MATCH('HIC-SOHIC-HF'!$U8,'Tables - Part 2'!$AV$6:$AV$13,0),MATCH('HIC-SOHIC-HF'!$S8,'Tables - Part 2'!$AX$5:$BA$5,0)),0)</f>
        <v>0</v>
      </c>
      <c r="AS8" s="248">
        <f>IF($R8=$AS$3,(INDEX('Tables - Part 2'!$BF$6:$BI$13,MATCH('HIC-SOHIC-HF'!$U8,'Tables - Part 2'!$AV$6:$AV$13,0),MATCH('HIC-SOHIC-HF'!$S8,'Tables - Part 2'!$AX$5:$BA$5,0))+((INDEX('Tables - Part 2'!$BF$6:$BI$13,MATCH('HIC-SOHIC-HF'!$U8,'Tables - Part 2'!$AV$6:$AV$13,0),MATCH('HIC-SOHIC-HF'!$S8,'Tables - Part 2'!$AX$5:$BA$5,0))+(INDEX('Tables - Part 2'!$BF$6:$BI$13,MATCH('HIC-SOHIC-HF'!$U8,'Tables - Part 2'!$AV$6:$AV$13,0),MATCH('HIC-SOHIC-HF'!$S8,'Tables - Part 2'!$AX$5:$BA$5,0))+INDEX('Tables - Part 2'!$AX$17:$BA$24,MATCH('HIC-SOHIC-HF'!$U8,'Tables - Part 2'!$AV$6:$AV$13,0),MATCH('HIC-SOHIC-HF'!$S8,'Tables - Part 2'!$AX$5:$BA$5,0)))/2)/2))/2,0)</f>
        <v>0</v>
      </c>
      <c r="AT8" s="248">
        <f>IF($R8=$AT$3,(INDEX('Tables - Part 2'!$BF$6:$BI$13,MATCH('HIC-SOHIC-HF'!$U8,'Tables - Part 2'!$AV$6:$AV$13,0),MATCH('HIC-SOHIC-HF'!$S8,'Tables - Part 2'!$AX$5:$BA$5,0))+(INDEX('Tables - Part 2'!$BF$6:$BI$13,MATCH('HIC-SOHIC-HF'!$U8,'Tables - Part 2'!$AV$6:$AV$13,0),MATCH('HIC-SOHIC-HF'!$S8,'Tables - Part 2'!$AX$5:$BA$5,0))+INDEX('Tables - Part 2'!$AX$17:$BA$24,MATCH('HIC-SOHIC-HF'!$U8,'Tables - Part 2'!$AV$6:$AV$13,0),MATCH('HIC-SOHIC-HF'!$S8,'Tables - Part 2'!$AX$5:$BA$5,0)))/2)/2,0)</f>
        <v>0</v>
      </c>
      <c r="AU8" s="248">
        <f>IF($R8=$AU$3,(((INDEX('Tables - Part 2'!$BF$6:$BI$13,MATCH('HIC-SOHIC-HF'!$U8,'Tables - Part 2'!$AV$6:$AV$13,0),MATCH('HIC-SOHIC-HF'!$S8,'Tables - Part 2'!$AX$5:$BA$5,0))+(INDEX('Tables - Part 2'!$BF$6:$BI$13,MATCH('HIC-SOHIC-HF'!$U8,'Tables - Part 2'!$AV$6:$AV$13,0),MATCH('HIC-SOHIC-HF'!$S8,'Tables - Part 2'!$AX$5:$BA$5,0))+INDEX('Tables - Part 2'!$AX$17:$BA$24,MATCH('HIC-SOHIC-HF'!$U8,'Tables - Part 2'!$AV$6:$AV$13,0),MATCH('HIC-SOHIC-HF'!$S8,'Tables - Part 2'!$AX$5:$BA$5,0)))/2)/2)+((INDEX('Tables - Part 2'!$BF$6:$BI$13,MATCH('HIC-SOHIC-HF'!$U8,'Tables - Part 2'!$AV$6:$AV$13,0),MATCH('HIC-SOHIC-HF'!$S8,'Tables - Part 2'!$AX$5:$BA$5,0))+INDEX('Tables - Part 2'!$AX$17:$BA$24,MATCH('HIC-SOHIC-HF'!$U8,'Tables - Part 2'!$AV$6:$AV$13,0),MATCH('HIC-SOHIC-HF'!$S8,'Tables - Part 2'!$AX$5:$BA$5,0)))/2))/2,0)</f>
        <v>0</v>
      </c>
      <c r="AV8" s="248">
        <f>IF($R8=$AV$3,(INDEX('Tables - Part 2'!$BF$6:$BI$13,MATCH('HIC-SOHIC-HF'!$U8,'Tables - Part 2'!$AV$6:$AV$13,0),MATCH('HIC-SOHIC-HF'!$S8,'Tables - Part 2'!$AX$5:$BA$5,0))+INDEX('Tables - Part 2'!$AX$17:$BA$24,MATCH('HIC-SOHIC-HF'!$U8,'Tables - Part 2'!$AV$6:$AV$13,0),MATCH('HIC-SOHIC-HF'!$S8,'Tables - Part 2'!$AX$5:$BA$5,0)))/2,0)</f>
        <v>0</v>
      </c>
      <c r="AW8" s="248">
        <f>IF($R8=$AW$3,(((INDEX('Tables - Part 2'!$BF$6:$BI$13,MATCH('HIC-SOHIC-HF'!$U8,'Tables - Part 2'!$AV$6:$AV$13,0),MATCH('HIC-SOHIC-HF'!$S8,'Tables - Part 2'!$AX$5:$BA$5,0))+INDEX('Tables - Part 2'!$AX$17:$BA$24,MATCH('HIC-SOHIC-HF'!$U8,'Tables - Part 2'!$AV$6:$AV$13,0),MATCH('HIC-SOHIC-HF'!$S8,'Tables - Part 2'!$AX$5:$BA$5,0)))/2)+((((INDEX('Tables - Part 2'!$BF$6:$BI$13,MATCH('HIC-SOHIC-HF'!$U8,'Tables - Part 2'!$AV$6:$AV$13,0),MATCH('HIC-SOHIC-HF'!$S8,'Tables - Part 2'!$AX$5:$BA$5,0))+INDEX('Tables - Part 2'!$AX$17:$BA$24,MATCH('HIC-SOHIC-HF'!$U8,'Tables - Part 2'!$AV$6:$AV$13,0),MATCH('HIC-SOHIC-HF'!$S8,'Tables - Part 2'!$AX$5:$BA$5,0)))/2)+INDEX('Tables - Part 2'!$AX$17:$BA$24,MATCH('HIC-SOHIC-HF'!$U8,'Tables - Part 2'!$AV$6:$AV$13,0),MATCH('HIC-SOHIC-HF'!$S8,'Tables - Part 2'!$AX$5:$BA$5,0)))/2))/2,0)</f>
        <v>0</v>
      </c>
      <c r="AX8" s="248">
        <f>IF($R8=$AX$3,(((INDEX('Tables - Part 2'!$BF$6:$BI$13,MATCH('HIC-SOHIC-HF'!$U8,'Tables - Part 2'!$AV$6:$AV$13,0),MATCH('HIC-SOHIC-HF'!$S8,'Tables - Part 2'!$AX$5:$BA$5,0))+INDEX('Tables - Part 2'!$AX$17:$BA$24,MATCH('HIC-SOHIC-HF'!$U8,'Tables - Part 2'!$AV$6:$AV$13,0),MATCH('HIC-SOHIC-HF'!$S8,'Tables - Part 2'!$AX$5:$BA$5,0)))/2)+INDEX('Tables - Part 2'!$AX$17:$BA$24,MATCH('HIC-SOHIC-HF'!$U8,'Tables - Part 2'!$AV$6:$AV$13,0),MATCH('HIC-SOHIC-HF'!$S8,'Tables - Part 2'!$AX$5:$BA$5,0)))/2,0)</f>
        <v>0</v>
      </c>
      <c r="AY8" s="248">
        <f>IF($R8=$AY$3,(((((INDEX('Tables - Part 2'!$BF$6:$BI$13,MATCH('HIC-SOHIC-HF'!$U8,'Tables - Part 2'!$AV$6:$AV$13,0),MATCH('HIC-SOHIC-HF'!$S8,'Tables - Part 2'!$AX$5:$BA$5,0))+INDEX('Tables - Part 2'!$AX$17:$BA$24,MATCH('HIC-SOHIC-HF'!$U8,'Tables - Part 2'!$AV$6:$AV$13,0),MATCH('HIC-SOHIC-HF'!$S8,'Tables - Part 2'!$AX$5:$BA$5,0)))/2)+INDEX('Tables - Part 2'!$AX$17:$BA$24,MATCH('HIC-SOHIC-HF'!$U8,'Tables - Part 2'!$AV$6:$AV$13,0),MATCH('HIC-SOHIC-HF'!$S8,'Tables - Part 2'!$AX$5:$BA$5,0)))/2)+(INDEX('Tables - Part 2'!$AX$17:$BA$24,MATCH('HIC-SOHIC-HF'!$U8,'Tables - Part 2'!$AV$6:$AV$13,0),MATCH('HIC-SOHIC-HF'!$S8,'Tables - Part 2'!$AX$5:$BA$5,0))))/2,0)</f>
        <v>0</v>
      </c>
      <c r="AZ8" s="248">
        <f>IF($R8=$AZ$3,INDEX('Tables - Part 2'!$AX$17:$BA$24,MATCH('HIC-SOHIC-HF'!$U8,'Tables - Part 2'!$AV$6:$AV$13,0),MATCH('HIC-SOHIC-HF'!$S8,'Tables - Part 2'!$AX$5:$BA$5,0)),0)</f>
        <v>0</v>
      </c>
      <c r="BA8" s="248">
        <f>IF($R8=$BA$3,((INDEX('Tables - Part 2'!$AX$17:$BA$24,MATCH('HIC-SOHIC-HF'!$U8,'Tables - Part 2'!$AV$6:$AV$13,0),MATCH('HIC-SOHIC-HF'!$S8,'Tables - Part 2'!$AX$5:$BA$5,0)))+(((INDEX('Tables - Part 2'!$AX$17:$BA$24,MATCH('HIC-SOHIC-HF'!$U8,'Tables - Part 2'!$AV$6:$AV$13,0),MATCH('HIC-SOHIC-HF'!$S8,'Tables - Part 2'!$AX$5:$BA$5,0)))+(INDEX('Tables - Part 2'!$AX$17:$BA$24,MATCH('HIC-SOHIC-HF'!$U8,'Tables - Part 2'!$AV$6:$AV$13,0),MATCH('HIC-SOHIC-HF'!$S8,'Tables - Part 2'!$AX$5:$BA$5,0))+INDEX('Tables - Part 2'!$BB$17:$BE$24,MATCH('HIC-SOHIC-HF'!$U8,'Tables - Part 2'!$AV$6:$AV$13,0),MATCH('HIC-SOHIC-HF'!$S8,'Tables - Part 2'!$AX$5:$BA$5,0)))/2)/2))/2,0)</f>
        <v>0</v>
      </c>
      <c r="BB8" s="248">
        <f>IF($R8=$BB$3,((INDEX('Tables - Part 2'!$AX$17:$BA$24,MATCH('HIC-SOHIC-HF'!$U8,'Tables - Part 2'!$AV$6:$AV$13,0),MATCH('HIC-SOHIC-HF'!$S8,'Tables - Part 2'!$AX$5:$BA$5,0)))+(INDEX('Tables - Part 2'!$AX$17:$BA$24,MATCH('HIC-SOHIC-HF'!$U8,'Tables - Part 2'!$AV$6:$AV$13,0),MATCH('HIC-SOHIC-HF'!$S8,'Tables - Part 2'!$AX$5:$BA$5,0))+INDEX('Tables - Part 2'!$BB$17:$BE$24,MATCH('HIC-SOHIC-HF'!$U8,'Tables - Part 2'!$AV$6:$AV$13,0),MATCH('HIC-SOHIC-HF'!$S8,'Tables - Part 2'!$AX$5:$BA$5,0)))/2)/2,0)</f>
        <v>0</v>
      </c>
      <c r="BC8" s="248">
        <f>IF($R8=$BC$3,((((INDEX('Tables - Part 2'!$AX$17:$BA$24,MATCH('HIC-SOHIC-HF'!$U8,'Tables - Part 2'!$AV$6:$AV$13,0),MATCH('HIC-SOHIC-HF'!$S8,'Tables - Part 2'!$AX$5:$BA$5,0)))+(INDEX('Tables - Part 2'!$AX$17:$BA$24,MATCH('HIC-SOHIC-HF'!$U8,'Tables - Part 2'!$AV$6:$AV$13,0),MATCH('HIC-SOHIC-HF'!$S8,'Tables - Part 2'!$AX$5:$BA$5,0))+INDEX('Tables - Part 2'!$BB$17:$BE$24,MATCH('HIC-SOHIC-HF'!$U8,'Tables - Part 2'!$AV$6:$AV$13,0),MATCH('HIC-SOHIC-HF'!$S8,'Tables - Part 2'!$AX$5:$BA$5,0)))/2)/2)+((INDEX('Tables - Part 2'!$AX$17:$BA$24,MATCH('HIC-SOHIC-HF'!$U8,'Tables - Part 2'!$AV$6:$AV$13,0),MATCH('HIC-SOHIC-HF'!$S8,'Tables - Part 2'!$AX$5:$BA$5,0))+INDEX('Tables - Part 2'!$BB$17:$BE$24,MATCH('HIC-SOHIC-HF'!$U8,'Tables - Part 2'!$AV$6:$AV$13,0),MATCH('HIC-SOHIC-HF'!$S8,'Tables - Part 2'!$AX$5:$BA$5,0)))/2))/2,0)</f>
        <v>0</v>
      </c>
      <c r="BD8" s="248">
        <f>IF($R8=$BD$3,(INDEX('Tables - Part 2'!$AX$17:$BA$24,MATCH('HIC-SOHIC-HF'!$U8,'Tables - Part 2'!$AV$6:$AV$13,0),MATCH('HIC-SOHIC-HF'!$S8,'Tables - Part 2'!$AX$5:$BA$5,0))+INDEX('Tables - Part 2'!$BB$17:$BE$24,MATCH('HIC-SOHIC-HF'!$U8,'Tables - Part 2'!$AV$6:$AV$13,0),MATCH('HIC-SOHIC-HF'!$S8,'Tables - Part 2'!$AX$5:$BA$5,0)))/2,0)</f>
        <v>0</v>
      </c>
      <c r="BE8" s="248">
        <f>IF($R8=$BE$3,(((INDEX('Tables - Part 2'!$AX$17:$BA$24,MATCH('HIC-SOHIC-HF'!$U8,'Tables - Part 2'!$AV$6:$AV$13,0),MATCH('HIC-SOHIC-HF'!$S8,'Tables - Part 2'!$AX$5:$BA$5,0))+INDEX('Tables - Part 2'!$BB$17:$BE$24,MATCH('HIC-SOHIC-HF'!$U8,'Tables - Part 2'!$AV$6:$AV$13,0),MATCH('HIC-SOHIC-HF'!$S8,'Tables - Part 2'!$AX$5:$BA$5,0)))/2)+((((INDEX('Tables - Part 2'!$AX$17:$BA$24,MATCH('HIC-SOHIC-HF'!$U8,'Tables - Part 2'!$AV$6:$AV$13,0),MATCH('HIC-SOHIC-HF'!$S8,'Tables - Part 2'!$AX$5:$BA$5,0))+INDEX('Tables - Part 2'!$BB$17:$BE$24,MATCH('HIC-SOHIC-HF'!$U8,'Tables - Part 2'!$AV$6:$AV$13,0),MATCH('HIC-SOHIC-HF'!$S8,'Tables - Part 2'!$AX$5:$BA$5,0)))/2)+INDEX('Tables - Part 2'!$BB$17:$BE$24,MATCH('HIC-SOHIC-HF'!$U8,'Tables - Part 2'!$AV$6:$AV$13,0),MATCH('HIC-SOHIC-HF'!$S8,'Tables - Part 2'!$AX$5:$BA$5,0)))/2))/2,0)</f>
        <v>0</v>
      </c>
      <c r="BF8" s="248">
        <f>IF($R8=$BF$3,(((INDEX('Tables - Part 2'!$AX$17:$BA$24,MATCH('HIC-SOHIC-HF'!$U8,'Tables - Part 2'!$AV$6:$AV$13,0),MATCH('HIC-SOHIC-HF'!$S8,'Tables - Part 2'!$AX$5:$BA$5,0))+INDEX('Tables - Part 2'!$BB$17:$BE$24,MATCH('HIC-SOHIC-HF'!$U8,'Tables - Part 2'!$AV$6:$AV$13,0),MATCH('HIC-SOHIC-HF'!$S8,'Tables - Part 2'!$AX$5:$BA$5,0)))/2)+INDEX('Tables - Part 2'!$BB$17:$BE$24,MATCH('HIC-SOHIC-HF'!$U8,'Tables - Part 2'!$AV$6:$AV$13,0),MATCH('HIC-SOHIC-HF'!$S8,'Tables - Part 2'!$AX$5:$BA$5,0)))/2,0)</f>
        <v>0</v>
      </c>
      <c r="BG8" s="248">
        <f>IF($R8=$BG$3,(((((INDEX('Tables - Part 2'!$AX$17:$BA$24,MATCH('HIC-SOHIC-HF'!$U8,'Tables - Part 2'!$AV$6:$AV$13,0),MATCH('HIC-SOHIC-HF'!$S8,'Tables - Part 2'!$AX$5:$BA$5,0))+INDEX('Tables - Part 2'!$BB$17:$BE$24,MATCH('HIC-SOHIC-HF'!$U8,'Tables - Part 2'!$AV$6:$AV$13,0),MATCH('HIC-SOHIC-HF'!$S8,'Tables - Part 2'!$AX$5:$BA$5,0)))/2)+INDEX('Tables - Part 2'!$BB$17:$BE$24,MATCH('HIC-SOHIC-HF'!$U8,'Tables - Part 2'!$AV$6:$AV$13,0),MATCH('HIC-SOHIC-HF'!$S8,'Tables - Part 2'!$AX$5:$BA$5,0)))/2)+(INDEX('Tables - Part 2'!$BB$17:$BE$24,MATCH('HIC-SOHIC-HF'!$U8,'Tables - Part 2'!$AV$6:$AV$13,0),MATCH('HIC-SOHIC-HF'!$S8,'Tables - Part 2'!$AX$5:$BA$5,0))))/2,0)</f>
        <v>0</v>
      </c>
      <c r="BH8" s="248">
        <f>IF($R8=$BH$3,INDEX('Tables - Part 2'!$BB$17:$BE$24,MATCH('HIC-SOHIC-HF'!$U8,'Tables - Part 2'!$AV$6:$AV$13,0),MATCH('HIC-SOHIC-HF'!$S8,'Tables - Part 2'!$AX$5:$BA$5,0)),0)</f>
        <v>0</v>
      </c>
      <c r="BI8" s="248">
        <f>IF($R8=$BI$3,((INDEX('Tables - Part 2'!$BB$17:$BE$24,MATCH('HIC-SOHIC-HF'!$U8,'Tables - Part 2'!$AV$6:$AV$13,0),MATCH('HIC-SOHIC-HF'!$S8,'Tables - Part 2'!$AX$5:$BA$5,0)))+(((INDEX('Tables - Part 2'!$BB$17:$BE$24,MATCH('HIC-SOHIC-HF'!$U8,'Tables - Part 2'!$AV$6:$AV$13,0),MATCH('HIC-SOHIC-HF'!$S8,'Tables - Part 2'!$AX$5:$BA$5,0)))+(INDEX('Tables - Part 2'!$BB$17:$BE$24,MATCH('HIC-SOHIC-HF'!$U8,'Tables - Part 2'!$AV$6:$AV$13,0),MATCH('HIC-SOHIC-HF'!$S8,'Tables - Part 2'!$AX$5:$BA$5,0))+INDEX('Tables - Part 2'!$BF$17:$BI$24,MATCH('HIC-SOHIC-HF'!$U8,'Tables - Part 2'!$AV$6:$AV$13,0),MATCH('HIC-SOHIC-HF'!$S8,'Tables - Part 2'!$AX$5:$BA$5,0)))/2)/2))/2,0)</f>
        <v>0</v>
      </c>
      <c r="BJ8" s="248">
        <f>IF($R8=$BJ$3,((INDEX('Tables - Part 2'!$BB$17:$BE$24,MATCH('HIC-SOHIC-HF'!$U8,'Tables - Part 2'!$AV$6:$AV$13,0),MATCH('HIC-SOHIC-HF'!$S8,'Tables - Part 2'!$AX$5:$BA$5,0)))+(INDEX('Tables - Part 2'!$BB$17:$BE$24,MATCH('HIC-SOHIC-HF'!$U8,'Tables - Part 2'!$AV$6:$AV$13,0),MATCH('HIC-SOHIC-HF'!$S8,'Tables - Part 2'!$AX$5:$BA$5,0))+INDEX('Tables - Part 2'!$BF$17:$BI$24,MATCH('HIC-SOHIC-HF'!$U8,'Tables - Part 2'!$AV$6:$AV$13,0),MATCH('HIC-SOHIC-HF'!$S8,'Tables - Part 2'!$AX$5:$BA$5,0)))/2)/2,0)</f>
        <v>0</v>
      </c>
      <c r="BK8" s="248">
        <f>IF($R8=$BK$3,((((INDEX('Tables - Part 2'!$BB$17:$BE$24,MATCH('HIC-SOHIC-HF'!$U8,'Tables - Part 2'!$AV$6:$AV$13,0),MATCH('HIC-SOHIC-HF'!$S8,'Tables - Part 2'!$AX$5:$BA$5,0)))+(INDEX('Tables - Part 2'!$BB$17:$BE$24,MATCH('HIC-SOHIC-HF'!$U8,'Tables - Part 2'!$AV$6:$AV$13,0),MATCH('HIC-SOHIC-HF'!$S8,'Tables - Part 2'!$AX$5:$BA$5,0))+INDEX('Tables - Part 2'!$BF$17:$BI$24,MATCH('HIC-SOHIC-HF'!$U8,'Tables - Part 2'!$AV$6:$AV$13,0),MATCH('HIC-SOHIC-HF'!$S8,'Tables - Part 2'!$AX$5:$BA$5,0)))/2)/2)+((INDEX('Tables - Part 2'!$BB$17:$BE$24,MATCH('HIC-SOHIC-HF'!$U8,'Tables - Part 2'!$AV$6:$AV$13,0),MATCH('HIC-SOHIC-HF'!$S8,'Tables - Part 2'!$AX$5:$BA$5,0))+INDEX('Tables - Part 2'!$BF$17:$BI$24,MATCH('HIC-SOHIC-HF'!$U8,'Tables - Part 2'!$AV$6:$AV$13,0),MATCH('HIC-SOHIC-HF'!$S8,'Tables - Part 2'!$AX$5:$BA$5,0)))/2))/2,0)</f>
        <v>0</v>
      </c>
      <c r="BL8" s="248">
        <f>IF($R8=$BL$3,(INDEX('Tables - Part 2'!$BB$17:$BE$24,MATCH('HIC-SOHIC-HF'!$U8,'Tables - Part 2'!$AV$6:$AV$13,0),MATCH('HIC-SOHIC-HF'!$S8,'Tables - Part 2'!$AX$5:$BA$5,0))+INDEX('Tables - Part 2'!$BF$17:$BI$24,MATCH('HIC-SOHIC-HF'!$U8,'Tables - Part 2'!$AV$6:$AV$13,0),MATCH('HIC-SOHIC-HF'!$S8,'Tables - Part 2'!$AX$5:$BA$5,0)))/2,0)</f>
        <v>0</v>
      </c>
      <c r="BM8" s="248">
        <f>IF($R8=$BM$3,(((INDEX('Tables - Part 2'!$BB$17:$BE$24,MATCH('HIC-SOHIC-HF'!$U8,'Tables - Part 2'!$AV$6:$AV$13,0),MATCH('HIC-SOHIC-HF'!$S8,'Tables - Part 2'!$AX$5:$BA$5,0))+INDEX('Tables - Part 2'!$BF$17:$BI$24,MATCH('HIC-SOHIC-HF'!$U8,'Tables - Part 2'!$AV$6:$AV$13,0),MATCH('HIC-SOHIC-HF'!$S8,'Tables - Part 2'!$AX$5:$BA$5,0)))/2)+((((INDEX('Tables - Part 2'!$BB$17:$BE$24,MATCH('HIC-SOHIC-HF'!$U8,'Tables - Part 2'!$AV$6:$AV$13,0),MATCH('HIC-SOHIC-HF'!$S8,'Tables - Part 2'!$AX$5:$BA$5,0))+INDEX('Tables - Part 2'!$BF$17:$BI$24,MATCH('HIC-SOHIC-HF'!$U8,'Tables - Part 2'!$AV$6:$AV$13,0),MATCH('HIC-SOHIC-HF'!$S8,'Tables - Part 2'!$AX$5:$BA$5,0)))/2)+INDEX('Tables - Part 2'!$BF$17:$BI$24,MATCH('HIC-SOHIC-HF'!$U8,'Tables - Part 2'!$AV$6:$AV$13,0),MATCH('HIC-SOHIC-HF'!$S8,'Tables - Part 2'!$AX$5:$BA$5,0)))/2))/2,0)</f>
        <v>0</v>
      </c>
      <c r="BN8" s="248">
        <f>IF($R8=$BN$3,(((INDEX('Tables - Part 2'!$BB$17:$BE$24,MATCH('HIC-SOHIC-HF'!$U8,'Tables - Part 2'!$AV$6:$AV$13,0),MATCH('HIC-SOHIC-HF'!$S8,'Tables - Part 2'!$AX$5:$BA$5,0))+INDEX('Tables - Part 2'!$BF$17:$BI$24,MATCH('HIC-SOHIC-HF'!$U8,'Tables - Part 2'!$AV$6:$AV$13,0),MATCH('HIC-SOHIC-HF'!$S8,'Tables - Part 2'!$AX$5:$BA$5,0)))/2)+INDEX('Tables - Part 2'!$BF$17:$BI$24,MATCH('HIC-SOHIC-HF'!$U8,'Tables - Part 2'!$AV$6:$AV$13,0),MATCH('HIC-SOHIC-HF'!$S8,'Tables - Part 2'!$AX$5:$BA$5,0)))/2,0)</f>
        <v>0</v>
      </c>
      <c r="BO8" s="248">
        <f>IF($R8=$BO$3,(((((INDEX('Tables - Part 2'!$BB$17:$BE$24,MATCH('HIC-SOHIC-HF'!$U8,'Tables - Part 2'!$AV$6:$AV$13,0),MATCH('HIC-SOHIC-HF'!$S8,'Tables - Part 2'!$AX$5:$BA$5,0))+INDEX('Tables - Part 2'!$BF$17:$BI$24,MATCH('HIC-SOHIC-HF'!$U8,'Tables - Part 2'!$AV$6:$AV$13,0),MATCH('HIC-SOHIC-HF'!$S8,'Tables - Part 2'!$AX$5:$BA$5,0)))/2)+INDEX('Tables - Part 2'!$BF$17:$BI$24,MATCH('HIC-SOHIC-HF'!$U8,'Tables - Part 2'!$AV$6:$AV$13,0),MATCH('HIC-SOHIC-HF'!$S8,'Tables - Part 2'!$AX$5:$BA$5,0)))/2)+(INDEX('Tables - Part 2'!$BF$17:$BI$24,MATCH('HIC-SOHIC-HF'!$U8,'Tables - Part 2'!$AV$6:$AV$13,0),MATCH('HIC-SOHIC-HF'!$S8,'Tables - Part 2'!$AX$5:$BA$5,0))))/2,0)</f>
        <v>0</v>
      </c>
      <c r="BP8" s="248">
        <f>IF($R8=$BP$3,INDEX('Tables - Part 2'!$BF$17:$BI$24,MATCH('HIC-SOHIC-HF'!$U8,'Tables - Part 2'!$AV$6:$AV$13,0),MATCH('HIC-SOHIC-HF'!$S8,'Tables - Part 2'!$AX$5:$BA$5,0)),0)</f>
        <v>0</v>
      </c>
      <c r="BQ8" s="248">
        <f t="shared" si="6"/>
        <v>0</v>
      </c>
      <c r="BR8" s="238">
        <f t="shared" si="7"/>
        <v>3</v>
      </c>
      <c r="BS8" s="238">
        <f t="shared" si="8"/>
        <v>50.318647405225171</v>
      </c>
    </row>
    <row r="9" spans="2:84" x14ac:dyDescent="0.35">
      <c r="B9" s="161" t="str">
        <f>'Tratamento de Dados'!B17</f>
        <v>V-14</v>
      </c>
      <c r="C9" s="161" t="str">
        <f>'Tratamento de Dados'!D17</f>
        <v>Casco</v>
      </c>
      <c r="D9" s="209" t="s">
        <v>245</v>
      </c>
      <c r="E9" s="209" t="s">
        <v>61</v>
      </c>
      <c r="F9" s="209" t="s">
        <v>244</v>
      </c>
      <c r="G9" s="209" t="s">
        <v>244</v>
      </c>
      <c r="H9" s="209" t="s">
        <v>1208</v>
      </c>
      <c r="I9" s="209" t="s">
        <v>245</v>
      </c>
      <c r="J9" s="209" t="s">
        <v>898</v>
      </c>
      <c r="K9" s="210">
        <v>39092</v>
      </c>
      <c r="L9" s="209">
        <v>0</v>
      </c>
      <c r="M9" s="209">
        <v>1</v>
      </c>
      <c r="N9" s="209">
        <v>1</v>
      </c>
      <c r="O9" s="209">
        <v>4</v>
      </c>
      <c r="P9" s="253">
        <f>'Tratamento de Dados'!DA17</f>
        <v>0</v>
      </c>
      <c r="Q9" s="253">
        <f>'Tratamento de Dados'!DB17</f>
        <v>0</v>
      </c>
      <c r="R9" s="256">
        <f t="shared" si="0"/>
        <v>2.5</v>
      </c>
      <c r="S9" s="246" t="str">
        <f t="shared" si="1"/>
        <v>B</v>
      </c>
      <c r="T9" s="238" t="str" cm="1">
        <f t="array" ref="T9">IF(D9=$BX$2,$BV$4,IF(OR(F9=$BX$3,G9=$BX$3),$BV$5,INDEX(IF(I9=$BX$2,'Tables - Part 2'!$EI$6:$EK$6,'Tables - Part 2'!$EI$5:$EK$5),,MATCH('HIC-SOHIC-HF'!H9,'Tables - Part 2'!$EI$4:$EK$4,0))))</f>
        <v>High</v>
      </c>
      <c r="U9" s="238">
        <f>IF(AND(D9=$BX$2,E9&lt;&gt;$BX$2),"Fitness-For-Service",INDEX('Tables - Part 2'!$EN$4:$EN$7,MATCH('HIC-SOHIC-HF'!T9,'Tables - Part 2'!$EM$4:$EM$7,0),))</f>
        <v>100</v>
      </c>
      <c r="V9" s="238">
        <f>INDEX('Tables - Part 2'!$EQ$4:$EQ$7,MATCH('HIC-SOHIC-HF'!J9,'Tables - Part 2'!$EP$4:$EP$7,0))</f>
        <v>1</v>
      </c>
      <c r="W9" s="238">
        <f>IF(K9=0,(Thinning!G10-Thinning!F10)/365.25,(Thinning!G10-K9)/365.25)</f>
        <v>12.980150581793293</v>
      </c>
      <c r="X9" s="248">
        <f t="shared" si="2"/>
        <v>0</v>
      </c>
      <c r="Y9" s="248">
        <f t="shared" si="3"/>
        <v>2.5</v>
      </c>
      <c r="Z9" s="248">
        <f t="shared" si="4"/>
        <v>3</v>
      </c>
      <c r="AA9" s="247">
        <f t="shared" si="5"/>
        <v>4</v>
      </c>
      <c r="AB9" s="248">
        <f>IF($R9=$AB$3,INDEX('Tables - Part 2'!$AX$6:$BA$13,MATCH('HIC-SOHIC-HF'!U9,'Tables - Part 2'!$AV$6:$AV$13,0),MATCH('HIC-SOHIC-HF'!S9,'Tables - Part 2'!$AX$5:$BA$5,0)),0)</f>
        <v>0</v>
      </c>
      <c r="AC9" s="248">
        <f>IF($R9=$AC$3,(INDEX('Tables - Part 2'!$AX$6:$BA$13,MATCH('HIC-SOHIC-HF'!U9,'Tables - Part 2'!$AV$6:$AV$13,0),MATCH('HIC-SOHIC-HF'!S9,'Tables - Part 2'!$AX$5:$BA$5,0))+(INDEX('Tables - Part 2'!$AX$6:$BA$13,MATCH('HIC-SOHIC-HF'!U9,'Tables - Part 2'!$AV$6:$AV$13,0),MATCH('HIC-SOHIC-HF'!S9,'Tables - Part 2'!$AX$5:$BA$5,0))+((INDEX('Tables - Part 2'!$AX$6:$BA$13,MATCH('HIC-SOHIC-HF'!U9,'Tables - Part 2'!$AV$6:$AV$13,0),MATCH('HIC-SOHIC-HF'!S9,'Tables - Part 2'!$AX$5:$BA$5,0))+INDEX('Tables - Part 2'!$BB$6:$BE$13,MATCH('HIC-SOHIC-HF'!$U9,'Tables - Part 2'!$AV$6:$AV$13,0),MATCH('HIC-SOHIC-HF'!$S9,'Tables - Part 2'!$AX$5:$BA$5,0)))/2))/2)/2,0)</f>
        <v>0</v>
      </c>
      <c r="AD9" s="248">
        <f>IF($R9=$AD$3,(INDEX('Tables - Part 2'!$AX$6:$BA$13,MATCH('HIC-SOHIC-HF'!U9,'Tables - Part 2'!$AV$6:$AV$13,0),MATCH('HIC-SOHIC-HF'!S9,'Tables - Part 2'!$AX$5:$BA$5,0))+((INDEX('Tables - Part 2'!$AX$6:$BA$13,MATCH('HIC-SOHIC-HF'!U9,'Tables - Part 2'!$AV$6:$AV$13,0),MATCH('HIC-SOHIC-HF'!S9,'Tables - Part 2'!$AX$5:$BA$5,0))+INDEX('Tables - Part 2'!$BB$6:$BE$13,MATCH('HIC-SOHIC-HF'!$U9,'Tables - Part 2'!$AV$6:$AV$13,0),MATCH('HIC-SOHIC-HF'!$S9,'Tables - Part 2'!$AX$5:$BA$5,0)))/2))/2,0)</f>
        <v>0</v>
      </c>
      <c r="AE9" s="248">
        <f>IF($R9=$AE$3,(((INDEX('Tables - Part 2'!$AX$6:$BA$13,MATCH('HIC-SOHIC-HF'!U9,'Tables - Part 2'!$AV$6:$AV$13,0),MATCH('HIC-SOHIC-HF'!S9,'Tables - Part 2'!$AX$5:$BA$5,0))+((INDEX('Tables - Part 2'!$AX$6:$BA$13,MATCH('HIC-SOHIC-HF'!U9,'Tables - Part 2'!$AV$6:$AV$13,0),MATCH('HIC-SOHIC-HF'!S9,'Tables - Part 2'!$AX$5:$BA$5,0))+INDEX('Tables - Part 2'!$BB$6:$BE$13,MATCH('HIC-SOHIC-HF'!$U9,'Tables - Part 2'!$AV$6:$AV$13,0),MATCH('HIC-SOHIC-HF'!$S9,'Tables - Part 2'!$AX$5:$BA$5,0)))/2))/2)+(INDEX('Tables - Part 2'!$AX$6:$BA$13,MATCH('HIC-SOHIC-HF'!U9,'Tables - Part 2'!$AV$6:$AV$13,0),MATCH('HIC-SOHIC-HF'!S9,'Tables - Part 2'!$AX$5:$BA$5,0))+INDEX('Tables - Part 2'!$BB$6:$BE$13,MATCH('HIC-SOHIC-HF'!$U9,'Tables - Part 2'!$AV$6:$AV$13,0),MATCH('HIC-SOHIC-HF'!$S9,'Tables - Part 2'!$AX$5:$BA$5,0)))/2)/2,0)</f>
        <v>0</v>
      </c>
      <c r="AF9" s="248">
        <f>IF($R9=$AF$3,(INDEX('Tables - Part 2'!$AX$6:$BA$13,MATCH('HIC-SOHIC-HF'!U9,'Tables - Part 2'!$AV$6:$AV$13,0),MATCH('HIC-SOHIC-HF'!S9,'Tables - Part 2'!$AX$5:$BA$5,0))+INDEX('Tables - Part 2'!$BB$6:$BE$13,MATCH('HIC-SOHIC-HF'!$U9,'Tables - Part 2'!$AV$6:$AV$13,0),MATCH('HIC-SOHIC-HF'!$S9,'Tables - Part 2'!$AX$5:$BA$5,0)))/2,0)</f>
        <v>0</v>
      </c>
      <c r="AG9" s="248">
        <f>IF($R9=$AG$3,(((INDEX('Tables - Part 2'!$AX$6:$BA$13,MATCH('HIC-SOHIC-HF'!U9,'Tables - Part 2'!$AV$6:$AV$13,0),MATCH('HIC-SOHIC-HF'!S9,'Tables - Part 2'!$AX$5:$BA$5,0))+INDEX('Tables - Part 2'!$BB$6:$BE$13,MATCH('HIC-SOHIC-HF'!$U9,'Tables - Part 2'!$AV$6:$AV$13,0),MATCH('HIC-SOHIC-HF'!$S9,'Tables - Part 2'!$AX$5:$BA$5,0)))/2)+(((INDEX('Tables - Part 2'!$AX$6:$BA$13,MATCH('HIC-SOHIC-HF'!U9,'Tables - Part 2'!$AV$6:$AV$13,0),MATCH('HIC-SOHIC-HF'!S9,'Tables - Part 2'!$AX$5:$BA$5,0))+INDEX('Tables - Part 2'!$BB$6:$BE$13,MATCH('HIC-SOHIC-HF'!$U9,'Tables - Part 2'!$AV$6:$AV$13,0),MATCH('HIC-SOHIC-HF'!$S9,'Tables - Part 2'!$AX$5:$BA$5,0)))/2)+INDEX('Tables - Part 2'!$BB$6:$BE$13,MATCH('HIC-SOHIC-HF'!$U9,'Tables - Part 2'!$AV$6:$AV$13,0),MATCH('HIC-SOHIC-HF'!$S9,'Tables - Part 2'!$AX$5:$BA$5,0)))/2)/2,0)</f>
        <v>0</v>
      </c>
      <c r="AH9" s="248">
        <f>IF($R9=$AH$3,(((INDEX('Tables - Part 2'!$AX$6:$BA$13,MATCH('HIC-SOHIC-HF'!U9,'Tables - Part 2'!$AV$6:$AV$13,0),MATCH('HIC-SOHIC-HF'!S9,'Tables - Part 2'!$AX$5:$BA$5,0))+INDEX('Tables - Part 2'!$BB$6:$BE$13,MATCH('HIC-SOHIC-HF'!$U9,'Tables - Part 2'!$AV$6:$AV$13,0),MATCH('HIC-SOHIC-HF'!$S9,'Tables - Part 2'!$AX$5:$BA$5,0)))/2)+INDEX('Tables - Part 2'!$BB$6:$BE$13,MATCH('HIC-SOHIC-HF'!$U9,'Tables - Part 2'!$AV$6:$AV$13,0),MATCH('HIC-SOHIC-HF'!$S9,'Tables - Part 2'!$AX$5:$BA$5,0)))/2,0)</f>
        <v>0</v>
      </c>
      <c r="AI9" s="248">
        <f>IF($R9=$AI$3,(((((INDEX('Tables - Part 2'!$AX$6:$BA$13,MATCH('HIC-SOHIC-HF'!U9,'Tables - Part 2'!$AV$6:$AV$13,0),MATCH('HIC-SOHIC-HF'!S9,'Tables - Part 2'!$AX$5:$BA$5,0))+INDEX('Tables - Part 2'!$BB$6:$BE$13,MATCH('HIC-SOHIC-HF'!$U9,'Tables - Part 2'!$AV$6:$AV$13,0),MATCH('HIC-SOHIC-HF'!$S9,'Tables - Part 2'!$AX$5:$BA$5,0)))/2)+INDEX('Tables - Part 2'!$BB$6:$BE$13,MATCH('HIC-SOHIC-HF'!$U9,'Tables - Part 2'!$AV$6:$AV$13,0),MATCH('HIC-SOHIC-HF'!$S9,'Tables - Part 2'!$AX$5:$BA$5,0)))/2)+INDEX('Tables - Part 2'!$BB$6:$BE$13,MATCH('HIC-SOHIC-HF'!$U9,'Tables - Part 2'!$AV$6:$AV$13,0),MATCH('HIC-SOHIC-HF'!$S9,'Tables - Part 2'!$AX$5:$BA$5,0)))/2,0)</f>
        <v>0</v>
      </c>
      <c r="AJ9" s="248">
        <f>IF($R9=$AJ$3,INDEX('Tables - Part 2'!$BB$6:$BE$13,MATCH('HIC-SOHIC-HF'!$U9,'Tables - Part 2'!$AV$6:$AV$13,0),MATCH('HIC-SOHIC-HF'!$S9,'Tables - Part 2'!$AX$5:$BA$5,0)),0)</f>
        <v>0</v>
      </c>
      <c r="AK9" s="248">
        <f>IF($R9=$AK$3,((INDEX('Tables - Part 2'!$BB$6:$BE$13,MATCH('HIC-SOHIC-HF'!$U9,'Tables - Part 2'!$AV$6:$AV$13,0),MATCH('HIC-SOHIC-HF'!$S9,'Tables - Part 2'!$AX$5:$BA$5,0)))+(INDEX('Tables - Part 2'!$BB$6:$BE$13,MATCH('HIC-SOHIC-HF'!$U9,'Tables - Part 2'!$AV$6:$AV$13,0),MATCH('HIC-SOHIC-HF'!$S9,'Tables - Part 2'!$AX$5:$BA$5,0))+(INDEX('Tables - Part 2'!$BB$6:$BE$13,MATCH('HIC-SOHIC-HF'!$U9,'Tables - Part 2'!$AV$6:$AV$13,0),MATCH('HIC-SOHIC-HF'!$S9,'Tables - Part 2'!$AX$5:$BA$5,0))+INDEX('Tables - Part 2'!$BF$6:$BI$13,MATCH('HIC-SOHIC-HF'!$U9,'Tables - Part 2'!$AV$6:$AV$13,0),MATCH('HIC-SOHIC-HF'!$S9,'Tables - Part 2'!$AX$5:$BA$5,0)))/2)/2)/2,0)</f>
        <v>0</v>
      </c>
      <c r="AL9" s="248">
        <f>IF($R9=$AL$3,(INDEX('Tables - Part 2'!$BB$6:$BE$13,MATCH('HIC-SOHIC-HF'!$U9,'Tables - Part 2'!$AV$6:$AV$13,0),MATCH('HIC-SOHIC-HF'!$S9,'Tables - Part 2'!$AX$5:$BA$5,0))+(INDEX('Tables - Part 2'!$BB$6:$BE$13,MATCH('HIC-SOHIC-HF'!$U9,'Tables - Part 2'!$AV$6:$AV$13,0),MATCH('HIC-SOHIC-HF'!$S9,'Tables - Part 2'!$AX$5:$BA$5,0))+INDEX('Tables - Part 2'!$BF$6:$BI$13,MATCH('HIC-SOHIC-HF'!$U9,'Tables - Part 2'!$AV$6:$AV$13,0),MATCH('HIC-SOHIC-HF'!$S9,'Tables - Part 2'!$AX$5:$BA$5,0)))/2)/2,0)</f>
        <v>0</v>
      </c>
      <c r="AM9" s="248">
        <f>IF($R9=$AM$3,(((INDEX('Tables - Part 2'!$BB$6:$BE$13,MATCH('HIC-SOHIC-HF'!$U9,'Tables - Part 2'!$AV$6:$AV$13,0),MATCH('HIC-SOHIC-HF'!$S9,'Tables - Part 2'!$AX$5:$BA$5,0))+(INDEX('Tables - Part 2'!$BB$6:$BE$13,MATCH('HIC-SOHIC-HF'!$U9,'Tables - Part 2'!$AV$6:$AV$13,0),MATCH('HIC-SOHIC-HF'!$S9,'Tables - Part 2'!$AX$5:$BA$5,0))+INDEX('Tables - Part 2'!$BF$6:$BI$13,MATCH('HIC-SOHIC-HF'!$U9,'Tables - Part 2'!$AV$6:$AV$13,0),MATCH('HIC-SOHIC-HF'!$S9,'Tables - Part 2'!$AX$5:$BA$5,0)))/2)/2)+((INDEX('Tables - Part 2'!$BB$6:$BE$13,MATCH('HIC-SOHIC-HF'!$U9,'Tables - Part 2'!$AV$6:$AV$13,0),MATCH('HIC-SOHIC-HF'!$S9,'Tables - Part 2'!$AX$5:$BA$5,0))+INDEX('Tables - Part 2'!$BF$6:$BI$13,MATCH('HIC-SOHIC-HF'!$U9,'Tables - Part 2'!$AV$6:$AV$13,0),MATCH('HIC-SOHIC-HF'!$S9,'Tables - Part 2'!$AX$5:$BA$5,0)))/2))/2,0)</f>
        <v>0</v>
      </c>
      <c r="AN9" s="248">
        <f>IF($R9=$AN$3,(INDEX('Tables - Part 2'!$BB$6:$BE$13,MATCH('HIC-SOHIC-HF'!$U9,'Tables - Part 2'!$AV$6:$AV$13,0),MATCH('HIC-SOHIC-HF'!$S9,'Tables - Part 2'!$AX$5:$BA$5,0))+INDEX('Tables - Part 2'!$BF$6:$BI$13,MATCH('HIC-SOHIC-HF'!$U9,'Tables - Part 2'!$AV$6:$AV$13,0),MATCH('HIC-SOHIC-HF'!$S9,'Tables - Part 2'!$AX$5:$BA$5,0)))/2,0)</f>
        <v>3</v>
      </c>
      <c r="AO9" s="248">
        <f>IF($R9=$AO$3,(((INDEX('Tables - Part 2'!$BB$6:$BE$13,MATCH('HIC-SOHIC-HF'!$U9,'Tables - Part 2'!$AV$6:$AV$13,0),MATCH('HIC-SOHIC-HF'!$S9,'Tables - Part 2'!$AX$5:$BA$5,0))+INDEX('Tables - Part 2'!$BF$6:$BI$13,MATCH('HIC-SOHIC-HF'!$U9,'Tables - Part 2'!$AV$6:$AV$13,0),MATCH('HIC-SOHIC-HF'!$S9,'Tables - Part 2'!$AX$5:$BA$5,0)))/2)+((((INDEX('Tables - Part 2'!$BB$6:$BE$13,MATCH('HIC-SOHIC-HF'!$U9,'Tables - Part 2'!$AV$6:$AV$13,0),MATCH('HIC-SOHIC-HF'!$S9,'Tables - Part 2'!$AX$5:$BA$5,0))+INDEX('Tables - Part 2'!$BF$6:$BI$13,MATCH('HIC-SOHIC-HF'!$U9,'Tables - Part 2'!$AV$6:$AV$13,0),MATCH('HIC-SOHIC-HF'!$S9,'Tables - Part 2'!$AX$5:$BA$5,0)))/2)+INDEX('Tables - Part 2'!$BF$6:$BI$13,MATCH('HIC-SOHIC-HF'!$U9,'Tables - Part 2'!$AV$6:$AV$13,0),MATCH('HIC-SOHIC-HF'!$S9,'Tables - Part 2'!$AX$5:$BA$5,0)))/2))/2,0)</f>
        <v>0</v>
      </c>
      <c r="AP9" s="248">
        <f>IF($R9=$AP$3,(((INDEX('Tables - Part 2'!$BB$6:$BE$13,MATCH('HIC-SOHIC-HF'!$U9,'Tables - Part 2'!$AV$6:$AV$13,0),MATCH('HIC-SOHIC-HF'!$S9,'Tables - Part 2'!$AX$5:$BA$5,0))+INDEX('Tables - Part 2'!$BF$6:$BI$13,MATCH('HIC-SOHIC-HF'!$U9,'Tables - Part 2'!$AV$6:$AV$13,0),MATCH('HIC-SOHIC-HF'!$S9,'Tables - Part 2'!$AX$5:$BA$5,0)))/2)+INDEX('Tables - Part 2'!$BF$6:$BI$13,MATCH('HIC-SOHIC-HF'!$U9,'Tables - Part 2'!$AV$6:$AV$13,0),MATCH('HIC-SOHIC-HF'!$S9,'Tables - Part 2'!$AX$5:$BA$5,0)))/2,0)</f>
        <v>0</v>
      </c>
      <c r="AQ9" s="248">
        <f>IF($R9=$AQ$3,(((((INDEX('Tables - Part 2'!$BB$6:$BE$13,MATCH('HIC-SOHIC-HF'!$U9,'Tables - Part 2'!$AV$6:$AV$13,0),MATCH('HIC-SOHIC-HF'!$S9,'Tables - Part 2'!$AX$5:$BA$5,0))+INDEX('Tables - Part 2'!$BF$6:$BI$13,MATCH('HIC-SOHIC-HF'!$U9,'Tables - Part 2'!$AV$6:$AV$13,0),MATCH('HIC-SOHIC-HF'!$S9,'Tables - Part 2'!$AX$5:$BA$5,0)))/2)+INDEX('Tables - Part 2'!$BF$6:$BI$13,MATCH('HIC-SOHIC-HF'!$U9,'Tables - Part 2'!$AV$6:$AV$13,0),MATCH('HIC-SOHIC-HF'!$S9,'Tables - Part 2'!$AX$5:$BA$5,0)))/2)+INDEX('Tables - Part 2'!$BF$6:$BI$13,MATCH('HIC-SOHIC-HF'!$U9,'Tables - Part 2'!$AV$6:$AV$13,0),MATCH('HIC-SOHIC-HF'!$S9,'Tables - Part 2'!$AX$5:$BA$5,0)))/2,0)</f>
        <v>0</v>
      </c>
      <c r="AR9" s="248">
        <f>IF($R9=$AR$3,INDEX('Tables - Part 2'!$BF$6:$BI$13,MATCH('HIC-SOHIC-HF'!$U9,'Tables - Part 2'!$AV$6:$AV$13,0),MATCH('HIC-SOHIC-HF'!$S9,'Tables - Part 2'!$AX$5:$BA$5,0)),0)</f>
        <v>0</v>
      </c>
      <c r="AS9" s="248">
        <f>IF($R9=$AS$3,(INDEX('Tables - Part 2'!$BF$6:$BI$13,MATCH('HIC-SOHIC-HF'!$U9,'Tables - Part 2'!$AV$6:$AV$13,0),MATCH('HIC-SOHIC-HF'!$S9,'Tables - Part 2'!$AX$5:$BA$5,0))+((INDEX('Tables - Part 2'!$BF$6:$BI$13,MATCH('HIC-SOHIC-HF'!$U9,'Tables - Part 2'!$AV$6:$AV$13,0),MATCH('HIC-SOHIC-HF'!$S9,'Tables - Part 2'!$AX$5:$BA$5,0))+(INDEX('Tables - Part 2'!$BF$6:$BI$13,MATCH('HIC-SOHIC-HF'!$U9,'Tables - Part 2'!$AV$6:$AV$13,0),MATCH('HIC-SOHIC-HF'!$S9,'Tables - Part 2'!$AX$5:$BA$5,0))+INDEX('Tables - Part 2'!$AX$17:$BA$24,MATCH('HIC-SOHIC-HF'!$U9,'Tables - Part 2'!$AV$6:$AV$13,0),MATCH('HIC-SOHIC-HF'!$S9,'Tables - Part 2'!$AX$5:$BA$5,0)))/2)/2))/2,0)</f>
        <v>0</v>
      </c>
      <c r="AT9" s="248">
        <f>IF($R9=$AT$3,(INDEX('Tables - Part 2'!$BF$6:$BI$13,MATCH('HIC-SOHIC-HF'!$U9,'Tables - Part 2'!$AV$6:$AV$13,0),MATCH('HIC-SOHIC-HF'!$S9,'Tables - Part 2'!$AX$5:$BA$5,0))+(INDEX('Tables - Part 2'!$BF$6:$BI$13,MATCH('HIC-SOHIC-HF'!$U9,'Tables - Part 2'!$AV$6:$AV$13,0),MATCH('HIC-SOHIC-HF'!$S9,'Tables - Part 2'!$AX$5:$BA$5,0))+INDEX('Tables - Part 2'!$AX$17:$BA$24,MATCH('HIC-SOHIC-HF'!$U9,'Tables - Part 2'!$AV$6:$AV$13,0),MATCH('HIC-SOHIC-HF'!$S9,'Tables - Part 2'!$AX$5:$BA$5,0)))/2)/2,0)</f>
        <v>0</v>
      </c>
      <c r="AU9" s="248">
        <f>IF($R9=$AU$3,(((INDEX('Tables - Part 2'!$BF$6:$BI$13,MATCH('HIC-SOHIC-HF'!$U9,'Tables - Part 2'!$AV$6:$AV$13,0),MATCH('HIC-SOHIC-HF'!$S9,'Tables - Part 2'!$AX$5:$BA$5,0))+(INDEX('Tables - Part 2'!$BF$6:$BI$13,MATCH('HIC-SOHIC-HF'!$U9,'Tables - Part 2'!$AV$6:$AV$13,0),MATCH('HIC-SOHIC-HF'!$S9,'Tables - Part 2'!$AX$5:$BA$5,0))+INDEX('Tables - Part 2'!$AX$17:$BA$24,MATCH('HIC-SOHIC-HF'!$U9,'Tables - Part 2'!$AV$6:$AV$13,0),MATCH('HIC-SOHIC-HF'!$S9,'Tables - Part 2'!$AX$5:$BA$5,0)))/2)/2)+((INDEX('Tables - Part 2'!$BF$6:$BI$13,MATCH('HIC-SOHIC-HF'!$U9,'Tables - Part 2'!$AV$6:$AV$13,0),MATCH('HIC-SOHIC-HF'!$S9,'Tables - Part 2'!$AX$5:$BA$5,0))+INDEX('Tables - Part 2'!$AX$17:$BA$24,MATCH('HIC-SOHIC-HF'!$U9,'Tables - Part 2'!$AV$6:$AV$13,0),MATCH('HIC-SOHIC-HF'!$S9,'Tables - Part 2'!$AX$5:$BA$5,0)))/2))/2,0)</f>
        <v>0</v>
      </c>
      <c r="AV9" s="248">
        <f>IF($R9=$AV$3,(INDEX('Tables - Part 2'!$BF$6:$BI$13,MATCH('HIC-SOHIC-HF'!$U9,'Tables - Part 2'!$AV$6:$AV$13,0),MATCH('HIC-SOHIC-HF'!$S9,'Tables - Part 2'!$AX$5:$BA$5,0))+INDEX('Tables - Part 2'!$AX$17:$BA$24,MATCH('HIC-SOHIC-HF'!$U9,'Tables - Part 2'!$AV$6:$AV$13,0),MATCH('HIC-SOHIC-HF'!$S9,'Tables - Part 2'!$AX$5:$BA$5,0)))/2,0)</f>
        <v>0</v>
      </c>
      <c r="AW9" s="248">
        <f>IF($R9=$AW$3,(((INDEX('Tables - Part 2'!$BF$6:$BI$13,MATCH('HIC-SOHIC-HF'!$U9,'Tables - Part 2'!$AV$6:$AV$13,0),MATCH('HIC-SOHIC-HF'!$S9,'Tables - Part 2'!$AX$5:$BA$5,0))+INDEX('Tables - Part 2'!$AX$17:$BA$24,MATCH('HIC-SOHIC-HF'!$U9,'Tables - Part 2'!$AV$6:$AV$13,0),MATCH('HIC-SOHIC-HF'!$S9,'Tables - Part 2'!$AX$5:$BA$5,0)))/2)+((((INDEX('Tables - Part 2'!$BF$6:$BI$13,MATCH('HIC-SOHIC-HF'!$U9,'Tables - Part 2'!$AV$6:$AV$13,0),MATCH('HIC-SOHIC-HF'!$S9,'Tables - Part 2'!$AX$5:$BA$5,0))+INDEX('Tables - Part 2'!$AX$17:$BA$24,MATCH('HIC-SOHIC-HF'!$U9,'Tables - Part 2'!$AV$6:$AV$13,0),MATCH('HIC-SOHIC-HF'!$S9,'Tables - Part 2'!$AX$5:$BA$5,0)))/2)+INDEX('Tables - Part 2'!$AX$17:$BA$24,MATCH('HIC-SOHIC-HF'!$U9,'Tables - Part 2'!$AV$6:$AV$13,0),MATCH('HIC-SOHIC-HF'!$S9,'Tables - Part 2'!$AX$5:$BA$5,0)))/2))/2,0)</f>
        <v>0</v>
      </c>
      <c r="AX9" s="248">
        <f>IF($R9=$AX$3,(((INDEX('Tables - Part 2'!$BF$6:$BI$13,MATCH('HIC-SOHIC-HF'!$U9,'Tables - Part 2'!$AV$6:$AV$13,0),MATCH('HIC-SOHIC-HF'!$S9,'Tables - Part 2'!$AX$5:$BA$5,0))+INDEX('Tables - Part 2'!$AX$17:$BA$24,MATCH('HIC-SOHIC-HF'!$U9,'Tables - Part 2'!$AV$6:$AV$13,0),MATCH('HIC-SOHIC-HF'!$S9,'Tables - Part 2'!$AX$5:$BA$5,0)))/2)+INDEX('Tables - Part 2'!$AX$17:$BA$24,MATCH('HIC-SOHIC-HF'!$U9,'Tables - Part 2'!$AV$6:$AV$13,0),MATCH('HIC-SOHIC-HF'!$S9,'Tables - Part 2'!$AX$5:$BA$5,0)))/2,0)</f>
        <v>0</v>
      </c>
      <c r="AY9" s="248">
        <f>IF($R9=$AY$3,(((((INDEX('Tables - Part 2'!$BF$6:$BI$13,MATCH('HIC-SOHIC-HF'!$U9,'Tables - Part 2'!$AV$6:$AV$13,0),MATCH('HIC-SOHIC-HF'!$S9,'Tables - Part 2'!$AX$5:$BA$5,0))+INDEX('Tables - Part 2'!$AX$17:$BA$24,MATCH('HIC-SOHIC-HF'!$U9,'Tables - Part 2'!$AV$6:$AV$13,0),MATCH('HIC-SOHIC-HF'!$S9,'Tables - Part 2'!$AX$5:$BA$5,0)))/2)+INDEX('Tables - Part 2'!$AX$17:$BA$24,MATCH('HIC-SOHIC-HF'!$U9,'Tables - Part 2'!$AV$6:$AV$13,0),MATCH('HIC-SOHIC-HF'!$S9,'Tables - Part 2'!$AX$5:$BA$5,0)))/2)+(INDEX('Tables - Part 2'!$AX$17:$BA$24,MATCH('HIC-SOHIC-HF'!$U9,'Tables - Part 2'!$AV$6:$AV$13,0),MATCH('HIC-SOHIC-HF'!$S9,'Tables - Part 2'!$AX$5:$BA$5,0))))/2,0)</f>
        <v>0</v>
      </c>
      <c r="AZ9" s="248">
        <f>IF($R9=$AZ$3,INDEX('Tables - Part 2'!$AX$17:$BA$24,MATCH('HIC-SOHIC-HF'!$U9,'Tables - Part 2'!$AV$6:$AV$13,0),MATCH('HIC-SOHIC-HF'!$S9,'Tables - Part 2'!$AX$5:$BA$5,0)),0)</f>
        <v>0</v>
      </c>
      <c r="BA9" s="248">
        <f>IF($R9=$BA$3,((INDEX('Tables - Part 2'!$AX$17:$BA$24,MATCH('HIC-SOHIC-HF'!$U9,'Tables - Part 2'!$AV$6:$AV$13,0),MATCH('HIC-SOHIC-HF'!$S9,'Tables - Part 2'!$AX$5:$BA$5,0)))+(((INDEX('Tables - Part 2'!$AX$17:$BA$24,MATCH('HIC-SOHIC-HF'!$U9,'Tables - Part 2'!$AV$6:$AV$13,0),MATCH('HIC-SOHIC-HF'!$S9,'Tables - Part 2'!$AX$5:$BA$5,0)))+(INDEX('Tables - Part 2'!$AX$17:$BA$24,MATCH('HIC-SOHIC-HF'!$U9,'Tables - Part 2'!$AV$6:$AV$13,0),MATCH('HIC-SOHIC-HF'!$S9,'Tables - Part 2'!$AX$5:$BA$5,0))+INDEX('Tables - Part 2'!$BB$17:$BE$24,MATCH('HIC-SOHIC-HF'!$U9,'Tables - Part 2'!$AV$6:$AV$13,0),MATCH('HIC-SOHIC-HF'!$S9,'Tables - Part 2'!$AX$5:$BA$5,0)))/2)/2))/2,0)</f>
        <v>0</v>
      </c>
      <c r="BB9" s="248">
        <f>IF($R9=$BB$3,((INDEX('Tables - Part 2'!$AX$17:$BA$24,MATCH('HIC-SOHIC-HF'!$U9,'Tables - Part 2'!$AV$6:$AV$13,0),MATCH('HIC-SOHIC-HF'!$S9,'Tables - Part 2'!$AX$5:$BA$5,0)))+(INDEX('Tables - Part 2'!$AX$17:$BA$24,MATCH('HIC-SOHIC-HF'!$U9,'Tables - Part 2'!$AV$6:$AV$13,0),MATCH('HIC-SOHIC-HF'!$S9,'Tables - Part 2'!$AX$5:$BA$5,0))+INDEX('Tables - Part 2'!$BB$17:$BE$24,MATCH('HIC-SOHIC-HF'!$U9,'Tables - Part 2'!$AV$6:$AV$13,0),MATCH('HIC-SOHIC-HF'!$S9,'Tables - Part 2'!$AX$5:$BA$5,0)))/2)/2,0)</f>
        <v>0</v>
      </c>
      <c r="BC9" s="248">
        <f>IF($R9=$BC$3,((((INDEX('Tables - Part 2'!$AX$17:$BA$24,MATCH('HIC-SOHIC-HF'!$U9,'Tables - Part 2'!$AV$6:$AV$13,0),MATCH('HIC-SOHIC-HF'!$S9,'Tables - Part 2'!$AX$5:$BA$5,0)))+(INDEX('Tables - Part 2'!$AX$17:$BA$24,MATCH('HIC-SOHIC-HF'!$U9,'Tables - Part 2'!$AV$6:$AV$13,0),MATCH('HIC-SOHIC-HF'!$S9,'Tables - Part 2'!$AX$5:$BA$5,0))+INDEX('Tables - Part 2'!$BB$17:$BE$24,MATCH('HIC-SOHIC-HF'!$U9,'Tables - Part 2'!$AV$6:$AV$13,0),MATCH('HIC-SOHIC-HF'!$S9,'Tables - Part 2'!$AX$5:$BA$5,0)))/2)/2)+((INDEX('Tables - Part 2'!$AX$17:$BA$24,MATCH('HIC-SOHIC-HF'!$U9,'Tables - Part 2'!$AV$6:$AV$13,0),MATCH('HIC-SOHIC-HF'!$S9,'Tables - Part 2'!$AX$5:$BA$5,0))+INDEX('Tables - Part 2'!$BB$17:$BE$24,MATCH('HIC-SOHIC-HF'!$U9,'Tables - Part 2'!$AV$6:$AV$13,0),MATCH('HIC-SOHIC-HF'!$S9,'Tables - Part 2'!$AX$5:$BA$5,0)))/2))/2,0)</f>
        <v>0</v>
      </c>
      <c r="BD9" s="248">
        <f>IF($R9=$BD$3,(INDEX('Tables - Part 2'!$AX$17:$BA$24,MATCH('HIC-SOHIC-HF'!$U9,'Tables - Part 2'!$AV$6:$AV$13,0),MATCH('HIC-SOHIC-HF'!$S9,'Tables - Part 2'!$AX$5:$BA$5,0))+INDEX('Tables - Part 2'!$BB$17:$BE$24,MATCH('HIC-SOHIC-HF'!$U9,'Tables - Part 2'!$AV$6:$AV$13,0),MATCH('HIC-SOHIC-HF'!$S9,'Tables - Part 2'!$AX$5:$BA$5,0)))/2,0)</f>
        <v>0</v>
      </c>
      <c r="BE9" s="248">
        <f>IF($R9=$BE$3,(((INDEX('Tables - Part 2'!$AX$17:$BA$24,MATCH('HIC-SOHIC-HF'!$U9,'Tables - Part 2'!$AV$6:$AV$13,0),MATCH('HIC-SOHIC-HF'!$S9,'Tables - Part 2'!$AX$5:$BA$5,0))+INDEX('Tables - Part 2'!$BB$17:$BE$24,MATCH('HIC-SOHIC-HF'!$U9,'Tables - Part 2'!$AV$6:$AV$13,0),MATCH('HIC-SOHIC-HF'!$S9,'Tables - Part 2'!$AX$5:$BA$5,0)))/2)+((((INDEX('Tables - Part 2'!$AX$17:$BA$24,MATCH('HIC-SOHIC-HF'!$U9,'Tables - Part 2'!$AV$6:$AV$13,0),MATCH('HIC-SOHIC-HF'!$S9,'Tables - Part 2'!$AX$5:$BA$5,0))+INDEX('Tables - Part 2'!$BB$17:$BE$24,MATCH('HIC-SOHIC-HF'!$U9,'Tables - Part 2'!$AV$6:$AV$13,0),MATCH('HIC-SOHIC-HF'!$S9,'Tables - Part 2'!$AX$5:$BA$5,0)))/2)+INDEX('Tables - Part 2'!$BB$17:$BE$24,MATCH('HIC-SOHIC-HF'!$U9,'Tables - Part 2'!$AV$6:$AV$13,0),MATCH('HIC-SOHIC-HF'!$S9,'Tables - Part 2'!$AX$5:$BA$5,0)))/2))/2,0)</f>
        <v>0</v>
      </c>
      <c r="BF9" s="248">
        <f>IF($R9=$BF$3,(((INDEX('Tables - Part 2'!$AX$17:$BA$24,MATCH('HIC-SOHIC-HF'!$U9,'Tables - Part 2'!$AV$6:$AV$13,0),MATCH('HIC-SOHIC-HF'!$S9,'Tables - Part 2'!$AX$5:$BA$5,0))+INDEX('Tables - Part 2'!$BB$17:$BE$24,MATCH('HIC-SOHIC-HF'!$U9,'Tables - Part 2'!$AV$6:$AV$13,0),MATCH('HIC-SOHIC-HF'!$S9,'Tables - Part 2'!$AX$5:$BA$5,0)))/2)+INDEX('Tables - Part 2'!$BB$17:$BE$24,MATCH('HIC-SOHIC-HF'!$U9,'Tables - Part 2'!$AV$6:$AV$13,0),MATCH('HIC-SOHIC-HF'!$S9,'Tables - Part 2'!$AX$5:$BA$5,0)))/2,0)</f>
        <v>0</v>
      </c>
      <c r="BG9" s="248">
        <f>IF($R9=$BG$3,(((((INDEX('Tables - Part 2'!$AX$17:$BA$24,MATCH('HIC-SOHIC-HF'!$U9,'Tables - Part 2'!$AV$6:$AV$13,0),MATCH('HIC-SOHIC-HF'!$S9,'Tables - Part 2'!$AX$5:$BA$5,0))+INDEX('Tables - Part 2'!$BB$17:$BE$24,MATCH('HIC-SOHIC-HF'!$U9,'Tables - Part 2'!$AV$6:$AV$13,0),MATCH('HIC-SOHIC-HF'!$S9,'Tables - Part 2'!$AX$5:$BA$5,0)))/2)+INDEX('Tables - Part 2'!$BB$17:$BE$24,MATCH('HIC-SOHIC-HF'!$U9,'Tables - Part 2'!$AV$6:$AV$13,0),MATCH('HIC-SOHIC-HF'!$S9,'Tables - Part 2'!$AX$5:$BA$5,0)))/2)+(INDEX('Tables - Part 2'!$BB$17:$BE$24,MATCH('HIC-SOHIC-HF'!$U9,'Tables - Part 2'!$AV$6:$AV$13,0),MATCH('HIC-SOHIC-HF'!$S9,'Tables - Part 2'!$AX$5:$BA$5,0))))/2,0)</f>
        <v>0</v>
      </c>
      <c r="BH9" s="248">
        <f>IF($R9=$BH$3,INDEX('Tables - Part 2'!$BB$17:$BE$24,MATCH('HIC-SOHIC-HF'!$U9,'Tables - Part 2'!$AV$6:$AV$13,0),MATCH('HIC-SOHIC-HF'!$S9,'Tables - Part 2'!$AX$5:$BA$5,0)),0)</f>
        <v>0</v>
      </c>
      <c r="BI9" s="248">
        <f>IF($R9=$BI$3,((INDEX('Tables - Part 2'!$BB$17:$BE$24,MATCH('HIC-SOHIC-HF'!$U9,'Tables - Part 2'!$AV$6:$AV$13,0),MATCH('HIC-SOHIC-HF'!$S9,'Tables - Part 2'!$AX$5:$BA$5,0)))+(((INDEX('Tables - Part 2'!$BB$17:$BE$24,MATCH('HIC-SOHIC-HF'!$U9,'Tables - Part 2'!$AV$6:$AV$13,0),MATCH('HIC-SOHIC-HF'!$S9,'Tables - Part 2'!$AX$5:$BA$5,0)))+(INDEX('Tables - Part 2'!$BB$17:$BE$24,MATCH('HIC-SOHIC-HF'!$U9,'Tables - Part 2'!$AV$6:$AV$13,0),MATCH('HIC-SOHIC-HF'!$S9,'Tables - Part 2'!$AX$5:$BA$5,0))+INDEX('Tables - Part 2'!$BF$17:$BI$24,MATCH('HIC-SOHIC-HF'!$U9,'Tables - Part 2'!$AV$6:$AV$13,0),MATCH('HIC-SOHIC-HF'!$S9,'Tables - Part 2'!$AX$5:$BA$5,0)))/2)/2))/2,0)</f>
        <v>0</v>
      </c>
      <c r="BJ9" s="248">
        <f>IF($R9=$BJ$3,((INDEX('Tables - Part 2'!$BB$17:$BE$24,MATCH('HIC-SOHIC-HF'!$U9,'Tables - Part 2'!$AV$6:$AV$13,0),MATCH('HIC-SOHIC-HF'!$S9,'Tables - Part 2'!$AX$5:$BA$5,0)))+(INDEX('Tables - Part 2'!$BB$17:$BE$24,MATCH('HIC-SOHIC-HF'!$U9,'Tables - Part 2'!$AV$6:$AV$13,0),MATCH('HIC-SOHIC-HF'!$S9,'Tables - Part 2'!$AX$5:$BA$5,0))+INDEX('Tables - Part 2'!$BF$17:$BI$24,MATCH('HIC-SOHIC-HF'!$U9,'Tables - Part 2'!$AV$6:$AV$13,0),MATCH('HIC-SOHIC-HF'!$S9,'Tables - Part 2'!$AX$5:$BA$5,0)))/2)/2,0)</f>
        <v>0</v>
      </c>
      <c r="BK9" s="248">
        <f>IF($R9=$BK$3,((((INDEX('Tables - Part 2'!$BB$17:$BE$24,MATCH('HIC-SOHIC-HF'!$U9,'Tables - Part 2'!$AV$6:$AV$13,0),MATCH('HIC-SOHIC-HF'!$S9,'Tables - Part 2'!$AX$5:$BA$5,0)))+(INDEX('Tables - Part 2'!$BB$17:$BE$24,MATCH('HIC-SOHIC-HF'!$U9,'Tables - Part 2'!$AV$6:$AV$13,0),MATCH('HIC-SOHIC-HF'!$S9,'Tables - Part 2'!$AX$5:$BA$5,0))+INDEX('Tables - Part 2'!$BF$17:$BI$24,MATCH('HIC-SOHIC-HF'!$U9,'Tables - Part 2'!$AV$6:$AV$13,0),MATCH('HIC-SOHIC-HF'!$S9,'Tables - Part 2'!$AX$5:$BA$5,0)))/2)/2)+((INDEX('Tables - Part 2'!$BB$17:$BE$24,MATCH('HIC-SOHIC-HF'!$U9,'Tables - Part 2'!$AV$6:$AV$13,0),MATCH('HIC-SOHIC-HF'!$S9,'Tables - Part 2'!$AX$5:$BA$5,0))+INDEX('Tables - Part 2'!$BF$17:$BI$24,MATCH('HIC-SOHIC-HF'!$U9,'Tables - Part 2'!$AV$6:$AV$13,0),MATCH('HIC-SOHIC-HF'!$S9,'Tables - Part 2'!$AX$5:$BA$5,0)))/2))/2,0)</f>
        <v>0</v>
      </c>
      <c r="BL9" s="248">
        <f>IF($R9=$BL$3,(INDEX('Tables - Part 2'!$BB$17:$BE$24,MATCH('HIC-SOHIC-HF'!$U9,'Tables - Part 2'!$AV$6:$AV$13,0),MATCH('HIC-SOHIC-HF'!$S9,'Tables - Part 2'!$AX$5:$BA$5,0))+INDEX('Tables - Part 2'!$BF$17:$BI$24,MATCH('HIC-SOHIC-HF'!$U9,'Tables - Part 2'!$AV$6:$AV$13,0),MATCH('HIC-SOHIC-HF'!$S9,'Tables - Part 2'!$AX$5:$BA$5,0)))/2,0)</f>
        <v>0</v>
      </c>
      <c r="BM9" s="248">
        <f>IF($R9=$BM$3,(((INDEX('Tables - Part 2'!$BB$17:$BE$24,MATCH('HIC-SOHIC-HF'!$U9,'Tables - Part 2'!$AV$6:$AV$13,0),MATCH('HIC-SOHIC-HF'!$S9,'Tables - Part 2'!$AX$5:$BA$5,0))+INDEX('Tables - Part 2'!$BF$17:$BI$24,MATCH('HIC-SOHIC-HF'!$U9,'Tables - Part 2'!$AV$6:$AV$13,0),MATCH('HIC-SOHIC-HF'!$S9,'Tables - Part 2'!$AX$5:$BA$5,0)))/2)+((((INDEX('Tables - Part 2'!$BB$17:$BE$24,MATCH('HIC-SOHIC-HF'!$U9,'Tables - Part 2'!$AV$6:$AV$13,0),MATCH('HIC-SOHIC-HF'!$S9,'Tables - Part 2'!$AX$5:$BA$5,0))+INDEX('Tables - Part 2'!$BF$17:$BI$24,MATCH('HIC-SOHIC-HF'!$U9,'Tables - Part 2'!$AV$6:$AV$13,0),MATCH('HIC-SOHIC-HF'!$S9,'Tables - Part 2'!$AX$5:$BA$5,0)))/2)+INDEX('Tables - Part 2'!$BF$17:$BI$24,MATCH('HIC-SOHIC-HF'!$U9,'Tables - Part 2'!$AV$6:$AV$13,0),MATCH('HIC-SOHIC-HF'!$S9,'Tables - Part 2'!$AX$5:$BA$5,0)))/2))/2,0)</f>
        <v>0</v>
      </c>
      <c r="BN9" s="248">
        <f>IF($R9=$BN$3,(((INDEX('Tables - Part 2'!$BB$17:$BE$24,MATCH('HIC-SOHIC-HF'!$U9,'Tables - Part 2'!$AV$6:$AV$13,0),MATCH('HIC-SOHIC-HF'!$S9,'Tables - Part 2'!$AX$5:$BA$5,0))+INDEX('Tables - Part 2'!$BF$17:$BI$24,MATCH('HIC-SOHIC-HF'!$U9,'Tables - Part 2'!$AV$6:$AV$13,0),MATCH('HIC-SOHIC-HF'!$S9,'Tables - Part 2'!$AX$5:$BA$5,0)))/2)+INDEX('Tables - Part 2'!$BF$17:$BI$24,MATCH('HIC-SOHIC-HF'!$U9,'Tables - Part 2'!$AV$6:$AV$13,0),MATCH('HIC-SOHIC-HF'!$S9,'Tables - Part 2'!$AX$5:$BA$5,0)))/2,0)</f>
        <v>0</v>
      </c>
      <c r="BO9" s="248">
        <f>IF($R9=$BO$3,(((((INDEX('Tables - Part 2'!$BB$17:$BE$24,MATCH('HIC-SOHIC-HF'!$U9,'Tables - Part 2'!$AV$6:$AV$13,0),MATCH('HIC-SOHIC-HF'!$S9,'Tables - Part 2'!$AX$5:$BA$5,0))+INDEX('Tables - Part 2'!$BF$17:$BI$24,MATCH('HIC-SOHIC-HF'!$U9,'Tables - Part 2'!$AV$6:$AV$13,0),MATCH('HIC-SOHIC-HF'!$S9,'Tables - Part 2'!$AX$5:$BA$5,0)))/2)+INDEX('Tables - Part 2'!$BF$17:$BI$24,MATCH('HIC-SOHIC-HF'!$U9,'Tables - Part 2'!$AV$6:$AV$13,0),MATCH('HIC-SOHIC-HF'!$S9,'Tables - Part 2'!$AX$5:$BA$5,0)))/2)+(INDEX('Tables - Part 2'!$BF$17:$BI$24,MATCH('HIC-SOHIC-HF'!$U9,'Tables - Part 2'!$AV$6:$AV$13,0),MATCH('HIC-SOHIC-HF'!$S9,'Tables - Part 2'!$AX$5:$BA$5,0))))/2,0)</f>
        <v>0</v>
      </c>
      <c r="BP9" s="248">
        <f>IF($R9=$BP$3,INDEX('Tables - Part 2'!$BF$17:$BI$24,MATCH('HIC-SOHIC-HF'!$U9,'Tables - Part 2'!$AV$6:$AV$13,0),MATCH('HIC-SOHIC-HF'!$S9,'Tables - Part 2'!$AX$5:$BA$5,0)),0)</f>
        <v>0</v>
      </c>
      <c r="BQ9" s="248">
        <f t="shared" si="6"/>
        <v>0</v>
      </c>
      <c r="BR9" s="238">
        <f t="shared" si="7"/>
        <v>3</v>
      </c>
      <c r="BS9" s="238">
        <f t="shared" si="8"/>
        <v>50.318647405225171</v>
      </c>
    </row>
    <row r="10" spans="2:84" x14ac:dyDescent="0.35">
      <c r="B10" s="161" t="str">
        <f>'Tratamento de Dados'!B18</f>
        <v>V-1</v>
      </c>
      <c r="C10" s="161" t="str">
        <f>'Tratamento de Dados'!D18</f>
        <v>Casco</v>
      </c>
      <c r="D10" s="209" t="s">
        <v>245</v>
      </c>
      <c r="E10" s="209" t="s">
        <v>61</v>
      </c>
      <c r="F10" s="209" t="s">
        <v>244</v>
      </c>
      <c r="G10" s="209" t="s">
        <v>244</v>
      </c>
      <c r="H10" s="209" t="s">
        <v>1208</v>
      </c>
      <c r="I10" s="209" t="s">
        <v>245</v>
      </c>
      <c r="J10" s="209" t="s">
        <v>898</v>
      </c>
      <c r="K10" s="210">
        <v>39092</v>
      </c>
      <c r="L10" s="209">
        <v>0</v>
      </c>
      <c r="M10" s="209">
        <v>1</v>
      </c>
      <c r="N10" s="209">
        <v>1</v>
      </c>
      <c r="O10" s="209">
        <v>4</v>
      </c>
      <c r="P10" s="253">
        <f>'Tratamento de Dados'!DA18</f>
        <v>0</v>
      </c>
      <c r="Q10" s="253">
        <f>'Tratamento de Dados'!DB18</f>
        <v>0</v>
      </c>
      <c r="R10" s="256">
        <f t="shared" si="0"/>
        <v>2.5</v>
      </c>
      <c r="S10" s="246" t="str">
        <f t="shared" si="1"/>
        <v>B</v>
      </c>
      <c r="T10" s="238" t="str" cm="1">
        <f t="array" ref="T10">IF(D10=$BX$2,$BV$4,IF(OR(F10=$BX$3,G10=$BX$3),$BV$5,INDEX(IF(I10=$BX$2,'Tables - Part 2'!$EI$6:$EK$6,'Tables - Part 2'!$EI$5:$EK$5),,MATCH('HIC-SOHIC-HF'!H10,'Tables - Part 2'!$EI$4:$EK$4,0))))</f>
        <v>High</v>
      </c>
      <c r="U10" s="238">
        <f>IF(AND(D10=$BX$2,E10&lt;&gt;$BX$2),"Fitness-For-Service",INDEX('Tables - Part 2'!$EN$4:$EN$7,MATCH('HIC-SOHIC-HF'!T10,'Tables - Part 2'!$EM$4:$EM$7,0),))</f>
        <v>100</v>
      </c>
      <c r="V10" s="238">
        <f>INDEX('Tables - Part 2'!$EQ$4:$EQ$7,MATCH('HIC-SOHIC-HF'!J10,'Tables - Part 2'!$EP$4:$EP$7,0))</f>
        <v>1</v>
      </c>
      <c r="W10" s="238">
        <f>IF(K10=0,(Thinning!G11-Thinning!F11)/365.25,(Thinning!G11-K10)/365.25)</f>
        <v>12.980150581793293</v>
      </c>
      <c r="X10" s="248">
        <f t="shared" si="2"/>
        <v>0</v>
      </c>
      <c r="Y10" s="248">
        <f t="shared" si="3"/>
        <v>2.5</v>
      </c>
      <c r="Z10" s="248">
        <f t="shared" si="4"/>
        <v>3</v>
      </c>
      <c r="AA10" s="247">
        <f t="shared" si="5"/>
        <v>4</v>
      </c>
      <c r="AB10" s="248">
        <f>IF($R10=$AB$3,INDEX('Tables - Part 2'!$AX$6:$BA$13,MATCH('HIC-SOHIC-HF'!U10,'Tables - Part 2'!$AV$6:$AV$13,0),MATCH('HIC-SOHIC-HF'!S10,'Tables - Part 2'!$AX$5:$BA$5,0)),0)</f>
        <v>0</v>
      </c>
      <c r="AC10" s="248">
        <f>IF($R10=$AC$3,(INDEX('Tables - Part 2'!$AX$6:$BA$13,MATCH('HIC-SOHIC-HF'!U10,'Tables - Part 2'!$AV$6:$AV$13,0),MATCH('HIC-SOHIC-HF'!S10,'Tables - Part 2'!$AX$5:$BA$5,0))+(INDEX('Tables - Part 2'!$AX$6:$BA$13,MATCH('HIC-SOHIC-HF'!U10,'Tables - Part 2'!$AV$6:$AV$13,0),MATCH('HIC-SOHIC-HF'!S10,'Tables - Part 2'!$AX$5:$BA$5,0))+((INDEX('Tables - Part 2'!$AX$6:$BA$13,MATCH('HIC-SOHIC-HF'!U10,'Tables - Part 2'!$AV$6:$AV$13,0),MATCH('HIC-SOHIC-HF'!S10,'Tables - Part 2'!$AX$5:$BA$5,0))+INDEX('Tables - Part 2'!$BB$6:$BE$13,MATCH('HIC-SOHIC-HF'!$U10,'Tables - Part 2'!$AV$6:$AV$13,0),MATCH('HIC-SOHIC-HF'!$S10,'Tables - Part 2'!$AX$5:$BA$5,0)))/2))/2)/2,0)</f>
        <v>0</v>
      </c>
      <c r="AD10" s="248">
        <f>IF($R10=$AD$3,(INDEX('Tables - Part 2'!$AX$6:$BA$13,MATCH('HIC-SOHIC-HF'!U10,'Tables - Part 2'!$AV$6:$AV$13,0),MATCH('HIC-SOHIC-HF'!S10,'Tables - Part 2'!$AX$5:$BA$5,0))+((INDEX('Tables - Part 2'!$AX$6:$BA$13,MATCH('HIC-SOHIC-HF'!U10,'Tables - Part 2'!$AV$6:$AV$13,0),MATCH('HIC-SOHIC-HF'!S10,'Tables - Part 2'!$AX$5:$BA$5,0))+INDEX('Tables - Part 2'!$BB$6:$BE$13,MATCH('HIC-SOHIC-HF'!$U10,'Tables - Part 2'!$AV$6:$AV$13,0),MATCH('HIC-SOHIC-HF'!$S10,'Tables - Part 2'!$AX$5:$BA$5,0)))/2))/2,0)</f>
        <v>0</v>
      </c>
      <c r="AE10" s="248">
        <f>IF($R10=$AE$3,(((INDEX('Tables - Part 2'!$AX$6:$BA$13,MATCH('HIC-SOHIC-HF'!U10,'Tables - Part 2'!$AV$6:$AV$13,0),MATCH('HIC-SOHIC-HF'!S10,'Tables - Part 2'!$AX$5:$BA$5,0))+((INDEX('Tables - Part 2'!$AX$6:$BA$13,MATCH('HIC-SOHIC-HF'!U10,'Tables - Part 2'!$AV$6:$AV$13,0),MATCH('HIC-SOHIC-HF'!S10,'Tables - Part 2'!$AX$5:$BA$5,0))+INDEX('Tables - Part 2'!$BB$6:$BE$13,MATCH('HIC-SOHIC-HF'!$U10,'Tables - Part 2'!$AV$6:$AV$13,0),MATCH('HIC-SOHIC-HF'!$S10,'Tables - Part 2'!$AX$5:$BA$5,0)))/2))/2)+(INDEX('Tables - Part 2'!$AX$6:$BA$13,MATCH('HIC-SOHIC-HF'!U10,'Tables - Part 2'!$AV$6:$AV$13,0),MATCH('HIC-SOHIC-HF'!S10,'Tables - Part 2'!$AX$5:$BA$5,0))+INDEX('Tables - Part 2'!$BB$6:$BE$13,MATCH('HIC-SOHIC-HF'!$U10,'Tables - Part 2'!$AV$6:$AV$13,0),MATCH('HIC-SOHIC-HF'!$S10,'Tables - Part 2'!$AX$5:$BA$5,0)))/2)/2,0)</f>
        <v>0</v>
      </c>
      <c r="AF10" s="248">
        <f>IF($R10=$AF$3,(INDEX('Tables - Part 2'!$AX$6:$BA$13,MATCH('HIC-SOHIC-HF'!U10,'Tables - Part 2'!$AV$6:$AV$13,0),MATCH('HIC-SOHIC-HF'!S10,'Tables - Part 2'!$AX$5:$BA$5,0))+INDEX('Tables - Part 2'!$BB$6:$BE$13,MATCH('HIC-SOHIC-HF'!$U10,'Tables - Part 2'!$AV$6:$AV$13,0),MATCH('HIC-SOHIC-HF'!$S10,'Tables - Part 2'!$AX$5:$BA$5,0)))/2,0)</f>
        <v>0</v>
      </c>
      <c r="AG10" s="248">
        <f>IF($R10=$AG$3,(((INDEX('Tables - Part 2'!$AX$6:$BA$13,MATCH('HIC-SOHIC-HF'!U10,'Tables - Part 2'!$AV$6:$AV$13,0),MATCH('HIC-SOHIC-HF'!S10,'Tables - Part 2'!$AX$5:$BA$5,0))+INDEX('Tables - Part 2'!$BB$6:$BE$13,MATCH('HIC-SOHIC-HF'!$U10,'Tables - Part 2'!$AV$6:$AV$13,0),MATCH('HIC-SOHIC-HF'!$S10,'Tables - Part 2'!$AX$5:$BA$5,0)))/2)+(((INDEX('Tables - Part 2'!$AX$6:$BA$13,MATCH('HIC-SOHIC-HF'!U10,'Tables - Part 2'!$AV$6:$AV$13,0),MATCH('HIC-SOHIC-HF'!S10,'Tables - Part 2'!$AX$5:$BA$5,0))+INDEX('Tables - Part 2'!$BB$6:$BE$13,MATCH('HIC-SOHIC-HF'!$U10,'Tables - Part 2'!$AV$6:$AV$13,0),MATCH('HIC-SOHIC-HF'!$S10,'Tables - Part 2'!$AX$5:$BA$5,0)))/2)+INDEX('Tables - Part 2'!$BB$6:$BE$13,MATCH('HIC-SOHIC-HF'!$U10,'Tables - Part 2'!$AV$6:$AV$13,0),MATCH('HIC-SOHIC-HF'!$S10,'Tables - Part 2'!$AX$5:$BA$5,0)))/2)/2,0)</f>
        <v>0</v>
      </c>
      <c r="AH10" s="248">
        <f>IF($R10=$AH$3,(((INDEX('Tables - Part 2'!$AX$6:$BA$13,MATCH('HIC-SOHIC-HF'!U10,'Tables - Part 2'!$AV$6:$AV$13,0),MATCH('HIC-SOHIC-HF'!S10,'Tables - Part 2'!$AX$5:$BA$5,0))+INDEX('Tables - Part 2'!$BB$6:$BE$13,MATCH('HIC-SOHIC-HF'!$U10,'Tables - Part 2'!$AV$6:$AV$13,0),MATCH('HIC-SOHIC-HF'!$S10,'Tables - Part 2'!$AX$5:$BA$5,0)))/2)+INDEX('Tables - Part 2'!$BB$6:$BE$13,MATCH('HIC-SOHIC-HF'!$U10,'Tables - Part 2'!$AV$6:$AV$13,0),MATCH('HIC-SOHIC-HF'!$S10,'Tables - Part 2'!$AX$5:$BA$5,0)))/2,0)</f>
        <v>0</v>
      </c>
      <c r="AI10" s="248">
        <f>IF($R10=$AI$3,(((((INDEX('Tables - Part 2'!$AX$6:$BA$13,MATCH('HIC-SOHIC-HF'!U10,'Tables - Part 2'!$AV$6:$AV$13,0),MATCH('HIC-SOHIC-HF'!S10,'Tables - Part 2'!$AX$5:$BA$5,0))+INDEX('Tables - Part 2'!$BB$6:$BE$13,MATCH('HIC-SOHIC-HF'!$U10,'Tables - Part 2'!$AV$6:$AV$13,0),MATCH('HIC-SOHIC-HF'!$S10,'Tables - Part 2'!$AX$5:$BA$5,0)))/2)+INDEX('Tables - Part 2'!$BB$6:$BE$13,MATCH('HIC-SOHIC-HF'!$U10,'Tables - Part 2'!$AV$6:$AV$13,0),MATCH('HIC-SOHIC-HF'!$S10,'Tables - Part 2'!$AX$5:$BA$5,0)))/2)+INDEX('Tables - Part 2'!$BB$6:$BE$13,MATCH('HIC-SOHIC-HF'!$U10,'Tables - Part 2'!$AV$6:$AV$13,0),MATCH('HIC-SOHIC-HF'!$S10,'Tables - Part 2'!$AX$5:$BA$5,0)))/2,0)</f>
        <v>0</v>
      </c>
      <c r="AJ10" s="248">
        <f>IF($R10=$AJ$3,INDEX('Tables - Part 2'!$BB$6:$BE$13,MATCH('HIC-SOHIC-HF'!$U10,'Tables - Part 2'!$AV$6:$AV$13,0),MATCH('HIC-SOHIC-HF'!$S10,'Tables - Part 2'!$AX$5:$BA$5,0)),0)</f>
        <v>0</v>
      </c>
      <c r="AK10" s="248">
        <f>IF($R10=$AK$3,((INDEX('Tables - Part 2'!$BB$6:$BE$13,MATCH('HIC-SOHIC-HF'!$U10,'Tables - Part 2'!$AV$6:$AV$13,0),MATCH('HIC-SOHIC-HF'!$S10,'Tables - Part 2'!$AX$5:$BA$5,0)))+(INDEX('Tables - Part 2'!$BB$6:$BE$13,MATCH('HIC-SOHIC-HF'!$U10,'Tables - Part 2'!$AV$6:$AV$13,0),MATCH('HIC-SOHIC-HF'!$S10,'Tables - Part 2'!$AX$5:$BA$5,0))+(INDEX('Tables - Part 2'!$BB$6:$BE$13,MATCH('HIC-SOHIC-HF'!$U10,'Tables - Part 2'!$AV$6:$AV$13,0),MATCH('HIC-SOHIC-HF'!$S10,'Tables - Part 2'!$AX$5:$BA$5,0))+INDEX('Tables - Part 2'!$BF$6:$BI$13,MATCH('HIC-SOHIC-HF'!$U10,'Tables - Part 2'!$AV$6:$AV$13,0),MATCH('HIC-SOHIC-HF'!$S10,'Tables - Part 2'!$AX$5:$BA$5,0)))/2)/2)/2,0)</f>
        <v>0</v>
      </c>
      <c r="AL10" s="248">
        <f>IF($R10=$AL$3,(INDEX('Tables - Part 2'!$BB$6:$BE$13,MATCH('HIC-SOHIC-HF'!$U10,'Tables - Part 2'!$AV$6:$AV$13,0),MATCH('HIC-SOHIC-HF'!$S10,'Tables - Part 2'!$AX$5:$BA$5,0))+(INDEX('Tables - Part 2'!$BB$6:$BE$13,MATCH('HIC-SOHIC-HF'!$U10,'Tables - Part 2'!$AV$6:$AV$13,0),MATCH('HIC-SOHIC-HF'!$S10,'Tables - Part 2'!$AX$5:$BA$5,0))+INDEX('Tables - Part 2'!$BF$6:$BI$13,MATCH('HIC-SOHIC-HF'!$U10,'Tables - Part 2'!$AV$6:$AV$13,0),MATCH('HIC-SOHIC-HF'!$S10,'Tables - Part 2'!$AX$5:$BA$5,0)))/2)/2,0)</f>
        <v>0</v>
      </c>
      <c r="AM10" s="248">
        <f>IF($R10=$AM$3,(((INDEX('Tables - Part 2'!$BB$6:$BE$13,MATCH('HIC-SOHIC-HF'!$U10,'Tables - Part 2'!$AV$6:$AV$13,0),MATCH('HIC-SOHIC-HF'!$S10,'Tables - Part 2'!$AX$5:$BA$5,0))+(INDEX('Tables - Part 2'!$BB$6:$BE$13,MATCH('HIC-SOHIC-HF'!$U10,'Tables - Part 2'!$AV$6:$AV$13,0),MATCH('HIC-SOHIC-HF'!$S10,'Tables - Part 2'!$AX$5:$BA$5,0))+INDEX('Tables - Part 2'!$BF$6:$BI$13,MATCH('HIC-SOHIC-HF'!$U10,'Tables - Part 2'!$AV$6:$AV$13,0),MATCH('HIC-SOHIC-HF'!$S10,'Tables - Part 2'!$AX$5:$BA$5,0)))/2)/2)+((INDEX('Tables - Part 2'!$BB$6:$BE$13,MATCH('HIC-SOHIC-HF'!$U10,'Tables - Part 2'!$AV$6:$AV$13,0),MATCH('HIC-SOHIC-HF'!$S10,'Tables - Part 2'!$AX$5:$BA$5,0))+INDEX('Tables - Part 2'!$BF$6:$BI$13,MATCH('HIC-SOHIC-HF'!$U10,'Tables - Part 2'!$AV$6:$AV$13,0),MATCH('HIC-SOHIC-HF'!$S10,'Tables - Part 2'!$AX$5:$BA$5,0)))/2))/2,0)</f>
        <v>0</v>
      </c>
      <c r="AN10" s="248">
        <f>IF($R10=$AN$3,(INDEX('Tables - Part 2'!$BB$6:$BE$13,MATCH('HIC-SOHIC-HF'!$U10,'Tables - Part 2'!$AV$6:$AV$13,0),MATCH('HIC-SOHIC-HF'!$S10,'Tables - Part 2'!$AX$5:$BA$5,0))+INDEX('Tables - Part 2'!$BF$6:$BI$13,MATCH('HIC-SOHIC-HF'!$U10,'Tables - Part 2'!$AV$6:$AV$13,0),MATCH('HIC-SOHIC-HF'!$S10,'Tables - Part 2'!$AX$5:$BA$5,0)))/2,0)</f>
        <v>3</v>
      </c>
      <c r="AO10" s="248">
        <f>IF($R10=$AO$3,(((INDEX('Tables - Part 2'!$BB$6:$BE$13,MATCH('HIC-SOHIC-HF'!$U10,'Tables - Part 2'!$AV$6:$AV$13,0),MATCH('HIC-SOHIC-HF'!$S10,'Tables - Part 2'!$AX$5:$BA$5,0))+INDEX('Tables - Part 2'!$BF$6:$BI$13,MATCH('HIC-SOHIC-HF'!$U10,'Tables - Part 2'!$AV$6:$AV$13,0),MATCH('HIC-SOHIC-HF'!$S10,'Tables - Part 2'!$AX$5:$BA$5,0)))/2)+((((INDEX('Tables - Part 2'!$BB$6:$BE$13,MATCH('HIC-SOHIC-HF'!$U10,'Tables - Part 2'!$AV$6:$AV$13,0),MATCH('HIC-SOHIC-HF'!$S10,'Tables - Part 2'!$AX$5:$BA$5,0))+INDEX('Tables - Part 2'!$BF$6:$BI$13,MATCH('HIC-SOHIC-HF'!$U10,'Tables - Part 2'!$AV$6:$AV$13,0),MATCH('HIC-SOHIC-HF'!$S10,'Tables - Part 2'!$AX$5:$BA$5,0)))/2)+INDEX('Tables - Part 2'!$BF$6:$BI$13,MATCH('HIC-SOHIC-HF'!$U10,'Tables - Part 2'!$AV$6:$AV$13,0),MATCH('HIC-SOHIC-HF'!$S10,'Tables - Part 2'!$AX$5:$BA$5,0)))/2))/2,0)</f>
        <v>0</v>
      </c>
      <c r="AP10" s="248">
        <f>IF($R10=$AP$3,(((INDEX('Tables - Part 2'!$BB$6:$BE$13,MATCH('HIC-SOHIC-HF'!$U10,'Tables - Part 2'!$AV$6:$AV$13,0),MATCH('HIC-SOHIC-HF'!$S10,'Tables - Part 2'!$AX$5:$BA$5,0))+INDEX('Tables - Part 2'!$BF$6:$BI$13,MATCH('HIC-SOHIC-HF'!$U10,'Tables - Part 2'!$AV$6:$AV$13,0),MATCH('HIC-SOHIC-HF'!$S10,'Tables - Part 2'!$AX$5:$BA$5,0)))/2)+INDEX('Tables - Part 2'!$BF$6:$BI$13,MATCH('HIC-SOHIC-HF'!$U10,'Tables - Part 2'!$AV$6:$AV$13,0),MATCH('HIC-SOHIC-HF'!$S10,'Tables - Part 2'!$AX$5:$BA$5,0)))/2,0)</f>
        <v>0</v>
      </c>
      <c r="AQ10" s="248">
        <f>IF($R10=$AQ$3,(((((INDEX('Tables - Part 2'!$BB$6:$BE$13,MATCH('HIC-SOHIC-HF'!$U10,'Tables - Part 2'!$AV$6:$AV$13,0),MATCH('HIC-SOHIC-HF'!$S10,'Tables - Part 2'!$AX$5:$BA$5,0))+INDEX('Tables - Part 2'!$BF$6:$BI$13,MATCH('HIC-SOHIC-HF'!$U10,'Tables - Part 2'!$AV$6:$AV$13,0),MATCH('HIC-SOHIC-HF'!$S10,'Tables - Part 2'!$AX$5:$BA$5,0)))/2)+INDEX('Tables - Part 2'!$BF$6:$BI$13,MATCH('HIC-SOHIC-HF'!$U10,'Tables - Part 2'!$AV$6:$AV$13,0),MATCH('HIC-SOHIC-HF'!$S10,'Tables - Part 2'!$AX$5:$BA$5,0)))/2)+INDEX('Tables - Part 2'!$BF$6:$BI$13,MATCH('HIC-SOHIC-HF'!$U10,'Tables - Part 2'!$AV$6:$AV$13,0),MATCH('HIC-SOHIC-HF'!$S10,'Tables - Part 2'!$AX$5:$BA$5,0)))/2,0)</f>
        <v>0</v>
      </c>
      <c r="AR10" s="248">
        <f>IF($R10=$AR$3,INDEX('Tables - Part 2'!$BF$6:$BI$13,MATCH('HIC-SOHIC-HF'!$U10,'Tables - Part 2'!$AV$6:$AV$13,0),MATCH('HIC-SOHIC-HF'!$S10,'Tables - Part 2'!$AX$5:$BA$5,0)),0)</f>
        <v>0</v>
      </c>
      <c r="AS10" s="248">
        <f>IF($R10=$AS$3,(INDEX('Tables - Part 2'!$BF$6:$BI$13,MATCH('HIC-SOHIC-HF'!$U10,'Tables - Part 2'!$AV$6:$AV$13,0),MATCH('HIC-SOHIC-HF'!$S10,'Tables - Part 2'!$AX$5:$BA$5,0))+((INDEX('Tables - Part 2'!$BF$6:$BI$13,MATCH('HIC-SOHIC-HF'!$U10,'Tables - Part 2'!$AV$6:$AV$13,0),MATCH('HIC-SOHIC-HF'!$S10,'Tables - Part 2'!$AX$5:$BA$5,0))+(INDEX('Tables - Part 2'!$BF$6:$BI$13,MATCH('HIC-SOHIC-HF'!$U10,'Tables - Part 2'!$AV$6:$AV$13,0),MATCH('HIC-SOHIC-HF'!$S10,'Tables - Part 2'!$AX$5:$BA$5,0))+INDEX('Tables - Part 2'!$AX$17:$BA$24,MATCH('HIC-SOHIC-HF'!$U10,'Tables - Part 2'!$AV$6:$AV$13,0),MATCH('HIC-SOHIC-HF'!$S10,'Tables - Part 2'!$AX$5:$BA$5,0)))/2)/2))/2,0)</f>
        <v>0</v>
      </c>
      <c r="AT10" s="248">
        <f>IF($R10=$AT$3,(INDEX('Tables - Part 2'!$BF$6:$BI$13,MATCH('HIC-SOHIC-HF'!$U10,'Tables - Part 2'!$AV$6:$AV$13,0),MATCH('HIC-SOHIC-HF'!$S10,'Tables - Part 2'!$AX$5:$BA$5,0))+(INDEX('Tables - Part 2'!$BF$6:$BI$13,MATCH('HIC-SOHIC-HF'!$U10,'Tables - Part 2'!$AV$6:$AV$13,0),MATCH('HIC-SOHIC-HF'!$S10,'Tables - Part 2'!$AX$5:$BA$5,0))+INDEX('Tables - Part 2'!$AX$17:$BA$24,MATCH('HIC-SOHIC-HF'!$U10,'Tables - Part 2'!$AV$6:$AV$13,0),MATCH('HIC-SOHIC-HF'!$S10,'Tables - Part 2'!$AX$5:$BA$5,0)))/2)/2,0)</f>
        <v>0</v>
      </c>
      <c r="AU10" s="248">
        <f>IF($R10=$AU$3,(((INDEX('Tables - Part 2'!$BF$6:$BI$13,MATCH('HIC-SOHIC-HF'!$U10,'Tables - Part 2'!$AV$6:$AV$13,0),MATCH('HIC-SOHIC-HF'!$S10,'Tables - Part 2'!$AX$5:$BA$5,0))+(INDEX('Tables - Part 2'!$BF$6:$BI$13,MATCH('HIC-SOHIC-HF'!$U10,'Tables - Part 2'!$AV$6:$AV$13,0),MATCH('HIC-SOHIC-HF'!$S10,'Tables - Part 2'!$AX$5:$BA$5,0))+INDEX('Tables - Part 2'!$AX$17:$BA$24,MATCH('HIC-SOHIC-HF'!$U10,'Tables - Part 2'!$AV$6:$AV$13,0),MATCH('HIC-SOHIC-HF'!$S10,'Tables - Part 2'!$AX$5:$BA$5,0)))/2)/2)+((INDEX('Tables - Part 2'!$BF$6:$BI$13,MATCH('HIC-SOHIC-HF'!$U10,'Tables - Part 2'!$AV$6:$AV$13,0),MATCH('HIC-SOHIC-HF'!$S10,'Tables - Part 2'!$AX$5:$BA$5,0))+INDEX('Tables - Part 2'!$AX$17:$BA$24,MATCH('HIC-SOHIC-HF'!$U10,'Tables - Part 2'!$AV$6:$AV$13,0),MATCH('HIC-SOHIC-HF'!$S10,'Tables - Part 2'!$AX$5:$BA$5,0)))/2))/2,0)</f>
        <v>0</v>
      </c>
      <c r="AV10" s="248">
        <f>IF($R10=$AV$3,(INDEX('Tables - Part 2'!$BF$6:$BI$13,MATCH('HIC-SOHIC-HF'!$U10,'Tables - Part 2'!$AV$6:$AV$13,0),MATCH('HIC-SOHIC-HF'!$S10,'Tables - Part 2'!$AX$5:$BA$5,0))+INDEX('Tables - Part 2'!$AX$17:$BA$24,MATCH('HIC-SOHIC-HF'!$U10,'Tables - Part 2'!$AV$6:$AV$13,0),MATCH('HIC-SOHIC-HF'!$S10,'Tables - Part 2'!$AX$5:$BA$5,0)))/2,0)</f>
        <v>0</v>
      </c>
      <c r="AW10" s="248">
        <f>IF($R10=$AW$3,(((INDEX('Tables - Part 2'!$BF$6:$BI$13,MATCH('HIC-SOHIC-HF'!$U10,'Tables - Part 2'!$AV$6:$AV$13,0),MATCH('HIC-SOHIC-HF'!$S10,'Tables - Part 2'!$AX$5:$BA$5,0))+INDEX('Tables - Part 2'!$AX$17:$BA$24,MATCH('HIC-SOHIC-HF'!$U10,'Tables - Part 2'!$AV$6:$AV$13,0),MATCH('HIC-SOHIC-HF'!$S10,'Tables - Part 2'!$AX$5:$BA$5,0)))/2)+((((INDEX('Tables - Part 2'!$BF$6:$BI$13,MATCH('HIC-SOHIC-HF'!$U10,'Tables - Part 2'!$AV$6:$AV$13,0),MATCH('HIC-SOHIC-HF'!$S10,'Tables - Part 2'!$AX$5:$BA$5,0))+INDEX('Tables - Part 2'!$AX$17:$BA$24,MATCH('HIC-SOHIC-HF'!$U10,'Tables - Part 2'!$AV$6:$AV$13,0),MATCH('HIC-SOHIC-HF'!$S10,'Tables - Part 2'!$AX$5:$BA$5,0)))/2)+INDEX('Tables - Part 2'!$AX$17:$BA$24,MATCH('HIC-SOHIC-HF'!$U10,'Tables - Part 2'!$AV$6:$AV$13,0),MATCH('HIC-SOHIC-HF'!$S10,'Tables - Part 2'!$AX$5:$BA$5,0)))/2))/2,0)</f>
        <v>0</v>
      </c>
      <c r="AX10" s="248">
        <f>IF($R10=$AX$3,(((INDEX('Tables - Part 2'!$BF$6:$BI$13,MATCH('HIC-SOHIC-HF'!$U10,'Tables - Part 2'!$AV$6:$AV$13,0),MATCH('HIC-SOHIC-HF'!$S10,'Tables - Part 2'!$AX$5:$BA$5,0))+INDEX('Tables - Part 2'!$AX$17:$BA$24,MATCH('HIC-SOHIC-HF'!$U10,'Tables - Part 2'!$AV$6:$AV$13,0),MATCH('HIC-SOHIC-HF'!$S10,'Tables - Part 2'!$AX$5:$BA$5,0)))/2)+INDEX('Tables - Part 2'!$AX$17:$BA$24,MATCH('HIC-SOHIC-HF'!$U10,'Tables - Part 2'!$AV$6:$AV$13,0),MATCH('HIC-SOHIC-HF'!$S10,'Tables - Part 2'!$AX$5:$BA$5,0)))/2,0)</f>
        <v>0</v>
      </c>
      <c r="AY10" s="248">
        <f>IF($R10=$AY$3,(((((INDEX('Tables - Part 2'!$BF$6:$BI$13,MATCH('HIC-SOHIC-HF'!$U10,'Tables - Part 2'!$AV$6:$AV$13,0),MATCH('HIC-SOHIC-HF'!$S10,'Tables - Part 2'!$AX$5:$BA$5,0))+INDEX('Tables - Part 2'!$AX$17:$BA$24,MATCH('HIC-SOHIC-HF'!$U10,'Tables - Part 2'!$AV$6:$AV$13,0),MATCH('HIC-SOHIC-HF'!$S10,'Tables - Part 2'!$AX$5:$BA$5,0)))/2)+INDEX('Tables - Part 2'!$AX$17:$BA$24,MATCH('HIC-SOHIC-HF'!$U10,'Tables - Part 2'!$AV$6:$AV$13,0),MATCH('HIC-SOHIC-HF'!$S10,'Tables - Part 2'!$AX$5:$BA$5,0)))/2)+(INDEX('Tables - Part 2'!$AX$17:$BA$24,MATCH('HIC-SOHIC-HF'!$U10,'Tables - Part 2'!$AV$6:$AV$13,0),MATCH('HIC-SOHIC-HF'!$S10,'Tables - Part 2'!$AX$5:$BA$5,0))))/2,0)</f>
        <v>0</v>
      </c>
      <c r="AZ10" s="248">
        <f>IF($R10=$AZ$3,INDEX('Tables - Part 2'!$AX$17:$BA$24,MATCH('HIC-SOHIC-HF'!$U10,'Tables - Part 2'!$AV$6:$AV$13,0),MATCH('HIC-SOHIC-HF'!$S10,'Tables - Part 2'!$AX$5:$BA$5,0)),0)</f>
        <v>0</v>
      </c>
      <c r="BA10" s="248">
        <f>IF($R10=$BA$3,((INDEX('Tables - Part 2'!$AX$17:$BA$24,MATCH('HIC-SOHIC-HF'!$U10,'Tables - Part 2'!$AV$6:$AV$13,0),MATCH('HIC-SOHIC-HF'!$S10,'Tables - Part 2'!$AX$5:$BA$5,0)))+(((INDEX('Tables - Part 2'!$AX$17:$BA$24,MATCH('HIC-SOHIC-HF'!$U10,'Tables - Part 2'!$AV$6:$AV$13,0),MATCH('HIC-SOHIC-HF'!$S10,'Tables - Part 2'!$AX$5:$BA$5,0)))+(INDEX('Tables - Part 2'!$AX$17:$BA$24,MATCH('HIC-SOHIC-HF'!$U10,'Tables - Part 2'!$AV$6:$AV$13,0),MATCH('HIC-SOHIC-HF'!$S10,'Tables - Part 2'!$AX$5:$BA$5,0))+INDEX('Tables - Part 2'!$BB$17:$BE$24,MATCH('HIC-SOHIC-HF'!$U10,'Tables - Part 2'!$AV$6:$AV$13,0),MATCH('HIC-SOHIC-HF'!$S10,'Tables - Part 2'!$AX$5:$BA$5,0)))/2)/2))/2,0)</f>
        <v>0</v>
      </c>
      <c r="BB10" s="248">
        <f>IF($R10=$BB$3,((INDEX('Tables - Part 2'!$AX$17:$BA$24,MATCH('HIC-SOHIC-HF'!$U10,'Tables - Part 2'!$AV$6:$AV$13,0),MATCH('HIC-SOHIC-HF'!$S10,'Tables - Part 2'!$AX$5:$BA$5,0)))+(INDEX('Tables - Part 2'!$AX$17:$BA$24,MATCH('HIC-SOHIC-HF'!$U10,'Tables - Part 2'!$AV$6:$AV$13,0),MATCH('HIC-SOHIC-HF'!$S10,'Tables - Part 2'!$AX$5:$BA$5,0))+INDEX('Tables - Part 2'!$BB$17:$BE$24,MATCH('HIC-SOHIC-HF'!$U10,'Tables - Part 2'!$AV$6:$AV$13,0),MATCH('HIC-SOHIC-HF'!$S10,'Tables - Part 2'!$AX$5:$BA$5,0)))/2)/2,0)</f>
        <v>0</v>
      </c>
      <c r="BC10" s="248">
        <f>IF($R10=$BC$3,((((INDEX('Tables - Part 2'!$AX$17:$BA$24,MATCH('HIC-SOHIC-HF'!$U10,'Tables - Part 2'!$AV$6:$AV$13,0),MATCH('HIC-SOHIC-HF'!$S10,'Tables - Part 2'!$AX$5:$BA$5,0)))+(INDEX('Tables - Part 2'!$AX$17:$BA$24,MATCH('HIC-SOHIC-HF'!$U10,'Tables - Part 2'!$AV$6:$AV$13,0),MATCH('HIC-SOHIC-HF'!$S10,'Tables - Part 2'!$AX$5:$BA$5,0))+INDEX('Tables - Part 2'!$BB$17:$BE$24,MATCH('HIC-SOHIC-HF'!$U10,'Tables - Part 2'!$AV$6:$AV$13,0),MATCH('HIC-SOHIC-HF'!$S10,'Tables - Part 2'!$AX$5:$BA$5,0)))/2)/2)+((INDEX('Tables - Part 2'!$AX$17:$BA$24,MATCH('HIC-SOHIC-HF'!$U10,'Tables - Part 2'!$AV$6:$AV$13,0),MATCH('HIC-SOHIC-HF'!$S10,'Tables - Part 2'!$AX$5:$BA$5,0))+INDEX('Tables - Part 2'!$BB$17:$BE$24,MATCH('HIC-SOHIC-HF'!$U10,'Tables - Part 2'!$AV$6:$AV$13,0),MATCH('HIC-SOHIC-HF'!$S10,'Tables - Part 2'!$AX$5:$BA$5,0)))/2))/2,0)</f>
        <v>0</v>
      </c>
      <c r="BD10" s="248">
        <f>IF($R10=$BD$3,(INDEX('Tables - Part 2'!$AX$17:$BA$24,MATCH('HIC-SOHIC-HF'!$U10,'Tables - Part 2'!$AV$6:$AV$13,0),MATCH('HIC-SOHIC-HF'!$S10,'Tables - Part 2'!$AX$5:$BA$5,0))+INDEX('Tables - Part 2'!$BB$17:$BE$24,MATCH('HIC-SOHIC-HF'!$U10,'Tables - Part 2'!$AV$6:$AV$13,0),MATCH('HIC-SOHIC-HF'!$S10,'Tables - Part 2'!$AX$5:$BA$5,0)))/2,0)</f>
        <v>0</v>
      </c>
      <c r="BE10" s="248">
        <f>IF($R10=$BE$3,(((INDEX('Tables - Part 2'!$AX$17:$BA$24,MATCH('HIC-SOHIC-HF'!$U10,'Tables - Part 2'!$AV$6:$AV$13,0),MATCH('HIC-SOHIC-HF'!$S10,'Tables - Part 2'!$AX$5:$BA$5,0))+INDEX('Tables - Part 2'!$BB$17:$BE$24,MATCH('HIC-SOHIC-HF'!$U10,'Tables - Part 2'!$AV$6:$AV$13,0),MATCH('HIC-SOHIC-HF'!$S10,'Tables - Part 2'!$AX$5:$BA$5,0)))/2)+((((INDEX('Tables - Part 2'!$AX$17:$BA$24,MATCH('HIC-SOHIC-HF'!$U10,'Tables - Part 2'!$AV$6:$AV$13,0),MATCH('HIC-SOHIC-HF'!$S10,'Tables - Part 2'!$AX$5:$BA$5,0))+INDEX('Tables - Part 2'!$BB$17:$BE$24,MATCH('HIC-SOHIC-HF'!$U10,'Tables - Part 2'!$AV$6:$AV$13,0),MATCH('HIC-SOHIC-HF'!$S10,'Tables - Part 2'!$AX$5:$BA$5,0)))/2)+INDEX('Tables - Part 2'!$BB$17:$BE$24,MATCH('HIC-SOHIC-HF'!$U10,'Tables - Part 2'!$AV$6:$AV$13,0),MATCH('HIC-SOHIC-HF'!$S10,'Tables - Part 2'!$AX$5:$BA$5,0)))/2))/2,0)</f>
        <v>0</v>
      </c>
      <c r="BF10" s="248">
        <f>IF($R10=$BF$3,(((INDEX('Tables - Part 2'!$AX$17:$BA$24,MATCH('HIC-SOHIC-HF'!$U10,'Tables - Part 2'!$AV$6:$AV$13,0),MATCH('HIC-SOHIC-HF'!$S10,'Tables - Part 2'!$AX$5:$BA$5,0))+INDEX('Tables - Part 2'!$BB$17:$BE$24,MATCH('HIC-SOHIC-HF'!$U10,'Tables - Part 2'!$AV$6:$AV$13,0),MATCH('HIC-SOHIC-HF'!$S10,'Tables - Part 2'!$AX$5:$BA$5,0)))/2)+INDEX('Tables - Part 2'!$BB$17:$BE$24,MATCH('HIC-SOHIC-HF'!$U10,'Tables - Part 2'!$AV$6:$AV$13,0),MATCH('HIC-SOHIC-HF'!$S10,'Tables - Part 2'!$AX$5:$BA$5,0)))/2,0)</f>
        <v>0</v>
      </c>
      <c r="BG10" s="248">
        <f>IF($R10=$BG$3,(((((INDEX('Tables - Part 2'!$AX$17:$BA$24,MATCH('HIC-SOHIC-HF'!$U10,'Tables - Part 2'!$AV$6:$AV$13,0),MATCH('HIC-SOHIC-HF'!$S10,'Tables - Part 2'!$AX$5:$BA$5,0))+INDEX('Tables - Part 2'!$BB$17:$BE$24,MATCH('HIC-SOHIC-HF'!$U10,'Tables - Part 2'!$AV$6:$AV$13,0),MATCH('HIC-SOHIC-HF'!$S10,'Tables - Part 2'!$AX$5:$BA$5,0)))/2)+INDEX('Tables - Part 2'!$BB$17:$BE$24,MATCH('HIC-SOHIC-HF'!$U10,'Tables - Part 2'!$AV$6:$AV$13,0),MATCH('HIC-SOHIC-HF'!$S10,'Tables - Part 2'!$AX$5:$BA$5,0)))/2)+(INDEX('Tables - Part 2'!$BB$17:$BE$24,MATCH('HIC-SOHIC-HF'!$U10,'Tables - Part 2'!$AV$6:$AV$13,0),MATCH('HIC-SOHIC-HF'!$S10,'Tables - Part 2'!$AX$5:$BA$5,0))))/2,0)</f>
        <v>0</v>
      </c>
      <c r="BH10" s="248">
        <f>IF($R10=$BH$3,INDEX('Tables - Part 2'!$BB$17:$BE$24,MATCH('HIC-SOHIC-HF'!$U10,'Tables - Part 2'!$AV$6:$AV$13,0),MATCH('HIC-SOHIC-HF'!$S10,'Tables - Part 2'!$AX$5:$BA$5,0)),0)</f>
        <v>0</v>
      </c>
      <c r="BI10" s="248">
        <f>IF($R10=$BI$3,((INDEX('Tables - Part 2'!$BB$17:$BE$24,MATCH('HIC-SOHIC-HF'!$U10,'Tables - Part 2'!$AV$6:$AV$13,0),MATCH('HIC-SOHIC-HF'!$S10,'Tables - Part 2'!$AX$5:$BA$5,0)))+(((INDEX('Tables - Part 2'!$BB$17:$BE$24,MATCH('HIC-SOHIC-HF'!$U10,'Tables - Part 2'!$AV$6:$AV$13,0),MATCH('HIC-SOHIC-HF'!$S10,'Tables - Part 2'!$AX$5:$BA$5,0)))+(INDEX('Tables - Part 2'!$BB$17:$BE$24,MATCH('HIC-SOHIC-HF'!$U10,'Tables - Part 2'!$AV$6:$AV$13,0),MATCH('HIC-SOHIC-HF'!$S10,'Tables - Part 2'!$AX$5:$BA$5,0))+INDEX('Tables - Part 2'!$BF$17:$BI$24,MATCH('HIC-SOHIC-HF'!$U10,'Tables - Part 2'!$AV$6:$AV$13,0),MATCH('HIC-SOHIC-HF'!$S10,'Tables - Part 2'!$AX$5:$BA$5,0)))/2)/2))/2,0)</f>
        <v>0</v>
      </c>
      <c r="BJ10" s="248">
        <f>IF($R10=$BJ$3,((INDEX('Tables - Part 2'!$BB$17:$BE$24,MATCH('HIC-SOHIC-HF'!$U10,'Tables - Part 2'!$AV$6:$AV$13,0),MATCH('HIC-SOHIC-HF'!$S10,'Tables - Part 2'!$AX$5:$BA$5,0)))+(INDEX('Tables - Part 2'!$BB$17:$BE$24,MATCH('HIC-SOHIC-HF'!$U10,'Tables - Part 2'!$AV$6:$AV$13,0),MATCH('HIC-SOHIC-HF'!$S10,'Tables - Part 2'!$AX$5:$BA$5,0))+INDEX('Tables - Part 2'!$BF$17:$BI$24,MATCH('HIC-SOHIC-HF'!$U10,'Tables - Part 2'!$AV$6:$AV$13,0),MATCH('HIC-SOHIC-HF'!$S10,'Tables - Part 2'!$AX$5:$BA$5,0)))/2)/2,0)</f>
        <v>0</v>
      </c>
      <c r="BK10" s="248">
        <f>IF($R10=$BK$3,((((INDEX('Tables - Part 2'!$BB$17:$BE$24,MATCH('HIC-SOHIC-HF'!$U10,'Tables - Part 2'!$AV$6:$AV$13,0),MATCH('HIC-SOHIC-HF'!$S10,'Tables - Part 2'!$AX$5:$BA$5,0)))+(INDEX('Tables - Part 2'!$BB$17:$BE$24,MATCH('HIC-SOHIC-HF'!$U10,'Tables - Part 2'!$AV$6:$AV$13,0),MATCH('HIC-SOHIC-HF'!$S10,'Tables - Part 2'!$AX$5:$BA$5,0))+INDEX('Tables - Part 2'!$BF$17:$BI$24,MATCH('HIC-SOHIC-HF'!$U10,'Tables - Part 2'!$AV$6:$AV$13,0),MATCH('HIC-SOHIC-HF'!$S10,'Tables - Part 2'!$AX$5:$BA$5,0)))/2)/2)+((INDEX('Tables - Part 2'!$BB$17:$BE$24,MATCH('HIC-SOHIC-HF'!$U10,'Tables - Part 2'!$AV$6:$AV$13,0),MATCH('HIC-SOHIC-HF'!$S10,'Tables - Part 2'!$AX$5:$BA$5,0))+INDEX('Tables - Part 2'!$BF$17:$BI$24,MATCH('HIC-SOHIC-HF'!$U10,'Tables - Part 2'!$AV$6:$AV$13,0),MATCH('HIC-SOHIC-HF'!$S10,'Tables - Part 2'!$AX$5:$BA$5,0)))/2))/2,0)</f>
        <v>0</v>
      </c>
      <c r="BL10" s="248">
        <f>IF($R10=$BL$3,(INDEX('Tables - Part 2'!$BB$17:$BE$24,MATCH('HIC-SOHIC-HF'!$U10,'Tables - Part 2'!$AV$6:$AV$13,0),MATCH('HIC-SOHIC-HF'!$S10,'Tables - Part 2'!$AX$5:$BA$5,0))+INDEX('Tables - Part 2'!$BF$17:$BI$24,MATCH('HIC-SOHIC-HF'!$U10,'Tables - Part 2'!$AV$6:$AV$13,0),MATCH('HIC-SOHIC-HF'!$S10,'Tables - Part 2'!$AX$5:$BA$5,0)))/2,0)</f>
        <v>0</v>
      </c>
      <c r="BM10" s="248">
        <f>IF($R10=$BM$3,(((INDEX('Tables - Part 2'!$BB$17:$BE$24,MATCH('HIC-SOHIC-HF'!$U10,'Tables - Part 2'!$AV$6:$AV$13,0),MATCH('HIC-SOHIC-HF'!$S10,'Tables - Part 2'!$AX$5:$BA$5,0))+INDEX('Tables - Part 2'!$BF$17:$BI$24,MATCH('HIC-SOHIC-HF'!$U10,'Tables - Part 2'!$AV$6:$AV$13,0),MATCH('HIC-SOHIC-HF'!$S10,'Tables - Part 2'!$AX$5:$BA$5,0)))/2)+((((INDEX('Tables - Part 2'!$BB$17:$BE$24,MATCH('HIC-SOHIC-HF'!$U10,'Tables - Part 2'!$AV$6:$AV$13,0),MATCH('HIC-SOHIC-HF'!$S10,'Tables - Part 2'!$AX$5:$BA$5,0))+INDEX('Tables - Part 2'!$BF$17:$BI$24,MATCH('HIC-SOHIC-HF'!$U10,'Tables - Part 2'!$AV$6:$AV$13,0),MATCH('HIC-SOHIC-HF'!$S10,'Tables - Part 2'!$AX$5:$BA$5,0)))/2)+INDEX('Tables - Part 2'!$BF$17:$BI$24,MATCH('HIC-SOHIC-HF'!$U10,'Tables - Part 2'!$AV$6:$AV$13,0),MATCH('HIC-SOHIC-HF'!$S10,'Tables - Part 2'!$AX$5:$BA$5,0)))/2))/2,0)</f>
        <v>0</v>
      </c>
      <c r="BN10" s="248">
        <f>IF($R10=$BN$3,(((INDEX('Tables - Part 2'!$BB$17:$BE$24,MATCH('HIC-SOHIC-HF'!$U10,'Tables - Part 2'!$AV$6:$AV$13,0),MATCH('HIC-SOHIC-HF'!$S10,'Tables - Part 2'!$AX$5:$BA$5,0))+INDEX('Tables - Part 2'!$BF$17:$BI$24,MATCH('HIC-SOHIC-HF'!$U10,'Tables - Part 2'!$AV$6:$AV$13,0),MATCH('HIC-SOHIC-HF'!$S10,'Tables - Part 2'!$AX$5:$BA$5,0)))/2)+INDEX('Tables - Part 2'!$BF$17:$BI$24,MATCH('HIC-SOHIC-HF'!$U10,'Tables - Part 2'!$AV$6:$AV$13,0),MATCH('HIC-SOHIC-HF'!$S10,'Tables - Part 2'!$AX$5:$BA$5,0)))/2,0)</f>
        <v>0</v>
      </c>
      <c r="BO10" s="248">
        <f>IF($R10=$BO$3,(((((INDEX('Tables - Part 2'!$BB$17:$BE$24,MATCH('HIC-SOHIC-HF'!$U10,'Tables - Part 2'!$AV$6:$AV$13,0),MATCH('HIC-SOHIC-HF'!$S10,'Tables - Part 2'!$AX$5:$BA$5,0))+INDEX('Tables - Part 2'!$BF$17:$BI$24,MATCH('HIC-SOHIC-HF'!$U10,'Tables - Part 2'!$AV$6:$AV$13,0),MATCH('HIC-SOHIC-HF'!$S10,'Tables - Part 2'!$AX$5:$BA$5,0)))/2)+INDEX('Tables - Part 2'!$BF$17:$BI$24,MATCH('HIC-SOHIC-HF'!$U10,'Tables - Part 2'!$AV$6:$AV$13,0),MATCH('HIC-SOHIC-HF'!$S10,'Tables - Part 2'!$AX$5:$BA$5,0)))/2)+(INDEX('Tables - Part 2'!$BF$17:$BI$24,MATCH('HIC-SOHIC-HF'!$U10,'Tables - Part 2'!$AV$6:$AV$13,0),MATCH('HIC-SOHIC-HF'!$S10,'Tables - Part 2'!$AX$5:$BA$5,0))))/2,0)</f>
        <v>0</v>
      </c>
      <c r="BP10" s="248">
        <f>IF($R10=$BP$3,INDEX('Tables - Part 2'!$BF$17:$BI$24,MATCH('HIC-SOHIC-HF'!$U10,'Tables - Part 2'!$AV$6:$AV$13,0),MATCH('HIC-SOHIC-HF'!$S10,'Tables - Part 2'!$AX$5:$BA$5,0)),0)</f>
        <v>0</v>
      </c>
      <c r="BQ10" s="248">
        <f t="shared" si="6"/>
        <v>0</v>
      </c>
      <c r="BR10" s="238">
        <f t="shared" si="7"/>
        <v>3</v>
      </c>
      <c r="BS10" s="238">
        <f t="shared" si="8"/>
        <v>50.318647405225171</v>
      </c>
    </row>
    <row r="11" spans="2:84" x14ac:dyDescent="0.35">
      <c r="B11" s="161" t="str">
        <f>'Tratamento de Dados'!B19</f>
        <v>V-2</v>
      </c>
      <c r="C11" s="161" t="str">
        <f>'Tratamento de Dados'!D19</f>
        <v>Casco</v>
      </c>
      <c r="D11" s="209" t="s">
        <v>245</v>
      </c>
      <c r="E11" s="209" t="s">
        <v>61</v>
      </c>
      <c r="F11" s="209" t="s">
        <v>244</v>
      </c>
      <c r="G11" s="209" t="s">
        <v>244</v>
      </c>
      <c r="H11" s="209" t="s">
        <v>1208</v>
      </c>
      <c r="I11" s="209" t="s">
        <v>245</v>
      </c>
      <c r="J11" s="209" t="s">
        <v>898</v>
      </c>
      <c r="K11" s="210">
        <v>39092</v>
      </c>
      <c r="L11" s="209">
        <v>0</v>
      </c>
      <c r="M11" s="209">
        <v>1</v>
      </c>
      <c r="N11" s="209">
        <v>1</v>
      </c>
      <c r="O11" s="209">
        <v>4</v>
      </c>
      <c r="P11" s="253">
        <f>'Tratamento de Dados'!DA19</f>
        <v>0</v>
      </c>
      <c r="Q11" s="253">
        <f>'Tratamento de Dados'!DB19</f>
        <v>0</v>
      </c>
      <c r="R11" s="256">
        <f t="shared" si="0"/>
        <v>2.5</v>
      </c>
      <c r="S11" s="246" t="str">
        <f t="shared" si="1"/>
        <v>B</v>
      </c>
      <c r="T11" s="238" t="str" cm="1">
        <f t="array" ref="T11">IF(D11=$BX$2,$BV$4,IF(OR(F11=$BX$3,G11=$BX$3),$BV$5,INDEX(IF(I11=$BX$2,'Tables - Part 2'!$EI$6:$EK$6,'Tables - Part 2'!$EI$5:$EK$5),,MATCH('HIC-SOHIC-HF'!H11,'Tables - Part 2'!$EI$4:$EK$4,0))))</f>
        <v>High</v>
      </c>
      <c r="U11" s="238">
        <f>IF(AND(D11=$BX$2,E11&lt;&gt;$BX$2),"Fitness-For-Service",INDEX('Tables - Part 2'!$EN$4:$EN$7,MATCH('HIC-SOHIC-HF'!T11,'Tables - Part 2'!$EM$4:$EM$7,0),))</f>
        <v>100</v>
      </c>
      <c r="V11" s="238">
        <f>INDEX('Tables - Part 2'!$EQ$4:$EQ$7,MATCH('HIC-SOHIC-HF'!J11,'Tables - Part 2'!$EP$4:$EP$7,0))</f>
        <v>1</v>
      </c>
      <c r="W11" s="238">
        <f>IF(K11=0,(Thinning!G12-Thinning!F12)/365.25,(Thinning!G12-K11)/365.25)</f>
        <v>12.980150581793293</v>
      </c>
      <c r="X11" s="248">
        <f t="shared" si="2"/>
        <v>0</v>
      </c>
      <c r="Y11" s="248">
        <f t="shared" si="3"/>
        <v>2.5</v>
      </c>
      <c r="Z11" s="248">
        <f t="shared" si="4"/>
        <v>3</v>
      </c>
      <c r="AA11" s="247">
        <f t="shared" si="5"/>
        <v>4</v>
      </c>
      <c r="AB11" s="248">
        <f>IF($R11=$AB$3,INDEX('Tables - Part 2'!$AX$6:$BA$13,MATCH('HIC-SOHIC-HF'!U11,'Tables - Part 2'!$AV$6:$AV$13,0),MATCH('HIC-SOHIC-HF'!S11,'Tables - Part 2'!$AX$5:$BA$5,0)),0)</f>
        <v>0</v>
      </c>
      <c r="AC11" s="248">
        <f>IF($R11=$AC$3,(INDEX('Tables - Part 2'!$AX$6:$BA$13,MATCH('HIC-SOHIC-HF'!U11,'Tables - Part 2'!$AV$6:$AV$13,0),MATCH('HIC-SOHIC-HF'!S11,'Tables - Part 2'!$AX$5:$BA$5,0))+(INDEX('Tables - Part 2'!$AX$6:$BA$13,MATCH('HIC-SOHIC-HF'!U11,'Tables - Part 2'!$AV$6:$AV$13,0),MATCH('HIC-SOHIC-HF'!S11,'Tables - Part 2'!$AX$5:$BA$5,0))+((INDEX('Tables - Part 2'!$AX$6:$BA$13,MATCH('HIC-SOHIC-HF'!U11,'Tables - Part 2'!$AV$6:$AV$13,0),MATCH('HIC-SOHIC-HF'!S11,'Tables - Part 2'!$AX$5:$BA$5,0))+INDEX('Tables - Part 2'!$BB$6:$BE$13,MATCH('HIC-SOHIC-HF'!$U11,'Tables - Part 2'!$AV$6:$AV$13,0),MATCH('HIC-SOHIC-HF'!$S11,'Tables - Part 2'!$AX$5:$BA$5,0)))/2))/2)/2,0)</f>
        <v>0</v>
      </c>
      <c r="AD11" s="248">
        <f>IF($R11=$AD$3,(INDEX('Tables - Part 2'!$AX$6:$BA$13,MATCH('HIC-SOHIC-HF'!U11,'Tables - Part 2'!$AV$6:$AV$13,0),MATCH('HIC-SOHIC-HF'!S11,'Tables - Part 2'!$AX$5:$BA$5,0))+((INDEX('Tables - Part 2'!$AX$6:$BA$13,MATCH('HIC-SOHIC-HF'!U11,'Tables - Part 2'!$AV$6:$AV$13,0),MATCH('HIC-SOHIC-HF'!S11,'Tables - Part 2'!$AX$5:$BA$5,0))+INDEX('Tables - Part 2'!$BB$6:$BE$13,MATCH('HIC-SOHIC-HF'!$U11,'Tables - Part 2'!$AV$6:$AV$13,0),MATCH('HIC-SOHIC-HF'!$S11,'Tables - Part 2'!$AX$5:$BA$5,0)))/2))/2,0)</f>
        <v>0</v>
      </c>
      <c r="AE11" s="248">
        <f>IF($R11=$AE$3,(((INDEX('Tables - Part 2'!$AX$6:$BA$13,MATCH('HIC-SOHIC-HF'!U11,'Tables - Part 2'!$AV$6:$AV$13,0),MATCH('HIC-SOHIC-HF'!S11,'Tables - Part 2'!$AX$5:$BA$5,0))+((INDEX('Tables - Part 2'!$AX$6:$BA$13,MATCH('HIC-SOHIC-HF'!U11,'Tables - Part 2'!$AV$6:$AV$13,0),MATCH('HIC-SOHIC-HF'!S11,'Tables - Part 2'!$AX$5:$BA$5,0))+INDEX('Tables - Part 2'!$BB$6:$BE$13,MATCH('HIC-SOHIC-HF'!$U11,'Tables - Part 2'!$AV$6:$AV$13,0),MATCH('HIC-SOHIC-HF'!$S11,'Tables - Part 2'!$AX$5:$BA$5,0)))/2))/2)+(INDEX('Tables - Part 2'!$AX$6:$BA$13,MATCH('HIC-SOHIC-HF'!U11,'Tables - Part 2'!$AV$6:$AV$13,0),MATCH('HIC-SOHIC-HF'!S11,'Tables - Part 2'!$AX$5:$BA$5,0))+INDEX('Tables - Part 2'!$BB$6:$BE$13,MATCH('HIC-SOHIC-HF'!$U11,'Tables - Part 2'!$AV$6:$AV$13,0),MATCH('HIC-SOHIC-HF'!$S11,'Tables - Part 2'!$AX$5:$BA$5,0)))/2)/2,0)</f>
        <v>0</v>
      </c>
      <c r="AF11" s="248">
        <f>IF($R11=$AF$3,(INDEX('Tables - Part 2'!$AX$6:$BA$13,MATCH('HIC-SOHIC-HF'!U11,'Tables - Part 2'!$AV$6:$AV$13,0),MATCH('HIC-SOHIC-HF'!S11,'Tables - Part 2'!$AX$5:$BA$5,0))+INDEX('Tables - Part 2'!$BB$6:$BE$13,MATCH('HIC-SOHIC-HF'!$U11,'Tables - Part 2'!$AV$6:$AV$13,0),MATCH('HIC-SOHIC-HF'!$S11,'Tables - Part 2'!$AX$5:$BA$5,0)))/2,0)</f>
        <v>0</v>
      </c>
      <c r="AG11" s="248">
        <f>IF($R11=$AG$3,(((INDEX('Tables - Part 2'!$AX$6:$BA$13,MATCH('HIC-SOHIC-HF'!U11,'Tables - Part 2'!$AV$6:$AV$13,0),MATCH('HIC-SOHIC-HF'!S11,'Tables - Part 2'!$AX$5:$BA$5,0))+INDEX('Tables - Part 2'!$BB$6:$BE$13,MATCH('HIC-SOHIC-HF'!$U11,'Tables - Part 2'!$AV$6:$AV$13,0),MATCH('HIC-SOHIC-HF'!$S11,'Tables - Part 2'!$AX$5:$BA$5,0)))/2)+(((INDEX('Tables - Part 2'!$AX$6:$BA$13,MATCH('HIC-SOHIC-HF'!U11,'Tables - Part 2'!$AV$6:$AV$13,0),MATCH('HIC-SOHIC-HF'!S11,'Tables - Part 2'!$AX$5:$BA$5,0))+INDEX('Tables - Part 2'!$BB$6:$BE$13,MATCH('HIC-SOHIC-HF'!$U11,'Tables - Part 2'!$AV$6:$AV$13,0),MATCH('HIC-SOHIC-HF'!$S11,'Tables - Part 2'!$AX$5:$BA$5,0)))/2)+INDEX('Tables - Part 2'!$BB$6:$BE$13,MATCH('HIC-SOHIC-HF'!$U11,'Tables - Part 2'!$AV$6:$AV$13,0),MATCH('HIC-SOHIC-HF'!$S11,'Tables - Part 2'!$AX$5:$BA$5,0)))/2)/2,0)</f>
        <v>0</v>
      </c>
      <c r="AH11" s="248">
        <f>IF($R11=$AH$3,(((INDEX('Tables - Part 2'!$AX$6:$BA$13,MATCH('HIC-SOHIC-HF'!U11,'Tables - Part 2'!$AV$6:$AV$13,0),MATCH('HIC-SOHIC-HF'!S11,'Tables - Part 2'!$AX$5:$BA$5,0))+INDEX('Tables - Part 2'!$BB$6:$BE$13,MATCH('HIC-SOHIC-HF'!$U11,'Tables - Part 2'!$AV$6:$AV$13,0),MATCH('HIC-SOHIC-HF'!$S11,'Tables - Part 2'!$AX$5:$BA$5,0)))/2)+INDEX('Tables - Part 2'!$BB$6:$BE$13,MATCH('HIC-SOHIC-HF'!$U11,'Tables - Part 2'!$AV$6:$AV$13,0),MATCH('HIC-SOHIC-HF'!$S11,'Tables - Part 2'!$AX$5:$BA$5,0)))/2,0)</f>
        <v>0</v>
      </c>
      <c r="AI11" s="248">
        <f>IF($R11=$AI$3,(((((INDEX('Tables - Part 2'!$AX$6:$BA$13,MATCH('HIC-SOHIC-HF'!U11,'Tables - Part 2'!$AV$6:$AV$13,0),MATCH('HIC-SOHIC-HF'!S11,'Tables - Part 2'!$AX$5:$BA$5,0))+INDEX('Tables - Part 2'!$BB$6:$BE$13,MATCH('HIC-SOHIC-HF'!$U11,'Tables - Part 2'!$AV$6:$AV$13,0),MATCH('HIC-SOHIC-HF'!$S11,'Tables - Part 2'!$AX$5:$BA$5,0)))/2)+INDEX('Tables - Part 2'!$BB$6:$BE$13,MATCH('HIC-SOHIC-HF'!$U11,'Tables - Part 2'!$AV$6:$AV$13,0),MATCH('HIC-SOHIC-HF'!$S11,'Tables - Part 2'!$AX$5:$BA$5,0)))/2)+INDEX('Tables - Part 2'!$BB$6:$BE$13,MATCH('HIC-SOHIC-HF'!$U11,'Tables - Part 2'!$AV$6:$AV$13,0),MATCH('HIC-SOHIC-HF'!$S11,'Tables - Part 2'!$AX$5:$BA$5,0)))/2,0)</f>
        <v>0</v>
      </c>
      <c r="AJ11" s="248">
        <f>IF($R11=$AJ$3,INDEX('Tables - Part 2'!$BB$6:$BE$13,MATCH('HIC-SOHIC-HF'!$U11,'Tables - Part 2'!$AV$6:$AV$13,0),MATCH('HIC-SOHIC-HF'!$S11,'Tables - Part 2'!$AX$5:$BA$5,0)),0)</f>
        <v>0</v>
      </c>
      <c r="AK11" s="248">
        <f>IF($R11=$AK$3,((INDEX('Tables - Part 2'!$BB$6:$BE$13,MATCH('HIC-SOHIC-HF'!$U11,'Tables - Part 2'!$AV$6:$AV$13,0),MATCH('HIC-SOHIC-HF'!$S11,'Tables - Part 2'!$AX$5:$BA$5,0)))+(INDEX('Tables - Part 2'!$BB$6:$BE$13,MATCH('HIC-SOHIC-HF'!$U11,'Tables - Part 2'!$AV$6:$AV$13,0),MATCH('HIC-SOHIC-HF'!$S11,'Tables - Part 2'!$AX$5:$BA$5,0))+(INDEX('Tables - Part 2'!$BB$6:$BE$13,MATCH('HIC-SOHIC-HF'!$U11,'Tables - Part 2'!$AV$6:$AV$13,0),MATCH('HIC-SOHIC-HF'!$S11,'Tables - Part 2'!$AX$5:$BA$5,0))+INDEX('Tables - Part 2'!$BF$6:$BI$13,MATCH('HIC-SOHIC-HF'!$U11,'Tables - Part 2'!$AV$6:$AV$13,0),MATCH('HIC-SOHIC-HF'!$S11,'Tables - Part 2'!$AX$5:$BA$5,0)))/2)/2)/2,0)</f>
        <v>0</v>
      </c>
      <c r="AL11" s="248">
        <f>IF($R11=$AL$3,(INDEX('Tables - Part 2'!$BB$6:$BE$13,MATCH('HIC-SOHIC-HF'!$U11,'Tables - Part 2'!$AV$6:$AV$13,0),MATCH('HIC-SOHIC-HF'!$S11,'Tables - Part 2'!$AX$5:$BA$5,0))+(INDEX('Tables - Part 2'!$BB$6:$BE$13,MATCH('HIC-SOHIC-HF'!$U11,'Tables - Part 2'!$AV$6:$AV$13,0),MATCH('HIC-SOHIC-HF'!$S11,'Tables - Part 2'!$AX$5:$BA$5,0))+INDEX('Tables - Part 2'!$BF$6:$BI$13,MATCH('HIC-SOHIC-HF'!$U11,'Tables - Part 2'!$AV$6:$AV$13,0),MATCH('HIC-SOHIC-HF'!$S11,'Tables - Part 2'!$AX$5:$BA$5,0)))/2)/2,0)</f>
        <v>0</v>
      </c>
      <c r="AM11" s="248">
        <f>IF($R11=$AM$3,(((INDEX('Tables - Part 2'!$BB$6:$BE$13,MATCH('HIC-SOHIC-HF'!$U11,'Tables - Part 2'!$AV$6:$AV$13,0),MATCH('HIC-SOHIC-HF'!$S11,'Tables - Part 2'!$AX$5:$BA$5,0))+(INDEX('Tables - Part 2'!$BB$6:$BE$13,MATCH('HIC-SOHIC-HF'!$U11,'Tables - Part 2'!$AV$6:$AV$13,0),MATCH('HIC-SOHIC-HF'!$S11,'Tables - Part 2'!$AX$5:$BA$5,0))+INDEX('Tables - Part 2'!$BF$6:$BI$13,MATCH('HIC-SOHIC-HF'!$U11,'Tables - Part 2'!$AV$6:$AV$13,0),MATCH('HIC-SOHIC-HF'!$S11,'Tables - Part 2'!$AX$5:$BA$5,0)))/2)/2)+((INDEX('Tables - Part 2'!$BB$6:$BE$13,MATCH('HIC-SOHIC-HF'!$U11,'Tables - Part 2'!$AV$6:$AV$13,0),MATCH('HIC-SOHIC-HF'!$S11,'Tables - Part 2'!$AX$5:$BA$5,0))+INDEX('Tables - Part 2'!$BF$6:$BI$13,MATCH('HIC-SOHIC-HF'!$U11,'Tables - Part 2'!$AV$6:$AV$13,0),MATCH('HIC-SOHIC-HF'!$S11,'Tables - Part 2'!$AX$5:$BA$5,0)))/2))/2,0)</f>
        <v>0</v>
      </c>
      <c r="AN11" s="248">
        <f>IF($R11=$AN$3,(INDEX('Tables - Part 2'!$BB$6:$BE$13,MATCH('HIC-SOHIC-HF'!$U11,'Tables - Part 2'!$AV$6:$AV$13,0),MATCH('HIC-SOHIC-HF'!$S11,'Tables - Part 2'!$AX$5:$BA$5,0))+INDEX('Tables - Part 2'!$BF$6:$BI$13,MATCH('HIC-SOHIC-HF'!$U11,'Tables - Part 2'!$AV$6:$AV$13,0),MATCH('HIC-SOHIC-HF'!$S11,'Tables - Part 2'!$AX$5:$BA$5,0)))/2,0)</f>
        <v>3</v>
      </c>
      <c r="AO11" s="248">
        <f>IF($R11=$AO$3,(((INDEX('Tables - Part 2'!$BB$6:$BE$13,MATCH('HIC-SOHIC-HF'!$U11,'Tables - Part 2'!$AV$6:$AV$13,0),MATCH('HIC-SOHIC-HF'!$S11,'Tables - Part 2'!$AX$5:$BA$5,0))+INDEX('Tables - Part 2'!$BF$6:$BI$13,MATCH('HIC-SOHIC-HF'!$U11,'Tables - Part 2'!$AV$6:$AV$13,0),MATCH('HIC-SOHIC-HF'!$S11,'Tables - Part 2'!$AX$5:$BA$5,0)))/2)+((((INDEX('Tables - Part 2'!$BB$6:$BE$13,MATCH('HIC-SOHIC-HF'!$U11,'Tables - Part 2'!$AV$6:$AV$13,0),MATCH('HIC-SOHIC-HF'!$S11,'Tables - Part 2'!$AX$5:$BA$5,0))+INDEX('Tables - Part 2'!$BF$6:$BI$13,MATCH('HIC-SOHIC-HF'!$U11,'Tables - Part 2'!$AV$6:$AV$13,0),MATCH('HIC-SOHIC-HF'!$S11,'Tables - Part 2'!$AX$5:$BA$5,0)))/2)+INDEX('Tables - Part 2'!$BF$6:$BI$13,MATCH('HIC-SOHIC-HF'!$U11,'Tables - Part 2'!$AV$6:$AV$13,0),MATCH('HIC-SOHIC-HF'!$S11,'Tables - Part 2'!$AX$5:$BA$5,0)))/2))/2,0)</f>
        <v>0</v>
      </c>
      <c r="AP11" s="248">
        <f>IF($R11=$AP$3,(((INDEX('Tables - Part 2'!$BB$6:$BE$13,MATCH('HIC-SOHIC-HF'!$U11,'Tables - Part 2'!$AV$6:$AV$13,0),MATCH('HIC-SOHIC-HF'!$S11,'Tables - Part 2'!$AX$5:$BA$5,0))+INDEX('Tables - Part 2'!$BF$6:$BI$13,MATCH('HIC-SOHIC-HF'!$U11,'Tables - Part 2'!$AV$6:$AV$13,0),MATCH('HIC-SOHIC-HF'!$S11,'Tables - Part 2'!$AX$5:$BA$5,0)))/2)+INDEX('Tables - Part 2'!$BF$6:$BI$13,MATCH('HIC-SOHIC-HF'!$U11,'Tables - Part 2'!$AV$6:$AV$13,0),MATCH('HIC-SOHIC-HF'!$S11,'Tables - Part 2'!$AX$5:$BA$5,0)))/2,0)</f>
        <v>0</v>
      </c>
      <c r="AQ11" s="248">
        <f>IF($R11=$AQ$3,(((((INDEX('Tables - Part 2'!$BB$6:$BE$13,MATCH('HIC-SOHIC-HF'!$U11,'Tables - Part 2'!$AV$6:$AV$13,0),MATCH('HIC-SOHIC-HF'!$S11,'Tables - Part 2'!$AX$5:$BA$5,0))+INDEX('Tables - Part 2'!$BF$6:$BI$13,MATCH('HIC-SOHIC-HF'!$U11,'Tables - Part 2'!$AV$6:$AV$13,0),MATCH('HIC-SOHIC-HF'!$S11,'Tables - Part 2'!$AX$5:$BA$5,0)))/2)+INDEX('Tables - Part 2'!$BF$6:$BI$13,MATCH('HIC-SOHIC-HF'!$U11,'Tables - Part 2'!$AV$6:$AV$13,0),MATCH('HIC-SOHIC-HF'!$S11,'Tables - Part 2'!$AX$5:$BA$5,0)))/2)+INDEX('Tables - Part 2'!$BF$6:$BI$13,MATCH('HIC-SOHIC-HF'!$U11,'Tables - Part 2'!$AV$6:$AV$13,0),MATCH('HIC-SOHIC-HF'!$S11,'Tables - Part 2'!$AX$5:$BA$5,0)))/2,0)</f>
        <v>0</v>
      </c>
      <c r="AR11" s="248">
        <f>IF($R11=$AR$3,INDEX('Tables - Part 2'!$BF$6:$BI$13,MATCH('HIC-SOHIC-HF'!$U11,'Tables - Part 2'!$AV$6:$AV$13,0),MATCH('HIC-SOHIC-HF'!$S11,'Tables - Part 2'!$AX$5:$BA$5,0)),0)</f>
        <v>0</v>
      </c>
      <c r="AS11" s="248">
        <f>IF($R11=$AS$3,(INDEX('Tables - Part 2'!$BF$6:$BI$13,MATCH('HIC-SOHIC-HF'!$U11,'Tables - Part 2'!$AV$6:$AV$13,0),MATCH('HIC-SOHIC-HF'!$S11,'Tables - Part 2'!$AX$5:$BA$5,0))+((INDEX('Tables - Part 2'!$BF$6:$BI$13,MATCH('HIC-SOHIC-HF'!$U11,'Tables - Part 2'!$AV$6:$AV$13,0),MATCH('HIC-SOHIC-HF'!$S11,'Tables - Part 2'!$AX$5:$BA$5,0))+(INDEX('Tables - Part 2'!$BF$6:$BI$13,MATCH('HIC-SOHIC-HF'!$U11,'Tables - Part 2'!$AV$6:$AV$13,0),MATCH('HIC-SOHIC-HF'!$S11,'Tables - Part 2'!$AX$5:$BA$5,0))+INDEX('Tables - Part 2'!$AX$17:$BA$24,MATCH('HIC-SOHIC-HF'!$U11,'Tables - Part 2'!$AV$6:$AV$13,0),MATCH('HIC-SOHIC-HF'!$S11,'Tables - Part 2'!$AX$5:$BA$5,0)))/2)/2))/2,0)</f>
        <v>0</v>
      </c>
      <c r="AT11" s="248">
        <f>IF($R11=$AT$3,(INDEX('Tables - Part 2'!$BF$6:$BI$13,MATCH('HIC-SOHIC-HF'!$U11,'Tables - Part 2'!$AV$6:$AV$13,0),MATCH('HIC-SOHIC-HF'!$S11,'Tables - Part 2'!$AX$5:$BA$5,0))+(INDEX('Tables - Part 2'!$BF$6:$BI$13,MATCH('HIC-SOHIC-HF'!$U11,'Tables - Part 2'!$AV$6:$AV$13,0),MATCH('HIC-SOHIC-HF'!$S11,'Tables - Part 2'!$AX$5:$BA$5,0))+INDEX('Tables - Part 2'!$AX$17:$BA$24,MATCH('HIC-SOHIC-HF'!$U11,'Tables - Part 2'!$AV$6:$AV$13,0),MATCH('HIC-SOHIC-HF'!$S11,'Tables - Part 2'!$AX$5:$BA$5,0)))/2)/2,0)</f>
        <v>0</v>
      </c>
      <c r="AU11" s="248">
        <f>IF($R11=$AU$3,(((INDEX('Tables - Part 2'!$BF$6:$BI$13,MATCH('HIC-SOHIC-HF'!$U11,'Tables - Part 2'!$AV$6:$AV$13,0),MATCH('HIC-SOHIC-HF'!$S11,'Tables - Part 2'!$AX$5:$BA$5,0))+(INDEX('Tables - Part 2'!$BF$6:$BI$13,MATCH('HIC-SOHIC-HF'!$U11,'Tables - Part 2'!$AV$6:$AV$13,0),MATCH('HIC-SOHIC-HF'!$S11,'Tables - Part 2'!$AX$5:$BA$5,0))+INDEX('Tables - Part 2'!$AX$17:$BA$24,MATCH('HIC-SOHIC-HF'!$U11,'Tables - Part 2'!$AV$6:$AV$13,0),MATCH('HIC-SOHIC-HF'!$S11,'Tables - Part 2'!$AX$5:$BA$5,0)))/2)/2)+((INDEX('Tables - Part 2'!$BF$6:$BI$13,MATCH('HIC-SOHIC-HF'!$U11,'Tables - Part 2'!$AV$6:$AV$13,0),MATCH('HIC-SOHIC-HF'!$S11,'Tables - Part 2'!$AX$5:$BA$5,0))+INDEX('Tables - Part 2'!$AX$17:$BA$24,MATCH('HIC-SOHIC-HF'!$U11,'Tables - Part 2'!$AV$6:$AV$13,0),MATCH('HIC-SOHIC-HF'!$S11,'Tables - Part 2'!$AX$5:$BA$5,0)))/2))/2,0)</f>
        <v>0</v>
      </c>
      <c r="AV11" s="248">
        <f>IF($R11=$AV$3,(INDEX('Tables - Part 2'!$BF$6:$BI$13,MATCH('HIC-SOHIC-HF'!$U11,'Tables - Part 2'!$AV$6:$AV$13,0),MATCH('HIC-SOHIC-HF'!$S11,'Tables - Part 2'!$AX$5:$BA$5,0))+INDEX('Tables - Part 2'!$AX$17:$BA$24,MATCH('HIC-SOHIC-HF'!$U11,'Tables - Part 2'!$AV$6:$AV$13,0),MATCH('HIC-SOHIC-HF'!$S11,'Tables - Part 2'!$AX$5:$BA$5,0)))/2,0)</f>
        <v>0</v>
      </c>
      <c r="AW11" s="248">
        <f>IF($R11=$AW$3,(((INDEX('Tables - Part 2'!$BF$6:$BI$13,MATCH('HIC-SOHIC-HF'!$U11,'Tables - Part 2'!$AV$6:$AV$13,0),MATCH('HIC-SOHIC-HF'!$S11,'Tables - Part 2'!$AX$5:$BA$5,0))+INDEX('Tables - Part 2'!$AX$17:$BA$24,MATCH('HIC-SOHIC-HF'!$U11,'Tables - Part 2'!$AV$6:$AV$13,0),MATCH('HIC-SOHIC-HF'!$S11,'Tables - Part 2'!$AX$5:$BA$5,0)))/2)+((((INDEX('Tables - Part 2'!$BF$6:$BI$13,MATCH('HIC-SOHIC-HF'!$U11,'Tables - Part 2'!$AV$6:$AV$13,0),MATCH('HIC-SOHIC-HF'!$S11,'Tables - Part 2'!$AX$5:$BA$5,0))+INDEX('Tables - Part 2'!$AX$17:$BA$24,MATCH('HIC-SOHIC-HF'!$U11,'Tables - Part 2'!$AV$6:$AV$13,0),MATCH('HIC-SOHIC-HF'!$S11,'Tables - Part 2'!$AX$5:$BA$5,0)))/2)+INDEX('Tables - Part 2'!$AX$17:$BA$24,MATCH('HIC-SOHIC-HF'!$U11,'Tables - Part 2'!$AV$6:$AV$13,0),MATCH('HIC-SOHIC-HF'!$S11,'Tables - Part 2'!$AX$5:$BA$5,0)))/2))/2,0)</f>
        <v>0</v>
      </c>
      <c r="AX11" s="248">
        <f>IF($R11=$AX$3,(((INDEX('Tables - Part 2'!$BF$6:$BI$13,MATCH('HIC-SOHIC-HF'!$U11,'Tables - Part 2'!$AV$6:$AV$13,0),MATCH('HIC-SOHIC-HF'!$S11,'Tables - Part 2'!$AX$5:$BA$5,0))+INDEX('Tables - Part 2'!$AX$17:$BA$24,MATCH('HIC-SOHIC-HF'!$U11,'Tables - Part 2'!$AV$6:$AV$13,0),MATCH('HIC-SOHIC-HF'!$S11,'Tables - Part 2'!$AX$5:$BA$5,0)))/2)+INDEX('Tables - Part 2'!$AX$17:$BA$24,MATCH('HIC-SOHIC-HF'!$U11,'Tables - Part 2'!$AV$6:$AV$13,0),MATCH('HIC-SOHIC-HF'!$S11,'Tables - Part 2'!$AX$5:$BA$5,0)))/2,0)</f>
        <v>0</v>
      </c>
      <c r="AY11" s="248">
        <f>IF($R11=$AY$3,(((((INDEX('Tables - Part 2'!$BF$6:$BI$13,MATCH('HIC-SOHIC-HF'!$U11,'Tables - Part 2'!$AV$6:$AV$13,0),MATCH('HIC-SOHIC-HF'!$S11,'Tables - Part 2'!$AX$5:$BA$5,0))+INDEX('Tables - Part 2'!$AX$17:$BA$24,MATCH('HIC-SOHIC-HF'!$U11,'Tables - Part 2'!$AV$6:$AV$13,0),MATCH('HIC-SOHIC-HF'!$S11,'Tables - Part 2'!$AX$5:$BA$5,0)))/2)+INDEX('Tables - Part 2'!$AX$17:$BA$24,MATCH('HIC-SOHIC-HF'!$U11,'Tables - Part 2'!$AV$6:$AV$13,0),MATCH('HIC-SOHIC-HF'!$S11,'Tables - Part 2'!$AX$5:$BA$5,0)))/2)+(INDEX('Tables - Part 2'!$AX$17:$BA$24,MATCH('HIC-SOHIC-HF'!$U11,'Tables - Part 2'!$AV$6:$AV$13,0),MATCH('HIC-SOHIC-HF'!$S11,'Tables - Part 2'!$AX$5:$BA$5,0))))/2,0)</f>
        <v>0</v>
      </c>
      <c r="AZ11" s="248">
        <f>IF($R11=$AZ$3,INDEX('Tables - Part 2'!$AX$17:$BA$24,MATCH('HIC-SOHIC-HF'!$U11,'Tables - Part 2'!$AV$6:$AV$13,0),MATCH('HIC-SOHIC-HF'!$S11,'Tables - Part 2'!$AX$5:$BA$5,0)),0)</f>
        <v>0</v>
      </c>
      <c r="BA11" s="248">
        <f>IF($R11=$BA$3,((INDEX('Tables - Part 2'!$AX$17:$BA$24,MATCH('HIC-SOHIC-HF'!$U11,'Tables - Part 2'!$AV$6:$AV$13,0),MATCH('HIC-SOHIC-HF'!$S11,'Tables - Part 2'!$AX$5:$BA$5,0)))+(((INDEX('Tables - Part 2'!$AX$17:$BA$24,MATCH('HIC-SOHIC-HF'!$U11,'Tables - Part 2'!$AV$6:$AV$13,0),MATCH('HIC-SOHIC-HF'!$S11,'Tables - Part 2'!$AX$5:$BA$5,0)))+(INDEX('Tables - Part 2'!$AX$17:$BA$24,MATCH('HIC-SOHIC-HF'!$U11,'Tables - Part 2'!$AV$6:$AV$13,0),MATCH('HIC-SOHIC-HF'!$S11,'Tables - Part 2'!$AX$5:$BA$5,0))+INDEX('Tables - Part 2'!$BB$17:$BE$24,MATCH('HIC-SOHIC-HF'!$U11,'Tables - Part 2'!$AV$6:$AV$13,0),MATCH('HIC-SOHIC-HF'!$S11,'Tables - Part 2'!$AX$5:$BA$5,0)))/2)/2))/2,0)</f>
        <v>0</v>
      </c>
      <c r="BB11" s="248">
        <f>IF($R11=$BB$3,((INDEX('Tables - Part 2'!$AX$17:$BA$24,MATCH('HIC-SOHIC-HF'!$U11,'Tables - Part 2'!$AV$6:$AV$13,0),MATCH('HIC-SOHIC-HF'!$S11,'Tables - Part 2'!$AX$5:$BA$5,0)))+(INDEX('Tables - Part 2'!$AX$17:$BA$24,MATCH('HIC-SOHIC-HF'!$U11,'Tables - Part 2'!$AV$6:$AV$13,0),MATCH('HIC-SOHIC-HF'!$S11,'Tables - Part 2'!$AX$5:$BA$5,0))+INDEX('Tables - Part 2'!$BB$17:$BE$24,MATCH('HIC-SOHIC-HF'!$U11,'Tables - Part 2'!$AV$6:$AV$13,0),MATCH('HIC-SOHIC-HF'!$S11,'Tables - Part 2'!$AX$5:$BA$5,0)))/2)/2,0)</f>
        <v>0</v>
      </c>
      <c r="BC11" s="248">
        <f>IF($R11=$BC$3,((((INDEX('Tables - Part 2'!$AX$17:$BA$24,MATCH('HIC-SOHIC-HF'!$U11,'Tables - Part 2'!$AV$6:$AV$13,0),MATCH('HIC-SOHIC-HF'!$S11,'Tables - Part 2'!$AX$5:$BA$5,0)))+(INDEX('Tables - Part 2'!$AX$17:$BA$24,MATCH('HIC-SOHIC-HF'!$U11,'Tables - Part 2'!$AV$6:$AV$13,0),MATCH('HIC-SOHIC-HF'!$S11,'Tables - Part 2'!$AX$5:$BA$5,0))+INDEX('Tables - Part 2'!$BB$17:$BE$24,MATCH('HIC-SOHIC-HF'!$U11,'Tables - Part 2'!$AV$6:$AV$13,0),MATCH('HIC-SOHIC-HF'!$S11,'Tables - Part 2'!$AX$5:$BA$5,0)))/2)/2)+((INDEX('Tables - Part 2'!$AX$17:$BA$24,MATCH('HIC-SOHIC-HF'!$U11,'Tables - Part 2'!$AV$6:$AV$13,0),MATCH('HIC-SOHIC-HF'!$S11,'Tables - Part 2'!$AX$5:$BA$5,0))+INDEX('Tables - Part 2'!$BB$17:$BE$24,MATCH('HIC-SOHIC-HF'!$U11,'Tables - Part 2'!$AV$6:$AV$13,0),MATCH('HIC-SOHIC-HF'!$S11,'Tables - Part 2'!$AX$5:$BA$5,0)))/2))/2,0)</f>
        <v>0</v>
      </c>
      <c r="BD11" s="248">
        <f>IF($R11=$BD$3,(INDEX('Tables - Part 2'!$AX$17:$BA$24,MATCH('HIC-SOHIC-HF'!$U11,'Tables - Part 2'!$AV$6:$AV$13,0),MATCH('HIC-SOHIC-HF'!$S11,'Tables - Part 2'!$AX$5:$BA$5,0))+INDEX('Tables - Part 2'!$BB$17:$BE$24,MATCH('HIC-SOHIC-HF'!$U11,'Tables - Part 2'!$AV$6:$AV$13,0),MATCH('HIC-SOHIC-HF'!$S11,'Tables - Part 2'!$AX$5:$BA$5,0)))/2,0)</f>
        <v>0</v>
      </c>
      <c r="BE11" s="248">
        <f>IF($R11=$BE$3,(((INDEX('Tables - Part 2'!$AX$17:$BA$24,MATCH('HIC-SOHIC-HF'!$U11,'Tables - Part 2'!$AV$6:$AV$13,0),MATCH('HIC-SOHIC-HF'!$S11,'Tables - Part 2'!$AX$5:$BA$5,0))+INDEX('Tables - Part 2'!$BB$17:$BE$24,MATCH('HIC-SOHIC-HF'!$U11,'Tables - Part 2'!$AV$6:$AV$13,0),MATCH('HIC-SOHIC-HF'!$S11,'Tables - Part 2'!$AX$5:$BA$5,0)))/2)+((((INDEX('Tables - Part 2'!$AX$17:$BA$24,MATCH('HIC-SOHIC-HF'!$U11,'Tables - Part 2'!$AV$6:$AV$13,0),MATCH('HIC-SOHIC-HF'!$S11,'Tables - Part 2'!$AX$5:$BA$5,0))+INDEX('Tables - Part 2'!$BB$17:$BE$24,MATCH('HIC-SOHIC-HF'!$U11,'Tables - Part 2'!$AV$6:$AV$13,0),MATCH('HIC-SOHIC-HF'!$S11,'Tables - Part 2'!$AX$5:$BA$5,0)))/2)+INDEX('Tables - Part 2'!$BB$17:$BE$24,MATCH('HIC-SOHIC-HF'!$U11,'Tables - Part 2'!$AV$6:$AV$13,0),MATCH('HIC-SOHIC-HF'!$S11,'Tables - Part 2'!$AX$5:$BA$5,0)))/2))/2,0)</f>
        <v>0</v>
      </c>
      <c r="BF11" s="248">
        <f>IF($R11=$BF$3,(((INDEX('Tables - Part 2'!$AX$17:$BA$24,MATCH('HIC-SOHIC-HF'!$U11,'Tables - Part 2'!$AV$6:$AV$13,0),MATCH('HIC-SOHIC-HF'!$S11,'Tables - Part 2'!$AX$5:$BA$5,0))+INDEX('Tables - Part 2'!$BB$17:$BE$24,MATCH('HIC-SOHIC-HF'!$U11,'Tables - Part 2'!$AV$6:$AV$13,0),MATCH('HIC-SOHIC-HF'!$S11,'Tables - Part 2'!$AX$5:$BA$5,0)))/2)+INDEX('Tables - Part 2'!$BB$17:$BE$24,MATCH('HIC-SOHIC-HF'!$U11,'Tables - Part 2'!$AV$6:$AV$13,0),MATCH('HIC-SOHIC-HF'!$S11,'Tables - Part 2'!$AX$5:$BA$5,0)))/2,0)</f>
        <v>0</v>
      </c>
      <c r="BG11" s="248">
        <f>IF($R11=$BG$3,(((((INDEX('Tables - Part 2'!$AX$17:$BA$24,MATCH('HIC-SOHIC-HF'!$U11,'Tables - Part 2'!$AV$6:$AV$13,0),MATCH('HIC-SOHIC-HF'!$S11,'Tables - Part 2'!$AX$5:$BA$5,0))+INDEX('Tables - Part 2'!$BB$17:$BE$24,MATCH('HIC-SOHIC-HF'!$U11,'Tables - Part 2'!$AV$6:$AV$13,0),MATCH('HIC-SOHIC-HF'!$S11,'Tables - Part 2'!$AX$5:$BA$5,0)))/2)+INDEX('Tables - Part 2'!$BB$17:$BE$24,MATCH('HIC-SOHIC-HF'!$U11,'Tables - Part 2'!$AV$6:$AV$13,0),MATCH('HIC-SOHIC-HF'!$S11,'Tables - Part 2'!$AX$5:$BA$5,0)))/2)+(INDEX('Tables - Part 2'!$BB$17:$BE$24,MATCH('HIC-SOHIC-HF'!$U11,'Tables - Part 2'!$AV$6:$AV$13,0),MATCH('HIC-SOHIC-HF'!$S11,'Tables - Part 2'!$AX$5:$BA$5,0))))/2,0)</f>
        <v>0</v>
      </c>
      <c r="BH11" s="248">
        <f>IF($R11=$BH$3,INDEX('Tables - Part 2'!$BB$17:$BE$24,MATCH('HIC-SOHIC-HF'!$U11,'Tables - Part 2'!$AV$6:$AV$13,0),MATCH('HIC-SOHIC-HF'!$S11,'Tables - Part 2'!$AX$5:$BA$5,0)),0)</f>
        <v>0</v>
      </c>
      <c r="BI11" s="248">
        <f>IF($R11=$BI$3,((INDEX('Tables - Part 2'!$BB$17:$BE$24,MATCH('HIC-SOHIC-HF'!$U11,'Tables - Part 2'!$AV$6:$AV$13,0),MATCH('HIC-SOHIC-HF'!$S11,'Tables - Part 2'!$AX$5:$BA$5,0)))+(((INDEX('Tables - Part 2'!$BB$17:$BE$24,MATCH('HIC-SOHIC-HF'!$U11,'Tables - Part 2'!$AV$6:$AV$13,0),MATCH('HIC-SOHIC-HF'!$S11,'Tables - Part 2'!$AX$5:$BA$5,0)))+(INDEX('Tables - Part 2'!$BB$17:$BE$24,MATCH('HIC-SOHIC-HF'!$U11,'Tables - Part 2'!$AV$6:$AV$13,0),MATCH('HIC-SOHIC-HF'!$S11,'Tables - Part 2'!$AX$5:$BA$5,0))+INDEX('Tables - Part 2'!$BF$17:$BI$24,MATCH('HIC-SOHIC-HF'!$U11,'Tables - Part 2'!$AV$6:$AV$13,0),MATCH('HIC-SOHIC-HF'!$S11,'Tables - Part 2'!$AX$5:$BA$5,0)))/2)/2))/2,0)</f>
        <v>0</v>
      </c>
      <c r="BJ11" s="248">
        <f>IF($R11=$BJ$3,((INDEX('Tables - Part 2'!$BB$17:$BE$24,MATCH('HIC-SOHIC-HF'!$U11,'Tables - Part 2'!$AV$6:$AV$13,0),MATCH('HIC-SOHIC-HF'!$S11,'Tables - Part 2'!$AX$5:$BA$5,0)))+(INDEX('Tables - Part 2'!$BB$17:$BE$24,MATCH('HIC-SOHIC-HF'!$U11,'Tables - Part 2'!$AV$6:$AV$13,0),MATCH('HIC-SOHIC-HF'!$S11,'Tables - Part 2'!$AX$5:$BA$5,0))+INDEX('Tables - Part 2'!$BF$17:$BI$24,MATCH('HIC-SOHIC-HF'!$U11,'Tables - Part 2'!$AV$6:$AV$13,0),MATCH('HIC-SOHIC-HF'!$S11,'Tables - Part 2'!$AX$5:$BA$5,0)))/2)/2,0)</f>
        <v>0</v>
      </c>
      <c r="BK11" s="248">
        <f>IF($R11=$BK$3,((((INDEX('Tables - Part 2'!$BB$17:$BE$24,MATCH('HIC-SOHIC-HF'!$U11,'Tables - Part 2'!$AV$6:$AV$13,0),MATCH('HIC-SOHIC-HF'!$S11,'Tables - Part 2'!$AX$5:$BA$5,0)))+(INDEX('Tables - Part 2'!$BB$17:$BE$24,MATCH('HIC-SOHIC-HF'!$U11,'Tables - Part 2'!$AV$6:$AV$13,0),MATCH('HIC-SOHIC-HF'!$S11,'Tables - Part 2'!$AX$5:$BA$5,0))+INDEX('Tables - Part 2'!$BF$17:$BI$24,MATCH('HIC-SOHIC-HF'!$U11,'Tables - Part 2'!$AV$6:$AV$13,0),MATCH('HIC-SOHIC-HF'!$S11,'Tables - Part 2'!$AX$5:$BA$5,0)))/2)/2)+((INDEX('Tables - Part 2'!$BB$17:$BE$24,MATCH('HIC-SOHIC-HF'!$U11,'Tables - Part 2'!$AV$6:$AV$13,0),MATCH('HIC-SOHIC-HF'!$S11,'Tables - Part 2'!$AX$5:$BA$5,0))+INDEX('Tables - Part 2'!$BF$17:$BI$24,MATCH('HIC-SOHIC-HF'!$U11,'Tables - Part 2'!$AV$6:$AV$13,0),MATCH('HIC-SOHIC-HF'!$S11,'Tables - Part 2'!$AX$5:$BA$5,0)))/2))/2,0)</f>
        <v>0</v>
      </c>
      <c r="BL11" s="248">
        <f>IF($R11=$BL$3,(INDEX('Tables - Part 2'!$BB$17:$BE$24,MATCH('HIC-SOHIC-HF'!$U11,'Tables - Part 2'!$AV$6:$AV$13,0),MATCH('HIC-SOHIC-HF'!$S11,'Tables - Part 2'!$AX$5:$BA$5,0))+INDEX('Tables - Part 2'!$BF$17:$BI$24,MATCH('HIC-SOHIC-HF'!$U11,'Tables - Part 2'!$AV$6:$AV$13,0),MATCH('HIC-SOHIC-HF'!$S11,'Tables - Part 2'!$AX$5:$BA$5,0)))/2,0)</f>
        <v>0</v>
      </c>
      <c r="BM11" s="248">
        <f>IF($R11=$BM$3,(((INDEX('Tables - Part 2'!$BB$17:$BE$24,MATCH('HIC-SOHIC-HF'!$U11,'Tables - Part 2'!$AV$6:$AV$13,0),MATCH('HIC-SOHIC-HF'!$S11,'Tables - Part 2'!$AX$5:$BA$5,0))+INDEX('Tables - Part 2'!$BF$17:$BI$24,MATCH('HIC-SOHIC-HF'!$U11,'Tables - Part 2'!$AV$6:$AV$13,0),MATCH('HIC-SOHIC-HF'!$S11,'Tables - Part 2'!$AX$5:$BA$5,0)))/2)+((((INDEX('Tables - Part 2'!$BB$17:$BE$24,MATCH('HIC-SOHIC-HF'!$U11,'Tables - Part 2'!$AV$6:$AV$13,0),MATCH('HIC-SOHIC-HF'!$S11,'Tables - Part 2'!$AX$5:$BA$5,0))+INDEX('Tables - Part 2'!$BF$17:$BI$24,MATCH('HIC-SOHIC-HF'!$U11,'Tables - Part 2'!$AV$6:$AV$13,0),MATCH('HIC-SOHIC-HF'!$S11,'Tables - Part 2'!$AX$5:$BA$5,0)))/2)+INDEX('Tables - Part 2'!$BF$17:$BI$24,MATCH('HIC-SOHIC-HF'!$U11,'Tables - Part 2'!$AV$6:$AV$13,0),MATCH('HIC-SOHIC-HF'!$S11,'Tables - Part 2'!$AX$5:$BA$5,0)))/2))/2,0)</f>
        <v>0</v>
      </c>
      <c r="BN11" s="248">
        <f>IF($R11=$BN$3,(((INDEX('Tables - Part 2'!$BB$17:$BE$24,MATCH('HIC-SOHIC-HF'!$U11,'Tables - Part 2'!$AV$6:$AV$13,0),MATCH('HIC-SOHIC-HF'!$S11,'Tables - Part 2'!$AX$5:$BA$5,0))+INDEX('Tables - Part 2'!$BF$17:$BI$24,MATCH('HIC-SOHIC-HF'!$U11,'Tables - Part 2'!$AV$6:$AV$13,0),MATCH('HIC-SOHIC-HF'!$S11,'Tables - Part 2'!$AX$5:$BA$5,0)))/2)+INDEX('Tables - Part 2'!$BF$17:$BI$24,MATCH('HIC-SOHIC-HF'!$U11,'Tables - Part 2'!$AV$6:$AV$13,0),MATCH('HIC-SOHIC-HF'!$S11,'Tables - Part 2'!$AX$5:$BA$5,0)))/2,0)</f>
        <v>0</v>
      </c>
      <c r="BO11" s="248">
        <f>IF($R11=$BO$3,(((((INDEX('Tables - Part 2'!$BB$17:$BE$24,MATCH('HIC-SOHIC-HF'!$U11,'Tables - Part 2'!$AV$6:$AV$13,0),MATCH('HIC-SOHIC-HF'!$S11,'Tables - Part 2'!$AX$5:$BA$5,0))+INDEX('Tables - Part 2'!$BF$17:$BI$24,MATCH('HIC-SOHIC-HF'!$U11,'Tables - Part 2'!$AV$6:$AV$13,0),MATCH('HIC-SOHIC-HF'!$S11,'Tables - Part 2'!$AX$5:$BA$5,0)))/2)+INDEX('Tables - Part 2'!$BF$17:$BI$24,MATCH('HIC-SOHIC-HF'!$U11,'Tables - Part 2'!$AV$6:$AV$13,0),MATCH('HIC-SOHIC-HF'!$S11,'Tables - Part 2'!$AX$5:$BA$5,0)))/2)+(INDEX('Tables - Part 2'!$BF$17:$BI$24,MATCH('HIC-SOHIC-HF'!$U11,'Tables - Part 2'!$AV$6:$AV$13,0),MATCH('HIC-SOHIC-HF'!$S11,'Tables - Part 2'!$AX$5:$BA$5,0))))/2,0)</f>
        <v>0</v>
      </c>
      <c r="BP11" s="248">
        <f>IF($R11=$BP$3,INDEX('Tables - Part 2'!$BF$17:$BI$24,MATCH('HIC-SOHIC-HF'!$U11,'Tables - Part 2'!$AV$6:$AV$13,0),MATCH('HIC-SOHIC-HF'!$S11,'Tables - Part 2'!$AX$5:$BA$5,0)),0)</f>
        <v>0</v>
      </c>
      <c r="BQ11" s="248">
        <f t="shared" si="6"/>
        <v>0</v>
      </c>
      <c r="BR11" s="238">
        <f t="shared" si="7"/>
        <v>3</v>
      </c>
      <c r="BS11" s="238">
        <f t="shared" si="8"/>
        <v>50.318647405225171</v>
      </c>
    </row>
    <row r="12" spans="2:84" x14ac:dyDescent="0.35">
      <c r="B12" s="161" t="str">
        <f>'Tratamento de Dados'!B20</f>
        <v>V-3</v>
      </c>
      <c r="C12" s="161" t="str">
        <f>'Tratamento de Dados'!D20</f>
        <v>Casco</v>
      </c>
      <c r="D12" s="209" t="s">
        <v>245</v>
      </c>
      <c r="E12" s="209" t="s">
        <v>61</v>
      </c>
      <c r="F12" s="209" t="s">
        <v>244</v>
      </c>
      <c r="G12" s="209" t="s">
        <v>244</v>
      </c>
      <c r="H12" s="209" t="s">
        <v>1208</v>
      </c>
      <c r="I12" s="209" t="s">
        <v>245</v>
      </c>
      <c r="J12" s="209" t="s">
        <v>898</v>
      </c>
      <c r="K12" s="210">
        <v>39092</v>
      </c>
      <c r="L12" s="209">
        <v>0</v>
      </c>
      <c r="M12" s="209">
        <v>1</v>
      </c>
      <c r="N12" s="209">
        <v>1</v>
      </c>
      <c r="O12" s="209">
        <v>4</v>
      </c>
      <c r="P12" s="253">
        <f>'Tratamento de Dados'!DA20</f>
        <v>0</v>
      </c>
      <c r="Q12" s="253">
        <f>'Tratamento de Dados'!DB20</f>
        <v>0</v>
      </c>
      <c r="R12" s="256">
        <f t="shared" si="0"/>
        <v>2.5</v>
      </c>
      <c r="S12" s="246" t="str">
        <f t="shared" si="1"/>
        <v>B</v>
      </c>
      <c r="T12" s="238" t="str" cm="1">
        <f t="array" ref="T12">IF(D12=$BX$2,$BV$4,IF(OR(F12=$BX$3,G12=$BX$3),$BV$5,INDEX(IF(I12=$BX$2,'Tables - Part 2'!$EI$6:$EK$6,'Tables - Part 2'!$EI$5:$EK$5),,MATCH('HIC-SOHIC-HF'!H12,'Tables - Part 2'!$EI$4:$EK$4,0))))</f>
        <v>High</v>
      </c>
      <c r="U12" s="238">
        <f>IF(AND(D12=$BX$2,E12&lt;&gt;$BX$2),"Fitness-For-Service",INDEX('Tables - Part 2'!$EN$4:$EN$7,MATCH('HIC-SOHIC-HF'!T12,'Tables - Part 2'!$EM$4:$EM$7,0),))</f>
        <v>100</v>
      </c>
      <c r="V12" s="238">
        <f>INDEX('Tables - Part 2'!$EQ$4:$EQ$7,MATCH('HIC-SOHIC-HF'!J12,'Tables - Part 2'!$EP$4:$EP$7,0))</f>
        <v>1</v>
      </c>
      <c r="W12" s="238">
        <f>IF(K12=0,(Thinning!G13-Thinning!F13)/365.25,(Thinning!G13-K12)/365.25)</f>
        <v>12.980150581793293</v>
      </c>
      <c r="X12" s="248">
        <f t="shared" si="2"/>
        <v>0</v>
      </c>
      <c r="Y12" s="248">
        <f t="shared" si="3"/>
        <v>2.5</v>
      </c>
      <c r="Z12" s="248">
        <f t="shared" si="4"/>
        <v>3</v>
      </c>
      <c r="AA12" s="247">
        <f t="shared" si="5"/>
        <v>4</v>
      </c>
      <c r="AB12" s="248">
        <f>IF($R12=$AB$3,INDEX('Tables - Part 2'!$AX$6:$BA$13,MATCH('HIC-SOHIC-HF'!U12,'Tables - Part 2'!$AV$6:$AV$13,0),MATCH('HIC-SOHIC-HF'!S12,'Tables - Part 2'!$AX$5:$BA$5,0)),0)</f>
        <v>0</v>
      </c>
      <c r="AC12" s="248">
        <f>IF($R12=$AC$3,(INDEX('Tables - Part 2'!$AX$6:$BA$13,MATCH('HIC-SOHIC-HF'!U12,'Tables - Part 2'!$AV$6:$AV$13,0),MATCH('HIC-SOHIC-HF'!S12,'Tables - Part 2'!$AX$5:$BA$5,0))+(INDEX('Tables - Part 2'!$AX$6:$BA$13,MATCH('HIC-SOHIC-HF'!U12,'Tables - Part 2'!$AV$6:$AV$13,0),MATCH('HIC-SOHIC-HF'!S12,'Tables - Part 2'!$AX$5:$BA$5,0))+((INDEX('Tables - Part 2'!$AX$6:$BA$13,MATCH('HIC-SOHIC-HF'!U12,'Tables - Part 2'!$AV$6:$AV$13,0),MATCH('HIC-SOHIC-HF'!S12,'Tables - Part 2'!$AX$5:$BA$5,0))+INDEX('Tables - Part 2'!$BB$6:$BE$13,MATCH('HIC-SOHIC-HF'!$U12,'Tables - Part 2'!$AV$6:$AV$13,0),MATCH('HIC-SOHIC-HF'!$S12,'Tables - Part 2'!$AX$5:$BA$5,0)))/2))/2)/2,0)</f>
        <v>0</v>
      </c>
      <c r="AD12" s="248">
        <f>IF($R12=$AD$3,(INDEX('Tables - Part 2'!$AX$6:$BA$13,MATCH('HIC-SOHIC-HF'!U12,'Tables - Part 2'!$AV$6:$AV$13,0),MATCH('HIC-SOHIC-HF'!S12,'Tables - Part 2'!$AX$5:$BA$5,0))+((INDEX('Tables - Part 2'!$AX$6:$BA$13,MATCH('HIC-SOHIC-HF'!U12,'Tables - Part 2'!$AV$6:$AV$13,0),MATCH('HIC-SOHIC-HF'!S12,'Tables - Part 2'!$AX$5:$BA$5,0))+INDEX('Tables - Part 2'!$BB$6:$BE$13,MATCH('HIC-SOHIC-HF'!$U12,'Tables - Part 2'!$AV$6:$AV$13,0),MATCH('HIC-SOHIC-HF'!$S12,'Tables - Part 2'!$AX$5:$BA$5,0)))/2))/2,0)</f>
        <v>0</v>
      </c>
      <c r="AE12" s="248">
        <f>IF($R12=$AE$3,(((INDEX('Tables - Part 2'!$AX$6:$BA$13,MATCH('HIC-SOHIC-HF'!U12,'Tables - Part 2'!$AV$6:$AV$13,0),MATCH('HIC-SOHIC-HF'!S12,'Tables - Part 2'!$AX$5:$BA$5,0))+((INDEX('Tables - Part 2'!$AX$6:$BA$13,MATCH('HIC-SOHIC-HF'!U12,'Tables - Part 2'!$AV$6:$AV$13,0),MATCH('HIC-SOHIC-HF'!S12,'Tables - Part 2'!$AX$5:$BA$5,0))+INDEX('Tables - Part 2'!$BB$6:$BE$13,MATCH('HIC-SOHIC-HF'!$U12,'Tables - Part 2'!$AV$6:$AV$13,0),MATCH('HIC-SOHIC-HF'!$S12,'Tables - Part 2'!$AX$5:$BA$5,0)))/2))/2)+(INDEX('Tables - Part 2'!$AX$6:$BA$13,MATCH('HIC-SOHIC-HF'!U12,'Tables - Part 2'!$AV$6:$AV$13,0),MATCH('HIC-SOHIC-HF'!S12,'Tables - Part 2'!$AX$5:$BA$5,0))+INDEX('Tables - Part 2'!$BB$6:$BE$13,MATCH('HIC-SOHIC-HF'!$U12,'Tables - Part 2'!$AV$6:$AV$13,0),MATCH('HIC-SOHIC-HF'!$S12,'Tables - Part 2'!$AX$5:$BA$5,0)))/2)/2,0)</f>
        <v>0</v>
      </c>
      <c r="AF12" s="248">
        <f>IF($R12=$AF$3,(INDEX('Tables - Part 2'!$AX$6:$BA$13,MATCH('HIC-SOHIC-HF'!U12,'Tables - Part 2'!$AV$6:$AV$13,0),MATCH('HIC-SOHIC-HF'!S12,'Tables - Part 2'!$AX$5:$BA$5,0))+INDEX('Tables - Part 2'!$BB$6:$BE$13,MATCH('HIC-SOHIC-HF'!$U12,'Tables - Part 2'!$AV$6:$AV$13,0),MATCH('HIC-SOHIC-HF'!$S12,'Tables - Part 2'!$AX$5:$BA$5,0)))/2,0)</f>
        <v>0</v>
      </c>
      <c r="AG12" s="248">
        <f>IF($R12=$AG$3,(((INDEX('Tables - Part 2'!$AX$6:$BA$13,MATCH('HIC-SOHIC-HF'!U12,'Tables - Part 2'!$AV$6:$AV$13,0),MATCH('HIC-SOHIC-HF'!S12,'Tables - Part 2'!$AX$5:$BA$5,0))+INDEX('Tables - Part 2'!$BB$6:$BE$13,MATCH('HIC-SOHIC-HF'!$U12,'Tables - Part 2'!$AV$6:$AV$13,0),MATCH('HIC-SOHIC-HF'!$S12,'Tables - Part 2'!$AX$5:$BA$5,0)))/2)+(((INDEX('Tables - Part 2'!$AX$6:$BA$13,MATCH('HIC-SOHIC-HF'!U12,'Tables - Part 2'!$AV$6:$AV$13,0),MATCH('HIC-SOHIC-HF'!S12,'Tables - Part 2'!$AX$5:$BA$5,0))+INDEX('Tables - Part 2'!$BB$6:$BE$13,MATCH('HIC-SOHIC-HF'!$U12,'Tables - Part 2'!$AV$6:$AV$13,0),MATCH('HIC-SOHIC-HF'!$S12,'Tables - Part 2'!$AX$5:$BA$5,0)))/2)+INDEX('Tables - Part 2'!$BB$6:$BE$13,MATCH('HIC-SOHIC-HF'!$U12,'Tables - Part 2'!$AV$6:$AV$13,0),MATCH('HIC-SOHIC-HF'!$S12,'Tables - Part 2'!$AX$5:$BA$5,0)))/2)/2,0)</f>
        <v>0</v>
      </c>
      <c r="AH12" s="248">
        <f>IF($R12=$AH$3,(((INDEX('Tables - Part 2'!$AX$6:$BA$13,MATCH('HIC-SOHIC-HF'!U12,'Tables - Part 2'!$AV$6:$AV$13,0),MATCH('HIC-SOHIC-HF'!S12,'Tables - Part 2'!$AX$5:$BA$5,0))+INDEX('Tables - Part 2'!$BB$6:$BE$13,MATCH('HIC-SOHIC-HF'!$U12,'Tables - Part 2'!$AV$6:$AV$13,0),MATCH('HIC-SOHIC-HF'!$S12,'Tables - Part 2'!$AX$5:$BA$5,0)))/2)+INDEX('Tables - Part 2'!$BB$6:$BE$13,MATCH('HIC-SOHIC-HF'!$U12,'Tables - Part 2'!$AV$6:$AV$13,0),MATCH('HIC-SOHIC-HF'!$S12,'Tables - Part 2'!$AX$5:$BA$5,0)))/2,0)</f>
        <v>0</v>
      </c>
      <c r="AI12" s="248">
        <f>IF($R12=$AI$3,(((((INDEX('Tables - Part 2'!$AX$6:$BA$13,MATCH('HIC-SOHIC-HF'!U12,'Tables - Part 2'!$AV$6:$AV$13,0),MATCH('HIC-SOHIC-HF'!S12,'Tables - Part 2'!$AX$5:$BA$5,0))+INDEX('Tables - Part 2'!$BB$6:$BE$13,MATCH('HIC-SOHIC-HF'!$U12,'Tables - Part 2'!$AV$6:$AV$13,0),MATCH('HIC-SOHIC-HF'!$S12,'Tables - Part 2'!$AX$5:$BA$5,0)))/2)+INDEX('Tables - Part 2'!$BB$6:$BE$13,MATCH('HIC-SOHIC-HF'!$U12,'Tables - Part 2'!$AV$6:$AV$13,0),MATCH('HIC-SOHIC-HF'!$S12,'Tables - Part 2'!$AX$5:$BA$5,0)))/2)+INDEX('Tables - Part 2'!$BB$6:$BE$13,MATCH('HIC-SOHIC-HF'!$U12,'Tables - Part 2'!$AV$6:$AV$13,0),MATCH('HIC-SOHIC-HF'!$S12,'Tables - Part 2'!$AX$5:$BA$5,0)))/2,0)</f>
        <v>0</v>
      </c>
      <c r="AJ12" s="248">
        <f>IF($R12=$AJ$3,INDEX('Tables - Part 2'!$BB$6:$BE$13,MATCH('HIC-SOHIC-HF'!$U12,'Tables - Part 2'!$AV$6:$AV$13,0),MATCH('HIC-SOHIC-HF'!$S12,'Tables - Part 2'!$AX$5:$BA$5,0)),0)</f>
        <v>0</v>
      </c>
      <c r="AK12" s="248">
        <f>IF($R12=$AK$3,((INDEX('Tables - Part 2'!$BB$6:$BE$13,MATCH('HIC-SOHIC-HF'!$U12,'Tables - Part 2'!$AV$6:$AV$13,0),MATCH('HIC-SOHIC-HF'!$S12,'Tables - Part 2'!$AX$5:$BA$5,0)))+(INDEX('Tables - Part 2'!$BB$6:$BE$13,MATCH('HIC-SOHIC-HF'!$U12,'Tables - Part 2'!$AV$6:$AV$13,0),MATCH('HIC-SOHIC-HF'!$S12,'Tables - Part 2'!$AX$5:$BA$5,0))+(INDEX('Tables - Part 2'!$BB$6:$BE$13,MATCH('HIC-SOHIC-HF'!$U12,'Tables - Part 2'!$AV$6:$AV$13,0),MATCH('HIC-SOHIC-HF'!$S12,'Tables - Part 2'!$AX$5:$BA$5,0))+INDEX('Tables - Part 2'!$BF$6:$BI$13,MATCH('HIC-SOHIC-HF'!$U12,'Tables - Part 2'!$AV$6:$AV$13,0),MATCH('HIC-SOHIC-HF'!$S12,'Tables - Part 2'!$AX$5:$BA$5,0)))/2)/2)/2,0)</f>
        <v>0</v>
      </c>
      <c r="AL12" s="248">
        <f>IF($R12=$AL$3,(INDEX('Tables - Part 2'!$BB$6:$BE$13,MATCH('HIC-SOHIC-HF'!$U12,'Tables - Part 2'!$AV$6:$AV$13,0),MATCH('HIC-SOHIC-HF'!$S12,'Tables - Part 2'!$AX$5:$BA$5,0))+(INDEX('Tables - Part 2'!$BB$6:$BE$13,MATCH('HIC-SOHIC-HF'!$U12,'Tables - Part 2'!$AV$6:$AV$13,0),MATCH('HIC-SOHIC-HF'!$S12,'Tables - Part 2'!$AX$5:$BA$5,0))+INDEX('Tables - Part 2'!$BF$6:$BI$13,MATCH('HIC-SOHIC-HF'!$U12,'Tables - Part 2'!$AV$6:$AV$13,0),MATCH('HIC-SOHIC-HF'!$S12,'Tables - Part 2'!$AX$5:$BA$5,0)))/2)/2,0)</f>
        <v>0</v>
      </c>
      <c r="AM12" s="248">
        <f>IF($R12=$AM$3,(((INDEX('Tables - Part 2'!$BB$6:$BE$13,MATCH('HIC-SOHIC-HF'!$U12,'Tables - Part 2'!$AV$6:$AV$13,0),MATCH('HIC-SOHIC-HF'!$S12,'Tables - Part 2'!$AX$5:$BA$5,0))+(INDEX('Tables - Part 2'!$BB$6:$BE$13,MATCH('HIC-SOHIC-HF'!$U12,'Tables - Part 2'!$AV$6:$AV$13,0),MATCH('HIC-SOHIC-HF'!$S12,'Tables - Part 2'!$AX$5:$BA$5,0))+INDEX('Tables - Part 2'!$BF$6:$BI$13,MATCH('HIC-SOHIC-HF'!$U12,'Tables - Part 2'!$AV$6:$AV$13,0),MATCH('HIC-SOHIC-HF'!$S12,'Tables - Part 2'!$AX$5:$BA$5,0)))/2)/2)+((INDEX('Tables - Part 2'!$BB$6:$BE$13,MATCH('HIC-SOHIC-HF'!$U12,'Tables - Part 2'!$AV$6:$AV$13,0),MATCH('HIC-SOHIC-HF'!$S12,'Tables - Part 2'!$AX$5:$BA$5,0))+INDEX('Tables - Part 2'!$BF$6:$BI$13,MATCH('HIC-SOHIC-HF'!$U12,'Tables - Part 2'!$AV$6:$AV$13,0),MATCH('HIC-SOHIC-HF'!$S12,'Tables - Part 2'!$AX$5:$BA$5,0)))/2))/2,0)</f>
        <v>0</v>
      </c>
      <c r="AN12" s="248">
        <f>IF($R12=$AN$3,(INDEX('Tables - Part 2'!$BB$6:$BE$13,MATCH('HIC-SOHIC-HF'!$U12,'Tables - Part 2'!$AV$6:$AV$13,0),MATCH('HIC-SOHIC-HF'!$S12,'Tables - Part 2'!$AX$5:$BA$5,0))+INDEX('Tables - Part 2'!$BF$6:$BI$13,MATCH('HIC-SOHIC-HF'!$U12,'Tables - Part 2'!$AV$6:$AV$13,0),MATCH('HIC-SOHIC-HF'!$S12,'Tables - Part 2'!$AX$5:$BA$5,0)))/2,0)</f>
        <v>3</v>
      </c>
      <c r="AO12" s="248">
        <f>IF($R12=$AO$3,(((INDEX('Tables - Part 2'!$BB$6:$BE$13,MATCH('HIC-SOHIC-HF'!$U12,'Tables - Part 2'!$AV$6:$AV$13,0),MATCH('HIC-SOHIC-HF'!$S12,'Tables - Part 2'!$AX$5:$BA$5,0))+INDEX('Tables - Part 2'!$BF$6:$BI$13,MATCH('HIC-SOHIC-HF'!$U12,'Tables - Part 2'!$AV$6:$AV$13,0),MATCH('HIC-SOHIC-HF'!$S12,'Tables - Part 2'!$AX$5:$BA$5,0)))/2)+((((INDEX('Tables - Part 2'!$BB$6:$BE$13,MATCH('HIC-SOHIC-HF'!$U12,'Tables - Part 2'!$AV$6:$AV$13,0),MATCH('HIC-SOHIC-HF'!$S12,'Tables - Part 2'!$AX$5:$BA$5,0))+INDEX('Tables - Part 2'!$BF$6:$BI$13,MATCH('HIC-SOHIC-HF'!$U12,'Tables - Part 2'!$AV$6:$AV$13,0),MATCH('HIC-SOHIC-HF'!$S12,'Tables - Part 2'!$AX$5:$BA$5,0)))/2)+INDEX('Tables - Part 2'!$BF$6:$BI$13,MATCH('HIC-SOHIC-HF'!$U12,'Tables - Part 2'!$AV$6:$AV$13,0),MATCH('HIC-SOHIC-HF'!$S12,'Tables - Part 2'!$AX$5:$BA$5,0)))/2))/2,0)</f>
        <v>0</v>
      </c>
      <c r="AP12" s="248">
        <f>IF($R12=$AP$3,(((INDEX('Tables - Part 2'!$BB$6:$BE$13,MATCH('HIC-SOHIC-HF'!$U12,'Tables - Part 2'!$AV$6:$AV$13,0),MATCH('HIC-SOHIC-HF'!$S12,'Tables - Part 2'!$AX$5:$BA$5,0))+INDEX('Tables - Part 2'!$BF$6:$BI$13,MATCH('HIC-SOHIC-HF'!$U12,'Tables - Part 2'!$AV$6:$AV$13,0),MATCH('HIC-SOHIC-HF'!$S12,'Tables - Part 2'!$AX$5:$BA$5,0)))/2)+INDEX('Tables - Part 2'!$BF$6:$BI$13,MATCH('HIC-SOHIC-HF'!$U12,'Tables - Part 2'!$AV$6:$AV$13,0),MATCH('HIC-SOHIC-HF'!$S12,'Tables - Part 2'!$AX$5:$BA$5,0)))/2,0)</f>
        <v>0</v>
      </c>
      <c r="AQ12" s="248">
        <f>IF($R12=$AQ$3,(((((INDEX('Tables - Part 2'!$BB$6:$BE$13,MATCH('HIC-SOHIC-HF'!$U12,'Tables - Part 2'!$AV$6:$AV$13,0),MATCH('HIC-SOHIC-HF'!$S12,'Tables - Part 2'!$AX$5:$BA$5,0))+INDEX('Tables - Part 2'!$BF$6:$BI$13,MATCH('HIC-SOHIC-HF'!$U12,'Tables - Part 2'!$AV$6:$AV$13,0),MATCH('HIC-SOHIC-HF'!$S12,'Tables - Part 2'!$AX$5:$BA$5,0)))/2)+INDEX('Tables - Part 2'!$BF$6:$BI$13,MATCH('HIC-SOHIC-HF'!$U12,'Tables - Part 2'!$AV$6:$AV$13,0),MATCH('HIC-SOHIC-HF'!$S12,'Tables - Part 2'!$AX$5:$BA$5,0)))/2)+INDEX('Tables - Part 2'!$BF$6:$BI$13,MATCH('HIC-SOHIC-HF'!$U12,'Tables - Part 2'!$AV$6:$AV$13,0),MATCH('HIC-SOHIC-HF'!$S12,'Tables - Part 2'!$AX$5:$BA$5,0)))/2,0)</f>
        <v>0</v>
      </c>
      <c r="AR12" s="248">
        <f>IF($R12=$AR$3,INDEX('Tables - Part 2'!$BF$6:$BI$13,MATCH('HIC-SOHIC-HF'!$U12,'Tables - Part 2'!$AV$6:$AV$13,0),MATCH('HIC-SOHIC-HF'!$S12,'Tables - Part 2'!$AX$5:$BA$5,0)),0)</f>
        <v>0</v>
      </c>
      <c r="AS12" s="248">
        <f>IF($R12=$AS$3,(INDEX('Tables - Part 2'!$BF$6:$BI$13,MATCH('HIC-SOHIC-HF'!$U12,'Tables - Part 2'!$AV$6:$AV$13,0),MATCH('HIC-SOHIC-HF'!$S12,'Tables - Part 2'!$AX$5:$BA$5,0))+((INDEX('Tables - Part 2'!$BF$6:$BI$13,MATCH('HIC-SOHIC-HF'!$U12,'Tables - Part 2'!$AV$6:$AV$13,0),MATCH('HIC-SOHIC-HF'!$S12,'Tables - Part 2'!$AX$5:$BA$5,0))+(INDEX('Tables - Part 2'!$BF$6:$BI$13,MATCH('HIC-SOHIC-HF'!$U12,'Tables - Part 2'!$AV$6:$AV$13,0),MATCH('HIC-SOHIC-HF'!$S12,'Tables - Part 2'!$AX$5:$BA$5,0))+INDEX('Tables - Part 2'!$AX$17:$BA$24,MATCH('HIC-SOHIC-HF'!$U12,'Tables - Part 2'!$AV$6:$AV$13,0),MATCH('HIC-SOHIC-HF'!$S12,'Tables - Part 2'!$AX$5:$BA$5,0)))/2)/2))/2,0)</f>
        <v>0</v>
      </c>
      <c r="AT12" s="248">
        <f>IF($R12=$AT$3,(INDEX('Tables - Part 2'!$BF$6:$BI$13,MATCH('HIC-SOHIC-HF'!$U12,'Tables - Part 2'!$AV$6:$AV$13,0),MATCH('HIC-SOHIC-HF'!$S12,'Tables - Part 2'!$AX$5:$BA$5,0))+(INDEX('Tables - Part 2'!$BF$6:$BI$13,MATCH('HIC-SOHIC-HF'!$U12,'Tables - Part 2'!$AV$6:$AV$13,0),MATCH('HIC-SOHIC-HF'!$S12,'Tables - Part 2'!$AX$5:$BA$5,0))+INDEX('Tables - Part 2'!$AX$17:$BA$24,MATCH('HIC-SOHIC-HF'!$U12,'Tables - Part 2'!$AV$6:$AV$13,0),MATCH('HIC-SOHIC-HF'!$S12,'Tables - Part 2'!$AX$5:$BA$5,0)))/2)/2,0)</f>
        <v>0</v>
      </c>
      <c r="AU12" s="248">
        <f>IF($R12=$AU$3,(((INDEX('Tables - Part 2'!$BF$6:$BI$13,MATCH('HIC-SOHIC-HF'!$U12,'Tables - Part 2'!$AV$6:$AV$13,0),MATCH('HIC-SOHIC-HF'!$S12,'Tables - Part 2'!$AX$5:$BA$5,0))+(INDEX('Tables - Part 2'!$BF$6:$BI$13,MATCH('HIC-SOHIC-HF'!$U12,'Tables - Part 2'!$AV$6:$AV$13,0),MATCH('HIC-SOHIC-HF'!$S12,'Tables - Part 2'!$AX$5:$BA$5,0))+INDEX('Tables - Part 2'!$AX$17:$BA$24,MATCH('HIC-SOHIC-HF'!$U12,'Tables - Part 2'!$AV$6:$AV$13,0),MATCH('HIC-SOHIC-HF'!$S12,'Tables - Part 2'!$AX$5:$BA$5,0)))/2)/2)+((INDEX('Tables - Part 2'!$BF$6:$BI$13,MATCH('HIC-SOHIC-HF'!$U12,'Tables - Part 2'!$AV$6:$AV$13,0),MATCH('HIC-SOHIC-HF'!$S12,'Tables - Part 2'!$AX$5:$BA$5,0))+INDEX('Tables - Part 2'!$AX$17:$BA$24,MATCH('HIC-SOHIC-HF'!$U12,'Tables - Part 2'!$AV$6:$AV$13,0),MATCH('HIC-SOHIC-HF'!$S12,'Tables - Part 2'!$AX$5:$BA$5,0)))/2))/2,0)</f>
        <v>0</v>
      </c>
      <c r="AV12" s="248">
        <f>IF($R12=$AV$3,(INDEX('Tables - Part 2'!$BF$6:$BI$13,MATCH('HIC-SOHIC-HF'!$U12,'Tables - Part 2'!$AV$6:$AV$13,0),MATCH('HIC-SOHIC-HF'!$S12,'Tables - Part 2'!$AX$5:$BA$5,0))+INDEX('Tables - Part 2'!$AX$17:$BA$24,MATCH('HIC-SOHIC-HF'!$U12,'Tables - Part 2'!$AV$6:$AV$13,0),MATCH('HIC-SOHIC-HF'!$S12,'Tables - Part 2'!$AX$5:$BA$5,0)))/2,0)</f>
        <v>0</v>
      </c>
      <c r="AW12" s="248">
        <f>IF($R12=$AW$3,(((INDEX('Tables - Part 2'!$BF$6:$BI$13,MATCH('HIC-SOHIC-HF'!$U12,'Tables - Part 2'!$AV$6:$AV$13,0),MATCH('HIC-SOHIC-HF'!$S12,'Tables - Part 2'!$AX$5:$BA$5,0))+INDEX('Tables - Part 2'!$AX$17:$BA$24,MATCH('HIC-SOHIC-HF'!$U12,'Tables - Part 2'!$AV$6:$AV$13,0),MATCH('HIC-SOHIC-HF'!$S12,'Tables - Part 2'!$AX$5:$BA$5,0)))/2)+((((INDEX('Tables - Part 2'!$BF$6:$BI$13,MATCH('HIC-SOHIC-HF'!$U12,'Tables - Part 2'!$AV$6:$AV$13,0),MATCH('HIC-SOHIC-HF'!$S12,'Tables - Part 2'!$AX$5:$BA$5,0))+INDEX('Tables - Part 2'!$AX$17:$BA$24,MATCH('HIC-SOHIC-HF'!$U12,'Tables - Part 2'!$AV$6:$AV$13,0),MATCH('HIC-SOHIC-HF'!$S12,'Tables - Part 2'!$AX$5:$BA$5,0)))/2)+INDEX('Tables - Part 2'!$AX$17:$BA$24,MATCH('HIC-SOHIC-HF'!$U12,'Tables - Part 2'!$AV$6:$AV$13,0),MATCH('HIC-SOHIC-HF'!$S12,'Tables - Part 2'!$AX$5:$BA$5,0)))/2))/2,0)</f>
        <v>0</v>
      </c>
      <c r="AX12" s="248">
        <f>IF($R12=$AX$3,(((INDEX('Tables - Part 2'!$BF$6:$BI$13,MATCH('HIC-SOHIC-HF'!$U12,'Tables - Part 2'!$AV$6:$AV$13,0),MATCH('HIC-SOHIC-HF'!$S12,'Tables - Part 2'!$AX$5:$BA$5,0))+INDEX('Tables - Part 2'!$AX$17:$BA$24,MATCH('HIC-SOHIC-HF'!$U12,'Tables - Part 2'!$AV$6:$AV$13,0),MATCH('HIC-SOHIC-HF'!$S12,'Tables - Part 2'!$AX$5:$BA$5,0)))/2)+INDEX('Tables - Part 2'!$AX$17:$BA$24,MATCH('HIC-SOHIC-HF'!$U12,'Tables - Part 2'!$AV$6:$AV$13,0),MATCH('HIC-SOHIC-HF'!$S12,'Tables - Part 2'!$AX$5:$BA$5,0)))/2,0)</f>
        <v>0</v>
      </c>
      <c r="AY12" s="248">
        <f>IF($R12=$AY$3,(((((INDEX('Tables - Part 2'!$BF$6:$BI$13,MATCH('HIC-SOHIC-HF'!$U12,'Tables - Part 2'!$AV$6:$AV$13,0),MATCH('HIC-SOHIC-HF'!$S12,'Tables - Part 2'!$AX$5:$BA$5,0))+INDEX('Tables - Part 2'!$AX$17:$BA$24,MATCH('HIC-SOHIC-HF'!$U12,'Tables - Part 2'!$AV$6:$AV$13,0),MATCH('HIC-SOHIC-HF'!$S12,'Tables - Part 2'!$AX$5:$BA$5,0)))/2)+INDEX('Tables - Part 2'!$AX$17:$BA$24,MATCH('HIC-SOHIC-HF'!$U12,'Tables - Part 2'!$AV$6:$AV$13,0),MATCH('HIC-SOHIC-HF'!$S12,'Tables - Part 2'!$AX$5:$BA$5,0)))/2)+(INDEX('Tables - Part 2'!$AX$17:$BA$24,MATCH('HIC-SOHIC-HF'!$U12,'Tables - Part 2'!$AV$6:$AV$13,0),MATCH('HIC-SOHIC-HF'!$S12,'Tables - Part 2'!$AX$5:$BA$5,0))))/2,0)</f>
        <v>0</v>
      </c>
      <c r="AZ12" s="248">
        <f>IF($R12=$AZ$3,INDEX('Tables - Part 2'!$AX$17:$BA$24,MATCH('HIC-SOHIC-HF'!$U12,'Tables - Part 2'!$AV$6:$AV$13,0),MATCH('HIC-SOHIC-HF'!$S12,'Tables - Part 2'!$AX$5:$BA$5,0)),0)</f>
        <v>0</v>
      </c>
      <c r="BA12" s="248">
        <f>IF($R12=$BA$3,((INDEX('Tables - Part 2'!$AX$17:$BA$24,MATCH('HIC-SOHIC-HF'!$U12,'Tables - Part 2'!$AV$6:$AV$13,0),MATCH('HIC-SOHIC-HF'!$S12,'Tables - Part 2'!$AX$5:$BA$5,0)))+(((INDEX('Tables - Part 2'!$AX$17:$BA$24,MATCH('HIC-SOHIC-HF'!$U12,'Tables - Part 2'!$AV$6:$AV$13,0),MATCH('HIC-SOHIC-HF'!$S12,'Tables - Part 2'!$AX$5:$BA$5,0)))+(INDEX('Tables - Part 2'!$AX$17:$BA$24,MATCH('HIC-SOHIC-HF'!$U12,'Tables - Part 2'!$AV$6:$AV$13,0),MATCH('HIC-SOHIC-HF'!$S12,'Tables - Part 2'!$AX$5:$BA$5,0))+INDEX('Tables - Part 2'!$BB$17:$BE$24,MATCH('HIC-SOHIC-HF'!$U12,'Tables - Part 2'!$AV$6:$AV$13,0),MATCH('HIC-SOHIC-HF'!$S12,'Tables - Part 2'!$AX$5:$BA$5,0)))/2)/2))/2,0)</f>
        <v>0</v>
      </c>
      <c r="BB12" s="248">
        <f>IF($R12=$BB$3,((INDEX('Tables - Part 2'!$AX$17:$BA$24,MATCH('HIC-SOHIC-HF'!$U12,'Tables - Part 2'!$AV$6:$AV$13,0),MATCH('HIC-SOHIC-HF'!$S12,'Tables - Part 2'!$AX$5:$BA$5,0)))+(INDEX('Tables - Part 2'!$AX$17:$BA$24,MATCH('HIC-SOHIC-HF'!$U12,'Tables - Part 2'!$AV$6:$AV$13,0),MATCH('HIC-SOHIC-HF'!$S12,'Tables - Part 2'!$AX$5:$BA$5,0))+INDEX('Tables - Part 2'!$BB$17:$BE$24,MATCH('HIC-SOHIC-HF'!$U12,'Tables - Part 2'!$AV$6:$AV$13,0),MATCH('HIC-SOHIC-HF'!$S12,'Tables - Part 2'!$AX$5:$BA$5,0)))/2)/2,0)</f>
        <v>0</v>
      </c>
      <c r="BC12" s="248">
        <f>IF($R12=$BC$3,((((INDEX('Tables - Part 2'!$AX$17:$BA$24,MATCH('HIC-SOHIC-HF'!$U12,'Tables - Part 2'!$AV$6:$AV$13,0),MATCH('HIC-SOHIC-HF'!$S12,'Tables - Part 2'!$AX$5:$BA$5,0)))+(INDEX('Tables - Part 2'!$AX$17:$BA$24,MATCH('HIC-SOHIC-HF'!$U12,'Tables - Part 2'!$AV$6:$AV$13,0),MATCH('HIC-SOHIC-HF'!$S12,'Tables - Part 2'!$AX$5:$BA$5,0))+INDEX('Tables - Part 2'!$BB$17:$BE$24,MATCH('HIC-SOHIC-HF'!$U12,'Tables - Part 2'!$AV$6:$AV$13,0),MATCH('HIC-SOHIC-HF'!$S12,'Tables - Part 2'!$AX$5:$BA$5,0)))/2)/2)+((INDEX('Tables - Part 2'!$AX$17:$BA$24,MATCH('HIC-SOHIC-HF'!$U12,'Tables - Part 2'!$AV$6:$AV$13,0),MATCH('HIC-SOHIC-HF'!$S12,'Tables - Part 2'!$AX$5:$BA$5,0))+INDEX('Tables - Part 2'!$BB$17:$BE$24,MATCH('HIC-SOHIC-HF'!$U12,'Tables - Part 2'!$AV$6:$AV$13,0),MATCH('HIC-SOHIC-HF'!$S12,'Tables - Part 2'!$AX$5:$BA$5,0)))/2))/2,0)</f>
        <v>0</v>
      </c>
      <c r="BD12" s="248">
        <f>IF($R12=$BD$3,(INDEX('Tables - Part 2'!$AX$17:$BA$24,MATCH('HIC-SOHIC-HF'!$U12,'Tables - Part 2'!$AV$6:$AV$13,0),MATCH('HIC-SOHIC-HF'!$S12,'Tables - Part 2'!$AX$5:$BA$5,0))+INDEX('Tables - Part 2'!$BB$17:$BE$24,MATCH('HIC-SOHIC-HF'!$U12,'Tables - Part 2'!$AV$6:$AV$13,0),MATCH('HIC-SOHIC-HF'!$S12,'Tables - Part 2'!$AX$5:$BA$5,0)))/2,0)</f>
        <v>0</v>
      </c>
      <c r="BE12" s="248">
        <f>IF($R12=$BE$3,(((INDEX('Tables - Part 2'!$AX$17:$BA$24,MATCH('HIC-SOHIC-HF'!$U12,'Tables - Part 2'!$AV$6:$AV$13,0),MATCH('HIC-SOHIC-HF'!$S12,'Tables - Part 2'!$AX$5:$BA$5,0))+INDEX('Tables - Part 2'!$BB$17:$BE$24,MATCH('HIC-SOHIC-HF'!$U12,'Tables - Part 2'!$AV$6:$AV$13,0),MATCH('HIC-SOHIC-HF'!$S12,'Tables - Part 2'!$AX$5:$BA$5,0)))/2)+((((INDEX('Tables - Part 2'!$AX$17:$BA$24,MATCH('HIC-SOHIC-HF'!$U12,'Tables - Part 2'!$AV$6:$AV$13,0),MATCH('HIC-SOHIC-HF'!$S12,'Tables - Part 2'!$AX$5:$BA$5,0))+INDEX('Tables - Part 2'!$BB$17:$BE$24,MATCH('HIC-SOHIC-HF'!$U12,'Tables - Part 2'!$AV$6:$AV$13,0),MATCH('HIC-SOHIC-HF'!$S12,'Tables - Part 2'!$AX$5:$BA$5,0)))/2)+INDEX('Tables - Part 2'!$BB$17:$BE$24,MATCH('HIC-SOHIC-HF'!$U12,'Tables - Part 2'!$AV$6:$AV$13,0),MATCH('HIC-SOHIC-HF'!$S12,'Tables - Part 2'!$AX$5:$BA$5,0)))/2))/2,0)</f>
        <v>0</v>
      </c>
      <c r="BF12" s="248">
        <f>IF($R12=$BF$3,(((INDEX('Tables - Part 2'!$AX$17:$BA$24,MATCH('HIC-SOHIC-HF'!$U12,'Tables - Part 2'!$AV$6:$AV$13,0),MATCH('HIC-SOHIC-HF'!$S12,'Tables - Part 2'!$AX$5:$BA$5,0))+INDEX('Tables - Part 2'!$BB$17:$BE$24,MATCH('HIC-SOHIC-HF'!$U12,'Tables - Part 2'!$AV$6:$AV$13,0),MATCH('HIC-SOHIC-HF'!$S12,'Tables - Part 2'!$AX$5:$BA$5,0)))/2)+INDEX('Tables - Part 2'!$BB$17:$BE$24,MATCH('HIC-SOHIC-HF'!$U12,'Tables - Part 2'!$AV$6:$AV$13,0),MATCH('HIC-SOHIC-HF'!$S12,'Tables - Part 2'!$AX$5:$BA$5,0)))/2,0)</f>
        <v>0</v>
      </c>
      <c r="BG12" s="248">
        <f>IF($R12=$BG$3,(((((INDEX('Tables - Part 2'!$AX$17:$BA$24,MATCH('HIC-SOHIC-HF'!$U12,'Tables - Part 2'!$AV$6:$AV$13,0),MATCH('HIC-SOHIC-HF'!$S12,'Tables - Part 2'!$AX$5:$BA$5,0))+INDEX('Tables - Part 2'!$BB$17:$BE$24,MATCH('HIC-SOHIC-HF'!$U12,'Tables - Part 2'!$AV$6:$AV$13,0),MATCH('HIC-SOHIC-HF'!$S12,'Tables - Part 2'!$AX$5:$BA$5,0)))/2)+INDEX('Tables - Part 2'!$BB$17:$BE$24,MATCH('HIC-SOHIC-HF'!$U12,'Tables - Part 2'!$AV$6:$AV$13,0),MATCH('HIC-SOHIC-HF'!$S12,'Tables - Part 2'!$AX$5:$BA$5,0)))/2)+(INDEX('Tables - Part 2'!$BB$17:$BE$24,MATCH('HIC-SOHIC-HF'!$U12,'Tables - Part 2'!$AV$6:$AV$13,0),MATCH('HIC-SOHIC-HF'!$S12,'Tables - Part 2'!$AX$5:$BA$5,0))))/2,0)</f>
        <v>0</v>
      </c>
      <c r="BH12" s="248">
        <f>IF($R12=$BH$3,INDEX('Tables - Part 2'!$BB$17:$BE$24,MATCH('HIC-SOHIC-HF'!$U12,'Tables - Part 2'!$AV$6:$AV$13,0),MATCH('HIC-SOHIC-HF'!$S12,'Tables - Part 2'!$AX$5:$BA$5,0)),0)</f>
        <v>0</v>
      </c>
      <c r="BI12" s="248">
        <f>IF($R12=$BI$3,((INDEX('Tables - Part 2'!$BB$17:$BE$24,MATCH('HIC-SOHIC-HF'!$U12,'Tables - Part 2'!$AV$6:$AV$13,0),MATCH('HIC-SOHIC-HF'!$S12,'Tables - Part 2'!$AX$5:$BA$5,0)))+(((INDEX('Tables - Part 2'!$BB$17:$BE$24,MATCH('HIC-SOHIC-HF'!$U12,'Tables - Part 2'!$AV$6:$AV$13,0),MATCH('HIC-SOHIC-HF'!$S12,'Tables - Part 2'!$AX$5:$BA$5,0)))+(INDEX('Tables - Part 2'!$BB$17:$BE$24,MATCH('HIC-SOHIC-HF'!$U12,'Tables - Part 2'!$AV$6:$AV$13,0),MATCH('HIC-SOHIC-HF'!$S12,'Tables - Part 2'!$AX$5:$BA$5,0))+INDEX('Tables - Part 2'!$BF$17:$BI$24,MATCH('HIC-SOHIC-HF'!$U12,'Tables - Part 2'!$AV$6:$AV$13,0),MATCH('HIC-SOHIC-HF'!$S12,'Tables - Part 2'!$AX$5:$BA$5,0)))/2)/2))/2,0)</f>
        <v>0</v>
      </c>
      <c r="BJ12" s="248">
        <f>IF($R12=$BJ$3,((INDEX('Tables - Part 2'!$BB$17:$BE$24,MATCH('HIC-SOHIC-HF'!$U12,'Tables - Part 2'!$AV$6:$AV$13,0),MATCH('HIC-SOHIC-HF'!$S12,'Tables - Part 2'!$AX$5:$BA$5,0)))+(INDEX('Tables - Part 2'!$BB$17:$BE$24,MATCH('HIC-SOHIC-HF'!$U12,'Tables - Part 2'!$AV$6:$AV$13,0),MATCH('HIC-SOHIC-HF'!$S12,'Tables - Part 2'!$AX$5:$BA$5,0))+INDEX('Tables - Part 2'!$BF$17:$BI$24,MATCH('HIC-SOHIC-HF'!$U12,'Tables - Part 2'!$AV$6:$AV$13,0),MATCH('HIC-SOHIC-HF'!$S12,'Tables - Part 2'!$AX$5:$BA$5,0)))/2)/2,0)</f>
        <v>0</v>
      </c>
      <c r="BK12" s="248">
        <f>IF($R12=$BK$3,((((INDEX('Tables - Part 2'!$BB$17:$BE$24,MATCH('HIC-SOHIC-HF'!$U12,'Tables - Part 2'!$AV$6:$AV$13,0),MATCH('HIC-SOHIC-HF'!$S12,'Tables - Part 2'!$AX$5:$BA$5,0)))+(INDEX('Tables - Part 2'!$BB$17:$BE$24,MATCH('HIC-SOHIC-HF'!$U12,'Tables - Part 2'!$AV$6:$AV$13,0),MATCH('HIC-SOHIC-HF'!$S12,'Tables - Part 2'!$AX$5:$BA$5,0))+INDEX('Tables - Part 2'!$BF$17:$BI$24,MATCH('HIC-SOHIC-HF'!$U12,'Tables - Part 2'!$AV$6:$AV$13,0),MATCH('HIC-SOHIC-HF'!$S12,'Tables - Part 2'!$AX$5:$BA$5,0)))/2)/2)+((INDEX('Tables - Part 2'!$BB$17:$BE$24,MATCH('HIC-SOHIC-HF'!$U12,'Tables - Part 2'!$AV$6:$AV$13,0),MATCH('HIC-SOHIC-HF'!$S12,'Tables - Part 2'!$AX$5:$BA$5,0))+INDEX('Tables - Part 2'!$BF$17:$BI$24,MATCH('HIC-SOHIC-HF'!$U12,'Tables - Part 2'!$AV$6:$AV$13,0),MATCH('HIC-SOHIC-HF'!$S12,'Tables - Part 2'!$AX$5:$BA$5,0)))/2))/2,0)</f>
        <v>0</v>
      </c>
      <c r="BL12" s="248">
        <f>IF($R12=$BL$3,(INDEX('Tables - Part 2'!$BB$17:$BE$24,MATCH('HIC-SOHIC-HF'!$U12,'Tables - Part 2'!$AV$6:$AV$13,0),MATCH('HIC-SOHIC-HF'!$S12,'Tables - Part 2'!$AX$5:$BA$5,0))+INDEX('Tables - Part 2'!$BF$17:$BI$24,MATCH('HIC-SOHIC-HF'!$U12,'Tables - Part 2'!$AV$6:$AV$13,0),MATCH('HIC-SOHIC-HF'!$S12,'Tables - Part 2'!$AX$5:$BA$5,0)))/2,0)</f>
        <v>0</v>
      </c>
      <c r="BM12" s="248">
        <f>IF($R12=$BM$3,(((INDEX('Tables - Part 2'!$BB$17:$BE$24,MATCH('HIC-SOHIC-HF'!$U12,'Tables - Part 2'!$AV$6:$AV$13,0),MATCH('HIC-SOHIC-HF'!$S12,'Tables - Part 2'!$AX$5:$BA$5,0))+INDEX('Tables - Part 2'!$BF$17:$BI$24,MATCH('HIC-SOHIC-HF'!$U12,'Tables - Part 2'!$AV$6:$AV$13,0),MATCH('HIC-SOHIC-HF'!$S12,'Tables - Part 2'!$AX$5:$BA$5,0)))/2)+((((INDEX('Tables - Part 2'!$BB$17:$BE$24,MATCH('HIC-SOHIC-HF'!$U12,'Tables - Part 2'!$AV$6:$AV$13,0),MATCH('HIC-SOHIC-HF'!$S12,'Tables - Part 2'!$AX$5:$BA$5,0))+INDEX('Tables - Part 2'!$BF$17:$BI$24,MATCH('HIC-SOHIC-HF'!$U12,'Tables - Part 2'!$AV$6:$AV$13,0),MATCH('HIC-SOHIC-HF'!$S12,'Tables - Part 2'!$AX$5:$BA$5,0)))/2)+INDEX('Tables - Part 2'!$BF$17:$BI$24,MATCH('HIC-SOHIC-HF'!$U12,'Tables - Part 2'!$AV$6:$AV$13,0),MATCH('HIC-SOHIC-HF'!$S12,'Tables - Part 2'!$AX$5:$BA$5,0)))/2))/2,0)</f>
        <v>0</v>
      </c>
      <c r="BN12" s="248">
        <f>IF($R12=$BN$3,(((INDEX('Tables - Part 2'!$BB$17:$BE$24,MATCH('HIC-SOHIC-HF'!$U12,'Tables - Part 2'!$AV$6:$AV$13,0),MATCH('HIC-SOHIC-HF'!$S12,'Tables - Part 2'!$AX$5:$BA$5,0))+INDEX('Tables - Part 2'!$BF$17:$BI$24,MATCH('HIC-SOHIC-HF'!$U12,'Tables - Part 2'!$AV$6:$AV$13,0),MATCH('HIC-SOHIC-HF'!$S12,'Tables - Part 2'!$AX$5:$BA$5,0)))/2)+INDEX('Tables - Part 2'!$BF$17:$BI$24,MATCH('HIC-SOHIC-HF'!$U12,'Tables - Part 2'!$AV$6:$AV$13,0),MATCH('HIC-SOHIC-HF'!$S12,'Tables - Part 2'!$AX$5:$BA$5,0)))/2,0)</f>
        <v>0</v>
      </c>
      <c r="BO12" s="248">
        <f>IF($R12=$BO$3,(((((INDEX('Tables - Part 2'!$BB$17:$BE$24,MATCH('HIC-SOHIC-HF'!$U12,'Tables - Part 2'!$AV$6:$AV$13,0),MATCH('HIC-SOHIC-HF'!$S12,'Tables - Part 2'!$AX$5:$BA$5,0))+INDEX('Tables - Part 2'!$BF$17:$BI$24,MATCH('HIC-SOHIC-HF'!$U12,'Tables - Part 2'!$AV$6:$AV$13,0),MATCH('HIC-SOHIC-HF'!$S12,'Tables - Part 2'!$AX$5:$BA$5,0)))/2)+INDEX('Tables - Part 2'!$BF$17:$BI$24,MATCH('HIC-SOHIC-HF'!$U12,'Tables - Part 2'!$AV$6:$AV$13,0),MATCH('HIC-SOHIC-HF'!$S12,'Tables - Part 2'!$AX$5:$BA$5,0)))/2)+(INDEX('Tables - Part 2'!$BF$17:$BI$24,MATCH('HIC-SOHIC-HF'!$U12,'Tables - Part 2'!$AV$6:$AV$13,0),MATCH('HIC-SOHIC-HF'!$S12,'Tables - Part 2'!$AX$5:$BA$5,0))))/2,0)</f>
        <v>0</v>
      </c>
      <c r="BP12" s="248">
        <f>IF($R12=$BP$3,INDEX('Tables - Part 2'!$BF$17:$BI$24,MATCH('HIC-SOHIC-HF'!$U12,'Tables - Part 2'!$AV$6:$AV$13,0),MATCH('HIC-SOHIC-HF'!$S12,'Tables - Part 2'!$AX$5:$BA$5,0)),0)</f>
        <v>0</v>
      </c>
      <c r="BQ12" s="248">
        <f t="shared" si="6"/>
        <v>0</v>
      </c>
      <c r="BR12" s="238">
        <f t="shared" si="7"/>
        <v>3</v>
      </c>
      <c r="BS12" s="238">
        <f t="shared" si="8"/>
        <v>50.318647405225171</v>
      </c>
    </row>
    <row r="13" spans="2:84" x14ac:dyDescent="0.35">
      <c r="B13" s="161" t="str">
        <f>'Tratamento de Dados'!B21</f>
        <v>V-4</v>
      </c>
      <c r="C13" s="161" t="str">
        <f>'Tratamento de Dados'!D21</f>
        <v>Casco</v>
      </c>
      <c r="D13" s="209" t="s">
        <v>245</v>
      </c>
      <c r="E13" s="209" t="s">
        <v>61</v>
      </c>
      <c r="F13" s="209" t="s">
        <v>244</v>
      </c>
      <c r="G13" s="209" t="s">
        <v>244</v>
      </c>
      <c r="H13" s="209" t="s">
        <v>1208</v>
      </c>
      <c r="I13" s="209" t="s">
        <v>245</v>
      </c>
      <c r="J13" s="209" t="s">
        <v>898</v>
      </c>
      <c r="K13" s="210">
        <v>39092</v>
      </c>
      <c r="L13" s="209">
        <v>0</v>
      </c>
      <c r="M13" s="209">
        <v>1</v>
      </c>
      <c r="N13" s="209">
        <v>1</v>
      </c>
      <c r="O13" s="209">
        <v>4</v>
      </c>
      <c r="P13" s="253">
        <f>'Tratamento de Dados'!DA21</f>
        <v>0</v>
      </c>
      <c r="Q13" s="253">
        <f>'Tratamento de Dados'!DB21</f>
        <v>0</v>
      </c>
      <c r="R13" s="256">
        <f t="shared" si="0"/>
        <v>2.5</v>
      </c>
      <c r="S13" s="246" t="str">
        <f t="shared" si="1"/>
        <v>B</v>
      </c>
      <c r="T13" s="238" t="str" cm="1">
        <f t="array" ref="T13">IF(D13=$BX$2,$BV$4,IF(OR(F13=$BX$3,G13=$BX$3),$BV$5,INDEX(IF(I13=$BX$2,'Tables - Part 2'!$EI$6:$EK$6,'Tables - Part 2'!$EI$5:$EK$5),,MATCH('HIC-SOHIC-HF'!H13,'Tables - Part 2'!$EI$4:$EK$4,0))))</f>
        <v>High</v>
      </c>
      <c r="U13" s="238">
        <f>IF(AND(D13=$BX$2,E13&lt;&gt;$BX$2),"Fitness-For-Service",INDEX('Tables - Part 2'!$EN$4:$EN$7,MATCH('HIC-SOHIC-HF'!T13,'Tables - Part 2'!$EM$4:$EM$7,0),))</f>
        <v>100</v>
      </c>
      <c r="V13" s="238">
        <f>INDEX('Tables - Part 2'!$EQ$4:$EQ$7,MATCH('HIC-SOHIC-HF'!J13,'Tables - Part 2'!$EP$4:$EP$7,0))</f>
        <v>1</v>
      </c>
      <c r="W13" s="238">
        <f>IF(K13=0,(Thinning!G14-Thinning!F14)/365.25,(Thinning!G14-K13)/365.25)</f>
        <v>12.980150581793293</v>
      </c>
      <c r="X13" s="248">
        <f t="shared" si="2"/>
        <v>0</v>
      </c>
      <c r="Y13" s="248">
        <f t="shared" si="3"/>
        <v>2.5</v>
      </c>
      <c r="Z13" s="248">
        <f t="shared" si="4"/>
        <v>3</v>
      </c>
      <c r="AA13" s="247">
        <f t="shared" si="5"/>
        <v>4</v>
      </c>
      <c r="AB13" s="248">
        <f>IF($R13=$AB$3,INDEX('Tables - Part 2'!$AX$6:$BA$13,MATCH('HIC-SOHIC-HF'!U13,'Tables - Part 2'!$AV$6:$AV$13,0),MATCH('HIC-SOHIC-HF'!S13,'Tables - Part 2'!$AX$5:$BA$5,0)),0)</f>
        <v>0</v>
      </c>
      <c r="AC13" s="248">
        <f>IF($R13=$AC$3,(INDEX('Tables - Part 2'!$AX$6:$BA$13,MATCH('HIC-SOHIC-HF'!U13,'Tables - Part 2'!$AV$6:$AV$13,0),MATCH('HIC-SOHIC-HF'!S13,'Tables - Part 2'!$AX$5:$BA$5,0))+(INDEX('Tables - Part 2'!$AX$6:$BA$13,MATCH('HIC-SOHIC-HF'!U13,'Tables - Part 2'!$AV$6:$AV$13,0),MATCH('HIC-SOHIC-HF'!S13,'Tables - Part 2'!$AX$5:$BA$5,0))+((INDEX('Tables - Part 2'!$AX$6:$BA$13,MATCH('HIC-SOHIC-HF'!U13,'Tables - Part 2'!$AV$6:$AV$13,0),MATCH('HIC-SOHIC-HF'!S13,'Tables - Part 2'!$AX$5:$BA$5,0))+INDEX('Tables - Part 2'!$BB$6:$BE$13,MATCH('HIC-SOHIC-HF'!$U13,'Tables - Part 2'!$AV$6:$AV$13,0),MATCH('HIC-SOHIC-HF'!$S13,'Tables - Part 2'!$AX$5:$BA$5,0)))/2))/2)/2,0)</f>
        <v>0</v>
      </c>
      <c r="AD13" s="248">
        <f>IF($R13=$AD$3,(INDEX('Tables - Part 2'!$AX$6:$BA$13,MATCH('HIC-SOHIC-HF'!U13,'Tables - Part 2'!$AV$6:$AV$13,0),MATCH('HIC-SOHIC-HF'!S13,'Tables - Part 2'!$AX$5:$BA$5,0))+((INDEX('Tables - Part 2'!$AX$6:$BA$13,MATCH('HIC-SOHIC-HF'!U13,'Tables - Part 2'!$AV$6:$AV$13,0),MATCH('HIC-SOHIC-HF'!S13,'Tables - Part 2'!$AX$5:$BA$5,0))+INDEX('Tables - Part 2'!$BB$6:$BE$13,MATCH('HIC-SOHIC-HF'!$U13,'Tables - Part 2'!$AV$6:$AV$13,0),MATCH('HIC-SOHIC-HF'!$S13,'Tables - Part 2'!$AX$5:$BA$5,0)))/2))/2,0)</f>
        <v>0</v>
      </c>
      <c r="AE13" s="248">
        <f>IF($R13=$AE$3,(((INDEX('Tables - Part 2'!$AX$6:$BA$13,MATCH('HIC-SOHIC-HF'!U13,'Tables - Part 2'!$AV$6:$AV$13,0),MATCH('HIC-SOHIC-HF'!S13,'Tables - Part 2'!$AX$5:$BA$5,0))+((INDEX('Tables - Part 2'!$AX$6:$BA$13,MATCH('HIC-SOHIC-HF'!U13,'Tables - Part 2'!$AV$6:$AV$13,0),MATCH('HIC-SOHIC-HF'!S13,'Tables - Part 2'!$AX$5:$BA$5,0))+INDEX('Tables - Part 2'!$BB$6:$BE$13,MATCH('HIC-SOHIC-HF'!$U13,'Tables - Part 2'!$AV$6:$AV$13,0),MATCH('HIC-SOHIC-HF'!$S13,'Tables - Part 2'!$AX$5:$BA$5,0)))/2))/2)+(INDEX('Tables - Part 2'!$AX$6:$BA$13,MATCH('HIC-SOHIC-HF'!U13,'Tables - Part 2'!$AV$6:$AV$13,0),MATCH('HIC-SOHIC-HF'!S13,'Tables - Part 2'!$AX$5:$BA$5,0))+INDEX('Tables - Part 2'!$BB$6:$BE$13,MATCH('HIC-SOHIC-HF'!$U13,'Tables - Part 2'!$AV$6:$AV$13,0),MATCH('HIC-SOHIC-HF'!$S13,'Tables - Part 2'!$AX$5:$BA$5,0)))/2)/2,0)</f>
        <v>0</v>
      </c>
      <c r="AF13" s="248">
        <f>IF($R13=$AF$3,(INDEX('Tables - Part 2'!$AX$6:$BA$13,MATCH('HIC-SOHIC-HF'!U13,'Tables - Part 2'!$AV$6:$AV$13,0),MATCH('HIC-SOHIC-HF'!S13,'Tables - Part 2'!$AX$5:$BA$5,0))+INDEX('Tables - Part 2'!$BB$6:$BE$13,MATCH('HIC-SOHIC-HF'!$U13,'Tables - Part 2'!$AV$6:$AV$13,0),MATCH('HIC-SOHIC-HF'!$S13,'Tables - Part 2'!$AX$5:$BA$5,0)))/2,0)</f>
        <v>0</v>
      </c>
      <c r="AG13" s="248">
        <f>IF($R13=$AG$3,(((INDEX('Tables - Part 2'!$AX$6:$BA$13,MATCH('HIC-SOHIC-HF'!U13,'Tables - Part 2'!$AV$6:$AV$13,0),MATCH('HIC-SOHIC-HF'!S13,'Tables - Part 2'!$AX$5:$BA$5,0))+INDEX('Tables - Part 2'!$BB$6:$BE$13,MATCH('HIC-SOHIC-HF'!$U13,'Tables - Part 2'!$AV$6:$AV$13,0),MATCH('HIC-SOHIC-HF'!$S13,'Tables - Part 2'!$AX$5:$BA$5,0)))/2)+(((INDEX('Tables - Part 2'!$AX$6:$BA$13,MATCH('HIC-SOHIC-HF'!U13,'Tables - Part 2'!$AV$6:$AV$13,0),MATCH('HIC-SOHIC-HF'!S13,'Tables - Part 2'!$AX$5:$BA$5,0))+INDEX('Tables - Part 2'!$BB$6:$BE$13,MATCH('HIC-SOHIC-HF'!$U13,'Tables - Part 2'!$AV$6:$AV$13,0),MATCH('HIC-SOHIC-HF'!$S13,'Tables - Part 2'!$AX$5:$BA$5,0)))/2)+INDEX('Tables - Part 2'!$BB$6:$BE$13,MATCH('HIC-SOHIC-HF'!$U13,'Tables - Part 2'!$AV$6:$AV$13,0),MATCH('HIC-SOHIC-HF'!$S13,'Tables - Part 2'!$AX$5:$BA$5,0)))/2)/2,0)</f>
        <v>0</v>
      </c>
      <c r="AH13" s="248">
        <f>IF($R13=$AH$3,(((INDEX('Tables - Part 2'!$AX$6:$BA$13,MATCH('HIC-SOHIC-HF'!U13,'Tables - Part 2'!$AV$6:$AV$13,0),MATCH('HIC-SOHIC-HF'!S13,'Tables - Part 2'!$AX$5:$BA$5,0))+INDEX('Tables - Part 2'!$BB$6:$BE$13,MATCH('HIC-SOHIC-HF'!$U13,'Tables - Part 2'!$AV$6:$AV$13,0),MATCH('HIC-SOHIC-HF'!$S13,'Tables - Part 2'!$AX$5:$BA$5,0)))/2)+INDEX('Tables - Part 2'!$BB$6:$BE$13,MATCH('HIC-SOHIC-HF'!$U13,'Tables - Part 2'!$AV$6:$AV$13,0),MATCH('HIC-SOHIC-HF'!$S13,'Tables - Part 2'!$AX$5:$BA$5,0)))/2,0)</f>
        <v>0</v>
      </c>
      <c r="AI13" s="248">
        <f>IF($R13=$AI$3,(((((INDEX('Tables - Part 2'!$AX$6:$BA$13,MATCH('HIC-SOHIC-HF'!U13,'Tables - Part 2'!$AV$6:$AV$13,0),MATCH('HIC-SOHIC-HF'!S13,'Tables - Part 2'!$AX$5:$BA$5,0))+INDEX('Tables - Part 2'!$BB$6:$BE$13,MATCH('HIC-SOHIC-HF'!$U13,'Tables - Part 2'!$AV$6:$AV$13,0),MATCH('HIC-SOHIC-HF'!$S13,'Tables - Part 2'!$AX$5:$BA$5,0)))/2)+INDEX('Tables - Part 2'!$BB$6:$BE$13,MATCH('HIC-SOHIC-HF'!$U13,'Tables - Part 2'!$AV$6:$AV$13,0),MATCH('HIC-SOHIC-HF'!$S13,'Tables - Part 2'!$AX$5:$BA$5,0)))/2)+INDEX('Tables - Part 2'!$BB$6:$BE$13,MATCH('HIC-SOHIC-HF'!$U13,'Tables - Part 2'!$AV$6:$AV$13,0),MATCH('HIC-SOHIC-HF'!$S13,'Tables - Part 2'!$AX$5:$BA$5,0)))/2,0)</f>
        <v>0</v>
      </c>
      <c r="AJ13" s="248">
        <f>IF($R13=$AJ$3,INDEX('Tables - Part 2'!$BB$6:$BE$13,MATCH('HIC-SOHIC-HF'!$U13,'Tables - Part 2'!$AV$6:$AV$13,0),MATCH('HIC-SOHIC-HF'!$S13,'Tables - Part 2'!$AX$5:$BA$5,0)),0)</f>
        <v>0</v>
      </c>
      <c r="AK13" s="248">
        <f>IF($R13=$AK$3,((INDEX('Tables - Part 2'!$BB$6:$BE$13,MATCH('HIC-SOHIC-HF'!$U13,'Tables - Part 2'!$AV$6:$AV$13,0),MATCH('HIC-SOHIC-HF'!$S13,'Tables - Part 2'!$AX$5:$BA$5,0)))+(INDEX('Tables - Part 2'!$BB$6:$BE$13,MATCH('HIC-SOHIC-HF'!$U13,'Tables - Part 2'!$AV$6:$AV$13,0),MATCH('HIC-SOHIC-HF'!$S13,'Tables - Part 2'!$AX$5:$BA$5,0))+(INDEX('Tables - Part 2'!$BB$6:$BE$13,MATCH('HIC-SOHIC-HF'!$U13,'Tables - Part 2'!$AV$6:$AV$13,0),MATCH('HIC-SOHIC-HF'!$S13,'Tables - Part 2'!$AX$5:$BA$5,0))+INDEX('Tables - Part 2'!$BF$6:$BI$13,MATCH('HIC-SOHIC-HF'!$U13,'Tables - Part 2'!$AV$6:$AV$13,0),MATCH('HIC-SOHIC-HF'!$S13,'Tables - Part 2'!$AX$5:$BA$5,0)))/2)/2)/2,0)</f>
        <v>0</v>
      </c>
      <c r="AL13" s="248">
        <f>IF($R13=$AL$3,(INDEX('Tables - Part 2'!$BB$6:$BE$13,MATCH('HIC-SOHIC-HF'!$U13,'Tables - Part 2'!$AV$6:$AV$13,0),MATCH('HIC-SOHIC-HF'!$S13,'Tables - Part 2'!$AX$5:$BA$5,0))+(INDEX('Tables - Part 2'!$BB$6:$BE$13,MATCH('HIC-SOHIC-HF'!$U13,'Tables - Part 2'!$AV$6:$AV$13,0),MATCH('HIC-SOHIC-HF'!$S13,'Tables - Part 2'!$AX$5:$BA$5,0))+INDEX('Tables - Part 2'!$BF$6:$BI$13,MATCH('HIC-SOHIC-HF'!$U13,'Tables - Part 2'!$AV$6:$AV$13,0),MATCH('HIC-SOHIC-HF'!$S13,'Tables - Part 2'!$AX$5:$BA$5,0)))/2)/2,0)</f>
        <v>0</v>
      </c>
      <c r="AM13" s="248">
        <f>IF($R13=$AM$3,(((INDEX('Tables - Part 2'!$BB$6:$BE$13,MATCH('HIC-SOHIC-HF'!$U13,'Tables - Part 2'!$AV$6:$AV$13,0),MATCH('HIC-SOHIC-HF'!$S13,'Tables - Part 2'!$AX$5:$BA$5,0))+(INDEX('Tables - Part 2'!$BB$6:$BE$13,MATCH('HIC-SOHIC-HF'!$U13,'Tables - Part 2'!$AV$6:$AV$13,0),MATCH('HIC-SOHIC-HF'!$S13,'Tables - Part 2'!$AX$5:$BA$5,0))+INDEX('Tables - Part 2'!$BF$6:$BI$13,MATCH('HIC-SOHIC-HF'!$U13,'Tables - Part 2'!$AV$6:$AV$13,0),MATCH('HIC-SOHIC-HF'!$S13,'Tables - Part 2'!$AX$5:$BA$5,0)))/2)/2)+((INDEX('Tables - Part 2'!$BB$6:$BE$13,MATCH('HIC-SOHIC-HF'!$U13,'Tables - Part 2'!$AV$6:$AV$13,0),MATCH('HIC-SOHIC-HF'!$S13,'Tables - Part 2'!$AX$5:$BA$5,0))+INDEX('Tables - Part 2'!$BF$6:$BI$13,MATCH('HIC-SOHIC-HF'!$U13,'Tables - Part 2'!$AV$6:$AV$13,0),MATCH('HIC-SOHIC-HF'!$S13,'Tables - Part 2'!$AX$5:$BA$5,0)))/2))/2,0)</f>
        <v>0</v>
      </c>
      <c r="AN13" s="248">
        <f>IF($R13=$AN$3,(INDEX('Tables - Part 2'!$BB$6:$BE$13,MATCH('HIC-SOHIC-HF'!$U13,'Tables - Part 2'!$AV$6:$AV$13,0),MATCH('HIC-SOHIC-HF'!$S13,'Tables - Part 2'!$AX$5:$BA$5,0))+INDEX('Tables - Part 2'!$BF$6:$BI$13,MATCH('HIC-SOHIC-HF'!$U13,'Tables - Part 2'!$AV$6:$AV$13,0),MATCH('HIC-SOHIC-HF'!$S13,'Tables - Part 2'!$AX$5:$BA$5,0)))/2,0)</f>
        <v>3</v>
      </c>
      <c r="AO13" s="248">
        <f>IF($R13=$AO$3,(((INDEX('Tables - Part 2'!$BB$6:$BE$13,MATCH('HIC-SOHIC-HF'!$U13,'Tables - Part 2'!$AV$6:$AV$13,0),MATCH('HIC-SOHIC-HF'!$S13,'Tables - Part 2'!$AX$5:$BA$5,0))+INDEX('Tables - Part 2'!$BF$6:$BI$13,MATCH('HIC-SOHIC-HF'!$U13,'Tables - Part 2'!$AV$6:$AV$13,0),MATCH('HIC-SOHIC-HF'!$S13,'Tables - Part 2'!$AX$5:$BA$5,0)))/2)+((((INDEX('Tables - Part 2'!$BB$6:$BE$13,MATCH('HIC-SOHIC-HF'!$U13,'Tables - Part 2'!$AV$6:$AV$13,0),MATCH('HIC-SOHIC-HF'!$S13,'Tables - Part 2'!$AX$5:$BA$5,0))+INDEX('Tables - Part 2'!$BF$6:$BI$13,MATCH('HIC-SOHIC-HF'!$U13,'Tables - Part 2'!$AV$6:$AV$13,0),MATCH('HIC-SOHIC-HF'!$S13,'Tables - Part 2'!$AX$5:$BA$5,0)))/2)+INDEX('Tables - Part 2'!$BF$6:$BI$13,MATCH('HIC-SOHIC-HF'!$U13,'Tables - Part 2'!$AV$6:$AV$13,0),MATCH('HIC-SOHIC-HF'!$S13,'Tables - Part 2'!$AX$5:$BA$5,0)))/2))/2,0)</f>
        <v>0</v>
      </c>
      <c r="AP13" s="248">
        <f>IF($R13=$AP$3,(((INDEX('Tables - Part 2'!$BB$6:$BE$13,MATCH('HIC-SOHIC-HF'!$U13,'Tables - Part 2'!$AV$6:$AV$13,0),MATCH('HIC-SOHIC-HF'!$S13,'Tables - Part 2'!$AX$5:$BA$5,0))+INDEX('Tables - Part 2'!$BF$6:$BI$13,MATCH('HIC-SOHIC-HF'!$U13,'Tables - Part 2'!$AV$6:$AV$13,0),MATCH('HIC-SOHIC-HF'!$S13,'Tables - Part 2'!$AX$5:$BA$5,0)))/2)+INDEX('Tables - Part 2'!$BF$6:$BI$13,MATCH('HIC-SOHIC-HF'!$U13,'Tables - Part 2'!$AV$6:$AV$13,0),MATCH('HIC-SOHIC-HF'!$S13,'Tables - Part 2'!$AX$5:$BA$5,0)))/2,0)</f>
        <v>0</v>
      </c>
      <c r="AQ13" s="248">
        <f>IF($R13=$AQ$3,(((((INDEX('Tables - Part 2'!$BB$6:$BE$13,MATCH('HIC-SOHIC-HF'!$U13,'Tables - Part 2'!$AV$6:$AV$13,0),MATCH('HIC-SOHIC-HF'!$S13,'Tables - Part 2'!$AX$5:$BA$5,0))+INDEX('Tables - Part 2'!$BF$6:$BI$13,MATCH('HIC-SOHIC-HF'!$U13,'Tables - Part 2'!$AV$6:$AV$13,0),MATCH('HIC-SOHIC-HF'!$S13,'Tables - Part 2'!$AX$5:$BA$5,0)))/2)+INDEX('Tables - Part 2'!$BF$6:$BI$13,MATCH('HIC-SOHIC-HF'!$U13,'Tables - Part 2'!$AV$6:$AV$13,0),MATCH('HIC-SOHIC-HF'!$S13,'Tables - Part 2'!$AX$5:$BA$5,0)))/2)+INDEX('Tables - Part 2'!$BF$6:$BI$13,MATCH('HIC-SOHIC-HF'!$U13,'Tables - Part 2'!$AV$6:$AV$13,0),MATCH('HIC-SOHIC-HF'!$S13,'Tables - Part 2'!$AX$5:$BA$5,0)))/2,0)</f>
        <v>0</v>
      </c>
      <c r="AR13" s="248">
        <f>IF($R13=$AR$3,INDEX('Tables - Part 2'!$BF$6:$BI$13,MATCH('HIC-SOHIC-HF'!$U13,'Tables - Part 2'!$AV$6:$AV$13,0),MATCH('HIC-SOHIC-HF'!$S13,'Tables - Part 2'!$AX$5:$BA$5,0)),0)</f>
        <v>0</v>
      </c>
      <c r="AS13" s="248">
        <f>IF($R13=$AS$3,(INDEX('Tables - Part 2'!$BF$6:$BI$13,MATCH('HIC-SOHIC-HF'!$U13,'Tables - Part 2'!$AV$6:$AV$13,0),MATCH('HIC-SOHIC-HF'!$S13,'Tables - Part 2'!$AX$5:$BA$5,0))+((INDEX('Tables - Part 2'!$BF$6:$BI$13,MATCH('HIC-SOHIC-HF'!$U13,'Tables - Part 2'!$AV$6:$AV$13,0),MATCH('HIC-SOHIC-HF'!$S13,'Tables - Part 2'!$AX$5:$BA$5,0))+(INDEX('Tables - Part 2'!$BF$6:$BI$13,MATCH('HIC-SOHIC-HF'!$U13,'Tables - Part 2'!$AV$6:$AV$13,0),MATCH('HIC-SOHIC-HF'!$S13,'Tables - Part 2'!$AX$5:$BA$5,0))+INDEX('Tables - Part 2'!$AX$17:$BA$24,MATCH('HIC-SOHIC-HF'!$U13,'Tables - Part 2'!$AV$6:$AV$13,0),MATCH('HIC-SOHIC-HF'!$S13,'Tables - Part 2'!$AX$5:$BA$5,0)))/2)/2))/2,0)</f>
        <v>0</v>
      </c>
      <c r="AT13" s="248">
        <f>IF($R13=$AT$3,(INDEX('Tables - Part 2'!$BF$6:$BI$13,MATCH('HIC-SOHIC-HF'!$U13,'Tables - Part 2'!$AV$6:$AV$13,0),MATCH('HIC-SOHIC-HF'!$S13,'Tables - Part 2'!$AX$5:$BA$5,0))+(INDEX('Tables - Part 2'!$BF$6:$BI$13,MATCH('HIC-SOHIC-HF'!$U13,'Tables - Part 2'!$AV$6:$AV$13,0),MATCH('HIC-SOHIC-HF'!$S13,'Tables - Part 2'!$AX$5:$BA$5,0))+INDEX('Tables - Part 2'!$AX$17:$BA$24,MATCH('HIC-SOHIC-HF'!$U13,'Tables - Part 2'!$AV$6:$AV$13,0),MATCH('HIC-SOHIC-HF'!$S13,'Tables - Part 2'!$AX$5:$BA$5,0)))/2)/2,0)</f>
        <v>0</v>
      </c>
      <c r="AU13" s="248">
        <f>IF($R13=$AU$3,(((INDEX('Tables - Part 2'!$BF$6:$BI$13,MATCH('HIC-SOHIC-HF'!$U13,'Tables - Part 2'!$AV$6:$AV$13,0),MATCH('HIC-SOHIC-HF'!$S13,'Tables - Part 2'!$AX$5:$BA$5,0))+(INDEX('Tables - Part 2'!$BF$6:$BI$13,MATCH('HIC-SOHIC-HF'!$U13,'Tables - Part 2'!$AV$6:$AV$13,0),MATCH('HIC-SOHIC-HF'!$S13,'Tables - Part 2'!$AX$5:$BA$5,0))+INDEX('Tables - Part 2'!$AX$17:$BA$24,MATCH('HIC-SOHIC-HF'!$U13,'Tables - Part 2'!$AV$6:$AV$13,0),MATCH('HIC-SOHIC-HF'!$S13,'Tables - Part 2'!$AX$5:$BA$5,0)))/2)/2)+((INDEX('Tables - Part 2'!$BF$6:$BI$13,MATCH('HIC-SOHIC-HF'!$U13,'Tables - Part 2'!$AV$6:$AV$13,0),MATCH('HIC-SOHIC-HF'!$S13,'Tables - Part 2'!$AX$5:$BA$5,0))+INDEX('Tables - Part 2'!$AX$17:$BA$24,MATCH('HIC-SOHIC-HF'!$U13,'Tables - Part 2'!$AV$6:$AV$13,0),MATCH('HIC-SOHIC-HF'!$S13,'Tables - Part 2'!$AX$5:$BA$5,0)))/2))/2,0)</f>
        <v>0</v>
      </c>
      <c r="AV13" s="248">
        <f>IF($R13=$AV$3,(INDEX('Tables - Part 2'!$BF$6:$BI$13,MATCH('HIC-SOHIC-HF'!$U13,'Tables - Part 2'!$AV$6:$AV$13,0),MATCH('HIC-SOHIC-HF'!$S13,'Tables - Part 2'!$AX$5:$BA$5,0))+INDEX('Tables - Part 2'!$AX$17:$BA$24,MATCH('HIC-SOHIC-HF'!$U13,'Tables - Part 2'!$AV$6:$AV$13,0),MATCH('HIC-SOHIC-HF'!$S13,'Tables - Part 2'!$AX$5:$BA$5,0)))/2,0)</f>
        <v>0</v>
      </c>
      <c r="AW13" s="248">
        <f>IF($R13=$AW$3,(((INDEX('Tables - Part 2'!$BF$6:$BI$13,MATCH('HIC-SOHIC-HF'!$U13,'Tables - Part 2'!$AV$6:$AV$13,0),MATCH('HIC-SOHIC-HF'!$S13,'Tables - Part 2'!$AX$5:$BA$5,0))+INDEX('Tables - Part 2'!$AX$17:$BA$24,MATCH('HIC-SOHIC-HF'!$U13,'Tables - Part 2'!$AV$6:$AV$13,0),MATCH('HIC-SOHIC-HF'!$S13,'Tables - Part 2'!$AX$5:$BA$5,0)))/2)+((((INDEX('Tables - Part 2'!$BF$6:$BI$13,MATCH('HIC-SOHIC-HF'!$U13,'Tables - Part 2'!$AV$6:$AV$13,0),MATCH('HIC-SOHIC-HF'!$S13,'Tables - Part 2'!$AX$5:$BA$5,0))+INDEX('Tables - Part 2'!$AX$17:$BA$24,MATCH('HIC-SOHIC-HF'!$U13,'Tables - Part 2'!$AV$6:$AV$13,0),MATCH('HIC-SOHIC-HF'!$S13,'Tables - Part 2'!$AX$5:$BA$5,0)))/2)+INDEX('Tables - Part 2'!$AX$17:$BA$24,MATCH('HIC-SOHIC-HF'!$U13,'Tables - Part 2'!$AV$6:$AV$13,0),MATCH('HIC-SOHIC-HF'!$S13,'Tables - Part 2'!$AX$5:$BA$5,0)))/2))/2,0)</f>
        <v>0</v>
      </c>
      <c r="AX13" s="248">
        <f>IF($R13=$AX$3,(((INDEX('Tables - Part 2'!$BF$6:$BI$13,MATCH('HIC-SOHIC-HF'!$U13,'Tables - Part 2'!$AV$6:$AV$13,0),MATCH('HIC-SOHIC-HF'!$S13,'Tables - Part 2'!$AX$5:$BA$5,0))+INDEX('Tables - Part 2'!$AX$17:$BA$24,MATCH('HIC-SOHIC-HF'!$U13,'Tables - Part 2'!$AV$6:$AV$13,0),MATCH('HIC-SOHIC-HF'!$S13,'Tables - Part 2'!$AX$5:$BA$5,0)))/2)+INDEX('Tables - Part 2'!$AX$17:$BA$24,MATCH('HIC-SOHIC-HF'!$U13,'Tables - Part 2'!$AV$6:$AV$13,0),MATCH('HIC-SOHIC-HF'!$S13,'Tables - Part 2'!$AX$5:$BA$5,0)))/2,0)</f>
        <v>0</v>
      </c>
      <c r="AY13" s="248">
        <f>IF($R13=$AY$3,(((((INDEX('Tables - Part 2'!$BF$6:$BI$13,MATCH('HIC-SOHIC-HF'!$U13,'Tables - Part 2'!$AV$6:$AV$13,0),MATCH('HIC-SOHIC-HF'!$S13,'Tables - Part 2'!$AX$5:$BA$5,0))+INDEX('Tables - Part 2'!$AX$17:$BA$24,MATCH('HIC-SOHIC-HF'!$U13,'Tables - Part 2'!$AV$6:$AV$13,0),MATCH('HIC-SOHIC-HF'!$S13,'Tables - Part 2'!$AX$5:$BA$5,0)))/2)+INDEX('Tables - Part 2'!$AX$17:$BA$24,MATCH('HIC-SOHIC-HF'!$U13,'Tables - Part 2'!$AV$6:$AV$13,0),MATCH('HIC-SOHIC-HF'!$S13,'Tables - Part 2'!$AX$5:$BA$5,0)))/2)+(INDEX('Tables - Part 2'!$AX$17:$BA$24,MATCH('HIC-SOHIC-HF'!$U13,'Tables - Part 2'!$AV$6:$AV$13,0),MATCH('HIC-SOHIC-HF'!$S13,'Tables - Part 2'!$AX$5:$BA$5,0))))/2,0)</f>
        <v>0</v>
      </c>
      <c r="AZ13" s="248">
        <f>IF($R13=$AZ$3,INDEX('Tables - Part 2'!$AX$17:$BA$24,MATCH('HIC-SOHIC-HF'!$U13,'Tables - Part 2'!$AV$6:$AV$13,0),MATCH('HIC-SOHIC-HF'!$S13,'Tables - Part 2'!$AX$5:$BA$5,0)),0)</f>
        <v>0</v>
      </c>
      <c r="BA13" s="248">
        <f>IF($R13=$BA$3,((INDEX('Tables - Part 2'!$AX$17:$BA$24,MATCH('HIC-SOHIC-HF'!$U13,'Tables - Part 2'!$AV$6:$AV$13,0),MATCH('HIC-SOHIC-HF'!$S13,'Tables - Part 2'!$AX$5:$BA$5,0)))+(((INDEX('Tables - Part 2'!$AX$17:$BA$24,MATCH('HIC-SOHIC-HF'!$U13,'Tables - Part 2'!$AV$6:$AV$13,0),MATCH('HIC-SOHIC-HF'!$S13,'Tables - Part 2'!$AX$5:$BA$5,0)))+(INDEX('Tables - Part 2'!$AX$17:$BA$24,MATCH('HIC-SOHIC-HF'!$U13,'Tables - Part 2'!$AV$6:$AV$13,0),MATCH('HIC-SOHIC-HF'!$S13,'Tables - Part 2'!$AX$5:$BA$5,0))+INDEX('Tables - Part 2'!$BB$17:$BE$24,MATCH('HIC-SOHIC-HF'!$U13,'Tables - Part 2'!$AV$6:$AV$13,0),MATCH('HIC-SOHIC-HF'!$S13,'Tables - Part 2'!$AX$5:$BA$5,0)))/2)/2))/2,0)</f>
        <v>0</v>
      </c>
      <c r="BB13" s="248">
        <f>IF($R13=$BB$3,((INDEX('Tables - Part 2'!$AX$17:$BA$24,MATCH('HIC-SOHIC-HF'!$U13,'Tables - Part 2'!$AV$6:$AV$13,0),MATCH('HIC-SOHIC-HF'!$S13,'Tables - Part 2'!$AX$5:$BA$5,0)))+(INDEX('Tables - Part 2'!$AX$17:$BA$24,MATCH('HIC-SOHIC-HF'!$U13,'Tables - Part 2'!$AV$6:$AV$13,0),MATCH('HIC-SOHIC-HF'!$S13,'Tables - Part 2'!$AX$5:$BA$5,0))+INDEX('Tables - Part 2'!$BB$17:$BE$24,MATCH('HIC-SOHIC-HF'!$U13,'Tables - Part 2'!$AV$6:$AV$13,0),MATCH('HIC-SOHIC-HF'!$S13,'Tables - Part 2'!$AX$5:$BA$5,0)))/2)/2,0)</f>
        <v>0</v>
      </c>
      <c r="BC13" s="248">
        <f>IF($R13=$BC$3,((((INDEX('Tables - Part 2'!$AX$17:$BA$24,MATCH('HIC-SOHIC-HF'!$U13,'Tables - Part 2'!$AV$6:$AV$13,0),MATCH('HIC-SOHIC-HF'!$S13,'Tables - Part 2'!$AX$5:$BA$5,0)))+(INDEX('Tables - Part 2'!$AX$17:$BA$24,MATCH('HIC-SOHIC-HF'!$U13,'Tables - Part 2'!$AV$6:$AV$13,0),MATCH('HIC-SOHIC-HF'!$S13,'Tables - Part 2'!$AX$5:$BA$5,0))+INDEX('Tables - Part 2'!$BB$17:$BE$24,MATCH('HIC-SOHIC-HF'!$U13,'Tables - Part 2'!$AV$6:$AV$13,0),MATCH('HIC-SOHIC-HF'!$S13,'Tables - Part 2'!$AX$5:$BA$5,0)))/2)/2)+((INDEX('Tables - Part 2'!$AX$17:$BA$24,MATCH('HIC-SOHIC-HF'!$U13,'Tables - Part 2'!$AV$6:$AV$13,0),MATCH('HIC-SOHIC-HF'!$S13,'Tables - Part 2'!$AX$5:$BA$5,0))+INDEX('Tables - Part 2'!$BB$17:$BE$24,MATCH('HIC-SOHIC-HF'!$U13,'Tables - Part 2'!$AV$6:$AV$13,0),MATCH('HIC-SOHIC-HF'!$S13,'Tables - Part 2'!$AX$5:$BA$5,0)))/2))/2,0)</f>
        <v>0</v>
      </c>
      <c r="BD13" s="248">
        <f>IF($R13=$BD$3,(INDEX('Tables - Part 2'!$AX$17:$BA$24,MATCH('HIC-SOHIC-HF'!$U13,'Tables - Part 2'!$AV$6:$AV$13,0),MATCH('HIC-SOHIC-HF'!$S13,'Tables - Part 2'!$AX$5:$BA$5,0))+INDEX('Tables - Part 2'!$BB$17:$BE$24,MATCH('HIC-SOHIC-HF'!$U13,'Tables - Part 2'!$AV$6:$AV$13,0),MATCH('HIC-SOHIC-HF'!$S13,'Tables - Part 2'!$AX$5:$BA$5,0)))/2,0)</f>
        <v>0</v>
      </c>
      <c r="BE13" s="248">
        <f>IF($R13=$BE$3,(((INDEX('Tables - Part 2'!$AX$17:$BA$24,MATCH('HIC-SOHIC-HF'!$U13,'Tables - Part 2'!$AV$6:$AV$13,0),MATCH('HIC-SOHIC-HF'!$S13,'Tables - Part 2'!$AX$5:$BA$5,0))+INDEX('Tables - Part 2'!$BB$17:$BE$24,MATCH('HIC-SOHIC-HF'!$U13,'Tables - Part 2'!$AV$6:$AV$13,0),MATCH('HIC-SOHIC-HF'!$S13,'Tables - Part 2'!$AX$5:$BA$5,0)))/2)+((((INDEX('Tables - Part 2'!$AX$17:$BA$24,MATCH('HIC-SOHIC-HF'!$U13,'Tables - Part 2'!$AV$6:$AV$13,0),MATCH('HIC-SOHIC-HF'!$S13,'Tables - Part 2'!$AX$5:$BA$5,0))+INDEX('Tables - Part 2'!$BB$17:$BE$24,MATCH('HIC-SOHIC-HF'!$U13,'Tables - Part 2'!$AV$6:$AV$13,0),MATCH('HIC-SOHIC-HF'!$S13,'Tables - Part 2'!$AX$5:$BA$5,0)))/2)+INDEX('Tables - Part 2'!$BB$17:$BE$24,MATCH('HIC-SOHIC-HF'!$U13,'Tables - Part 2'!$AV$6:$AV$13,0),MATCH('HIC-SOHIC-HF'!$S13,'Tables - Part 2'!$AX$5:$BA$5,0)))/2))/2,0)</f>
        <v>0</v>
      </c>
      <c r="BF13" s="248">
        <f>IF($R13=$BF$3,(((INDEX('Tables - Part 2'!$AX$17:$BA$24,MATCH('HIC-SOHIC-HF'!$U13,'Tables - Part 2'!$AV$6:$AV$13,0),MATCH('HIC-SOHIC-HF'!$S13,'Tables - Part 2'!$AX$5:$BA$5,0))+INDEX('Tables - Part 2'!$BB$17:$BE$24,MATCH('HIC-SOHIC-HF'!$U13,'Tables - Part 2'!$AV$6:$AV$13,0),MATCH('HIC-SOHIC-HF'!$S13,'Tables - Part 2'!$AX$5:$BA$5,0)))/2)+INDEX('Tables - Part 2'!$BB$17:$BE$24,MATCH('HIC-SOHIC-HF'!$U13,'Tables - Part 2'!$AV$6:$AV$13,0),MATCH('HIC-SOHIC-HF'!$S13,'Tables - Part 2'!$AX$5:$BA$5,0)))/2,0)</f>
        <v>0</v>
      </c>
      <c r="BG13" s="248">
        <f>IF($R13=$BG$3,(((((INDEX('Tables - Part 2'!$AX$17:$BA$24,MATCH('HIC-SOHIC-HF'!$U13,'Tables - Part 2'!$AV$6:$AV$13,0),MATCH('HIC-SOHIC-HF'!$S13,'Tables - Part 2'!$AX$5:$BA$5,0))+INDEX('Tables - Part 2'!$BB$17:$BE$24,MATCH('HIC-SOHIC-HF'!$U13,'Tables - Part 2'!$AV$6:$AV$13,0),MATCH('HIC-SOHIC-HF'!$S13,'Tables - Part 2'!$AX$5:$BA$5,0)))/2)+INDEX('Tables - Part 2'!$BB$17:$BE$24,MATCH('HIC-SOHIC-HF'!$U13,'Tables - Part 2'!$AV$6:$AV$13,0),MATCH('HIC-SOHIC-HF'!$S13,'Tables - Part 2'!$AX$5:$BA$5,0)))/2)+(INDEX('Tables - Part 2'!$BB$17:$BE$24,MATCH('HIC-SOHIC-HF'!$U13,'Tables - Part 2'!$AV$6:$AV$13,0),MATCH('HIC-SOHIC-HF'!$S13,'Tables - Part 2'!$AX$5:$BA$5,0))))/2,0)</f>
        <v>0</v>
      </c>
      <c r="BH13" s="248">
        <f>IF($R13=$BH$3,INDEX('Tables - Part 2'!$BB$17:$BE$24,MATCH('HIC-SOHIC-HF'!$U13,'Tables - Part 2'!$AV$6:$AV$13,0),MATCH('HIC-SOHIC-HF'!$S13,'Tables - Part 2'!$AX$5:$BA$5,0)),0)</f>
        <v>0</v>
      </c>
      <c r="BI13" s="248">
        <f>IF($R13=$BI$3,((INDEX('Tables - Part 2'!$BB$17:$BE$24,MATCH('HIC-SOHIC-HF'!$U13,'Tables - Part 2'!$AV$6:$AV$13,0),MATCH('HIC-SOHIC-HF'!$S13,'Tables - Part 2'!$AX$5:$BA$5,0)))+(((INDEX('Tables - Part 2'!$BB$17:$BE$24,MATCH('HIC-SOHIC-HF'!$U13,'Tables - Part 2'!$AV$6:$AV$13,0),MATCH('HIC-SOHIC-HF'!$S13,'Tables - Part 2'!$AX$5:$BA$5,0)))+(INDEX('Tables - Part 2'!$BB$17:$BE$24,MATCH('HIC-SOHIC-HF'!$U13,'Tables - Part 2'!$AV$6:$AV$13,0),MATCH('HIC-SOHIC-HF'!$S13,'Tables - Part 2'!$AX$5:$BA$5,0))+INDEX('Tables - Part 2'!$BF$17:$BI$24,MATCH('HIC-SOHIC-HF'!$U13,'Tables - Part 2'!$AV$6:$AV$13,0),MATCH('HIC-SOHIC-HF'!$S13,'Tables - Part 2'!$AX$5:$BA$5,0)))/2)/2))/2,0)</f>
        <v>0</v>
      </c>
      <c r="BJ13" s="248">
        <f>IF($R13=$BJ$3,((INDEX('Tables - Part 2'!$BB$17:$BE$24,MATCH('HIC-SOHIC-HF'!$U13,'Tables - Part 2'!$AV$6:$AV$13,0),MATCH('HIC-SOHIC-HF'!$S13,'Tables - Part 2'!$AX$5:$BA$5,0)))+(INDEX('Tables - Part 2'!$BB$17:$BE$24,MATCH('HIC-SOHIC-HF'!$U13,'Tables - Part 2'!$AV$6:$AV$13,0),MATCH('HIC-SOHIC-HF'!$S13,'Tables - Part 2'!$AX$5:$BA$5,0))+INDEX('Tables - Part 2'!$BF$17:$BI$24,MATCH('HIC-SOHIC-HF'!$U13,'Tables - Part 2'!$AV$6:$AV$13,0),MATCH('HIC-SOHIC-HF'!$S13,'Tables - Part 2'!$AX$5:$BA$5,0)))/2)/2,0)</f>
        <v>0</v>
      </c>
      <c r="BK13" s="248">
        <f>IF($R13=$BK$3,((((INDEX('Tables - Part 2'!$BB$17:$BE$24,MATCH('HIC-SOHIC-HF'!$U13,'Tables - Part 2'!$AV$6:$AV$13,0),MATCH('HIC-SOHIC-HF'!$S13,'Tables - Part 2'!$AX$5:$BA$5,0)))+(INDEX('Tables - Part 2'!$BB$17:$BE$24,MATCH('HIC-SOHIC-HF'!$U13,'Tables - Part 2'!$AV$6:$AV$13,0),MATCH('HIC-SOHIC-HF'!$S13,'Tables - Part 2'!$AX$5:$BA$5,0))+INDEX('Tables - Part 2'!$BF$17:$BI$24,MATCH('HIC-SOHIC-HF'!$U13,'Tables - Part 2'!$AV$6:$AV$13,0),MATCH('HIC-SOHIC-HF'!$S13,'Tables - Part 2'!$AX$5:$BA$5,0)))/2)/2)+((INDEX('Tables - Part 2'!$BB$17:$BE$24,MATCH('HIC-SOHIC-HF'!$U13,'Tables - Part 2'!$AV$6:$AV$13,0),MATCH('HIC-SOHIC-HF'!$S13,'Tables - Part 2'!$AX$5:$BA$5,0))+INDEX('Tables - Part 2'!$BF$17:$BI$24,MATCH('HIC-SOHIC-HF'!$U13,'Tables - Part 2'!$AV$6:$AV$13,0),MATCH('HIC-SOHIC-HF'!$S13,'Tables - Part 2'!$AX$5:$BA$5,0)))/2))/2,0)</f>
        <v>0</v>
      </c>
      <c r="BL13" s="248">
        <f>IF($R13=$BL$3,(INDEX('Tables - Part 2'!$BB$17:$BE$24,MATCH('HIC-SOHIC-HF'!$U13,'Tables - Part 2'!$AV$6:$AV$13,0),MATCH('HIC-SOHIC-HF'!$S13,'Tables - Part 2'!$AX$5:$BA$5,0))+INDEX('Tables - Part 2'!$BF$17:$BI$24,MATCH('HIC-SOHIC-HF'!$U13,'Tables - Part 2'!$AV$6:$AV$13,0),MATCH('HIC-SOHIC-HF'!$S13,'Tables - Part 2'!$AX$5:$BA$5,0)))/2,0)</f>
        <v>0</v>
      </c>
      <c r="BM13" s="248">
        <f>IF($R13=$BM$3,(((INDEX('Tables - Part 2'!$BB$17:$BE$24,MATCH('HIC-SOHIC-HF'!$U13,'Tables - Part 2'!$AV$6:$AV$13,0),MATCH('HIC-SOHIC-HF'!$S13,'Tables - Part 2'!$AX$5:$BA$5,0))+INDEX('Tables - Part 2'!$BF$17:$BI$24,MATCH('HIC-SOHIC-HF'!$U13,'Tables - Part 2'!$AV$6:$AV$13,0),MATCH('HIC-SOHIC-HF'!$S13,'Tables - Part 2'!$AX$5:$BA$5,0)))/2)+((((INDEX('Tables - Part 2'!$BB$17:$BE$24,MATCH('HIC-SOHIC-HF'!$U13,'Tables - Part 2'!$AV$6:$AV$13,0),MATCH('HIC-SOHIC-HF'!$S13,'Tables - Part 2'!$AX$5:$BA$5,0))+INDEX('Tables - Part 2'!$BF$17:$BI$24,MATCH('HIC-SOHIC-HF'!$U13,'Tables - Part 2'!$AV$6:$AV$13,0),MATCH('HIC-SOHIC-HF'!$S13,'Tables - Part 2'!$AX$5:$BA$5,0)))/2)+INDEX('Tables - Part 2'!$BF$17:$BI$24,MATCH('HIC-SOHIC-HF'!$U13,'Tables - Part 2'!$AV$6:$AV$13,0),MATCH('HIC-SOHIC-HF'!$S13,'Tables - Part 2'!$AX$5:$BA$5,0)))/2))/2,0)</f>
        <v>0</v>
      </c>
      <c r="BN13" s="248">
        <f>IF($R13=$BN$3,(((INDEX('Tables - Part 2'!$BB$17:$BE$24,MATCH('HIC-SOHIC-HF'!$U13,'Tables - Part 2'!$AV$6:$AV$13,0),MATCH('HIC-SOHIC-HF'!$S13,'Tables - Part 2'!$AX$5:$BA$5,0))+INDEX('Tables - Part 2'!$BF$17:$BI$24,MATCH('HIC-SOHIC-HF'!$U13,'Tables - Part 2'!$AV$6:$AV$13,0),MATCH('HIC-SOHIC-HF'!$S13,'Tables - Part 2'!$AX$5:$BA$5,0)))/2)+INDEX('Tables - Part 2'!$BF$17:$BI$24,MATCH('HIC-SOHIC-HF'!$U13,'Tables - Part 2'!$AV$6:$AV$13,0),MATCH('HIC-SOHIC-HF'!$S13,'Tables - Part 2'!$AX$5:$BA$5,0)))/2,0)</f>
        <v>0</v>
      </c>
      <c r="BO13" s="248">
        <f>IF($R13=$BO$3,(((((INDEX('Tables - Part 2'!$BB$17:$BE$24,MATCH('HIC-SOHIC-HF'!$U13,'Tables - Part 2'!$AV$6:$AV$13,0),MATCH('HIC-SOHIC-HF'!$S13,'Tables - Part 2'!$AX$5:$BA$5,0))+INDEX('Tables - Part 2'!$BF$17:$BI$24,MATCH('HIC-SOHIC-HF'!$U13,'Tables - Part 2'!$AV$6:$AV$13,0),MATCH('HIC-SOHIC-HF'!$S13,'Tables - Part 2'!$AX$5:$BA$5,0)))/2)+INDEX('Tables - Part 2'!$BF$17:$BI$24,MATCH('HIC-SOHIC-HF'!$U13,'Tables - Part 2'!$AV$6:$AV$13,0),MATCH('HIC-SOHIC-HF'!$S13,'Tables - Part 2'!$AX$5:$BA$5,0)))/2)+(INDEX('Tables - Part 2'!$BF$17:$BI$24,MATCH('HIC-SOHIC-HF'!$U13,'Tables - Part 2'!$AV$6:$AV$13,0),MATCH('HIC-SOHIC-HF'!$S13,'Tables - Part 2'!$AX$5:$BA$5,0))))/2,0)</f>
        <v>0</v>
      </c>
      <c r="BP13" s="248">
        <f>IF($R13=$BP$3,INDEX('Tables - Part 2'!$BF$17:$BI$24,MATCH('HIC-SOHIC-HF'!$U13,'Tables - Part 2'!$AV$6:$AV$13,0),MATCH('HIC-SOHIC-HF'!$S13,'Tables - Part 2'!$AX$5:$BA$5,0)),0)</f>
        <v>0</v>
      </c>
      <c r="BQ13" s="248">
        <f t="shared" si="6"/>
        <v>0</v>
      </c>
      <c r="BR13" s="238">
        <f t="shared" si="7"/>
        <v>3</v>
      </c>
      <c r="BS13" s="238">
        <f t="shared" si="8"/>
        <v>50.318647405225171</v>
      </c>
    </row>
    <row r="14" spans="2:84" x14ac:dyDescent="0.35">
      <c r="B14" s="161" t="str">
        <f>'Tratamento de Dados'!B22</f>
        <v>V-50</v>
      </c>
      <c r="C14" s="161" t="str">
        <f>'Tratamento de Dados'!D22</f>
        <v>Casco</v>
      </c>
      <c r="D14" s="209" t="s">
        <v>245</v>
      </c>
      <c r="E14" s="209" t="s">
        <v>61</v>
      </c>
      <c r="F14" s="209" t="s">
        <v>244</v>
      </c>
      <c r="G14" s="209" t="s">
        <v>244</v>
      </c>
      <c r="H14" s="209" t="s">
        <v>1208</v>
      </c>
      <c r="I14" s="209" t="s">
        <v>245</v>
      </c>
      <c r="J14" s="209" t="s">
        <v>898</v>
      </c>
      <c r="K14" s="210">
        <v>39092</v>
      </c>
      <c r="L14" s="209">
        <v>0</v>
      </c>
      <c r="M14" s="209">
        <v>1</v>
      </c>
      <c r="N14" s="209">
        <v>1</v>
      </c>
      <c r="O14" s="209">
        <v>4</v>
      </c>
      <c r="P14" s="253">
        <f>'Tratamento de Dados'!DA22</f>
        <v>0</v>
      </c>
      <c r="Q14" s="253">
        <f>'Tratamento de Dados'!DB22</f>
        <v>0</v>
      </c>
      <c r="R14" s="256">
        <f t="shared" si="0"/>
        <v>2.5</v>
      </c>
      <c r="S14" s="246" t="str">
        <f t="shared" si="1"/>
        <v>B</v>
      </c>
      <c r="T14" s="238" t="str" cm="1">
        <f t="array" ref="T14">IF(D14=$BX$2,$BV$4,IF(OR(F14=$BX$3,G14=$BX$3),$BV$5,INDEX(IF(I14=$BX$2,'Tables - Part 2'!$EI$6:$EK$6,'Tables - Part 2'!$EI$5:$EK$5),,MATCH('HIC-SOHIC-HF'!H14,'Tables - Part 2'!$EI$4:$EK$4,0))))</f>
        <v>High</v>
      </c>
      <c r="U14" s="238">
        <f>IF(AND(D14=$BX$2,E14&lt;&gt;$BX$2),"Fitness-For-Service",INDEX('Tables - Part 2'!$EN$4:$EN$7,MATCH('HIC-SOHIC-HF'!T14,'Tables - Part 2'!$EM$4:$EM$7,0),))</f>
        <v>100</v>
      </c>
      <c r="V14" s="238">
        <f>INDEX('Tables - Part 2'!$EQ$4:$EQ$7,MATCH('HIC-SOHIC-HF'!J14,'Tables - Part 2'!$EP$4:$EP$7,0))</f>
        <v>1</v>
      </c>
      <c r="W14" s="238">
        <f>IF(K14=0,(Thinning!G15-Thinning!F15)/365.25,(Thinning!G15-K14)/365.25)</f>
        <v>12.980150581793293</v>
      </c>
      <c r="X14" s="248">
        <f t="shared" si="2"/>
        <v>0</v>
      </c>
      <c r="Y14" s="248">
        <f t="shared" si="3"/>
        <v>2.5</v>
      </c>
      <c r="Z14" s="248">
        <f t="shared" si="4"/>
        <v>3</v>
      </c>
      <c r="AA14" s="247">
        <f t="shared" si="5"/>
        <v>4</v>
      </c>
      <c r="AB14" s="248">
        <f>IF($R14=$AB$3,INDEX('Tables - Part 2'!$AX$6:$BA$13,MATCH('HIC-SOHIC-HF'!U14,'Tables - Part 2'!$AV$6:$AV$13,0),MATCH('HIC-SOHIC-HF'!S14,'Tables - Part 2'!$AX$5:$BA$5,0)),0)</f>
        <v>0</v>
      </c>
      <c r="AC14" s="248">
        <f>IF($R14=$AC$3,(INDEX('Tables - Part 2'!$AX$6:$BA$13,MATCH('HIC-SOHIC-HF'!U14,'Tables - Part 2'!$AV$6:$AV$13,0),MATCH('HIC-SOHIC-HF'!S14,'Tables - Part 2'!$AX$5:$BA$5,0))+(INDEX('Tables - Part 2'!$AX$6:$BA$13,MATCH('HIC-SOHIC-HF'!U14,'Tables - Part 2'!$AV$6:$AV$13,0),MATCH('HIC-SOHIC-HF'!S14,'Tables - Part 2'!$AX$5:$BA$5,0))+((INDEX('Tables - Part 2'!$AX$6:$BA$13,MATCH('HIC-SOHIC-HF'!U14,'Tables - Part 2'!$AV$6:$AV$13,0),MATCH('HIC-SOHIC-HF'!S14,'Tables - Part 2'!$AX$5:$BA$5,0))+INDEX('Tables - Part 2'!$BB$6:$BE$13,MATCH('HIC-SOHIC-HF'!$U14,'Tables - Part 2'!$AV$6:$AV$13,0),MATCH('HIC-SOHIC-HF'!$S14,'Tables - Part 2'!$AX$5:$BA$5,0)))/2))/2)/2,0)</f>
        <v>0</v>
      </c>
      <c r="AD14" s="248">
        <f>IF($R14=$AD$3,(INDEX('Tables - Part 2'!$AX$6:$BA$13,MATCH('HIC-SOHIC-HF'!U14,'Tables - Part 2'!$AV$6:$AV$13,0),MATCH('HIC-SOHIC-HF'!S14,'Tables - Part 2'!$AX$5:$BA$5,0))+((INDEX('Tables - Part 2'!$AX$6:$BA$13,MATCH('HIC-SOHIC-HF'!U14,'Tables - Part 2'!$AV$6:$AV$13,0),MATCH('HIC-SOHIC-HF'!S14,'Tables - Part 2'!$AX$5:$BA$5,0))+INDEX('Tables - Part 2'!$BB$6:$BE$13,MATCH('HIC-SOHIC-HF'!$U14,'Tables - Part 2'!$AV$6:$AV$13,0),MATCH('HIC-SOHIC-HF'!$S14,'Tables - Part 2'!$AX$5:$BA$5,0)))/2))/2,0)</f>
        <v>0</v>
      </c>
      <c r="AE14" s="248">
        <f>IF($R14=$AE$3,(((INDEX('Tables - Part 2'!$AX$6:$BA$13,MATCH('HIC-SOHIC-HF'!U14,'Tables - Part 2'!$AV$6:$AV$13,0),MATCH('HIC-SOHIC-HF'!S14,'Tables - Part 2'!$AX$5:$BA$5,0))+((INDEX('Tables - Part 2'!$AX$6:$BA$13,MATCH('HIC-SOHIC-HF'!U14,'Tables - Part 2'!$AV$6:$AV$13,0),MATCH('HIC-SOHIC-HF'!S14,'Tables - Part 2'!$AX$5:$BA$5,0))+INDEX('Tables - Part 2'!$BB$6:$BE$13,MATCH('HIC-SOHIC-HF'!$U14,'Tables - Part 2'!$AV$6:$AV$13,0),MATCH('HIC-SOHIC-HF'!$S14,'Tables - Part 2'!$AX$5:$BA$5,0)))/2))/2)+(INDEX('Tables - Part 2'!$AX$6:$BA$13,MATCH('HIC-SOHIC-HF'!U14,'Tables - Part 2'!$AV$6:$AV$13,0),MATCH('HIC-SOHIC-HF'!S14,'Tables - Part 2'!$AX$5:$BA$5,0))+INDEX('Tables - Part 2'!$BB$6:$BE$13,MATCH('HIC-SOHIC-HF'!$U14,'Tables - Part 2'!$AV$6:$AV$13,0),MATCH('HIC-SOHIC-HF'!$S14,'Tables - Part 2'!$AX$5:$BA$5,0)))/2)/2,0)</f>
        <v>0</v>
      </c>
      <c r="AF14" s="248">
        <f>IF($R14=$AF$3,(INDEX('Tables - Part 2'!$AX$6:$BA$13,MATCH('HIC-SOHIC-HF'!U14,'Tables - Part 2'!$AV$6:$AV$13,0),MATCH('HIC-SOHIC-HF'!S14,'Tables - Part 2'!$AX$5:$BA$5,0))+INDEX('Tables - Part 2'!$BB$6:$BE$13,MATCH('HIC-SOHIC-HF'!$U14,'Tables - Part 2'!$AV$6:$AV$13,0),MATCH('HIC-SOHIC-HF'!$S14,'Tables - Part 2'!$AX$5:$BA$5,0)))/2,0)</f>
        <v>0</v>
      </c>
      <c r="AG14" s="248">
        <f>IF($R14=$AG$3,(((INDEX('Tables - Part 2'!$AX$6:$BA$13,MATCH('HIC-SOHIC-HF'!U14,'Tables - Part 2'!$AV$6:$AV$13,0),MATCH('HIC-SOHIC-HF'!S14,'Tables - Part 2'!$AX$5:$BA$5,0))+INDEX('Tables - Part 2'!$BB$6:$BE$13,MATCH('HIC-SOHIC-HF'!$U14,'Tables - Part 2'!$AV$6:$AV$13,0),MATCH('HIC-SOHIC-HF'!$S14,'Tables - Part 2'!$AX$5:$BA$5,0)))/2)+(((INDEX('Tables - Part 2'!$AX$6:$BA$13,MATCH('HIC-SOHIC-HF'!U14,'Tables - Part 2'!$AV$6:$AV$13,0),MATCH('HIC-SOHIC-HF'!S14,'Tables - Part 2'!$AX$5:$BA$5,0))+INDEX('Tables - Part 2'!$BB$6:$BE$13,MATCH('HIC-SOHIC-HF'!$U14,'Tables - Part 2'!$AV$6:$AV$13,0),MATCH('HIC-SOHIC-HF'!$S14,'Tables - Part 2'!$AX$5:$BA$5,0)))/2)+INDEX('Tables - Part 2'!$BB$6:$BE$13,MATCH('HIC-SOHIC-HF'!$U14,'Tables - Part 2'!$AV$6:$AV$13,0),MATCH('HIC-SOHIC-HF'!$S14,'Tables - Part 2'!$AX$5:$BA$5,0)))/2)/2,0)</f>
        <v>0</v>
      </c>
      <c r="AH14" s="248">
        <f>IF($R14=$AH$3,(((INDEX('Tables - Part 2'!$AX$6:$BA$13,MATCH('HIC-SOHIC-HF'!U14,'Tables - Part 2'!$AV$6:$AV$13,0),MATCH('HIC-SOHIC-HF'!S14,'Tables - Part 2'!$AX$5:$BA$5,0))+INDEX('Tables - Part 2'!$BB$6:$BE$13,MATCH('HIC-SOHIC-HF'!$U14,'Tables - Part 2'!$AV$6:$AV$13,0),MATCH('HIC-SOHIC-HF'!$S14,'Tables - Part 2'!$AX$5:$BA$5,0)))/2)+INDEX('Tables - Part 2'!$BB$6:$BE$13,MATCH('HIC-SOHIC-HF'!$U14,'Tables - Part 2'!$AV$6:$AV$13,0),MATCH('HIC-SOHIC-HF'!$S14,'Tables - Part 2'!$AX$5:$BA$5,0)))/2,0)</f>
        <v>0</v>
      </c>
      <c r="AI14" s="248">
        <f>IF($R14=$AI$3,(((((INDEX('Tables - Part 2'!$AX$6:$BA$13,MATCH('HIC-SOHIC-HF'!U14,'Tables - Part 2'!$AV$6:$AV$13,0),MATCH('HIC-SOHIC-HF'!S14,'Tables - Part 2'!$AX$5:$BA$5,0))+INDEX('Tables - Part 2'!$BB$6:$BE$13,MATCH('HIC-SOHIC-HF'!$U14,'Tables - Part 2'!$AV$6:$AV$13,0),MATCH('HIC-SOHIC-HF'!$S14,'Tables - Part 2'!$AX$5:$BA$5,0)))/2)+INDEX('Tables - Part 2'!$BB$6:$BE$13,MATCH('HIC-SOHIC-HF'!$U14,'Tables - Part 2'!$AV$6:$AV$13,0),MATCH('HIC-SOHIC-HF'!$S14,'Tables - Part 2'!$AX$5:$BA$5,0)))/2)+INDEX('Tables - Part 2'!$BB$6:$BE$13,MATCH('HIC-SOHIC-HF'!$U14,'Tables - Part 2'!$AV$6:$AV$13,0),MATCH('HIC-SOHIC-HF'!$S14,'Tables - Part 2'!$AX$5:$BA$5,0)))/2,0)</f>
        <v>0</v>
      </c>
      <c r="AJ14" s="248">
        <f>IF($R14=$AJ$3,INDEX('Tables - Part 2'!$BB$6:$BE$13,MATCH('HIC-SOHIC-HF'!$U14,'Tables - Part 2'!$AV$6:$AV$13,0),MATCH('HIC-SOHIC-HF'!$S14,'Tables - Part 2'!$AX$5:$BA$5,0)),0)</f>
        <v>0</v>
      </c>
      <c r="AK14" s="248">
        <f>IF($R14=$AK$3,((INDEX('Tables - Part 2'!$BB$6:$BE$13,MATCH('HIC-SOHIC-HF'!$U14,'Tables - Part 2'!$AV$6:$AV$13,0),MATCH('HIC-SOHIC-HF'!$S14,'Tables - Part 2'!$AX$5:$BA$5,0)))+(INDEX('Tables - Part 2'!$BB$6:$BE$13,MATCH('HIC-SOHIC-HF'!$U14,'Tables - Part 2'!$AV$6:$AV$13,0),MATCH('HIC-SOHIC-HF'!$S14,'Tables - Part 2'!$AX$5:$BA$5,0))+(INDEX('Tables - Part 2'!$BB$6:$BE$13,MATCH('HIC-SOHIC-HF'!$U14,'Tables - Part 2'!$AV$6:$AV$13,0),MATCH('HIC-SOHIC-HF'!$S14,'Tables - Part 2'!$AX$5:$BA$5,0))+INDEX('Tables - Part 2'!$BF$6:$BI$13,MATCH('HIC-SOHIC-HF'!$U14,'Tables - Part 2'!$AV$6:$AV$13,0),MATCH('HIC-SOHIC-HF'!$S14,'Tables - Part 2'!$AX$5:$BA$5,0)))/2)/2)/2,0)</f>
        <v>0</v>
      </c>
      <c r="AL14" s="248">
        <f>IF($R14=$AL$3,(INDEX('Tables - Part 2'!$BB$6:$BE$13,MATCH('HIC-SOHIC-HF'!$U14,'Tables - Part 2'!$AV$6:$AV$13,0),MATCH('HIC-SOHIC-HF'!$S14,'Tables - Part 2'!$AX$5:$BA$5,0))+(INDEX('Tables - Part 2'!$BB$6:$BE$13,MATCH('HIC-SOHIC-HF'!$U14,'Tables - Part 2'!$AV$6:$AV$13,0),MATCH('HIC-SOHIC-HF'!$S14,'Tables - Part 2'!$AX$5:$BA$5,0))+INDEX('Tables - Part 2'!$BF$6:$BI$13,MATCH('HIC-SOHIC-HF'!$U14,'Tables - Part 2'!$AV$6:$AV$13,0),MATCH('HIC-SOHIC-HF'!$S14,'Tables - Part 2'!$AX$5:$BA$5,0)))/2)/2,0)</f>
        <v>0</v>
      </c>
      <c r="AM14" s="248">
        <f>IF($R14=$AM$3,(((INDEX('Tables - Part 2'!$BB$6:$BE$13,MATCH('HIC-SOHIC-HF'!$U14,'Tables - Part 2'!$AV$6:$AV$13,0),MATCH('HIC-SOHIC-HF'!$S14,'Tables - Part 2'!$AX$5:$BA$5,0))+(INDEX('Tables - Part 2'!$BB$6:$BE$13,MATCH('HIC-SOHIC-HF'!$U14,'Tables - Part 2'!$AV$6:$AV$13,0),MATCH('HIC-SOHIC-HF'!$S14,'Tables - Part 2'!$AX$5:$BA$5,0))+INDEX('Tables - Part 2'!$BF$6:$BI$13,MATCH('HIC-SOHIC-HF'!$U14,'Tables - Part 2'!$AV$6:$AV$13,0),MATCH('HIC-SOHIC-HF'!$S14,'Tables - Part 2'!$AX$5:$BA$5,0)))/2)/2)+((INDEX('Tables - Part 2'!$BB$6:$BE$13,MATCH('HIC-SOHIC-HF'!$U14,'Tables - Part 2'!$AV$6:$AV$13,0),MATCH('HIC-SOHIC-HF'!$S14,'Tables - Part 2'!$AX$5:$BA$5,0))+INDEX('Tables - Part 2'!$BF$6:$BI$13,MATCH('HIC-SOHIC-HF'!$U14,'Tables - Part 2'!$AV$6:$AV$13,0),MATCH('HIC-SOHIC-HF'!$S14,'Tables - Part 2'!$AX$5:$BA$5,0)))/2))/2,0)</f>
        <v>0</v>
      </c>
      <c r="AN14" s="248">
        <f>IF($R14=$AN$3,(INDEX('Tables - Part 2'!$BB$6:$BE$13,MATCH('HIC-SOHIC-HF'!$U14,'Tables - Part 2'!$AV$6:$AV$13,0),MATCH('HIC-SOHIC-HF'!$S14,'Tables - Part 2'!$AX$5:$BA$5,0))+INDEX('Tables - Part 2'!$BF$6:$BI$13,MATCH('HIC-SOHIC-HF'!$U14,'Tables - Part 2'!$AV$6:$AV$13,0),MATCH('HIC-SOHIC-HF'!$S14,'Tables - Part 2'!$AX$5:$BA$5,0)))/2,0)</f>
        <v>3</v>
      </c>
      <c r="AO14" s="248">
        <f>IF($R14=$AO$3,(((INDEX('Tables - Part 2'!$BB$6:$BE$13,MATCH('HIC-SOHIC-HF'!$U14,'Tables - Part 2'!$AV$6:$AV$13,0),MATCH('HIC-SOHIC-HF'!$S14,'Tables - Part 2'!$AX$5:$BA$5,0))+INDEX('Tables - Part 2'!$BF$6:$BI$13,MATCH('HIC-SOHIC-HF'!$U14,'Tables - Part 2'!$AV$6:$AV$13,0),MATCH('HIC-SOHIC-HF'!$S14,'Tables - Part 2'!$AX$5:$BA$5,0)))/2)+((((INDEX('Tables - Part 2'!$BB$6:$BE$13,MATCH('HIC-SOHIC-HF'!$U14,'Tables - Part 2'!$AV$6:$AV$13,0),MATCH('HIC-SOHIC-HF'!$S14,'Tables - Part 2'!$AX$5:$BA$5,0))+INDEX('Tables - Part 2'!$BF$6:$BI$13,MATCH('HIC-SOHIC-HF'!$U14,'Tables - Part 2'!$AV$6:$AV$13,0),MATCH('HIC-SOHIC-HF'!$S14,'Tables - Part 2'!$AX$5:$BA$5,0)))/2)+INDEX('Tables - Part 2'!$BF$6:$BI$13,MATCH('HIC-SOHIC-HF'!$U14,'Tables - Part 2'!$AV$6:$AV$13,0),MATCH('HIC-SOHIC-HF'!$S14,'Tables - Part 2'!$AX$5:$BA$5,0)))/2))/2,0)</f>
        <v>0</v>
      </c>
      <c r="AP14" s="248">
        <f>IF($R14=$AP$3,(((INDEX('Tables - Part 2'!$BB$6:$BE$13,MATCH('HIC-SOHIC-HF'!$U14,'Tables - Part 2'!$AV$6:$AV$13,0),MATCH('HIC-SOHIC-HF'!$S14,'Tables - Part 2'!$AX$5:$BA$5,0))+INDEX('Tables - Part 2'!$BF$6:$BI$13,MATCH('HIC-SOHIC-HF'!$U14,'Tables - Part 2'!$AV$6:$AV$13,0),MATCH('HIC-SOHIC-HF'!$S14,'Tables - Part 2'!$AX$5:$BA$5,0)))/2)+INDEX('Tables - Part 2'!$BF$6:$BI$13,MATCH('HIC-SOHIC-HF'!$U14,'Tables - Part 2'!$AV$6:$AV$13,0),MATCH('HIC-SOHIC-HF'!$S14,'Tables - Part 2'!$AX$5:$BA$5,0)))/2,0)</f>
        <v>0</v>
      </c>
      <c r="AQ14" s="248">
        <f>IF($R14=$AQ$3,(((((INDEX('Tables - Part 2'!$BB$6:$BE$13,MATCH('HIC-SOHIC-HF'!$U14,'Tables - Part 2'!$AV$6:$AV$13,0),MATCH('HIC-SOHIC-HF'!$S14,'Tables - Part 2'!$AX$5:$BA$5,0))+INDEX('Tables - Part 2'!$BF$6:$BI$13,MATCH('HIC-SOHIC-HF'!$U14,'Tables - Part 2'!$AV$6:$AV$13,0),MATCH('HIC-SOHIC-HF'!$S14,'Tables - Part 2'!$AX$5:$BA$5,0)))/2)+INDEX('Tables - Part 2'!$BF$6:$BI$13,MATCH('HIC-SOHIC-HF'!$U14,'Tables - Part 2'!$AV$6:$AV$13,0),MATCH('HIC-SOHIC-HF'!$S14,'Tables - Part 2'!$AX$5:$BA$5,0)))/2)+INDEX('Tables - Part 2'!$BF$6:$BI$13,MATCH('HIC-SOHIC-HF'!$U14,'Tables - Part 2'!$AV$6:$AV$13,0),MATCH('HIC-SOHIC-HF'!$S14,'Tables - Part 2'!$AX$5:$BA$5,0)))/2,0)</f>
        <v>0</v>
      </c>
      <c r="AR14" s="248">
        <f>IF($R14=$AR$3,INDEX('Tables - Part 2'!$BF$6:$BI$13,MATCH('HIC-SOHIC-HF'!$U14,'Tables - Part 2'!$AV$6:$AV$13,0),MATCH('HIC-SOHIC-HF'!$S14,'Tables - Part 2'!$AX$5:$BA$5,0)),0)</f>
        <v>0</v>
      </c>
      <c r="AS14" s="248">
        <f>IF($R14=$AS$3,(INDEX('Tables - Part 2'!$BF$6:$BI$13,MATCH('HIC-SOHIC-HF'!$U14,'Tables - Part 2'!$AV$6:$AV$13,0),MATCH('HIC-SOHIC-HF'!$S14,'Tables - Part 2'!$AX$5:$BA$5,0))+((INDEX('Tables - Part 2'!$BF$6:$BI$13,MATCH('HIC-SOHIC-HF'!$U14,'Tables - Part 2'!$AV$6:$AV$13,0),MATCH('HIC-SOHIC-HF'!$S14,'Tables - Part 2'!$AX$5:$BA$5,0))+(INDEX('Tables - Part 2'!$BF$6:$BI$13,MATCH('HIC-SOHIC-HF'!$U14,'Tables - Part 2'!$AV$6:$AV$13,0),MATCH('HIC-SOHIC-HF'!$S14,'Tables - Part 2'!$AX$5:$BA$5,0))+INDEX('Tables - Part 2'!$AX$17:$BA$24,MATCH('HIC-SOHIC-HF'!$U14,'Tables - Part 2'!$AV$6:$AV$13,0),MATCH('HIC-SOHIC-HF'!$S14,'Tables - Part 2'!$AX$5:$BA$5,0)))/2)/2))/2,0)</f>
        <v>0</v>
      </c>
      <c r="AT14" s="248">
        <f>IF($R14=$AT$3,(INDEX('Tables - Part 2'!$BF$6:$BI$13,MATCH('HIC-SOHIC-HF'!$U14,'Tables - Part 2'!$AV$6:$AV$13,0),MATCH('HIC-SOHIC-HF'!$S14,'Tables - Part 2'!$AX$5:$BA$5,0))+(INDEX('Tables - Part 2'!$BF$6:$BI$13,MATCH('HIC-SOHIC-HF'!$U14,'Tables - Part 2'!$AV$6:$AV$13,0),MATCH('HIC-SOHIC-HF'!$S14,'Tables - Part 2'!$AX$5:$BA$5,0))+INDEX('Tables - Part 2'!$AX$17:$BA$24,MATCH('HIC-SOHIC-HF'!$U14,'Tables - Part 2'!$AV$6:$AV$13,0),MATCH('HIC-SOHIC-HF'!$S14,'Tables - Part 2'!$AX$5:$BA$5,0)))/2)/2,0)</f>
        <v>0</v>
      </c>
      <c r="AU14" s="248">
        <f>IF($R14=$AU$3,(((INDEX('Tables - Part 2'!$BF$6:$BI$13,MATCH('HIC-SOHIC-HF'!$U14,'Tables - Part 2'!$AV$6:$AV$13,0),MATCH('HIC-SOHIC-HF'!$S14,'Tables - Part 2'!$AX$5:$BA$5,0))+(INDEX('Tables - Part 2'!$BF$6:$BI$13,MATCH('HIC-SOHIC-HF'!$U14,'Tables - Part 2'!$AV$6:$AV$13,0),MATCH('HIC-SOHIC-HF'!$S14,'Tables - Part 2'!$AX$5:$BA$5,0))+INDEX('Tables - Part 2'!$AX$17:$BA$24,MATCH('HIC-SOHIC-HF'!$U14,'Tables - Part 2'!$AV$6:$AV$13,0),MATCH('HIC-SOHIC-HF'!$S14,'Tables - Part 2'!$AX$5:$BA$5,0)))/2)/2)+((INDEX('Tables - Part 2'!$BF$6:$BI$13,MATCH('HIC-SOHIC-HF'!$U14,'Tables - Part 2'!$AV$6:$AV$13,0),MATCH('HIC-SOHIC-HF'!$S14,'Tables - Part 2'!$AX$5:$BA$5,0))+INDEX('Tables - Part 2'!$AX$17:$BA$24,MATCH('HIC-SOHIC-HF'!$U14,'Tables - Part 2'!$AV$6:$AV$13,0),MATCH('HIC-SOHIC-HF'!$S14,'Tables - Part 2'!$AX$5:$BA$5,0)))/2))/2,0)</f>
        <v>0</v>
      </c>
      <c r="AV14" s="248">
        <f>IF($R14=$AV$3,(INDEX('Tables - Part 2'!$BF$6:$BI$13,MATCH('HIC-SOHIC-HF'!$U14,'Tables - Part 2'!$AV$6:$AV$13,0),MATCH('HIC-SOHIC-HF'!$S14,'Tables - Part 2'!$AX$5:$BA$5,0))+INDEX('Tables - Part 2'!$AX$17:$BA$24,MATCH('HIC-SOHIC-HF'!$U14,'Tables - Part 2'!$AV$6:$AV$13,0),MATCH('HIC-SOHIC-HF'!$S14,'Tables - Part 2'!$AX$5:$BA$5,0)))/2,0)</f>
        <v>0</v>
      </c>
      <c r="AW14" s="248">
        <f>IF($R14=$AW$3,(((INDEX('Tables - Part 2'!$BF$6:$BI$13,MATCH('HIC-SOHIC-HF'!$U14,'Tables - Part 2'!$AV$6:$AV$13,0),MATCH('HIC-SOHIC-HF'!$S14,'Tables - Part 2'!$AX$5:$BA$5,0))+INDEX('Tables - Part 2'!$AX$17:$BA$24,MATCH('HIC-SOHIC-HF'!$U14,'Tables - Part 2'!$AV$6:$AV$13,0),MATCH('HIC-SOHIC-HF'!$S14,'Tables - Part 2'!$AX$5:$BA$5,0)))/2)+((((INDEX('Tables - Part 2'!$BF$6:$BI$13,MATCH('HIC-SOHIC-HF'!$U14,'Tables - Part 2'!$AV$6:$AV$13,0),MATCH('HIC-SOHIC-HF'!$S14,'Tables - Part 2'!$AX$5:$BA$5,0))+INDEX('Tables - Part 2'!$AX$17:$BA$24,MATCH('HIC-SOHIC-HF'!$U14,'Tables - Part 2'!$AV$6:$AV$13,0),MATCH('HIC-SOHIC-HF'!$S14,'Tables - Part 2'!$AX$5:$BA$5,0)))/2)+INDEX('Tables - Part 2'!$AX$17:$BA$24,MATCH('HIC-SOHIC-HF'!$U14,'Tables - Part 2'!$AV$6:$AV$13,0),MATCH('HIC-SOHIC-HF'!$S14,'Tables - Part 2'!$AX$5:$BA$5,0)))/2))/2,0)</f>
        <v>0</v>
      </c>
      <c r="AX14" s="248">
        <f>IF($R14=$AX$3,(((INDEX('Tables - Part 2'!$BF$6:$BI$13,MATCH('HIC-SOHIC-HF'!$U14,'Tables - Part 2'!$AV$6:$AV$13,0),MATCH('HIC-SOHIC-HF'!$S14,'Tables - Part 2'!$AX$5:$BA$5,0))+INDEX('Tables - Part 2'!$AX$17:$BA$24,MATCH('HIC-SOHIC-HF'!$U14,'Tables - Part 2'!$AV$6:$AV$13,0),MATCH('HIC-SOHIC-HF'!$S14,'Tables - Part 2'!$AX$5:$BA$5,0)))/2)+INDEX('Tables - Part 2'!$AX$17:$BA$24,MATCH('HIC-SOHIC-HF'!$U14,'Tables - Part 2'!$AV$6:$AV$13,0),MATCH('HIC-SOHIC-HF'!$S14,'Tables - Part 2'!$AX$5:$BA$5,0)))/2,0)</f>
        <v>0</v>
      </c>
      <c r="AY14" s="248">
        <f>IF($R14=$AY$3,(((((INDEX('Tables - Part 2'!$BF$6:$BI$13,MATCH('HIC-SOHIC-HF'!$U14,'Tables - Part 2'!$AV$6:$AV$13,0),MATCH('HIC-SOHIC-HF'!$S14,'Tables - Part 2'!$AX$5:$BA$5,0))+INDEX('Tables - Part 2'!$AX$17:$BA$24,MATCH('HIC-SOHIC-HF'!$U14,'Tables - Part 2'!$AV$6:$AV$13,0),MATCH('HIC-SOHIC-HF'!$S14,'Tables - Part 2'!$AX$5:$BA$5,0)))/2)+INDEX('Tables - Part 2'!$AX$17:$BA$24,MATCH('HIC-SOHIC-HF'!$U14,'Tables - Part 2'!$AV$6:$AV$13,0),MATCH('HIC-SOHIC-HF'!$S14,'Tables - Part 2'!$AX$5:$BA$5,0)))/2)+(INDEX('Tables - Part 2'!$AX$17:$BA$24,MATCH('HIC-SOHIC-HF'!$U14,'Tables - Part 2'!$AV$6:$AV$13,0),MATCH('HIC-SOHIC-HF'!$S14,'Tables - Part 2'!$AX$5:$BA$5,0))))/2,0)</f>
        <v>0</v>
      </c>
      <c r="AZ14" s="248">
        <f>IF($R14=$AZ$3,INDEX('Tables - Part 2'!$AX$17:$BA$24,MATCH('HIC-SOHIC-HF'!$U14,'Tables - Part 2'!$AV$6:$AV$13,0),MATCH('HIC-SOHIC-HF'!$S14,'Tables - Part 2'!$AX$5:$BA$5,0)),0)</f>
        <v>0</v>
      </c>
      <c r="BA14" s="248">
        <f>IF($R14=$BA$3,((INDEX('Tables - Part 2'!$AX$17:$BA$24,MATCH('HIC-SOHIC-HF'!$U14,'Tables - Part 2'!$AV$6:$AV$13,0),MATCH('HIC-SOHIC-HF'!$S14,'Tables - Part 2'!$AX$5:$BA$5,0)))+(((INDEX('Tables - Part 2'!$AX$17:$BA$24,MATCH('HIC-SOHIC-HF'!$U14,'Tables - Part 2'!$AV$6:$AV$13,0),MATCH('HIC-SOHIC-HF'!$S14,'Tables - Part 2'!$AX$5:$BA$5,0)))+(INDEX('Tables - Part 2'!$AX$17:$BA$24,MATCH('HIC-SOHIC-HF'!$U14,'Tables - Part 2'!$AV$6:$AV$13,0),MATCH('HIC-SOHIC-HF'!$S14,'Tables - Part 2'!$AX$5:$BA$5,0))+INDEX('Tables - Part 2'!$BB$17:$BE$24,MATCH('HIC-SOHIC-HF'!$U14,'Tables - Part 2'!$AV$6:$AV$13,0),MATCH('HIC-SOHIC-HF'!$S14,'Tables - Part 2'!$AX$5:$BA$5,0)))/2)/2))/2,0)</f>
        <v>0</v>
      </c>
      <c r="BB14" s="248">
        <f>IF($R14=$BB$3,((INDEX('Tables - Part 2'!$AX$17:$BA$24,MATCH('HIC-SOHIC-HF'!$U14,'Tables - Part 2'!$AV$6:$AV$13,0),MATCH('HIC-SOHIC-HF'!$S14,'Tables - Part 2'!$AX$5:$BA$5,0)))+(INDEX('Tables - Part 2'!$AX$17:$BA$24,MATCH('HIC-SOHIC-HF'!$U14,'Tables - Part 2'!$AV$6:$AV$13,0),MATCH('HIC-SOHIC-HF'!$S14,'Tables - Part 2'!$AX$5:$BA$5,0))+INDEX('Tables - Part 2'!$BB$17:$BE$24,MATCH('HIC-SOHIC-HF'!$U14,'Tables - Part 2'!$AV$6:$AV$13,0),MATCH('HIC-SOHIC-HF'!$S14,'Tables - Part 2'!$AX$5:$BA$5,0)))/2)/2,0)</f>
        <v>0</v>
      </c>
      <c r="BC14" s="248">
        <f>IF($R14=$BC$3,((((INDEX('Tables - Part 2'!$AX$17:$BA$24,MATCH('HIC-SOHIC-HF'!$U14,'Tables - Part 2'!$AV$6:$AV$13,0),MATCH('HIC-SOHIC-HF'!$S14,'Tables - Part 2'!$AX$5:$BA$5,0)))+(INDEX('Tables - Part 2'!$AX$17:$BA$24,MATCH('HIC-SOHIC-HF'!$U14,'Tables - Part 2'!$AV$6:$AV$13,0),MATCH('HIC-SOHIC-HF'!$S14,'Tables - Part 2'!$AX$5:$BA$5,0))+INDEX('Tables - Part 2'!$BB$17:$BE$24,MATCH('HIC-SOHIC-HF'!$U14,'Tables - Part 2'!$AV$6:$AV$13,0),MATCH('HIC-SOHIC-HF'!$S14,'Tables - Part 2'!$AX$5:$BA$5,0)))/2)/2)+((INDEX('Tables - Part 2'!$AX$17:$BA$24,MATCH('HIC-SOHIC-HF'!$U14,'Tables - Part 2'!$AV$6:$AV$13,0),MATCH('HIC-SOHIC-HF'!$S14,'Tables - Part 2'!$AX$5:$BA$5,0))+INDEX('Tables - Part 2'!$BB$17:$BE$24,MATCH('HIC-SOHIC-HF'!$U14,'Tables - Part 2'!$AV$6:$AV$13,0),MATCH('HIC-SOHIC-HF'!$S14,'Tables - Part 2'!$AX$5:$BA$5,0)))/2))/2,0)</f>
        <v>0</v>
      </c>
      <c r="BD14" s="248">
        <f>IF($R14=$BD$3,(INDEX('Tables - Part 2'!$AX$17:$BA$24,MATCH('HIC-SOHIC-HF'!$U14,'Tables - Part 2'!$AV$6:$AV$13,0),MATCH('HIC-SOHIC-HF'!$S14,'Tables - Part 2'!$AX$5:$BA$5,0))+INDEX('Tables - Part 2'!$BB$17:$BE$24,MATCH('HIC-SOHIC-HF'!$U14,'Tables - Part 2'!$AV$6:$AV$13,0),MATCH('HIC-SOHIC-HF'!$S14,'Tables - Part 2'!$AX$5:$BA$5,0)))/2,0)</f>
        <v>0</v>
      </c>
      <c r="BE14" s="248">
        <f>IF($R14=$BE$3,(((INDEX('Tables - Part 2'!$AX$17:$BA$24,MATCH('HIC-SOHIC-HF'!$U14,'Tables - Part 2'!$AV$6:$AV$13,0),MATCH('HIC-SOHIC-HF'!$S14,'Tables - Part 2'!$AX$5:$BA$5,0))+INDEX('Tables - Part 2'!$BB$17:$BE$24,MATCH('HIC-SOHIC-HF'!$U14,'Tables - Part 2'!$AV$6:$AV$13,0),MATCH('HIC-SOHIC-HF'!$S14,'Tables - Part 2'!$AX$5:$BA$5,0)))/2)+((((INDEX('Tables - Part 2'!$AX$17:$BA$24,MATCH('HIC-SOHIC-HF'!$U14,'Tables - Part 2'!$AV$6:$AV$13,0),MATCH('HIC-SOHIC-HF'!$S14,'Tables - Part 2'!$AX$5:$BA$5,0))+INDEX('Tables - Part 2'!$BB$17:$BE$24,MATCH('HIC-SOHIC-HF'!$U14,'Tables - Part 2'!$AV$6:$AV$13,0),MATCH('HIC-SOHIC-HF'!$S14,'Tables - Part 2'!$AX$5:$BA$5,0)))/2)+INDEX('Tables - Part 2'!$BB$17:$BE$24,MATCH('HIC-SOHIC-HF'!$U14,'Tables - Part 2'!$AV$6:$AV$13,0),MATCH('HIC-SOHIC-HF'!$S14,'Tables - Part 2'!$AX$5:$BA$5,0)))/2))/2,0)</f>
        <v>0</v>
      </c>
      <c r="BF14" s="248">
        <f>IF($R14=$BF$3,(((INDEX('Tables - Part 2'!$AX$17:$BA$24,MATCH('HIC-SOHIC-HF'!$U14,'Tables - Part 2'!$AV$6:$AV$13,0),MATCH('HIC-SOHIC-HF'!$S14,'Tables - Part 2'!$AX$5:$BA$5,0))+INDEX('Tables - Part 2'!$BB$17:$BE$24,MATCH('HIC-SOHIC-HF'!$U14,'Tables - Part 2'!$AV$6:$AV$13,0),MATCH('HIC-SOHIC-HF'!$S14,'Tables - Part 2'!$AX$5:$BA$5,0)))/2)+INDEX('Tables - Part 2'!$BB$17:$BE$24,MATCH('HIC-SOHIC-HF'!$U14,'Tables - Part 2'!$AV$6:$AV$13,0),MATCH('HIC-SOHIC-HF'!$S14,'Tables - Part 2'!$AX$5:$BA$5,0)))/2,0)</f>
        <v>0</v>
      </c>
      <c r="BG14" s="248">
        <f>IF($R14=$BG$3,(((((INDEX('Tables - Part 2'!$AX$17:$BA$24,MATCH('HIC-SOHIC-HF'!$U14,'Tables - Part 2'!$AV$6:$AV$13,0),MATCH('HIC-SOHIC-HF'!$S14,'Tables - Part 2'!$AX$5:$BA$5,0))+INDEX('Tables - Part 2'!$BB$17:$BE$24,MATCH('HIC-SOHIC-HF'!$U14,'Tables - Part 2'!$AV$6:$AV$13,0),MATCH('HIC-SOHIC-HF'!$S14,'Tables - Part 2'!$AX$5:$BA$5,0)))/2)+INDEX('Tables - Part 2'!$BB$17:$BE$24,MATCH('HIC-SOHIC-HF'!$U14,'Tables - Part 2'!$AV$6:$AV$13,0),MATCH('HIC-SOHIC-HF'!$S14,'Tables - Part 2'!$AX$5:$BA$5,0)))/2)+(INDEX('Tables - Part 2'!$BB$17:$BE$24,MATCH('HIC-SOHIC-HF'!$U14,'Tables - Part 2'!$AV$6:$AV$13,0),MATCH('HIC-SOHIC-HF'!$S14,'Tables - Part 2'!$AX$5:$BA$5,0))))/2,0)</f>
        <v>0</v>
      </c>
      <c r="BH14" s="248">
        <f>IF($R14=$BH$3,INDEX('Tables - Part 2'!$BB$17:$BE$24,MATCH('HIC-SOHIC-HF'!$U14,'Tables - Part 2'!$AV$6:$AV$13,0),MATCH('HIC-SOHIC-HF'!$S14,'Tables - Part 2'!$AX$5:$BA$5,0)),0)</f>
        <v>0</v>
      </c>
      <c r="BI14" s="248">
        <f>IF($R14=$BI$3,((INDEX('Tables - Part 2'!$BB$17:$BE$24,MATCH('HIC-SOHIC-HF'!$U14,'Tables - Part 2'!$AV$6:$AV$13,0),MATCH('HIC-SOHIC-HF'!$S14,'Tables - Part 2'!$AX$5:$BA$5,0)))+(((INDEX('Tables - Part 2'!$BB$17:$BE$24,MATCH('HIC-SOHIC-HF'!$U14,'Tables - Part 2'!$AV$6:$AV$13,0),MATCH('HIC-SOHIC-HF'!$S14,'Tables - Part 2'!$AX$5:$BA$5,0)))+(INDEX('Tables - Part 2'!$BB$17:$BE$24,MATCH('HIC-SOHIC-HF'!$U14,'Tables - Part 2'!$AV$6:$AV$13,0),MATCH('HIC-SOHIC-HF'!$S14,'Tables - Part 2'!$AX$5:$BA$5,0))+INDEX('Tables - Part 2'!$BF$17:$BI$24,MATCH('HIC-SOHIC-HF'!$U14,'Tables - Part 2'!$AV$6:$AV$13,0),MATCH('HIC-SOHIC-HF'!$S14,'Tables - Part 2'!$AX$5:$BA$5,0)))/2)/2))/2,0)</f>
        <v>0</v>
      </c>
      <c r="BJ14" s="248">
        <f>IF($R14=$BJ$3,((INDEX('Tables - Part 2'!$BB$17:$BE$24,MATCH('HIC-SOHIC-HF'!$U14,'Tables - Part 2'!$AV$6:$AV$13,0),MATCH('HIC-SOHIC-HF'!$S14,'Tables - Part 2'!$AX$5:$BA$5,0)))+(INDEX('Tables - Part 2'!$BB$17:$BE$24,MATCH('HIC-SOHIC-HF'!$U14,'Tables - Part 2'!$AV$6:$AV$13,0),MATCH('HIC-SOHIC-HF'!$S14,'Tables - Part 2'!$AX$5:$BA$5,0))+INDEX('Tables - Part 2'!$BF$17:$BI$24,MATCH('HIC-SOHIC-HF'!$U14,'Tables - Part 2'!$AV$6:$AV$13,0),MATCH('HIC-SOHIC-HF'!$S14,'Tables - Part 2'!$AX$5:$BA$5,0)))/2)/2,0)</f>
        <v>0</v>
      </c>
      <c r="BK14" s="248">
        <f>IF($R14=$BK$3,((((INDEX('Tables - Part 2'!$BB$17:$BE$24,MATCH('HIC-SOHIC-HF'!$U14,'Tables - Part 2'!$AV$6:$AV$13,0),MATCH('HIC-SOHIC-HF'!$S14,'Tables - Part 2'!$AX$5:$BA$5,0)))+(INDEX('Tables - Part 2'!$BB$17:$BE$24,MATCH('HIC-SOHIC-HF'!$U14,'Tables - Part 2'!$AV$6:$AV$13,0),MATCH('HIC-SOHIC-HF'!$S14,'Tables - Part 2'!$AX$5:$BA$5,0))+INDEX('Tables - Part 2'!$BF$17:$BI$24,MATCH('HIC-SOHIC-HF'!$U14,'Tables - Part 2'!$AV$6:$AV$13,0),MATCH('HIC-SOHIC-HF'!$S14,'Tables - Part 2'!$AX$5:$BA$5,0)))/2)/2)+((INDEX('Tables - Part 2'!$BB$17:$BE$24,MATCH('HIC-SOHIC-HF'!$U14,'Tables - Part 2'!$AV$6:$AV$13,0),MATCH('HIC-SOHIC-HF'!$S14,'Tables - Part 2'!$AX$5:$BA$5,0))+INDEX('Tables - Part 2'!$BF$17:$BI$24,MATCH('HIC-SOHIC-HF'!$U14,'Tables - Part 2'!$AV$6:$AV$13,0),MATCH('HIC-SOHIC-HF'!$S14,'Tables - Part 2'!$AX$5:$BA$5,0)))/2))/2,0)</f>
        <v>0</v>
      </c>
      <c r="BL14" s="248">
        <f>IF($R14=$BL$3,(INDEX('Tables - Part 2'!$BB$17:$BE$24,MATCH('HIC-SOHIC-HF'!$U14,'Tables - Part 2'!$AV$6:$AV$13,0),MATCH('HIC-SOHIC-HF'!$S14,'Tables - Part 2'!$AX$5:$BA$5,0))+INDEX('Tables - Part 2'!$BF$17:$BI$24,MATCH('HIC-SOHIC-HF'!$U14,'Tables - Part 2'!$AV$6:$AV$13,0),MATCH('HIC-SOHIC-HF'!$S14,'Tables - Part 2'!$AX$5:$BA$5,0)))/2,0)</f>
        <v>0</v>
      </c>
      <c r="BM14" s="248">
        <f>IF($R14=$BM$3,(((INDEX('Tables - Part 2'!$BB$17:$BE$24,MATCH('HIC-SOHIC-HF'!$U14,'Tables - Part 2'!$AV$6:$AV$13,0),MATCH('HIC-SOHIC-HF'!$S14,'Tables - Part 2'!$AX$5:$BA$5,0))+INDEX('Tables - Part 2'!$BF$17:$BI$24,MATCH('HIC-SOHIC-HF'!$U14,'Tables - Part 2'!$AV$6:$AV$13,0),MATCH('HIC-SOHIC-HF'!$S14,'Tables - Part 2'!$AX$5:$BA$5,0)))/2)+((((INDEX('Tables - Part 2'!$BB$17:$BE$24,MATCH('HIC-SOHIC-HF'!$U14,'Tables - Part 2'!$AV$6:$AV$13,0),MATCH('HIC-SOHIC-HF'!$S14,'Tables - Part 2'!$AX$5:$BA$5,0))+INDEX('Tables - Part 2'!$BF$17:$BI$24,MATCH('HIC-SOHIC-HF'!$U14,'Tables - Part 2'!$AV$6:$AV$13,0),MATCH('HIC-SOHIC-HF'!$S14,'Tables - Part 2'!$AX$5:$BA$5,0)))/2)+INDEX('Tables - Part 2'!$BF$17:$BI$24,MATCH('HIC-SOHIC-HF'!$U14,'Tables - Part 2'!$AV$6:$AV$13,0),MATCH('HIC-SOHIC-HF'!$S14,'Tables - Part 2'!$AX$5:$BA$5,0)))/2))/2,0)</f>
        <v>0</v>
      </c>
      <c r="BN14" s="248">
        <f>IF($R14=$BN$3,(((INDEX('Tables - Part 2'!$BB$17:$BE$24,MATCH('HIC-SOHIC-HF'!$U14,'Tables - Part 2'!$AV$6:$AV$13,0),MATCH('HIC-SOHIC-HF'!$S14,'Tables - Part 2'!$AX$5:$BA$5,0))+INDEX('Tables - Part 2'!$BF$17:$BI$24,MATCH('HIC-SOHIC-HF'!$U14,'Tables - Part 2'!$AV$6:$AV$13,0),MATCH('HIC-SOHIC-HF'!$S14,'Tables - Part 2'!$AX$5:$BA$5,0)))/2)+INDEX('Tables - Part 2'!$BF$17:$BI$24,MATCH('HIC-SOHIC-HF'!$U14,'Tables - Part 2'!$AV$6:$AV$13,0),MATCH('HIC-SOHIC-HF'!$S14,'Tables - Part 2'!$AX$5:$BA$5,0)))/2,0)</f>
        <v>0</v>
      </c>
      <c r="BO14" s="248">
        <f>IF($R14=$BO$3,(((((INDEX('Tables - Part 2'!$BB$17:$BE$24,MATCH('HIC-SOHIC-HF'!$U14,'Tables - Part 2'!$AV$6:$AV$13,0),MATCH('HIC-SOHIC-HF'!$S14,'Tables - Part 2'!$AX$5:$BA$5,0))+INDEX('Tables - Part 2'!$BF$17:$BI$24,MATCH('HIC-SOHIC-HF'!$U14,'Tables - Part 2'!$AV$6:$AV$13,0),MATCH('HIC-SOHIC-HF'!$S14,'Tables - Part 2'!$AX$5:$BA$5,0)))/2)+INDEX('Tables - Part 2'!$BF$17:$BI$24,MATCH('HIC-SOHIC-HF'!$U14,'Tables - Part 2'!$AV$6:$AV$13,0),MATCH('HIC-SOHIC-HF'!$S14,'Tables - Part 2'!$AX$5:$BA$5,0)))/2)+(INDEX('Tables - Part 2'!$BF$17:$BI$24,MATCH('HIC-SOHIC-HF'!$U14,'Tables - Part 2'!$AV$6:$AV$13,0),MATCH('HIC-SOHIC-HF'!$S14,'Tables - Part 2'!$AX$5:$BA$5,0))))/2,0)</f>
        <v>0</v>
      </c>
      <c r="BP14" s="248">
        <f>IF($R14=$BP$3,INDEX('Tables - Part 2'!$BF$17:$BI$24,MATCH('HIC-SOHIC-HF'!$U14,'Tables - Part 2'!$AV$6:$AV$13,0),MATCH('HIC-SOHIC-HF'!$S14,'Tables - Part 2'!$AX$5:$BA$5,0)),0)</f>
        <v>0</v>
      </c>
      <c r="BQ14" s="248">
        <f t="shared" si="6"/>
        <v>0</v>
      </c>
      <c r="BR14" s="238">
        <f t="shared" si="7"/>
        <v>3</v>
      </c>
      <c r="BS14" s="238">
        <f t="shared" si="8"/>
        <v>50.318647405225171</v>
      </c>
    </row>
    <row r="15" spans="2:84" x14ac:dyDescent="0.35">
      <c r="B15" s="161" t="str">
        <f>'Tratamento de Dados'!B23</f>
        <v>V-5</v>
      </c>
      <c r="C15" s="161" t="str">
        <f>'Tratamento de Dados'!D23</f>
        <v>Casco</v>
      </c>
      <c r="D15" s="209" t="s">
        <v>245</v>
      </c>
      <c r="E15" s="209" t="s">
        <v>61</v>
      </c>
      <c r="F15" s="209" t="s">
        <v>244</v>
      </c>
      <c r="G15" s="209" t="s">
        <v>244</v>
      </c>
      <c r="H15" s="209" t="s">
        <v>1208</v>
      </c>
      <c r="I15" s="209" t="s">
        <v>245</v>
      </c>
      <c r="J15" s="209" t="s">
        <v>898</v>
      </c>
      <c r="K15" s="210">
        <v>39092</v>
      </c>
      <c r="L15" s="209">
        <v>0</v>
      </c>
      <c r="M15" s="209">
        <v>1</v>
      </c>
      <c r="N15" s="209">
        <v>1</v>
      </c>
      <c r="O15" s="209">
        <v>4</v>
      </c>
      <c r="P15" s="253">
        <f>'Tratamento de Dados'!DA23</f>
        <v>0</v>
      </c>
      <c r="Q15" s="253">
        <f>'Tratamento de Dados'!DB23</f>
        <v>0</v>
      </c>
      <c r="R15" s="256">
        <f t="shared" si="0"/>
        <v>2.5</v>
      </c>
      <c r="S15" s="246" t="str">
        <f t="shared" si="1"/>
        <v>B</v>
      </c>
      <c r="T15" s="238" t="str" cm="1">
        <f t="array" ref="T15">IF(D15=$BX$2,$BV$4,IF(OR(F15=$BX$3,G15=$BX$3),$BV$5,INDEX(IF(I15=$BX$2,'Tables - Part 2'!$EI$6:$EK$6,'Tables - Part 2'!$EI$5:$EK$5),,MATCH('HIC-SOHIC-HF'!H15,'Tables - Part 2'!$EI$4:$EK$4,0))))</f>
        <v>High</v>
      </c>
      <c r="U15" s="238">
        <f>IF(AND(D15=$BX$2,E15&lt;&gt;$BX$2),"Fitness-For-Service",INDEX('Tables - Part 2'!$EN$4:$EN$7,MATCH('HIC-SOHIC-HF'!T15,'Tables - Part 2'!$EM$4:$EM$7,0),))</f>
        <v>100</v>
      </c>
      <c r="V15" s="238">
        <f>INDEX('Tables - Part 2'!$EQ$4:$EQ$7,MATCH('HIC-SOHIC-HF'!J15,'Tables - Part 2'!$EP$4:$EP$7,0))</f>
        <v>1</v>
      </c>
      <c r="W15" s="238">
        <f>IF(K15=0,(Thinning!G16-Thinning!F16)/365.25,(Thinning!G16-K15)/365.25)</f>
        <v>12.980150581793293</v>
      </c>
      <c r="X15" s="248">
        <f t="shared" si="2"/>
        <v>0</v>
      </c>
      <c r="Y15" s="248">
        <f t="shared" si="3"/>
        <v>2.5</v>
      </c>
      <c r="Z15" s="248">
        <f t="shared" si="4"/>
        <v>3</v>
      </c>
      <c r="AA15" s="247">
        <f t="shared" si="5"/>
        <v>4</v>
      </c>
      <c r="AB15" s="248">
        <f>IF($R15=$AB$3,INDEX('Tables - Part 2'!$AX$6:$BA$13,MATCH('HIC-SOHIC-HF'!U15,'Tables - Part 2'!$AV$6:$AV$13,0),MATCH('HIC-SOHIC-HF'!S15,'Tables - Part 2'!$AX$5:$BA$5,0)),0)</f>
        <v>0</v>
      </c>
      <c r="AC15" s="248">
        <f>IF($R15=$AC$3,(INDEX('Tables - Part 2'!$AX$6:$BA$13,MATCH('HIC-SOHIC-HF'!U15,'Tables - Part 2'!$AV$6:$AV$13,0),MATCH('HIC-SOHIC-HF'!S15,'Tables - Part 2'!$AX$5:$BA$5,0))+(INDEX('Tables - Part 2'!$AX$6:$BA$13,MATCH('HIC-SOHIC-HF'!U15,'Tables - Part 2'!$AV$6:$AV$13,0),MATCH('HIC-SOHIC-HF'!S15,'Tables - Part 2'!$AX$5:$BA$5,0))+((INDEX('Tables - Part 2'!$AX$6:$BA$13,MATCH('HIC-SOHIC-HF'!U15,'Tables - Part 2'!$AV$6:$AV$13,0),MATCH('HIC-SOHIC-HF'!S15,'Tables - Part 2'!$AX$5:$BA$5,0))+INDEX('Tables - Part 2'!$BB$6:$BE$13,MATCH('HIC-SOHIC-HF'!$U15,'Tables - Part 2'!$AV$6:$AV$13,0),MATCH('HIC-SOHIC-HF'!$S15,'Tables - Part 2'!$AX$5:$BA$5,0)))/2))/2)/2,0)</f>
        <v>0</v>
      </c>
      <c r="AD15" s="248">
        <f>IF($R15=$AD$3,(INDEX('Tables - Part 2'!$AX$6:$BA$13,MATCH('HIC-SOHIC-HF'!U15,'Tables - Part 2'!$AV$6:$AV$13,0),MATCH('HIC-SOHIC-HF'!S15,'Tables - Part 2'!$AX$5:$BA$5,0))+((INDEX('Tables - Part 2'!$AX$6:$BA$13,MATCH('HIC-SOHIC-HF'!U15,'Tables - Part 2'!$AV$6:$AV$13,0),MATCH('HIC-SOHIC-HF'!S15,'Tables - Part 2'!$AX$5:$BA$5,0))+INDEX('Tables - Part 2'!$BB$6:$BE$13,MATCH('HIC-SOHIC-HF'!$U15,'Tables - Part 2'!$AV$6:$AV$13,0),MATCH('HIC-SOHIC-HF'!$S15,'Tables - Part 2'!$AX$5:$BA$5,0)))/2))/2,0)</f>
        <v>0</v>
      </c>
      <c r="AE15" s="248">
        <f>IF($R15=$AE$3,(((INDEX('Tables - Part 2'!$AX$6:$BA$13,MATCH('HIC-SOHIC-HF'!U15,'Tables - Part 2'!$AV$6:$AV$13,0),MATCH('HIC-SOHIC-HF'!S15,'Tables - Part 2'!$AX$5:$BA$5,0))+((INDEX('Tables - Part 2'!$AX$6:$BA$13,MATCH('HIC-SOHIC-HF'!U15,'Tables - Part 2'!$AV$6:$AV$13,0),MATCH('HIC-SOHIC-HF'!S15,'Tables - Part 2'!$AX$5:$BA$5,0))+INDEX('Tables - Part 2'!$BB$6:$BE$13,MATCH('HIC-SOHIC-HF'!$U15,'Tables - Part 2'!$AV$6:$AV$13,0),MATCH('HIC-SOHIC-HF'!$S15,'Tables - Part 2'!$AX$5:$BA$5,0)))/2))/2)+(INDEX('Tables - Part 2'!$AX$6:$BA$13,MATCH('HIC-SOHIC-HF'!U15,'Tables - Part 2'!$AV$6:$AV$13,0),MATCH('HIC-SOHIC-HF'!S15,'Tables - Part 2'!$AX$5:$BA$5,0))+INDEX('Tables - Part 2'!$BB$6:$BE$13,MATCH('HIC-SOHIC-HF'!$U15,'Tables - Part 2'!$AV$6:$AV$13,0),MATCH('HIC-SOHIC-HF'!$S15,'Tables - Part 2'!$AX$5:$BA$5,0)))/2)/2,0)</f>
        <v>0</v>
      </c>
      <c r="AF15" s="248">
        <f>IF($R15=$AF$3,(INDEX('Tables - Part 2'!$AX$6:$BA$13,MATCH('HIC-SOHIC-HF'!U15,'Tables - Part 2'!$AV$6:$AV$13,0),MATCH('HIC-SOHIC-HF'!S15,'Tables - Part 2'!$AX$5:$BA$5,0))+INDEX('Tables - Part 2'!$BB$6:$BE$13,MATCH('HIC-SOHIC-HF'!$U15,'Tables - Part 2'!$AV$6:$AV$13,0),MATCH('HIC-SOHIC-HF'!$S15,'Tables - Part 2'!$AX$5:$BA$5,0)))/2,0)</f>
        <v>0</v>
      </c>
      <c r="AG15" s="248">
        <f>IF($R15=$AG$3,(((INDEX('Tables - Part 2'!$AX$6:$BA$13,MATCH('HIC-SOHIC-HF'!U15,'Tables - Part 2'!$AV$6:$AV$13,0),MATCH('HIC-SOHIC-HF'!S15,'Tables - Part 2'!$AX$5:$BA$5,0))+INDEX('Tables - Part 2'!$BB$6:$BE$13,MATCH('HIC-SOHIC-HF'!$U15,'Tables - Part 2'!$AV$6:$AV$13,0),MATCH('HIC-SOHIC-HF'!$S15,'Tables - Part 2'!$AX$5:$BA$5,0)))/2)+(((INDEX('Tables - Part 2'!$AX$6:$BA$13,MATCH('HIC-SOHIC-HF'!U15,'Tables - Part 2'!$AV$6:$AV$13,0),MATCH('HIC-SOHIC-HF'!S15,'Tables - Part 2'!$AX$5:$BA$5,0))+INDEX('Tables - Part 2'!$BB$6:$BE$13,MATCH('HIC-SOHIC-HF'!$U15,'Tables - Part 2'!$AV$6:$AV$13,0),MATCH('HIC-SOHIC-HF'!$S15,'Tables - Part 2'!$AX$5:$BA$5,0)))/2)+INDEX('Tables - Part 2'!$BB$6:$BE$13,MATCH('HIC-SOHIC-HF'!$U15,'Tables - Part 2'!$AV$6:$AV$13,0),MATCH('HIC-SOHIC-HF'!$S15,'Tables - Part 2'!$AX$5:$BA$5,0)))/2)/2,0)</f>
        <v>0</v>
      </c>
      <c r="AH15" s="248">
        <f>IF($R15=$AH$3,(((INDEX('Tables - Part 2'!$AX$6:$BA$13,MATCH('HIC-SOHIC-HF'!U15,'Tables - Part 2'!$AV$6:$AV$13,0),MATCH('HIC-SOHIC-HF'!S15,'Tables - Part 2'!$AX$5:$BA$5,0))+INDEX('Tables - Part 2'!$BB$6:$BE$13,MATCH('HIC-SOHIC-HF'!$U15,'Tables - Part 2'!$AV$6:$AV$13,0),MATCH('HIC-SOHIC-HF'!$S15,'Tables - Part 2'!$AX$5:$BA$5,0)))/2)+INDEX('Tables - Part 2'!$BB$6:$BE$13,MATCH('HIC-SOHIC-HF'!$U15,'Tables - Part 2'!$AV$6:$AV$13,0),MATCH('HIC-SOHIC-HF'!$S15,'Tables - Part 2'!$AX$5:$BA$5,0)))/2,0)</f>
        <v>0</v>
      </c>
      <c r="AI15" s="248">
        <f>IF($R15=$AI$3,(((((INDEX('Tables - Part 2'!$AX$6:$BA$13,MATCH('HIC-SOHIC-HF'!U15,'Tables - Part 2'!$AV$6:$AV$13,0),MATCH('HIC-SOHIC-HF'!S15,'Tables - Part 2'!$AX$5:$BA$5,0))+INDEX('Tables - Part 2'!$BB$6:$BE$13,MATCH('HIC-SOHIC-HF'!$U15,'Tables - Part 2'!$AV$6:$AV$13,0),MATCH('HIC-SOHIC-HF'!$S15,'Tables - Part 2'!$AX$5:$BA$5,0)))/2)+INDEX('Tables - Part 2'!$BB$6:$BE$13,MATCH('HIC-SOHIC-HF'!$U15,'Tables - Part 2'!$AV$6:$AV$13,0),MATCH('HIC-SOHIC-HF'!$S15,'Tables - Part 2'!$AX$5:$BA$5,0)))/2)+INDEX('Tables - Part 2'!$BB$6:$BE$13,MATCH('HIC-SOHIC-HF'!$U15,'Tables - Part 2'!$AV$6:$AV$13,0),MATCH('HIC-SOHIC-HF'!$S15,'Tables - Part 2'!$AX$5:$BA$5,0)))/2,0)</f>
        <v>0</v>
      </c>
      <c r="AJ15" s="248">
        <f>IF($R15=$AJ$3,INDEX('Tables - Part 2'!$BB$6:$BE$13,MATCH('HIC-SOHIC-HF'!$U15,'Tables - Part 2'!$AV$6:$AV$13,0),MATCH('HIC-SOHIC-HF'!$S15,'Tables - Part 2'!$AX$5:$BA$5,0)),0)</f>
        <v>0</v>
      </c>
      <c r="AK15" s="248">
        <f>IF($R15=$AK$3,((INDEX('Tables - Part 2'!$BB$6:$BE$13,MATCH('HIC-SOHIC-HF'!$U15,'Tables - Part 2'!$AV$6:$AV$13,0),MATCH('HIC-SOHIC-HF'!$S15,'Tables - Part 2'!$AX$5:$BA$5,0)))+(INDEX('Tables - Part 2'!$BB$6:$BE$13,MATCH('HIC-SOHIC-HF'!$U15,'Tables - Part 2'!$AV$6:$AV$13,0),MATCH('HIC-SOHIC-HF'!$S15,'Tables - Part 2'!$AX$5:$BA$5,0))+(INDEX('Tables - Part 2'!$BB$6:$BE$13,MATCH('HIC-SOHIC-HF'!$U15,'Tables - Part 2'!$AV$6:$AV$13,0),MATCH('HIC-SOHIC-HF'!$S15,'Tables - Part 2'!$AX$5:$BA$5,0))+INDEX('Tables - Part 2'!$BF$6:$BI$13,MATCH('HIC-SOHIC-HF'!$U15,'Tables - Part 2'!$AV$6:$AV$13,0),MATCH('HIC-SOHIC-HF'!$S15,'Tables - Part 2'!$AX$5:$BA$5,0)))/2)/2)/2,0)</f>
        <v>0</v>
      </c>
      <c r="AL15" s="248">
        <f>IF($R15=$AL$3,(INDEX('Tables - Part 2'!$BB$6:$BE$13,MATCH('HIC-SOHIC-HF'!$U15,'Tables - Part 2'!$AV$6:$AV$13,0),MATCH('HIC-SOHIC-HF'!$S15,'Tables - Part 2'!$AX$5:$BA$5,0))+(INDEX('Tables - Part 2'!$BB$6:$BE$13,MATCH('HIC-SOHIC-HF'!$U15,'Tables - Part 2'!$AV$6:$AV$13,0),MATCH('HIC-SOHIC-HF'!$S15,'Tables - Part 2'!$AX$5:$BA$5,0))+INDEX('Tables - Part 2'!$BF$6:$BI$13,MATCH('HIC-SOHIC-HF'!$U15,'Tables - Part 2'!$AV$6:$AV$13,0),MATCH('HIC-SOHIC-HF'!$S15,'Tables - Part 2'!$AX$5:$BA$5,0)))/2)/2,0)</f>
        <v>0</v>
      </c>
      <c r="AM15" s="248">
        <f>IF($R15=$AM$3,(((INDEX('Tables - Part 2'!$BB$6:$BE$13,MATCH('HIC-SOHIC-HF'!$U15,'Tables - Part 2'!$AV$6:$AV$13,0),MATCH('HIC-SOHIC-HF'!$S15,'Tables - Part 2'!$AX$5:$BA$5,0))+(INDEX('Tables - Part 2'!$BB$6:$BE$13,MATCH('HIC-SOHIC-HF'!$U15,'Tables - Part 2'!$AV$6:$AV$13,0),MATCH('HIC-SOHIC-HF'!$S15,'Tables - Part 2'!$AX$5:$BA$5,0))+INDEX('Tables - Part 2'!$BF$6:$BI$13,MATCH('HIC-SOHIC-HF'!$U15,'Tables - Part 2'!$AV$6:$AV$13,0),MATCH('HIC-SOHIC-HF'!$S15,'Tables - Part 2'!$AX$5:$BA$5,0)))/2)/2)+((INDEX('Tables - Part 2'!$BB$6:$BE$13,MATCH('HIC-SOHIC-HF'!$U15,'Tables - Part 2'!$AV$6:$AV$13,0),MATCH('HIC-SOHIC-HF'!$S15,'Tables - Part 2'!$AX$5:$BA$5,0))+INDEX('Tables - Part 2'!$BF$6:$BI$13,MATCH('HIC-SOHIC-HF'!$U15,'Tables - Part 2'!$AV$6:$AV$13,0),MATCH('HIC-SOHIC-HF'!$S15,'Tables - Part 2'!$AX$5:$BA$5,0)))/2))/2,0)</f>
        <v>0</v>
      </c>
      <c r="AN15" s="248">
        <f>IF($R15=$AN$3,(INDEX('Tables - Part 2'!$BB$6:$BE$13,MATCH('HIC-SOHIC-HF'!$U15,'Tables - Part 2'!$AV$6:$AV$13,0),MATCH('HIC-SOHIC-HF'!$S15,'Tables - Part 2'!$AX$5:$BA$5,0))+INDEX('Tables - Part 2'!$BF$6:$BI$13,MATCH('HIC-SOHIC-HF'!$U15,'Tables - Part 2'!$AV$6:$AV$13,0),MATCH('HIC-SOHIC-HF'!$S15,'Tables - Part 2'!$AX$5:$BA$5,0)))/2,0)</f>
        <v>3</v>
      </c>
      <c r="AO15" s="248">
        <f>IF($R15=$AO$3,(((INDEX('Tables - Part 2'!$BB$6:$BE$13,MATCH('HIC-SOHIC-HF'!$U15,'Tables - Part 2'!$AV$6:$AV$13,0),MATCH('HIC-SOHIC-HF'!$S15,'Tables - Part 2'!$AX$5:$BA$5,0))+INDEX('Tables - Part 2'!$BF$6:$BI$13,MATCH('HIC-SOHIC-HF'!$U15,'Tables - Part 2'!$AV$6:$AV$13,0),MATCH('HIC-SOHIC-HF'!$S15,'Tables - Part 2'!$AX$5:$BA$5,0)))/2)+((((INDEX('Tables - Part 2'!$BB$6:$BE$13,MATCH('HIC-SOHIC-HF'!$U15,'Tables - Part 2'!$AV$6:$AV$13,0),MATCH('HIC-SOHIC-HF'!$S15,'Tables - Part 2'!$AX$5:$BA$5,0))+INDEX('Tables - Part 2'!$BF$6:$BI$13,MATCH('HIC-SOHIC-HF'!$U15,'Tables - Part 2'!$AV$6:$AV$13,0),MATCH('HIC-SOHIC-HF'!$S15,'Tables - Part 2'!$AX$5:$BA$5,0)))/2)+INDEX('Tables - Part 2'!$BF$6:$BI$13,MATCH('HIC-SOHIC-HF'!$U15,'Tables - Part 2'!$AV$6:$AV$13,0),MATCH('HIC-SOHIC-HF'!$S15,'Tables - Part 2'!$AX$5:$BA$5,0)))/2))/2,0)</f>
        <v>0</v>
      </c>
      <c r="AP15" s="248">
        <f>IF($R15=$AP$3,(((INDEX('Tables - Part 2'!$BB$6:$BE$13,MATCH('HIC-SOHIC-HF'!$U15,'Tables - Part 2'!$AV$6:$AV$13,0),MATCH('HIC-SOHIC-HF'!$S15,'Tables - Part 2'!$AX$5:$BA$5,0))+INDEX('Tables - Part 2'!$BF$6:$BI$13,MATCH('HIC-SOHIC-HF'!$U15,'Tables - Part 2'!$AV$6:$AV$13,0),MATCH('HIC-SOHIC-HF'!$S15,'Tables - Part 2'!$AX$5:$BA$5,0)))/2)+INDEX('Tables - Part 2'!$BF$6:$BI$13,MATCH('HIC-SOHIC-HF'!$U15,'Tables - Part 2'!$AV$6:$AV$13,0),MATCH('HIC-SOHIC-HF'!$S15,'Tables - Part 2'!$AX$5:$BA$5,0)))/2,0)</f>
        <v>0</v>
      </c>
      <c r="AQ15" s="248">
        <f>IF($R15=$AQ$3,(((((INDEX('Tables - Part 2'!$BB$6:$BE$13,MATCH('HIC-SOHIC-HF'!$U15,'Tables - Part 2'!$AV$6:$AV$13,0),MATCH('HIC-SOHIC-HF'!$S15,'Tables - Part 2'!$AX$5:$BA$5,0))+INDEX('Tables - Part 2'!$BF$6:$BI$13,MATCH('HIC-SOHIC-HF'!$U15,'Tables - Part 2'!$AV$6:$AV$13,0),MATCH('HIC-SOHIC-HF'!$S15,'Tables - Part 2'!$AX$5:$BA$5,0)))/2)+INDEX('Tables - Part 2'!$BF$6:$BI$13,MATCH('HIC-SOHIC-HF'!$U15,'Tables - Part 2'!$AV$6:$AV$13,0),MATCH('HIC-SOHIC-HF'!$S15,'Tables - Part 2'!$AX$5:$BA$5,0)))/2)+INDEX('Tables - Part 2'!$BF$6:$BI$13,MATCH('HIC-SOHIC-HF'!$U15,'Tables - Part 2'!$AV$6:$AV$13,0),MATCH('HIC-SOHIC-HF'!$S15,'Tables - Part 2'!$AX$5:$BA$5,0)))/2,0)</f>
        <v>0</v>
      </c>
      <c r="AR15" s="248">
        <f>IF($R15=$AR$3,INDEX('Tables - Part 2'!$BF$6:$BI$13,MATCH('HIC-SOHIC-HF'!$U15,'Tables - Part 2'!$AV$6:$AV$13,0),MATCH('HIC-SOHIC-HF'!$S15,'Tables - Part 2'!$AX$5:$BA$5,0)),0)</f>
        <v>0</v>
      </c>
      <c r="AS15" s="248">
        <f>IF($R15=$AS$3,(INDEX('Tables - Part 2'!$BF$6:$BI$13,MATCH('HIC-SOHIC-HF'!$U15,'Tables - Part 2'!$AV$6:$AV$13,0),MATCH('HIC-SOHIC-HF'!$S15,'Tables - Part 2'!$AX$5:$BA$5,0))+((INDEX('Tables - Part 2'!$BF$6:$BI$13,MATCH('HIC-SOHIC-HF'!$U15,'Tables - Part 2'!$AV$6:$AV$13,0),MATCH('HIC-SOHIC-HF'!$S15,'Tables - Part 2'!$AX$5:$BA$5,0))+(INDEX('Tables - Part 2'!$BF$6:$BI$13,MATCH('HIC-SOHIC-HF'!$U15,'Tables - Part 2'!$AV$6:$AV$13,0),MATCH('HIC-SOHIC-HF'!$S15,'Tables - Part 2'!$AX$5:$BA$5,0))+INDEX('Tables - Part 2'!$AX$17:$BA$24,MATCH('HIC-SOHIC-HF'!$U15,'Tables - Part 2'!$AV$6:$AV$13,0),MATCH('HIC-SOHIC-HF'!$S15,'Tables - Part 2'!$AX$5:$BA$5,0)))/2)/2))/2,0)</f>
        <v>0</v>
      </c>
      <c r="AT15" s="248">
        <f>IF($R15=$AT$3,(INDEX('Tables - Part 2'!$BF$6:$BI$13,MATCH('HIC-SOHIC-HF'!$U15,'Tables - Part 2'!$AV$6:$AV$13,0),MATCH('HIC-SOHIC-HF'!$S15,'Tables - Part 2'!$AX$5:$BA$5,0))+(INDEX('Tables - Part 2'!$BF$6:$BI$13,MATCH('HIC-SOHIC-HF'!$U15,'Tables - Part 2'!$AV$6:$AV$13,0),MATCH('HIC-SOHIC-HF'!$S15,'Tables - Part 2'!$AX$5:$BA$5,0))+INDEX('Tables - Part 2'!$AX$17:$BA$24,MATCH('HIC-SOHIC-HF'!$U15,'Tables - Part 2'!$AV$6:$AV$13,0),MATCH('HIC-SOHIC-HF'!$S15,'Tables - Part 2'!$AX$5:$BA$5,0)))/2)/2,0)</f>
        <v>0</v>
      </c>
      <c r="AU15" s="248">
        <f>IF($R15=$AU$3,(((INDEX('Tables - Part 2'!$BF$6:$BI$13,MATCH('HIC-SOHIC-HF'!$U15,'Tables - Part 2'!$AV$6:$AV$13,0),MATCH('HIC-SOHIC-HF'!$S15,'Tables - Part 2'!$AX$5:$BA$5,0))+(INDEX('Tables - Part 2'!$BF$6:$BI$13,MATCH('HIC-SOHIC-HF'!$U15,'Tables - Part 2'!$AV$6:$AV$13,0),MATCH('HIC-SOHIC-HF'!$S15,'Tables - Part 2'!$AX$5:$BA$5,0))+INDEX('Tables - Part 2'!$AX$17:$BA$24,MATCH('HIC-SOHIC-HF'!$U15,'Tables - Part 2'!$AV$6:$AV$13,0),MATCH('HIC-SOHIC-HF'!$S15,'Tables - Part 2'!$AX$5:$BA$5,0)))/2)/2)+((INDEX('Tables - Part 2'!$BF$6:$BI$13,MATCH('HIC-SOHIC-HF'!$U15,'Tables - Part 2'!$AV$6:$AV$13,0),MATCH('HIC-SOHIC-HF'!$S15,'Tables - Part 2'!$AX$5:$BA$5,0))+INDEX('Tables - Part 2'!$AX$17:$BA$24,MATCH('HIC-SOHIC-HF'!$U15,'Tables - Part 2'!$AV$6:$AV$13,0),MATCH('HIC-SOHIC-HF'!$S15,'Tables - Part 2'!$AX$5:$BA$5,0)))/2))/2,0)</f>
        <v>0</v>
      </c>
      <c r="AV15" s="248">
        <f>IF($R15=$AV$3,(INDEX('Tables - Part 2'!$BF$6:$BI$13,MATCH('HIC-SOHIC-HF'!$U15,'Tables - Part 2'!$AV$6:$AV$13,0),MATCH('HIC-SOHIC-HF'!$S15,'Tables - Part 2'!$AX$5:$BA$5,0))+INDEX('Tables - Part 2'!$AX$17:$BA$24,MATCH('HIC-SOHIC-HF'!$U15,'Tables - Part 2'!$AV$6:$AV$13,0),MATCH('HIC-SOHIC-HF'!$S15,'Tables - Part 2'!$AX$5:$BA$5,0)))/2,0)</f>
        <v>0</v>
      </c>
      <c r="AW15" s="248">
        <f>IF($R15=$AW$3,(((INDEX('Tables - Part 2'!$BF$6:$BI$13,MATCH('HIC-SOHIC-HF'!$U15,'Tables - Part 2'!$AV$6:$AV$13,0),MATCH('HIC-SOHIC-HF'!$S15,'Tables - Part 2'!$AX$5:$BA$5,0))+INDEX('Tables - Part 2'!$AX$17:$BA$24,MATCH('HIC-SOHIC-HF'!$U15,'Tables - Part 2'!$AV$6:$AV$13,0),MATCH('HIC-SOHIC-HF'!$S15,'Tables - Part 2'!$AX$5:$BA$5,0)))/2)+((((INDEX('Tables - Part 2'!$BF$6:$BI$13,MATCH('HIC-SOHIC-HF'!$U15,'Tables - Part 2'!$AV$6:$AV$13,0),MATCH('HIC-SOHIC-HF'!$S15,'Tables - Part 2'!$AX$5:$BA$5,0))+INDEX('Tables - Part 2'!$AX$17:$BA$24,MATCH('HIC-SOHIC-HF'!$U15,'Tables - Part 2'!$AV$6:$AV$13,0),MATCH('HIC-SOHIC-HF'!$S15,'Tables - Part 2'!$AX$5:$BA$5,0)))/2)+INDEX('Tables - Part 2'!$AX$17:$BA$24,MATCH('HIC-SOHIC-HF'!$U15,'Tables - Part 2'!$AV$6:$AV$13,0),MATCH('HIC-SOHIC-HF'!$S15,'Tables - Part 2'!$AX$5:$BA$5,0)))/2))/2,0)</f>
        <v>0</v>
      </c>
      <c r="AX15" s="248">
        <f>IF($R15=$AX$3,(((INDEX('Tables - Part 2'!$BF$6:$BI$13,MATCH('HIC-SOHIC-HF'!$U15,'Tables - Part 2'!$AV$6:$AV$13,0),MATCH('HIC-SOHIC-HF'!$S15,'Tables - Part 2'!$AX$5:$BA$5,0))+INDEX('Tables - Part 2'!$AX$17:$BA$24,MATCH('HIC-SOHIC-HF'!$U15,'Tables - Part 2'!$AV$6:$AV$13,0),MATCH('HIC-SOHIC-HF'!$S15,'Tables - Part 2'!$AX$5:$BA$5,0)))/2)+INDEX('Tables - Part 2'!$AX$17:$BA$24,MATCH('HIC-SOHIC-HF'!$U15,'Tables - Part 2'!$AV$6:$AV$13,0),MATCH('HIC-SOHIC-HF'!$S15,'Tables - Part 2'!$AX$5:$BA$5,0)))/2,0)</f>
        <v>0</v>
      </c>
      <c r="AY15" s="248">
        <f>IF($R15=$AY$3,(((((INDEX('Tables - Part 2'!$BF$6:$BI$13,MATCH('HIC-SOHIC-HF'!$U15,'Tables - Part 2'!$AV$6:$AV$13,0),MATCH('HIC-SOHIC-HF'!$S15,'Tables - Part 2'!$AX$5:$BA$5,0))+INDEX('Tables - Part 2'!$AX$17:$BA$24,MATCH('HIC-SOHIC-HF'!$U15,'Tables - Part 2'!$AV$6:$AV$13,0),MATCH('HIC-SOHIC-HF'!$S15,'Tables - Part 2'!$AX$5:$BA$5,0)))/2)+INDEX('Tables - Part 2'!$AX$17:$BA$24,MATCH('HIC-SOHIC-HF'!$U15,'Tables - Part 2'!$AV$6:$AV$13,0),MATCH('HIC-SOHIC-HF'!$S15,'Tables - Part 2'!$AX$5:$BA$5,0)))/2)+(INDEX('Tables - Part 2'!$AX$17:$BA$24,MATCH('HIC-SOHIC-HF'!$U15,'Tables - Part 2'!$AV$6:$AV$13,0),MATCH('HIC-SOHIC-HF'!$S15,'Tables - Part 2'!$AX$5:$BA$5,0))))/2,0)</f>
        <v>0</v>
      </c>
      <c r="AZ15" s="248">
        <f>IF($R15=$AZ$3,INDEX('Tables - Part 2'!$AX$17:$BA$24,MATCH('HIC-SOHIC-HF'!$U15,'Tables - Part 2'!$AV$6:$AV$13,0),MATCH('HIC-SOHIC-HF'!$S15,'Tables - Part 2'!$AX$5:$BA$5,0)),0)</f>
        <v>0</v>
      </c>
      <c r="BA15" s="248">
        <f>IF($R15=$BA$3,((INDEX('Tables - Part 2'!$AX$17:$BA$24,MATCH('HIC-SOHIC-HF'!$U15,'Tables - Part 2'!$AV$6:$AV$13,0),MATCH('HIC-SOHIC-HF'!$S15,'Tables - Part 2'!$AX$5:$BA$5,0)))+(((INDEX('Tables - Part 2'!$AX$17:$BA$24,MATCH('HIC-SOHIC-HF'!$U15,'Tables - Part 2'!$AV$6:$AV$13,0),MATCH('HIC-SOHIC-HF'!$S15,'Tables - Part 2'!$AX$5:$BA$5,0)))+(INDEX('Tables - Part 2'!$AX$17:$BA$24,MATCH('HIC-SOHIC-HF'!$U15,'Tables - Part 2'!$AV$6:$AV$13,0),MATCH('HIC-SOHIC-HF'!$S15,'Tables - Part 2'!$AX$5:$BA$5,0))+INDEX('Tables - Part 2'!$BB$17:$BE$24,MATCH('HIC-SOHIC-HF'!$U15,'Tables - Part 2'!$AV$6:$AV$13,0),MATCH('HIC-SOHIC-HF'!$S15,'Tables - Part 2'!$AX$5:$BA$5,0)))/2)/2))/2,0)</f>
        <v>0</v>
      </c>
      <c r="BB15" s="248">
        <f>IF($R15=$BB$3,((INDEX('Tables - Part 2'!$AX$17:$BA$24,MATCH('HIC-SOHIC-HF'!$U15,'Tables - Part 2'!$AV$6:$AV$13,0),MATCH('HIC-SOHIC-HF'!$S15,'Tables - Part 2'!$AX$5:$BA$5,0)))+(INDEX('Tables - Part 2'!$AX$17:$BA$24,MATCH('HIC-SOHIC-HF'!$U15,'Tables - Part 2'!$AV$6:$AV$13,0),MATCH('HIC-SOHIC-HF'!$S15,'Tables - Part 2'!$AX$5:$BA$5,0))+INDEX('Tables - Part 2'!$BB$17:$BE$24,MATCH('HIC-SOHIC-HF'!$U15,'Tables - Part 2'!$AV$6:$AV$13,0),MATCH('HIC-SOHIC-HF'!$S15,'Tables - Part 2'!$AX$5:$BA$5,0)))/2)/2,0)</f>
        <v>0</v>
      </c>
      <c r="BC15" s="248">
        <f>IF($R15=$BC$3,((((INDEX('Tables - Part 2'!$AX$17:$BA$24,MATCH('HIC-SOHIC-HF'!$U15,'Tables - Part 2'!$AV$6:$AV$13,0),MATCH('HIC-SOHIC-HF'!$S15,'Tables - Part 2'!$AX$5:$BA$5,0)))+(INDEX('Tables - Part 2'!$AX$17:$BA$24,MATCH('HIC-SOHIC-HF'!$U15,'Tables - Part 2'!$AV$6:$AV$13,0),MATCH('HIC-SOHIC-HF'!$S15,'Tables - Part 2'!$AX$5:$BA$5,0))+INDEX('Tables - Part 2'!$BB$17:$BE$24,MATCH('HIC-SOHIC-HF'!$U15,'Tables - Part 2'!$AV$6:$AV$13,0),MATCH('HIC-SOHIC-HF'!$S15,'Tables - Part 2'!$AX$5:$BA$5,0)))/2)/2)+((INDEX('Tables - Part 2'!$AX$17:$BA$24,MATCH('HIC-SOHIC-HF'!$U15,'Tables - Part 2'!$AV$6:$AV$13,0),MATCH('HIC-SOHIC-HF'!$S15,'Tables - Part 2'!$AX$5:$BA$5,0))+INDEX('Tables - Part 2'!$BB$17:$BE$24,MATCH('HIC-SOHIC-HF'!$U15,'Tables - Part 2'!$AV$6:$AV$13,0),MATCH('HIC-SOHIC-HF'!$S15,'Tables - Part 2'!$AX$5:$BA$5,0)))/2))/2,0)</f>
        <v>0</v>
      </c>
      <c r="BD15" s="248">
        <f>IF($R15=$BD$3,(INDEX('Tables - Part 2'!$AX$17:$BA$24,MATCH('HIC-SOHIC-HF'!$U15,'Tables - Part 2'!$AV$6:$AV$13,0),MATCH('HIC-SOHIC-HF'!$S15,'Tables - Part 2'!$AX$5:$BA$5,0))+INDEX('Tables - Part 2'!$BB$17:$BE$24,MATCH('HIC-SOHIC-HF'!$U15,'Tables - Part 2'!$AV$6:$AV$13,0),MATCH('HIC-SOHIC-HF'!$S15,'Tables - Part 2'!$AX$5:$BA$5,0)))/2,0)</f>
        <v>0</v>
      </c>
      <c r="BE15" s="248">
        <f>IF($R15=$BE$3,(((INDEX('Tables - Part 2'!$AX$17:$BA$24,MATCH('HIC-SOHIC-HF'!$U15,'Tables - Part 2'!$AV$6:$AV$13,0),MATCH('HIC-SOHIC-HF'!$S15,'Tables - Part 2'!$AX$5:$BA$5,0))+INDEX('Tables - Part 2'!$BB$17:$BE$24,MATCH('HIC-SOHIC-HF'!$U15,'Tables - Part 2'!$AV$6:$AV$13,0),MATCH('HIC-SOHIC-HF'!$S15,'Tables - Part 2'!$AX$5:$BA$5,0)))/2)+((((INDEX('Tables - Part 2'!$AX$17:$BA$24,MATCH('HIC-SOHIC-HF'!$U15,'Tables - Part 2'!$AV$6:$AV$13,0),MATCH('HIC-SOHIC-HF'!$S15,'Tables - Part 2'!$AX$5:$BA$5,0))+INDEX('Tables - Part 2'!$BB$17:$BE$24,MATCH('HIC-SOHIC-HF'!$U15,'Tables - Part 2'!$AV$6:$AV$13,0),MATCH('HIC-SOHIC-HF'!$S15,'Tables - Part 2'!$AX$5:$BA$5,0)))/2)+INDEX('Tables - Part 2'!$BB$17:$BE$24,MATCH('HIC-SOHIC-HF'!$U15,'Tables - Part 2'!$AV$6:$AV$13,0),MATCH('HIC-SOHIC-HF'!$S15,'Tables - Part 2'!$AX$5:$BA$5,0)))/2))/2,0)</f>
        <v>0</v>
      </c>
      <c r="BF15" s="248">
        <f>IF($R15=$BF$3,(((INDEX('Tables - Part 2'!$AX$17:$BA$24,MATCH('HIC-SOHIC-HF'!$U15,'Tables - Part 2'!$AV$6:$AV$13,0),MATCH('HIC-SOHIC-HF'!$S15,'Tables - Part 2'!$AX$5:$BA$5,0))+INDEX('Tables - Part 2'!$BB$17:$BE$24,MATCH('HIC-SOHIC-HF'!$U15,'Tables - Part 2'!$AV$6:$AV$13,0),MATCH('HIC-SOHIC-HF'!$S15,'Tables - Part 2'!$AX$5:$BA$5,0)))/2)+INDEX('Tables - Part 2'!$BB$17:$BE$24,MATCH('HIC-SOHIC-HF'!$U15,'Tables - Part 2'!$AV$6:$AV$13,0),MATCH('HIC-SOHIC-HF'!$S15,'Tables - Part 2'!$AX$5:$BA$5,0)))/2,0)</f>
        <v>0</v>
      </c>
      <c r="BG15" s="248">
        <f>IF($R15=$BG$3,(((((INDEX('Tables - Part 2'!$AX$17:$BA$24,MATCH('HIC-SOHIC-HF'!$U15,'Tables - Part 2'!$AV$6:$AV$13,0),MATCH('HIC-SOHIC-HF'!$S15,'Tables - Part 2'!$AX$5:$BA$5,0))+INDEX('Tables - Part 2'!$BB$17:$BE$24,MATCH('HIC-SOHIC-HF'!$U15,'Tables - Part 2'!$AV$6:$AV$13,0),MATCH('HIC-SOHIC-HF'!$S15,'Tables - Part 2'!$AX$5:$BA$5,0)))/2)+INDEX('Tables - Part 2'!$BB$17:$BE$24,MATCH('HIC-SOHIC-HF'!$U15,'Tables - Part 2'!$AV$6:$AV$13,0),MATCH('HIC-SOHIC-HF'!$S15,'Tables - Part 2'!$AX$5:$BA$5,0)))/2)+(INDEX('Tables - Part 2'!$BB$17:$BE$24,MATCH('HIC-SOHIC-HF'!$U15,'Tables - Part 2'!$AV$6:$AV$13,0),MATCH('HIC-SOHIC-HF'!$S15,'Tables - Part 2'!$AX$5:$BA$5,0))))/2,0)</f>
        <v>0</v>
      </c>
      <c r="BH15" s="248">
        <f>IF($R15=$BH$3,INDEX('Tables - Part 2'!$BB$17:$BE$24,MATCH('HIC-SOHIC-HF'!$U15,'Tables - Part 2'!$AV$6:$AV$13,0),MATCH('HIC-SOHIC-HF'!$S15,'Tables - Part 2'!$AX$5:$BA$5,0)),0)</f>
        <v>0</v>
      </c>
      <c r="BI15" s="248">
        <f>IF($R15=$BI$3,((INDEX('Tables - Part 2'!$BB$17:$BE$24,MATCH('HIC-SOHIC-HF'!$U15,'Tables - Part 2'!$AV$6:$AV$13,0),MATCH('HIC-SOHIC-HF'!$S15,'Tables - Part 2'!$AX$5:$BA$5,0)))+(((INDEX('Tables - Part 2'!$BB$17:$BE$24,MATCH('HIC-SOHIC-HF'!$U15,'Tables - Part 2'!$AV$6:$AV$13,0),MATCH('HIC-SOHIC-HF'!$S15,'Tables - Part 2'!$AX$5:$BA$5,0)))+(INDEX('Tables - Part 2'!$BB$17:$BE$24,MATCH('HIC-SOHIC-HF'!$U15,'Tables - Part 2'!$AV$6:$AV$13,0),MATCH('HIC-SOHIC-HF'!$S15,'Tables - Part 2'!$AX$5:$BA$5,0))+INDEX('Tables - Part 2'!$BF$17:$BI$24,MATCH('HIC-SOHIC-HF'!$U15,'Tables - Part 2'!$AV$6:$AV$13,0),MATCH('HIC-SOHIC-HF'!$S15,'Tables - Part 2'!$AX$5:$BA$5,0)))/2)/2))/2,0)</f>
        <v>0</v>
      </c>
      <c r="BJ15" s="248">
        <f>IF($R15=$BJ$3,((INDEX('Tables - Part 2'!$BB$17:$BE$24,MATCH('HIC-SOHIC-HF'!$U15,'Tables - Part 2'!$AV$6:$AV$13,0),MATCH('HIC-SOHIC-HF'!$S15,'Tables - Part 2'!$AX$5:$BA$5,0)))+(INDEX('Tables - Part 2'!$BB$17:$BE$24,MATCH('HIC-SOHIC-HF'!$U15,'Tables - Part 2'!$AV$6:$AV$13,0),MATCH('HIC-SOHIC-HF'!$S15,'Tables - Part 2'!$AX$5:$BA$5,0))+INDEX('Tables - Part 2'!$BF$17:$BI$24,MATCH('HIC-SOHIC-HF'!$U15,'Tables - Part 2'!$AV$6:$AV$13,0),MATCH('HIC-SOHIC-HF'!$S15,'Tables - Part 2'!$AX$5:$BA$5,0)))/2)/2,0)</f>
        <v>0</v>
      </c>
      <c r="BK15" s="248">
        <f>IF($R15=$BK$3,((((INDEX('Tables - Part 2'!$BB$17:$BE$24,MATCH('HIC-SOHIC-HF'!$U15,'Tables - Part 2'!$AV$6:$AV$13,0),MATCH('HIC-SOHIC-HF'!$S15,'Tables - Part 2'!$AX$5:$BA$5,0)))+(INDEX('Tables - Part 2'!$BB$17:$BE$24,MATCH('HIC-SOHIC-HF'!$U15,'Tables - Part 2'!$AV$6:$AV$13,0),MATCH('HIC-SOHIC-HF'!$S15,'Tables - Part 2'!$AX$5:$BA$5,0))+INDEX('Tables - Part 2'!$BF$17:$BI$24,MATCH('HIC-SOHIC-HF'!$U15,'Tables - Part 2'!$AV$6:$AV$13,0),MATCH('HIC-SOHIC-HF'!$S15,'Tables - Part 2'!$AX$5:$BA$5,0)))/2)/2)+((INDEX('Tables - Part 2'!$BB$17:$BE$24,MATCH('HIC-SOHIC-HF'!$U15,'Tables - Part 2'!$AV$6:$AV$13,0),MATCH('HIC-SOHIC-HF'!$S15,'Tables - Part 2'!$AX$5:$BA$5,0))+INDEX('Tables - Part 2'!$BF$17:$BI$24,MATCH('HIC-SOHIC-HF'!$U15,'Tables - Part 2'!$AV$6:$AV$13,0),MATCH('HIC-SOHIC-HF'!$S15,'Tables - Part 2'!$AX$5:$BA$5,0)))/2))/2,0)</f>
        <v>0</v>
      </c>
      <c r="BL15" s="248">
        <f>IF($R15=$BL$3,(INDEX('Tables - Part 2'!$BB$17:$BE$24,MATCH('HIC-SOHIC-HF'!$U15,'Tables - Part 2'!$AV$6:$AV$13,0),MATCH('HIC-SOHIC-HF'!$S15,'Tables - Part 2'!$AX$5:$BA$5,0))+INDEX('Tables - Part 2'!$BF$17:$BI$24,MATCH('HIC-SOHIC-HF'!$U15,'Tables - Part 2'!$AV$6:$AV$13,0),MATCH('HIC-SOHIC-HF'!$S15,'Tables - Part 2'!$AX$5:$BA$5,0)))/2,0)</f>
        <v>0</v>
      </c>
      <c r="BM15" s="248">
        <f>IF($R15=$BM$3,(((INDEX('Tables - Part 2'!$BB$17:$BE$24,MATCH('HIC-SOHIC-HF'!$U15,'Tables - Part 2'!$AV$6:$AV$13,0),MATCH('HIC-SOHIC-HF'!$S15,'Tables - Part 2'!$AX$5:$BA$5,0))+INDEX('Tables - Part 2'!$BF$17:$BI$24,MATCH('HIC-SOHIC-HF'!$U15,'Tables - Part 2'!$AV$6:$AV$13,0),MATCH('HIC-SOHIC-HF'!$S15,'Tables - Part 2'!$AX$5:$BA$5,0)))/2)+((((INDEX('Tables - Part 2'!$BB$17:$BE$24,MATCH('HIC-SOHIC-HF'!$U15,'Tables - Part 2'!$AV$6:$AV$13,0),MATCH('HIC-SOHIC-HF'!$S15,'Tables - Part 2'!$AX$5:$BA$5,0))+INDEX('Tables - Part 2'!$BF$17:$BI$24,MATCH('HIC-SOHIC-HF'!$U15,'Tables - Part 2'!$AV$6:$AV$13,0),MATCH('HIC-SOHIC-HF'!$S15,'Tables - Part 2'!$AX$5:$BA$5,0)))/2)+INDEX('Tables - Part 2'!$BF$17:$BI$24,MATCH('HIC-SOHIC-HF'!$U15,'Tables - Part 2'!$AV$6:$AV$13,0),MATCH('HIC-SOHIC-HF'!$S15,'Tables - Part 2'!$AX$5:$BA$5,0)))/2))/2,0)</f>
        <v>0</v>
      </c>
      <c r="BN15" s="248">
        <f>IF($R15=$BN$3,(((INDEX('Tables - Part 2'!$BB$17:$BE$24,MATCH('HIC-SOHIC-HF'!$U15,'Tables - Part 2'!$AV$6:$AV$13,0),MATCH('HIC-SOHIC-HF'!$S15,'Tables - Part 2'!$AX$5:$BA$5,0))+INDEX('Tables - Part 2'!$BF$17:$BI$24,MATCH('HIC-SOHIC-HF'!$U15,'Tables - Part 2'!$AV$6:$AV$13,0),MATCH('HIC-SOHIC-HF'!$S15,'Tables - Part 2'!$AX$5:$BA$5,0)))/2)+INDEX('Tables - Part 2'!$BF$17:$BI$24,MATCH('HIC-SOHIC-HF'!$U15,'Tables - Part 2'!$AV$6:$AV$13,0),MATCH('HIC-SOHIC-HF'!$S15,'Tables - Part 2'!$AX$5:$BA$5,0)))/2,0)</f>
        <v>0</v>
      </c>
      <c r="BO15" s="248">
        <f>IF($R15=$BO$3,(((((INDEX('Tables - Part 2'!$BB$17:$BE$24,MATCH('HIC-SOHIC-HF'!$U15,'Tables - Part 2'!$AV$6:$AV$13,0),MATCH('HIC-SOHIC-HF'!$S15,'Tables - Part 2'!$AX$5:$BA$5,0))+INDEX('Tables - Part 2'!$BF$17:$BI$24,MATCH('HIC-SOHIC-HF'!$U15,'Tables - Part 2'!$AV$6:$AV$13,0),MATCH('HIC-SOHIC-HF'!$S15,'Tables - Part 2'!$AX$5:$BA$5,0)))/2)+INDEX('Tables - Part 2'!$BF$17:$BI$24,MATCH('HIC-SOHIC-HF'!$U15,'Tables - Part 2'!$AV$6:$AV$13,0),MATCH('HIC-SOHIC-HF'!$S15,'Tables - Part 2'!$AX$5:$BA$5,0)))/2)+(INDEX('Tables - Part 2'!$BF$17:$BI$24,MATCH('HIC-SOHIC-HF'!$U15,'Tables - Part 2'!$AV$6:$AV$13,0),MATCH('HIC-SOHIC-HF'!$S15,'Tables - Part 2'!$AX$5:$BA$5,0))))/2,0)</f>
        <v>0</v>
      </c>
      <c r="BP15" s="248">
        <f>IF($R15=$BP$3,INDEX('Tables - Part 2'!$BF$17:$BI$24,MATCH('HIC-SOHIC-HF'!$U15,'Tables - Part 2'!$AV$6:$AV$13,0),MATCH('HIC-SOHIC-HF'!$S15,'Tables - Part 2'!$AX$5:$BA$5,0)),0)</f>
        <v>0</v>
      </c>
      <c r="BQ15" s="248">
        <f t="shared" si="6"/>
        <v>0</v>
      </c>
      <c r="BR15" s="238">
        <f t="shared" si="7"/>
        <v>3</v>
      </c>
      <c r="BS15" s="238">
        <f t="shared" si="8"/>
        <v>50.318647405225171</v>
      </c>
    </row>
    <row r="16" spans="2:84" x14ac:dyDescent="0.35">
      <c r="B16" s="161" t="str">
        <f>'Tratamento de Dados'!B24</f>
        <v>V-6</v>
      </c>
      <c r="C16" s="161" t="str">
        <f>'Tratamento de Dados'!D24</f>
        <v>Casco</v>
      </c>
      <c r="D16" s="209" t="s">
        <v>245</v>
      </c>
      <c r="E16" s="209" t="s">
        <v>61</v>
      </c>
      <c r="F16" s="209" t="s">
        <v>244</v>
      </c>
      <c r="G16" s="209" t="s">
        <v>244</v>
      </c>
      <c r="H16" s="209" t="s">
        <v>1208</v>
      </c>
      <c r="I16" s="209" t="s">
        <v>245</v>
      </c>
      <c r="J16" s="209" t="s">
        <v>898</v>
      </c>
      <c r="K16" s="210">
        <v>39092</v>
      </c>
      <c r="L16" s="209">
        <v>0</v>
      </c>
      <c r="M16" s="209">
        <v>1</v>
      </c>
      <c r="N16" s="209">
        <v>1</v>
      </c>
      <c r="O16" s="209">
        <v>4</v>
      </c>
      <c r="P16" s="253">
        <f>'Tratamento de Dados'!DA24</f>
        <v>0</v>
      </c>
      <c r="Q16" s="253">
        <f>'Tratamento de Dados'!DB24</f>
        <v>0</v>
      </c>
      <c r="R16" s="256">
        <f t="shared" si="0"/>
        <v>2.5</v>
      </c>
      <c r="S16" s="246" t="str">
        <f t="shared" si="1"/>
        <v>B</v>
      </c>
      <c r="T16" s="238" t="str" cm="1">
        <f t="array" ref="T16">IF(D16=$BX$2,$BV$4,IF(OR(F16=$BX$3,G16=$BX$3),$BV$5,INDEX(IF(I16=$BX$2,'Tables - Part 2'!$EI$6:$EK$6,'Tables - Part 2'!$EI$5:$EK$5),,MATCH('HIC-SOHIC-HF'!H16,'Tables - Part 2'!$EI$4:$EK$4,0))))</f>
        <v>High</v>
      </c>
      <c r="U16" s="238">
        <f>IF(AND(D16=$BX$2,E16&lt;&gt;$BX$2),"Fitness-For-Service",INDEX('Tables - Part 2'!$EN$4:$EN$7,MATCH('HIC-SOHIC-HF'!T16,'Tables - Part 2'!$EM$4:$EM$7,0),))</f>
        <v>100</v>
      </c>
      <c r="V16" s="238">
        <f>INDEX('Tables - Part 2'!$EQ$4:$EQ$7,MATCH('HIC-SOHIC-HF'!J16,'Tables - Part 2'!$EP$4:$EP$7,0))</f>
        <v>1</v>
      </c>
      <c r="W16" s="238">
        <f>IF(K16=0,(Thinning!G17-Thinning!F17)/365.25,(Thinning!G17-K16)/365.25)</f>
        <v>12.980150581793293</v>
      </c>
      <c r="X16" s="248">
        <f t="shared" si="2"/>
        <v>0</v>
      </c>
      <c r="Y16" s="248">
        <f t="shared" si="3"/>
        <v>2.5</v>
      </c>
      <c r="Z16" s="248">
        <f t="shared" si="4"/>
        <v>3</v>
      </c>
      <c r="AA16" s="247">
        <f t="shared" si="5"/>
        <v>4</v>
      </c>
      <c r="AB16" s="248">
        <f>IF($R16=$AB$3,INDEX('Tables - Part 2'!$AX$6:$BA$13,MATCH('HIC-SOHIC-HF'!U16,'Tables - Part 2'!$AV$6:$AV$13,0),MATCH('HIC-SOHIC-HF'!S16,'Tables - Part 2'!$AX$5:$BA$5,0)),0)</f>
        <v>0</v>
      </c>
      <c r="AC16" s="248">
        <f>IF($R16=$AC$3,(INDEX('Tables - Part 2'!$AX$6:$BA$13,MATCH('HIC-SOHIC-HF'!U16,'Tables - Part 2'!$AV$6:$AV$13,0),MATCH('HIC-SOHIC-HF'!S16,'Tables - Part 2'!$AX$5:$BA$5,0))+(INDEX('Tables - Part 2'!$AX$6:$BA$13,MATCH('HIC-SOHIC-HF'!U16,'Tables - Part 2'!$AV$6:$AV$13,0),MATCH('HIC-SOHIC-HF'!S16,'Tables - Part 2'!$AX$5:$BA$5,0))+((INDEX('Tables - Part 2'!$AX$6:$BA$13,MATCH('HIC-SOHIC-HF'!U16,'Tables - Part 2'!$AV$6:$AV$13,0),MATCH('HIC-SOHIC-HF'!S16,'Tables - Part 2'!$AX$5:$BA$5,0))+INDEX('Tables - Part 2'!$BB$6:$BE$13,MATCH('HIC-SOHIC-HF'!$U16,'Tables - Part 2'!$AV$6:$AV$13,0),MATCH('HIC-SOHIC-HF'!$S16,'Tables - Part 2'!$AX$5:$BA$5,0)))/2))/2)/2,0)</f>
        <v>0</v>
      </c>
      <c r="AD16" s="248">
        <f>IF($R16=$AD$3,(INDEX('Tables - Part 2'!$AX$6:$BA$13,MATCH('HIC-SOHIC-HF'!U16,'Tables - Part 2'!$AV$6:$AV$13,0),MATCH('HIC-SOHIC-HF'!S16,'Tables - Part 2'!$AX$5:$BA$5,0))+((INDEX('Tables - Part 2'!$AX$6:$BA$13,MATCH('HIC-SOHIC-HF'!U16,'Tables - Part 2'!$AV$6:$AV$13,0),MATCH('HIC-SOHIC-HF'!S16,'Tables - Part 2'!$AX$5:$BA$5,0))+INDEX('Tables - Part 2'!$BB$6:$BE$13,MATCH('HIC-SOHIC-HF'!$U16,'Tables - Part 2'!$AV$6:$AV$13,0),MATCH('HIC-SOHIC-HF'!$S16,'Tables - Part 2'!$AX$5:$BA$5,0)))/2))/2,0)</f>
        <v>0</v>
      </c>
      <c r="AE16" s="248">
        <f>IF($R16=$AE$3,(((INDEX('Tables - Part 2'!$AX$6:$BA$13,MATCH('HIC-SOHIC-HF'!U16,'Tables - Part 2'!$AV$6:$AV$13,0),MATCH('HIC-SOHIC-HF'!S16,'Tables - Part 2'!$AX$5:$BA$5,0))+((INDEX('Tables - Part 2'!$AX$6:$BA$13,MATCH('HIC-SOHIC-HF'!U16,'Tables - Part 2'!$AV$6:$AV$13,0),MATCH('HIC-SOHIC-HF'!S16,'Tables - Part 2'!$AX$5:$BA$5,0))+INDEX('Tables - Part 2'!$BB$6:$BE$13,MATCH('HIC-SOHIC-HF'!$U16,'Tables - Part 2'!$AV$6:$AV$13,0),MATCH('HIC-SOHIC-HF'!$S16,'Tables - Part 2'!$AX$5:$BA$5,0)))/2))/2)+(INDEX('Tables - Part 2'!$AX$6:$BA$13,MATCH('HIC-SOHIC-HF'!U16,'Tables - Part 2'!$AV$6:$AV$13,0),MATCH('HIC-SOHIC-HF'!S16,'Tables - Part 2'!$AX$5:$BA$5,0))+INDEX('Tables - Part 2'!$BB$6:$BE$13,MATCH('HIC-SOHIC-HF'!$U16,'Tables - Part 2'!$AV$6:$AV$13,0),MATCH('HIC-SOHIC-HF'!$S16,'Tables - Part 2'!$AX$5:$BA$5,0)))/2)/2,0)</f>
        <v>0</v>
      </c>
      <c r="AF16" s="248">
        <f>IF($R16=$AF$3,(INDEX('Tables - Part 2'!$AX$6:$BA$13,MATCH('HIC-SOHIC-HF'!U16,'Tables - Part 2'!$AV$6:$AV$13,0),MATCH('HIC-SOHIC-HF'!S16,'Tables - Part 2'!$AX$5:$BA$5,0))+INDEX('Tables - Part 2'!$BB$6:$BE$13,MATCH('HIC-SOHIC-HF'!$U16,'Tables - Part 2'!$AV$6:$AV$13,0),MATCH('HIC-SOHIC-HF'!$S16,'Tables - Part 2'!$AX$5:$BA$5,0)))/2,0)</f>
        <v>0</v>
      </c>
      <c r="AG16" s="248">
        <f>IF($R16=$AG$3,(((INDEX('Tables - Part 2'!$AX$6:$BA$13,MATCH('HIC-SOHIC-HF'!U16,'Tables - Part 2'!$AV$6:$AV$13,0),MATCH('HIC-SOHIC-HF'!S16,'Tables - Part 2'!$AX$5:$BA$5,0))+INDEX('Tables - Part 2'!$BB$6:$BE$13,MATCH('HIC-SOHIC-HF'!$U16,'Tables - Part 2'!$AV$6:$AV$13,0),MATCH('HIC-SOHIC-HF'!$S16,'Tables - Part 2'!$AX$5:$BA$5,0)))/2)+(((INDEX('Tables - Part 2'!$AX$6:$BA$13,MATCH('HIC-SOHIC-HF'!U16,'Tables - Part 2'!$AV$6:$AV$13,0),MATCH('HIC-SOHIC-HF'!S16,'Tables - Part 2'!$AX$5:$BA$5,0))+INDEX('Tables - Part 2'!$BB$6:$BE$13,MATCH('HIC-SOHIC-HF'!$U16,'Tables - Part 2'!$AV$6:$AV$13,0),MATCH('HIC-SOHIC-HF'!$S16,'Tables - Part 2'!$AX$5:$BA$5,0)))/2)+INDEX('Tables - Part 2'!$BB$6:$BE$13,MATCH('HIC-SOHIC-HF'!$U16,'Tables - Part 2'!$AV$6:$AV$13,0),MATCH('HIC-SOHIC-HF'!$S16,'Tables - Part 2'!$AX$5:$BA$5,0)))/2)/2,0)</f>
        <v>0</v>
      </c>
      <c r="AH16" s="248">
        <f>IF($R16=$AH$3,(((INDEX('Tables - Part 2'!$AX$6:$BA$13,MATCH('HIC-SOHIC-HF'!U16,'Tables - Part 2'!$AV$6:$AV$13,0),MATCH('HIC-SOHIC-HF'!S16,'Tables - Part 2'!$AX$5:$BA$5,0))+INDEX('Tables - Part 2'!$BB$6:$BE$13,MATCH('HIC-SOHIC-HF'!$U16,'Tables - Part 2'!$AV$6:$AV$13,0),MATCH('HIC-SOHIC-HF'!$S16,'Tables - Part 2'!$AX$5:$BA$5,0)))/2)+INDEX('Tables - Part 2'!$BB$6:$BE$13,MATCH('HIC-SOHIC-HF'!$U16,'Tables - Part 2'!$AV$6:$AV$13,0),MATCH('HIC-SOHIC-HF'!$S16,'Tables - Part 2'!$AX$5:$BA$5,0)))/2,0)</f>
        <v>0</v>
      </c>
      <c r="AI16" s="248">
        <f>IF($R16=$AI$3,(((((INDEX('Tables - Part 2'!$AX$6:$BA$13,MATCH('HIC-SOHIC-HF'!U16,'Tables - Part 2'!$AV$6:$AV$13,0),MATCH('HIC-SOHIC-HF'!S16,'Tables - Part 2'!$AX$5:$BA$5,0))+INDEX('Tables - Part 2'!$BB$6:$BE$13,MATCH('HIC-SOHIC-HF'!$U16,'Tables - Part 2'!$AV$6:$AV$13,0),MATCH('HIC-SOHIC-HF'!$S16,'Tables - Part 2'!$AX$5:$BA$5,0)))/2)+INDEX('Tables - Part 2'!$BB$6:$BE$13,MATCH('HIC-SOHIC-HF'!$U16,'Tables - Part 2'!$AV$6:$AV$13,0),MATCH('HIC-SOHIC-HF'!$S16,'Tables - Part 2'!$AX$5:$BA$5,0)))/2)+INDEX('Tables - Part 2'!$BB$6:$BE$13,MATCH('HIC-SOHIC-HF'!$U16,'Tables - Part 2'!$AV$6:$AV$13,0),MATCH('HIC-SOHIC-HF'!$S16,'Tables - Part 2'!$AX$5:$BA$5,0)))/2,0)</f>
        <v>0</v>
      </c>
      <c r="AJ16" s="248">
        <f>IF($R16=$AJ$3,INDEX('Tables - Part 2'!$BB$6:$BE$13,MATCH('HIC-SOHIC-HF'!$U16,'Tables - Part 2'!$AV$6:$AV$13,0),MATCH('HIC-SOHIC-HF'!$S16,'Tables - Part 2'!$AX$5:$BA$5,0)),0)</f>
        <v>0</v>
      </c>
      <c r="AK16" s="248">
        <f>IF($R16=$AK$3,((INDEX('Tables - Part 2'!$BB$6:$BE$13,MATCH('HIC-SOHIC-HF'!$U16,'Tables - Part 2'!$AV$6:$AV$13,0),MATCH('HIC-SOHIC-HF'!$S16,'Tables - Part 2'!$AX$5:$BA$5,0)))+(INDEX('Tables - Part 2'!$BB$6:$BE$13,MATCH('HIC-SOHIC-HF'!$U16,'Tables - Part 2'!$AV$6:$AV$13,0),MATCH('HIC-SOHIC-HF'!$S16,'Tables - Part 2'!$AX$5:$BA$5,0))+(INDEX('Tables - Part 2'!$BB$6:$BE$13,MATCH('HIC-SOHIC-HF'!$U16,'Tables - Part 2'!$AV$6:$AV$13,0),MATCH('HIC-SOHIC-HF'!$S16,'Tables - Part 2'!$AX$5:$BA$5,0))+INDEX('Tables - Part 2'!$BF$6:$BI$13,MATCH('HIC-SOHIC-HF'!$U16,'Tables - Part 2'!$AV$6:$AV$13,0),MATCH('HIC-SOHIC-HF'!$S16,'Tables - Part 2'!$AX$5:$BA$5,0)))/2)/2)/2,0)</f>
        <v>0</v>
      </c>
      <c r="AL16" s="248">
        <f>IF($R16=$AL$3,(INDEX('Tables - Part 2'!$BB$6:$BE$13,MATCH('HIC-SOHIC-HF'!$U16,'Tables - Part 2'!$AV$6:$AV$13,0),MATCH('HIC-SOHIC-HF'!$S16,'Tables - Part 2'!$AX$5:$BA$5,0))+(INDEX('Tables - Part 2'!$BB$6:$BE$13,MATCH('HIC-SOHIC-HF'!$U16,'Tables - Part 2'!$AV$6:$AV$13,0),MATCH('HIC-SOHIC-HF'!$S16,'Tables - Part 2'!$AX$5:$BA$5,0))+INDEX('Tables - Part 2'!$BF$6:$BI$13,MATCH('HIC-SOHIC-HF'!$U16,'Tables - Part 2'!$AV$6:$AV$13,0),MATCH('HIC-SOHIC-HF'!$S16,'Tables - Part 2'!$AX$5:$BA$5,0)))/2)/2,0)</f>
        <v>0</v>
      </c>
      <c r="AM16" s="248">
        <f>IF($R16=$AM$3,(((INDEX('Tables - Part 2'!$BB$6:$BE$13,MATCH('HIC-SOHIC-HF'!$U16,'Tables - Part 2'!$AV$6:$AV$13,0),MATCH('HIC-SOHIC-HF'!$S16,'Tables - Part 2'!$AX$5:$BA$5,0))+(INDEX('Tables - Part 2'!$BB$6:$BE$13,MATCH('HIC-SOHIC-HF'!$U16,'Tables - Part 2'!$AV$6:$AV$13,0),MATCH('HIC-SOHIC-HF'!$S16,'Tables - Part 2'!$AX$5:$BA$5,0))+INDEX('Tables - Part 2'!$BF$6:$BI$13,MATCH('HIC-SOHIC-HF'!$U16,'Tables - Part 2'!$AV$6:$AV$13,0),MATCH('HIC-SOHIC-HF'!$S16,'Tables - Part 2'!$AX$5:$BA$5,0)))/2)/2)+((INDEX('Tables - Part 2'!$BB$6:$BE$13,MATCH('HIC-SOHIC-HF'!$U16,'Tables - Part 2'!$AV$6:$AV$13,0),MATCH('HIC-SOHIC-HF'!$S16,'Tables - Part 2'!$AX$5:$BA$5,0))+INDEX('Tables - Part 2'!$BF$6:$BI$13,MATCH('HIC-SOHIC-HF'!$U16,'Tables - Part 2'!$AV$6:$AV$13,0),MATCH('HIC-SOHIC-HF'!$S16,'Tables - Part 2'!$AX$5:$BA$5,0)))/2))/2,0)</f>
        <v>0</v>
      </c>
      <c r="AN16" s="248">
        <f>IF($R16=$AN$3,(INDEX('Tables - Part 2'!$BB$6:$BE$13,MATCH('HIC-SOHIC-HF'!$U16,'Tables - Part 2'!$AV$6:$AV$13,0),MATCH('HIC-SOHIC-HF'!$S16,'Tables - Part 2'!$AX$5:$BA$5,0))+INDEX('Tables - Part 2'!$BF$6:$BI$13,MATCH('HIC-SOHIC-HF'!$U16,'Tables - Part 2'!$AV$6:$AV$13,0),MATCH('HIC-SOHIC-HF'!$S16,'Tables - Part 2'!$AX$5:$BA$5,0)))/2,0)</f>
        <v>3</v>
      </c>
      <c r="AO16" s="248">
        <f>IF($R16=$AO$3,(((INDEX('Tables - Part 2'!$BB$6:$BE$13,MATCH('HIC-SOHIC-HF'!$U16,'Tables - Part 2'!$AV$6:$AV$13,0),MATCH('HIC-SOHIC-HF'!$S16,'Tables - Part 2'!$AX$5:$BA$5,0))+INDEX('Tables - Part 2'!$BF$6:$BI$13,MATCH('HIC-SOHIC-HF'!$U16,'Tables - Part 2'!$AV$6:$AV$13,0),MATCH('HIC-SOHIC-HF'!$S16,'Tables - Part 2'!$AX$5:$BA$5,0)))/2)+((((INDEX('Tables - Part 2'!$BB$6:$BE$13,MATCH('HIC-SOHIC-HF'!$U16,'Tables - Part 2'!$AV$6:$AV$13,0),MATCH('HIC-SOHIC-HF'!$S16,'Tables - Part 2'!$AX$5:$BA$5,0))+INDEX('Tables - Part 2'!$BF$6:$BI$13,MATCH('HIC-SOHIC-HF'!$U16,'Tables - Part 2'!$AV$6:$AV$13,0),MATCH('HIC-SOHIC-HF'!$S16,'Tables - Part 2'!$AX$5:$BA$5,0)))/2)+INDEX('Tables - Part 2'!$BF$6:$BI$13,MATCH('HIC-SOHIC-HF'!$U16,'Tables - Part 2'!$AV$6:$AV$13,0),MATCH('HIC-SOHIC-HF'!$S16,'Tables - Part 2'!$AX$5:$BA$5,0)))/2))/2,0)</f>
        <v>0</v>
      </c>
      <c r="AP16" s="248">
        <f>IF($R16=$AP$3,(((INDEX('Tables - Part 2'!$BB$6:$BE$13,MATCH('HIC-SOHIC-HF'!$U16,'Tables - Part 2'!$AV$6:$AV$13,0),MATCH('HIC-SOHIC-HF'!$S16,'Tables - Part 2'!$AX$5:$BA$5,0))+INDEX('Tables - Part 2'!$BF$6:$BI$13,MATCH('HIC-SOHIC-HF'!$U16,'Tables - Part 2'!$AV$6:$AV$13,0),MATCH('HIC-SOHIC-HF'!$S16,'Tables - Part 2'!$AX$5:$BA$5,0)))/2)+INDEX('Tables - Part 2'!$BF$6:$BI$13,MATCH('HIC-SOHIC-HF'!$U16,'Tables - Part 2'!$AV$6:$AV$13,0),MATCH('HIC-SOHIC-HF'!$S16,'Tables - Part 2'!$AX$5:$BA$5,0)))/2,0)</f>
        <v>0</v>
      </c>
      <c r="AQ16" s="248">
        <f>IF($R16=$AQ$3,(((((INDEX('Tables - Part 2'!$BB$6:$BE$13,MATCH('HIC-SOHIC-HF'!$U16,'Tables - Part 2'!$AV$6:$AV$13,0),MATCH('HIC-SOHIC-HF'!$S16,'Tables - Part 2'!$AX$5:$BA$5,0))+INDEX('Tables - Part 2'!$BF$6:$BI$13,MATCH('HIC-SOHIC-HF'!$U16,'Tables - Part 2'!$AV$6:$AV$13,0),MATCH('HIC-SOHIC-HF'!$S16,'Tables - Part 2'!$AX$5:$BA$5,0)))/2)+INDEX('Tables - Part 2'!$BF$6:$BI$13,MATCH('HIC-SOHIC-HF'!$U16,'Tables - Part 2'!$AV$6:$AV$13,0),MATCH('HIC-SOHIC-HF'!$S16,'Tables - Part 2'!$AX$5:$BA$5,0)))/2)+INDEX('Tables - Part 2'!$BF$6:$BI$13,MATCH('HIC-SOHIC-HF'!$U16,'Tables - Part 2'!$AV$6:$AV$13,0),MATCH('HIC-SOHIC-HF'!$S16,'Tables - Part 2'!$AX$5:$BA$5,0)))/2,0)</f>
        <v>0</v>
      </c>
      <c r="AR16" s="248">
        <f>IF($R16=$AR$3,INDEX('Tables - Part 2'!$BF$6:$BI$13,MATCH('HIC-SOHIC-HF'!$U16,'Tables - Part 2'!$AV$6:$AV$13,0),MATCH('HIC-SOHIC-HF'!$S16,'Tables - Part 2'!$AX$5:$BA$5,0)),0)</f>
        <v>0</v>
      </c>
      <c r="AS16" s="248">
        <f>IF($R16=$AS$3,(INDEX('Tables - Part 2'!$BF$6:$BI$13,MATCH('HIC-SOHIC-HF'!$U16,'Tables - Part 2'!$AV$6:$AV$13,0),MATCH('HIC-SOHIC-HF'!$S16,'Tables - Part 2'!$AX$5:$BA$5,0))+((INDEX('Tables - Part 2'!$BF$6:$BI$13,MATCH('HIC-SOHIC-HF'!$U16,'Tables - Part 2'!$AV$6:$AV$13,0),MATCH('HIC-SOHIC-HF'!$S16,'Tables - Part 2'!$AX$5:$BA$5,0))+(INDEX('Tables - Part 2'!$BF$6:$BI$13,MATCH('HIC-SOHIC-HF'!$U16,'Tables - Part 2'!$AV$6:$AV$13,0),MATCH('HIC-SOHIC-HF'!$S16,'Tables - Part 2'!$AX$5:$BA$5,0))+INDEX('Tables - Part 2'!$AX$17:$BA$24,MATCH('HIC-SOHIC-HF'!$U16,'Tables - Part 2'!$AV$6:$AV$13,0),MATCH('HIC-SOHIC-HF'!$S16,'Tables - Part 2'!$AX$5:$BA$5,0)))/2)/2))/2,0)</f>
        <v>0</v>
      </c>
      <c r="AT16" s="248">
        <f>IF($R16=$AT$3,(INDEX('Tables - Part 2'!$BF$6:$BI$13,MATCH('HIC-SOHIC-HF'!$U16,'Tables - Part 2'!$AV$6:$AV$13,0),MATCH('HIC-SOHIC-HF'!$S16,'Tables - Part 2'!$AX$5:$BA$5,0))+(INDEX('Tables - Part 2'!$BF$6:$BI$13,MATCH('HIC-SOHIC-HF'!$U16,'Tables - Part 2'!$AV$6:$AV$13,0),MATCH('HIC-SOHIC-HF'!$S16,'Tables - Part 2'!$AX$5:$BA$5,0))+INDEX('Tables - Part 2'!$AX$17:$BA$24,MATCH('HIC-SOHIC-HF'!$U16,'Tables - Part 2'!$AV$6:$AV$13,0),MATCH('HIC-SOHIC-HF'!$S16,'Tables - Part 2'!$AX$5:$BA$5,0)))/2)/2,0)</f>
        <v>0</v>
      </c>
      <c r="AU16" s="248">
        <f>IF($R16=$AU$3,(((INDEX('Tables - Part 2'!$BF$6:$BI$13,MATCH('HIC-SOHIC-HF'!$U16,'Tables - Part 2'!$AV$6:$AV$13,0),MATCH('HIC-SOHIC-HF'!$S16,'Tables - Part 2'!$AX$5:$BA$5,0))+(INDEX('Tables - Part 2'!$BF$6:$BI$13,MATCH('HIC-SOHIC-HF'!$U16,'Tables - Part 2'!$AV$6:$AV$13,0),MATCH('HIC-SOHIC-HF'!$S16,'Tables - Part 2'!$AX$5:$BA$5,0))+INDEX('Tables - Part 2'!$AX$17:$BA$24,MATCH('HIC-SOHIC-HF'!$U16,'Tables - Part 2'!$AV$6:$AV$13,0),MATCH('HIC-SOHIC-HF'!$S16,'Tables - Part 2'!$AX$5:$BA$5,0)))/2)/2)+((INDEX('Tables - Part 2'!$BF$6:$BI$13,MATCH('HIC-SOHIC-HF'!$U16,'Tables - Part 2'!$AV$6:$AV$13,0),MATCH('HIC-SOHIC-HF'!$S16,'Tables - Part 2'!$AX$5:$BA$5,0))+INDEX('Tables - Part 2'!$AX$17:$BA$24,MATCH('HIC-SOHIC-HF'!$U16,'Tables - Part 2'!$AV$6:$AV$13,0),MATCH('HIC-SOHIC-HF'!$S16,'Tables - Part 2'!$AX$5:$BA$5,0)))/2))/2,0)</f>
        <v>0</v>
      </c>
      <c r="AV16" s="248">
        <f>IF($R16=$AV$3,(INDEX('Tables - Part 2'!$BF$6:$BI$13,MATCH('HIC-SOHIC-HF'!$U16,'Tables - Part 2'!$AV$6:$AV$13,0),MATCH('HIC-SOHIC-HF'!$S16,'Tables - Part 2'!$AX$5:$BA$5,0))+INDEX('Tables - Part 2'!$AX$17:$BA$24,MATCH('HIC-SOHIC-HF'!$U16,'Tables - Part 2'!$AV$6:$AV$13,0),MATCH('HIC-SOHIC-HF'!$S16,'Tables - Part 2'!$AX$5:$BA$5,0)))/2,0)</f>
        <v>0</v>
      </c>
      <c r="AW16" s="248">
        <f>IF($R16=$AW$3,(((INDEX('Tables - Part 2'!$BF$6:$BI$13,MATCH('HIC-SOHIC-HF'!$U16,'Tables - Part 2'!$AV$6:$AV$13,0),MATCH('HIC-SOHIC-HF'!$S16,'Tables - Part 2'!$AX$5:$BA$5,0))+INDEX('Tables - Part 2'!$AX$17:$BA$24,MATCH('HIC-SOHIC-HF'!$U16,'Tables - Part 2'!$AV$6:$AV$13,0),MATCH('HIC-SOHIC-HF'!$S16,'Tables - Part 2'!$AX$5:$BA$5,0)))/2)+((((INDEX('Tables - Part 2'!$BF$6:$BI$13,MATCH('HIC-SOHIC-HF'!$U16,'Tables - Part 2'!$AV$6:$AV$13,0),MATCH('HIC-SOHIC-HF'!$S16,'Tables - Part 2'!$AX$5:$BA$5,0))+INDEX('Tables - Part 2'!$AX$17:$BA$24,MATCH('HIC-SOHIC-HF'!$U16,'Tables - Part 2'!$AV$6:$AV$13,0),MATCH('HIC-SOHIC-HF'!$S16,'Tables - Part 2'!$AX$5:$BA$5,0)))/2)+INDEX('Tables - Part 2'!$AX$17:$BA$24,MATCH('HIC-SOHIC-HF'!$U16,'Tables - Part 2'!$AV$6:$AV$13,0),MATCH('HIC-SOHIC-HF'!$S16,'Tables - Part 2'!$AX$5:$BA$5,0)))/2))/2,0)</f>
        <v>0</v>
      </c>
      <c r="AX16" s="248">
        <f>IF($R16=$AX$3,(((INDEX('Tables - Part 2'!$BF$6:$BI$13,MATCH('HIC-SOHIC-HF'!$U16,'Tables - Part 2'!$AV$6:$AV$13,0),MATCH('HIC-SOHIC-HF'!$S16,'Tables - Part 2'!$AX$5:$BA$5,0))+INDEX('Tables - Part 2'!$AX$17:$BA$24,MATCH('HIC-SOHIC-HF'!$U16,'Tables - Part 2'!$AV$6:$AV$13,0),MATCH('HIC-SOHIC-HF'!$S16,'Tables - Part 2'!$AX$5:$BA$5,0)))/2)+INDEX('Tables - Part 2'!$AX$17:$BA$24,MATCH('HIC-SOHIC-HF'!$U16,'Tables - Part 2'!$AV$6:$AV$13,0),MATCH('HIC-SOHIC-HF'!$S16,'Tables - Part 2'!$AX$5:$BA$5,0)))/2,0)</f>
        <v>0</v>
      </c>
      <c r="AY16" s="248">
        <f>IF($R16=$AY$3,(((((INDEX('Tables - Part 2'!$BF$6:$BI$13,MATCH('HIC-SOHIC-HF'!$U16,'Tables - Part 2'!$AV$6:$AV$13,0),MATCH('HIC-SOHIC-HF'!$S16,'Tables - Part 2'!$AX$5:$BA$5,0))+INDEX('Tables - Part 2'!$AX$17:$BA$24,MATCH('HIC-SOHIC-HF'!$U16,'Tables - Part 2'!$AV$6:$AV$13,0),MATCH('HIC-SOHIC-HF'!$S16,'Tables - Part 2'!$AX$5:$BA$5,0)))/2)+INDEX('Tables - Part 2'!$AX$17:$BA$24,MATCH('HIC-SOHIC-HF'!$U16,'Tables - Part 2'!$AV$6:$AV$13,0),MATCH('HIC-SOHIC-HF'!$S16,'Tables - Part 2'!$AX$5:$BA$5,0)))/2)+(INDEX('Tables - Part 2'!$AX$17:$BA$24,MATCH('HIC-SOHIC-HF'!$U16,'Tables - Part 2'!$AV$6:$AV$13,0),MATCH('HIC-SOHIC-HF'!$S16,'Tables - Part 2'!$AX$5:$BA$5,0))))/2,0)</f>
        <v>0</v>
      </c>
      <c r="AZ16" s="248">
        <f>IF($R16=$AZ$3,INDEX('Tables - Part 2'!$AX$17:$BA$24,MATCH('HIC-SOHIC-HF'!$U16,'Tables - Part 2'!$AV$6:$AV$13,0),MATCH('HIC-SOHIC-HF'!$S16,'Tables - Part 2'!$AX$5:$BA$5,0)),0)</f>
        <v>0</v>
      </c>
      <c r="BA16" s="248">
        <f>IF($R16=$BA$3,((INDEX('Tables - Part 2'!$AX$17:$BA$24,MATCH('HIC-SOHIC-HF'!$U16,'Tables - Part 2'!$AV$6:$AV$13,0),MATCH('HIC-SOHIC-HF'!$S16,'Tables - Part 2'!$AX$5:$BA$5,0)))+(((INDEX('Tables - Part 2'!$AX$17:$BA$24,MATCH('HIC-SOHIC-HF'!$U16,'Tables - Part 2'!$AV$6:$AV$13,0),MATCH('HIC-SOHIC-HF'!$S16,'Tables - Part 2'!$AX$5:$BA$5,0)))+(INDEX('Tables - Part 2'!$AX$17:$BA$24,MATCH('HIC-SOHIC-HF'!$U16,'Tables - Part 2'!$AV$6:$AV$13,0),MATCH('HIC-SOHIC-HF'!$S16,'Tables - Part 2'!$AX$5:$BA$5,0))+INDEX('Tables - Part 2'!$BB$17:$BE$24,MATCH('HIC-SOHIC-HF'!$U16,'Tables - Part 2'!$AV$6:$AV$13,0),MATCH('HIC-SOHIC-HF'!$S16,'Tables - Part 2'!$AX$5:$BA$5,0)))/2)/2))/2,0)</f>
        <v>0</v>
      </c>
      <c r="BB16" s="248">
        <f>IF($R16=$BB$3,((INDEX('Tables - Part 2'!$AX$17:$BA$24,MATCH('HIC-SOHIC-HF'!$U16,'Tables - Part 2'!$AV$6:$AV$13,0),MATCH('HIC-SOHIC-HF'!$S16,'Tables - Part 2'!$AX$5:$BA$5,0)))+(INDEX('Tables - Part 2'!$AX$17:$BA$24,MATCH('HIC-SOHIC-HF'!$U16,'Tables - Part 2'!$AV$6:$AV$13,0),MATCH('HIC-SOHIC-HF'!$S16,'Tables - Part 2'!$AX$5:$BA$5,0))+INDEX('Tables - Part 2'!$BB$17:$BE$24,MATCH('HIC-SOHIC-HF'!$U16,'Tables - Part 2'!$AV$6:$AV$13,0),MATCH('HIC-SOHIC-HF'!$S16,'Tables - Part 2'!$AX$5:$BA$5,0)))/2)/2,0)</f>
        <v>0</v>
      </c>
      <c r="BC16" s="248">
        <f>IF($R16=$BC$3,((((INDEX('Tables - Part 2'!$AX$17:$BA$24,MATCH('HIC-SOHIC-HF'!$U16,'Tables - Part 2'!$AV$6:$AV$13,0),MATCH('HIC-SOHIC-HF'!$S16,'Tables - Part 2'!$AX$5:$BA$5,0)))+(INDEX('Tables - Part 2'!$AX$17:$BA$24,MATCH('HIC-SOHIC-HF'!$U16,'Tables - Part 2'!$AV$6:$AV$13,0),MATCH('HIC-SOHIC-HF'!$S16,'Tables - Part 2'!$AX$5:$BA$5,0))+INDEX('Tables - Part 2'!$BB$17:$BE$24,MATCH('HIC-SOHIC-HF'!$U16,'Tables - Part 2'!$AV$6:$AV$13,0),MATCH('HIC-SOHIC-HF'!$S16,'Tables - Part 2'!$AX$5:$BA$5,0)))/2)/2)+((INDEX('Tables - Part 2'!$AX$17:$BA$24,MATCH('HIC-SOHIC-HF'!$U16,'Tables - Part 2'!$AV$6:$AV$13,0),MATCH('HIC-SOHIC-HF'!$S16,'Tables - Part 2'!$AX$5:$BA$5,0))+INDEX('Tables - Part 2'!$BB$17:$BE$24,MATCH('HIC-SOHIC-HF'!$U16,'Tables - Part 2'!$AV$6:$AV$13,0),MATCH('HIC-SOHIC-HF'!$S16,'Tables - Part 2'!$AX$5:$BA$5,0)))/2))/2,0)</f>
        <v>0</v>
      </c>
      <c r="BD16" s="248">
        <f>IF($R16=$BD$3,(INDEX('Tables - Part 2'!$AX$17:$BA$24,MATCH('HIC-SOHIC-HF'!$U16,'Tables - Part 2'!$AV$6:$AV$13,0),MATCH('HIC-SOHIC-HF'!$S16,'Tables - Part 2'!$AX$5:$BA$5,0))+INDEX('Tables - Part 2'!$BB$17:$BE$24,MATCH('HIC-SOHIC-HF'!$U16,'Tables - Part 2'!$AV$6:$AV$13,0),MATCH('HIC-SOHIC-HF'!$S16,'Tables - Part 2'!$AX$5:$BA$5,0)))/2,0)</f>
        <v>0</v>
      </c>
      <c r="BE16" s="248">
        <f>IF($R16=$BE$3,(((INDEX('Tables - Part 2'!$AX$17:$BA$24,MATCH('HIC-SOHIC-HF'!$U16,'Tables - Part 2'!$AV$6:$AV$13,0),MATCH('HIC-SOHIC-HF'!$S16,'Tables - Part 2'!$AX$5:$BA$5,0))+INDEX('Tables - Part 2'!$BB$17:$BE$24,MATCH('HIC-SOHIC-HF'!$U16,'Tables - Part 2'!$AV$6:$AV$13,0),MATCH('HIC-SOHIC-HF'!$S16,'Tables - Part 2'!$AX$5:$BA$5,0)))/2)+((((INDEX('Tables - Part 2'!$AX$17:$BA$24,MATCH('HIC-SOHIC-HF'!$U16,'Tables - Part 2'!$AV$6:$AV$13,0),MATCH('HIC-SOHIC-HF'!$S16,'Tables - Part 2'!$AX$5:$BA$5,0))+INDEX('Tables - Part 2'!$BB$17:$BE$24,MATCH('HIC-SOHIC-HF'!$U16,'Tables - Part 2'!$AV$6:$AV$13,0),MATCH('HIC-SOHIC-HF'!$S16,'Tables - Part 2'!$AX$5:$BA$5,0)))/2)+INDEX('Tables - Part 2'!$BB$17:$BE$24,MATCH('HIC-SOHIC-HF'!$U16,'Tables - Part 2'!$AV$6:$AV$13,0),MATCH('HIC-SOHIC-HF'!$S16,'Tables - Part 2'!$AX$5:$BA$5,0)))/2))/2,0)</f>
        <v>0</v>
      </c>
      <c r="BF16" s="248">
        <f>IF($R16=$BF$3,(((INDEX('Tables - Part 2'!$AX$17:$BA$24,MATCH('HIC-SOHIC-HF'!$U16,'Tables - Part 2'!$AV$6:$AV$13,0),MATCH('HIC-SOHIC-HF'!$S16,'Tables - Part 2'!$AX$5:$BA$5,0))+INDEX('Tables - Part 2'!$BB$17:$BE$24,MATCH('HIC-SOHIC-HF'!$U16,'Tables - Part 2'!$AV$6:$AV$13,0),MATCH('HIC-SOHIC-HF'!$S16,'Tables - Part 2'!$AX$5:$BA$5,0)))/2)+INDEX('Tables - Part 2'!$BB$17:$BE$24,MATCH('HIC-SOHIC-HF'!$U16,'Tables - Part 2'!$AV$6:$AV$13,0),MATCH('HIC-SOHIC-HF'!$S16,'Tables - Part 2'!$AX$5:$BA$5,0)))/2,0)</f>
        <v>0</v>
      </c>
      <c r="BG16" s="248">
        <f>IF($R16=$BG$3,(((((INDEX('Tables - Part 2'!$AX$17:$BA$24,MATCH('HIC-SOHIC-HF'!$U16,'Tables - Part 2'!$AV$6:$AV$13,0),MATCH('HIC-SOHIC-HF'!$S16,'Tables - Part 2'!$AX$5:$BA$5,0))+INDEX('Tables - Part 2'!$BB$17:$BE$24,MATCH('HIC-SOHIC-HF'!$U16,'Tables - Part 2'!$AV$6:$AV$13,0),MATCH('HIC-SOHIC-HF'!$S16,'Tables - Part 2'!$AX$5:$BA$5,0)))/2)+INDEX('Tables - Part 2'!$BB$17:$BE$24,MATCH('HIC-SOHIC-HF'!$U16,'Tables - Part 2'!$AV$6:$AV$13,0),MATCH('HIC-SOHIC-HF'!$S16,'Tables - Part 2'!$AX$5:$BA$5,0)))/2)+(INDEX('Tables - Part 2'!$BB$17:$BE$24,MATCH('HIC-SOHIC-HF'!$U16,'Tables - Part 2'!$AV$6:$AV$13,0),MATCH('HIC-SOHIC-HF'!$S16,'Tables - Part 2'!$AX$5:$BA$5,0))))/2,0)</f>
        <v>0</v>
      </c>
      <c r="BH16" s="248">
        <f>IF($R16=$BH$3,INDEX('Tables - Part 2'!$BB$17:$BE$24,MATCH('HIC-SOHIC-HF'!$U16,'Tables - Part 2'!$AV$6:$AV$13,0),MATCH('HIC-SOHIC-HF'!$S16,'Tables - Part 2'!$AX$5:$BA$5,0)),0)</f>
        <v>0</v>
      </c>
      <c r="BI16" s="248">
        <f>IF($R16=$BI$3,((INDEX('Tables - Part 2'!$BB$17:$BE$24,MATCH('HIC-SOHIC-HF'!$U16,'Tables - Part 2'!$AV$6:$AV$13,0),MATCH('HIC-SOHIC-HF'!$S16,'Tables - Part 2'!$AX$5:$BA$5,0)))+(((INDEX('Tables - Part 2'!$BB$17:$BE$24,MATCH('HIC-SOHIC-HF'!$U16,'Tables - Part 2'!$AV$6:$AV$13,0),MATCH('HIC-SOHIC-HF'!$S16,'Tables - Part 2'!$AX$5:$BA$5,0)))+(INDEX('Tables - Part 2'!$BB$17:$BE$24,MATCH('HIC-SOHIC-HF'!$U16,'Tables - Part 2'!$AV$6:$AV$13,0),MATCH('HIC-SOHIC-HF'!$S16,'Tables - Part 2'!$AX$5:$BA$5,0))+INDEX('Tables - Part 2'!$BF$17:$BI$24,MATCH('HIC-SOHIC-HF'!$U16,'Tables - Part 2'!$AV$6:$AV$13,0),MATCH('HIC-SOHIC-HF'!$S16,'Tables - Part 2'!$AX$5:$BA$5,0)))/2)/2))/2,0)</f>
        <v>0</v>
      </c>
      <c r="BJ16" s="248">
        <f>IF($R16=$BJ$3,((INDEX('Tables - Part 2'!$BB$17:$BE$24,MATCH('HIC-SOHIC-HF'!$U16,'Tables - Part 2'!$AV$6:$AV$13,0),MATCH('HIC-SOHIC-HF'!$S16,'Tables - Part 2'!$AX$5:$BA$5,0)))+(INDEX('Tables - Part 2'!$BB$17:$BE$24,MATCH('HIC-SOHIC-HF'!$U16,'Tables - Part 2'!$AV$6:$AV$13,0),MATCH('HIC-SOHIC-HF'!$S16,'Tables - Part 2'!$AX$5:$BA$5,0))+INDEX('Tables - Part 2'!$BF$17:$BI$24,MATCH('HIC-SOHIC-HF'!$U16,'Tables - Part 2'!$AV$6:$AV$13,0),MATCH('HIC-SOHIC-HF'!$S16,'Tables - Part 2'!$AX$5:$BA$5,0)))/2)/2,0)</f>
        <v>0</v>
      </c>
      <c r="BK16" s="248">
        <f>IF($R16=$BK$3,((((INDEX('Tables - Part 2'!$BB$17:$BE$24,MATCH('HIC-SOHIC-HF'!$U16,'Tables - Part 2'!$AV$6:$AV$13,0),MATCH('HIC-SOHIC-HF'!$S16,'Tables - Part 2'!$AX$5:$BA$5,0)))+(INDEX('Tables - Part 2'!$BB$17:$BE$24,MATCH('HIC-SOHIC-HF'!$U16,'Tables - Part 2'!$AV$6:$AV$13,0),MATCH('HIC-SOHIC-HF'!$S16,'Tables - Part 2'!$AX$5:$BA$5,0))+INDEX('Tables - Part 2'!$BF$17:$BI$24,MATCH('HIC-SOHIC-HF'!$U16,'Tables - Part 2'!$AV$6:$AV$13,0),MATCH('HIC-SOHIC-HF'!$S16,'Tables - Part 2'!$AX$5:$BA$5,0)))/2)/2)+((INDEX('Tables - Part 2'!$BB$17:$BE$24,MATCH('HIC-SOHIC-HF'!$U16,'Tables - Part 2'!$AV$6:$AV$13,0),MATCH('HIC-SOHIC-HF'!$S16,'Tables - Part 2'!$AX$5:$BA$5,0))+INDEX('Tables - Part 2'!$BF$17:$BI$24,MATCH('HIC-SOHIC-HF'!$U16,'Tables - Part 2'!$AV$6:$AV$13,0),MATCH('HIC-SOHIC-HF'!$S16,'Tables - Part 2'!$AX$5:$BA$5,0)))/2))/2,0)</f>
        <v>0</v>
      </c>
      <c r="BL16" s="248">
        <f>IF($R16=$BL$3,(INDEX('Tables - Part 2'!$BB$17:$BE$24,MATCH('HIC-SOHIC-HF'!$U16,'Tables - Part 2'!$AV$6:$AV$13,0),MATCH('HIC-SOHIC-HF'!$S16,'Tables - Part 2'!$AX$5:$BA$5,0))+INDEX('Tables - Part 2'!$BF$17:$BI$24,MATCH('HIC-SOHIC-HF'!$U16,'Tables - Part 2'!$AV$6:$AV$13,0),MATCH('HIC-SOHIC-HF'!$S16,'Tables - Part 2'!$AX$5:$BA$5,0)))/2,0)</f>
        <v>0</v>
      </c>
      <c r="BM16" s="248">
        <f>IF($R16=$BM$3,(((INDEX('Tables - Part 2'!$BB$17:$BE$24,MATCH('HIC-SOHIC-HF'!$U16,'Tables - Part 2'!$AV$6:$AV$13,0),MATCH('HIC-SOHIC-HF'!$S16,'Tables - Part 2'!$AX$5:$BA$5,0))+INDEX('Tables - Part 2'!$BF$17:$BI$24,MATCH('HIC-SOHIC-HF'!$U16,'Tables - Part 2'!$AV$6:$AV$13,0),MATCH('HIC-SOHIC-HF'!$S16,'Tables - Part 2'!$AX$5:$BA$5,0)))/2)+((((INDEX('Tables - Part 2'!$BB$17:$BE$24,MATCH('HIC-SOHIC-HF'!$U16,'Tables - Part 2'!$AV$6:$AV$13,0),MATCH('HIC-SOHIC-HF'!$S16,'Tables - Part 2'!$AX$5:$BA$5,0))+INDEX('Tables - Part 2'!$BF$17:$BI$24,MATCH('HIC-SOHIC-HF'!$U16,'Tables - Part 2'!$AV$6:$AV$13,0),MATCH('HIC-SOHIC-HF'!$S16,'Tables - Part 2'!$AX$5:$BA$5,0)))/2)+INDEX('Tables - Part 2'!$BF$17:$BI$24,MATCH('HIC-SOHIC-HF'!$U16,'Tables - Part 2'!$AV$6:$AV$13,0),MATCH('HIC-SOHIC-HF'!$S16,'Tables - Part 2'!$AX$5:$BA$5,0)))/2))/2,0)</f>
        <v>0</v>
      </c>
      <c r="BN16" s="248">
        <f>IF($R16=$BN$3,(((INDEX('Tables - Part 2'!$BB$17:$BE$24,MATCH('HIC-SOHIC-HF'!$U16,'Tables - Part 2'!$AV$6:$AV$13,0),MATCH('HIC-SOHIC-HF'!$S16,'Tables - Part 2'!$AX$5:$BA$5,0))+INDEX('Tables - Part 2'!$BF$17:$BI$24,MATCH('HIC-SOHIC-HF'!$U16,'Tables - Part 2'!$AV$6:$AV$13,0),MATCH('HIC-SOHIC-HF'!$S16,'Tables - Part 2'!$AX$5:$BA$5,0)))/2)+INDEX('Tables - Part 2'!$BF$17:$BI$24,MATCH('HIC-SOHIC-HF'!$U16,'Tables - Part 2'!$AV$6:$AV$13,0),MATCH('HIC-SOHIC-HF'!$S16,'Tables - Part 2'!$AX$5:$BA$5,0)))/2,0)</f>
        <v>0</v>
      </c>
      <c r="BO16" s="248">
        <f>IF($R16=$BO$3,(((((INDEX('Tables - Part 2'!$BB$17:$BE$24,MATCH('HIC-SOHIC-HF'!$U16,'Tables - Part 2'!$AV$6:$AV$13,0),MATCH('HIC-SOHIC-HF'!$S16,'Tables - Part 2'!$AX$5:$BA$5,0))+INDEX('Tables - Part 2'!$BF$17:$BI$24,MATCH('HIC-SOHIC-HF'!$U16,'Tables - Part 2'!$AV$6:$AV$13,0),MATCH('HIC-SOHIC-HF'!$S16,'Tables - Part 2'!$AX$5:$BA$5,0)))/2)+INDEX('Tables - Part 2'!$BF$17:$BI$24,MATCH('HIC-SOHIC-HF'!$U16,'Tables - Part 2'!$AV$6:$AV$13,0),MATCH('HIC-SOHIC-HF'!$S16,'Tables - Part 2'!$AX$5:$BA$5,0)))/2)+(INDEX('Tables - Part 2'!$BF$17:$BI$24,MATCH('HIC-SOHIC-HF'!$U16,'Tables - Part 2'!$AV$6:$AV$13,0),MATCH('HIC-SOHIC-HF'!$S16,'Tables - Part 2'!$AX$5:$BA$5,0))))/2,0)</f>
        <v>0</v>
      </c>
      <c r="BP16" s="248">
        <f>IF($R16=$BP$3,INDEX('Tables - Part 2'!$BF$17:$BI$24,MATCH('HIC-SOHIC-HF'!$U16,'Tables - Part 2'!$AV$6:$AV$13,0),MATCH('HIC-SOHIC-HF'!$S16,'Tables - Part 2'!$AX$5:$BA$5,0)),0)</f>
        <v>0</v>
      </c>
      <c r="BQ16" s="248">
        <f t="shared" si="6"/>
        <v>0</v>
      </c>
      <c r="BR16" s="238">
        <f t="shared" si="7"/>
        <v>3</v>
      </c>
      <c r="BS16" s="238">
        <f t="shared" si="8"/>
        <v>50.318647405225171</v>
      </c>
    </row>
    <row r="17" spans="2:71" x14ac:dyDescent="0.35">
      <c r="B17" s="161" t="str">
        <f>'Tratamento de Dados'!B25</f>
        <v>V-7</v>
      </c>
      <c r="C17" s="161" t="str">
        <f>'Tratamento de Dados'!D25</f>
        <v>Casco</v>
      </c>
      <c r="D17" s="209" t="s">
        <v>245</v>
      </c>
      <c r="E17" s="209" t="s">
        <v>61</v>
      </c>
      <c r="F17" s="209" t="s">
        <v>244</v>
      </c>
      <c r="G17" s="209" t="s">
        <v>244</v>
      </c>
      <c r="H17" s="209" t="s">
        <v>1208</v>
      </c>
      <c r="I17" s="209" t="s">
        <v>245</v>
      </c>
      <c r="J17" s="209" t="s">
        <v>898</v>
      </c>
      <c r="K17" s="210">
        <v>39092</v>
      </c>
      <c r="L17" s="209">
        <v>0</v>
      </c>
      <c r="M17" s="209">
        <v>1</v>
      </c>
      <c r="N17" s="209">
        <v>1</v>
      </c>
      <c r="O17" s="209">
        <v>4</v>
      </c>
      <c r="P17" s="253">
        <f>'Tratamento de Dados'!DA25</f>
        <v>0</v>
      </c>
      <c r="Q17" s="253">
        <f>'Tratamento de Dados'!DB25</f>
        <v>0</v>
      </c>
      <c r="R17" s="256">
        <f t="shared" si="0"/>
        <v>2.5</v>
      </c>
      <c r="S17" s="246" t="str">
        <f t="shared" si="1"/>
        <v>B</v>
      </c>
      <c r="T17" s="238" t="str" cm="1">
        <f t="array" ref="T17">IF(D17=$BX$2,$BV$4,IF(OR(F17=$BX$3,G17=$BX$3),$BV$5,INDEX(IF(I17=$BX$2,'Tables - Part 2'!$EI$6:$EK$6,'Tables - Part 2'!$EI$5:$EK$5),,MATCH('HIC-SOHIC-HF'!H17,'Tables - Part 2'!$EI$4:$EK$4,0))))</f>
        <v>High</v>
      </c>
      <c r="U17" s="238">
        <f>IF(AND(D17=$BX$2,E17&lt;&gt;$BX$2),"Fitness-For-Service",INDEX('Tables - Part 2'!$EN$4:$EN$7,MATCH('HIC-SOHIC-HF'!T17,'Tables - Part 2'!$EM$4:$EM$7,0),))</f>
        <v>100</v>
      </c>
      <c r="V17" s="238">
        <f>INDEX('Tables - Part 2'!$EQ$4:$EQ$7,MATCH('HIC-SOHIC-HF'!J17,'Tables - Part 2'!$EP$4:$EP$7,0))</f>
        <v>1</v>
      </c>
      <c r="W17" s="238">
        <f>IF(K17=0,(Thinning!G18-Thinning!F18)/365.25,(Thinning!G18-K17)/365.25)</f>
        <v>12.980150581793293</v>
      </c>
      <c r="X17" s="248">
        <f t="shared" si="2"/>
        <v>0</v>
      </c>
      <c r="Y17" s="248">
        <f t="shared" si="3"/>
        <v>2.5</v>
      </c>
      <c r="Z17" s="248">
        <f t="shared" si="4"/>
        <v>3</v>
      </c>
      <c r="AA17" s="247">
        <f t="shared" si="5"/>
        <v>4</v>
      </c>
      <c r="AB17" s="248">
        <f>IF($R17=$AB$3,INDEX('Tables - Part 2'!$AX$6:$BA$13,MATCH('HIC-SOHIC-HF'!U17,'Tables - Part 2'!$AV$6:$AV$13,0),MATCH('HIC-SOHIC-HF'!S17,'Tables - Part 2'!$AX$5:$BA$5,0)),0)</f>
        <v>0</v>
      </c>
      <c r="AC17" s="248">
        <f>IF($R17=$AC$3,(INDEX('Tables - Part 2'!$AX$6:$BA$13,MATCH('HIC-SOHIC-HF'!U17,'Tables - Part 2'!$AV$6:$AV$13,0),MATCH('HIC-SOHIC-HF'!S17,'Tables - Part 2'!$AX$5:$BA$5,0))+(INDEX('Tables - Part 2'!$AX$6:$BA$13,MATCH('HIC-SOHIC-HF'!U17,'Tables - Part 2'!$AV$6:$AV$13,0),MATCH('HIC-SOHIC-HF'!S17,'Tables - Part 2'!$AX$5:$BA$5,0))+((INDEX('Tables - Part 2'!$AX$6:$BA$13,MATCH('HIC-SOHIC-HF'!U17,'Tables - Part 2'!$AV$6:$AV$13,0),MATCH('HIC-SOHIC-HF'!S17,'Tables - Part 2'!$AX$5:$BA$5,0))+INDEX('Tables - Part 2'!$BB$6:$BE$13,MATCH('HIC-SOHIC-HF'!$U17,'Tables - Part 2'!$AV$6:$AV$13,0),MATCH('HIC-SOHIC-HF'!$S17,'Tables - Part 2'!$AX$5:$BA$5,0)))/2))/2)/2,0)</f>
        <v>0</v>
      </c>
      <c r="AD17" s="248">
        <f>IF($R17=$AD$3,(INDEX('Tables - Part 2'!$AX$6:$BA$13,MATCH('HIC-SOHIC-HF'!U17,'Tables - Part 2'!$AV$6:$AV$13,0),MATCH('HIC-SOHIC-HF'!S17,'Tables - Part 2'!$AX$5:$BA$5,0))+((INDEX('Tables - Part 2'!$AX$6:$BA$13,MATCH('HIC-SOHIC-HF'!U17,'Tables - Part 2'!$AV$6:$AV$13,0),MATCH('HIC-SOHIC-HF'!S17,'Tables - Part 2'!$AX$5:$BA$5,0))+INDEX('Tables - Part 2'!$BB$6:$BE$13,MATCH('HIC-SOHIC-HF'!$U17,'Tables - Part 2'!$AV$6:$AV$13,0),MATCH('HIC-SOHIC-HF'!$S17,'Tables - Part 2'!$AX$5:$BA$5,0)))/2))/2,0)</f>
        <v>0</v>
      </c>
      <c r="AE17" s="248">
        <f>IF($R17=$AE$3,(((INDEX('Tables - Part 2'!$AX$6:$BA$13,MATCH('HIC-SOHIC-HF'!U17,'Tables - Part 2'!$AV$6:$AV$13,0),MATCH('HIC-SOHIC-HF'!S17,'Tables - Part 2'!$AX$5:$BA$5,0))+((INDEX('Tables - Part 2'!$AX$6:$BA$13,MATCH('HIC-SOHIC-HF'!U17,'Tables - Part 2'!$AV$6:$AV$13,0),MATCH('HIC-SOHIC-HF'!S17,'Tables - Part 2'!$AX$5:$BA$5,0))+INDEX('Tables - Part 2'!$BB$6:$BE$13,MATCH('HIC-SOHIC-HF'!$U17,'Tables - Part 2'!$AV$6:$AV$13,0),MATCH('HIC-SOHIC-HF'!$S17,'Tables - Part 2'!$AX$5:$BA$5,0)))/2))/2)+(INDEX('Tables - Part 2'!$AX$6:$BA$13,MATCH('HIC-SOHIC-HF'!U17,'Tables - Part 2'!$AV$6:$AV$13,0),MATCH('HIC-SOHIC-HF'!S17,'Tables - Part 2'!$AX$5:$BA$5,0))+INDEX('Tables - Part 2'!$BB$6:$BE$13,MATCH('HIC-SOHIC-HF'!$U17,'Tables - Part 2'!$AV$6:$AV$13,0),MATCH('HIC-SOHIC-HF'!$S17,'Tables - Part 2'!$AX$5:$BA$5,0)))/2)/2,0)</f>
        <v>0</v>
      </c>
      <c r="AF17" s="248">
        <f>IF($R17=$AF$3,(INDEX('Tables - Part 2'!$AX$6:$BA$13,MATCH('HIC-SOHIC-HF'!U17,'Tables - Part 2'!$AV$6:$AV$13,0),MATCH('HIC-SOHIC-HF'!S17,'Tables - Part 2'!$AX$5:$BA$5,0))+INDEX('Tables - Part 2'!$BB$6:$BE$13,MATCH('HIC-SOHIC-HF'!$U17,'Tables - Part 2'!$AV$6:$AV$13,0),MATCH('HIC-SOHIC-HF'!$S17,'Tables - Part 2'!$AX$5:$BA$5,0)))/2,0)</f>
        <v>0</v>
      </c>
      <c r="AG17" s="248">
        <f>IF($R17=$AG$3,(((INDEX('Tables - Part 2'!$AX$6:$BA$13,MATCH('HIC-SOHIC-HF'!U17,'Tables - Part 2'!$AV$6:$AV$13,0),MATCH('HIC-SOHIC-HF'!S17,'Tables - Part 2'!$AX$5:$BA$5,0))+INDEX('Tables - Part 2'!$BB$6:$BE$13,MATCH('HIC-SOHIC-HF'!$U17,'Tables - Part 2'!$AV$6:$AV$13,0),MATCH('HIC-SOHIC-HF'!$S17,'Tables - Part 2'!$AX$5:$BA$5,0)))/2)+(((INDEX('Tables - Part 2'!$AX$6:$BA$13,MATCH('HIC-SOHIC-HF'!U17,'Tables - Part 2'!$AV$6:$AV$13,0),MATCH('HIC-SOHIC-HF'!S17,'Tables - Part 2'!$AX$5:$BA$5,0))+INDEX('Tables - Part 2'!$BB$6:$BE$13,MATCH('HIC-SOHIC-HF'!$U17,'Tables - Part 2'!$AV$6:$AV$13,0),MATCH('HIC-SOHIC-HF'!$S17,'Tables - Part 2'!$AX$5:$BA$5,0)))/2)+INDEX('Tables - Part 2'!$BB$6:$BE$13,MATCH('HIC-SOHIC-HF'!$U17,'Tables - Part 2'!$AV$6:$AV$13,0),MATCH('HIC-SOHIC-HF'!$S17,'Tables - Part 2'!$AX$5:$BA$5,0)))/2)/2,0)</f>
        <v>0</v>
      </c>
      <c r="AH17" s="248">
        <f>IF($R17=$AH$3,(((INDEX('Tables - Part 2'!$AX$6:$BA$13,MATCH('HIC-SOHIC-HF'!U17,'Tables - Part 2'!$AV$6:$AV$13,0),MATCH('HIC-SOHIC-HF'!S17,'Tables - Part 2'!$AX$5:$BA$5,0))+INDEX('Tables - Part 2'!$BB$6:$BE$13,MATCH('HIC-SOHIC-HF'!$U17,'Tables - Part 2'!$AV$6:$AV$13,0),MATCH('HIC-SOHIC-HF'!$S17,'Tables - Part 2'!$AX$5:$BA$5,0)))/2)+INDEX('Tables - Part 2'!$BB$6:$BE$13,MATCH('HIC-SOHIC-HF'!$U17,'Tables - Part 2'!$AV$6:$AV$13,0),MATCH('HIC-SOHIC-HF'!$S17,'Tables - Part 2'!$AX$5:$BA$5,0)))/2,0)</f>
        <v>0</v>
      </c>
      <c r="AI17" s="248">
        <f>IF($R17=$AI$3,(((((INDEX('Tables - Part 2'!$AX$6:$BA$13,MATCH('HIC-SOHIC-HF'!U17,'Tables - Part 2'!$AV$6:$AV$13,0),MATCH('HIC-SOHIC-HF'!S17,'Tables - Part 2'!$AX$5:$BA$5,0))+INDEX('Tables - Part 2'!$BB$6:$BE$13,MATCH('HIC-SOHIC-HF'!$U17,'Tables - Part 2'!$AV$6:$AV$13,0),MATCH('HIC-SOHIC-HF'!$S17,'Tables - Part 2'!$AX$5:$BA$5,0)))/2)+INDEX('Tables - Part 2'!$BB$6:$BE$13,MATCH('HIC-SOHIC-HF'!$U17,'Tables - Part 2'!$AV$6:$AV$13,0),MATCH('HIC-SOHIC-HF'!$S17,'Tables - Part 2'!$AX$5:$BA$5,0)))/2)+INDEX('Tables - Part 2'!$BB$6:$BE$13,MATCH('HIC-SOHIC-HF'!$U17,'Tables - Part 2'!$AV$6:$AV$13,0),MATCH('HIC-SOHIC-HF'!$S17,'Tables - Part 2'!$AX$5:$BA$5,0)))/2,0)</f>
        <v>0</v>
      </c>
      <c r="AJ17" s="248">
        <f>IF($R17=$AJ$3,INDEX('Tables - Part 2'!$BB$6:$BE$13,MATCH('HIC-SOHIC-HF'!$U17,'Tables - Part 2'!$AV$6:$AV$13,0),MATCH('HIC-SOHIC-HF'!$S17,'Tables - Part 2'!$AX$5:$BA$5,0)),0)</f>
        <v>0</v>
      </c>
      <c r="AK17" s="248">
        <f>IF($R17=$AK$3,((INDEX('Tables - Part 2'!$BB$6:$BE$13,MATCH('HIC-SOHIC-HF'!$U17,'Tables - Part 2'!$AV$6:$AV$13,0),MATCH('HIC-SOHIC-HF'!$S17,'Tables - Part 2'!$AX$5:$BA$5,0)))+(INDEX('Tables - Part 2'!$BB$6:$BE$13,MATCH('HIC-SOHIC-HF'!$U17,'Tables - Part 2'!$AV$6:$AV$13,0),MATCH('HIC-SOHIC-HF'!$S17,'Tables - Part 2'!$AX$5:$BA$5,0))+(INDEX('Tables - Part 2'!$BB$6:$BE$13,MATCH('HIC-SOHIC-HF'!$U17,'Tables - Part 2'!$AV$6:$AV$13,0),MATCH('HIC-SOHIC-HF'!$S17,'Tables - Part 2'!$AX$5:$BA$5,0))+INDEX('Tables - Part 2'!$BF$6:$BI$13,MATCH('HIC-SOHIC-HF'!$U17,'Tables - Part 2'!$AV$6:$AV$13,0),MATCH('HIC-SOHIC-HF'!$S17,'Tables - Part 2'!$AX$5:$BA$5,0)))/2)/2)/2,0)</f>
        <v>0</v>
      </c>
      <c r="AL17" s="248">
        <f>IF($R17=$AL$3,(INDEX('Tables - Part 2'!$BB$6:$BE$13,MATCH('HIC-SOHIC-HF'!$U17,'Tables - Part 2'!$AV$6:$AV$13,0),MATCH('HIC-SOHIC-HF'!$S17,'Tables - Part 2'!$AX$5:$BA$5,0))+(INDEX('Tables - Part 2'!$BB$6:$BE$13,MATCH('HIC-SOHIC-HF'!$U17,'Tables - Part 2'!$AV$6:$AV$13,0),MATCH('HIC-SOHIC-HF'!$S17,'Tables - Part 2'!$AX$5:$BA$5,0))+INDEX('Tables - Part 2'!$BF$6:$BI$13,MATCH('HIC-SOHIC-HF'!$U17,'Tables - Part 2'!$AV$6:$AV$13,0),MATCH('HIC-SOHIC-HF'!$S17,'Tables - Part 2'!$AX$5:$BA$5,0)))/2)/2,0)</f>
        <v>0</v>
      </c>
      <c r="AM17" s="248">
        <f>IF($R17=$AM$3,(((INDEX('Tables - Part 2'!$BB$6:$BE$13,MATCH('HIC-SOHIC-HF'!$U17,'Tables - Part 2'!$AV$6:$AV$13,0),MATCH('HIC-SOHIC-HF'!$S17,'Tables - Part 2'!$AX$5:$BA$5,0))+(INDEX('Tables - Part 2'!$BB$6:$BE$13,MATCH('HIC-SOHIC-HF'!$U17,'Tables - Part 2'!$AV$6:$AV$13,0),MATCH('HIC-SOHIC-HF'!$S17,'Tables - Part 2'!$AX$5:$BA$5,0))+INDEX('Tables - Part 2'!$BF$6:$BI$13,MATCH('HIC-SOHIC-HF'!$U17,'Tables - Part 2'!$AV$6:$AV$13,0),MATCH('HIC-SOHIC-HF'!$S17,'Tables - Part 2'!$AX$5:$BA$5,0)))/2)/2)+((INDEX('Tables - Part 2'!$BB$6:$BE$13,MATCH('HIC-SOHIC-HF'!$U17,'Tables - Part 2'!$AV$6:$AV$13,0),MATCH('HIC-SOHIC-HF'!$S17,'Tables - Part 2'!$AX$5:$BA$5,0))+INDEX('Tables - Part 2'!$BF$6:$BI$13,MATCH('HIC-SOHIC-HF'!$U17,'Tables - Part 2'!$AV$6:$AV$13,0),MATCH('HIC-SOHIC-HF'!$S17,'Tables - Part 2'!$AX$5:$BA$5,0)))/2))/2,0)</f>
        <v>0</v>
      </c>
      <c r="AN17" s="248">
        <f>IF($R17=$AN$3,(INDEX('Tables - Part 2'!$BB$6:$BE$13,MATCH('HIC-SOHIC-HF'!$U17,'Tables - Part 2'!$AV$6:$AV$13,0),MATCH('HIC-SOHIC-HF'!$S17,'Tables - Part 2'!$AX$5:$BA$5,0))+INDEX('Tables - Part 2'!$BF$6:$BI$13,MATCH('HIC-SOHIC-HF'!$U17,'Tables - Part 2'!$AV$6:$AV$13,0),MATCH('HIC-SOHIC-HF'!$S17,'Tables - Part 2'!$AX$5:$BA$5,0)))/2,0)</f>
        <v>3</v>
      </c>
      <c r="AO17" s="248">
        <f>IF($R17=$AO$3,(((INDEX('Tables - Part 2'!$BB$6:$BE$13,MATCH('HIC-SOHIC-HF'!$U17,'Tables - Part 2'!$AV$6:$AV$13,0),MATCH('HIC-SOHIC-HF'!$S17,'Tables - Part 2'!$AX$5:$BA$5,0))+INDEX('Tables - Part 2'!$BF$6:$BI$13,MATCH('HIC-SOHIC-HF'!$U17,'Tables - Part 2'!$AV$6:$AV$13,0),MATCH('HIC-SOHIC-HF'!$S17,'Tables - Part 2'!$AX$5:$BA$5,0)))/2)+((((INDEX('Tables - Part 2'!$BB$6:$BE$13,MATCH('HIC-SOHIC-HF'!$U17,'Tables - Part 2'!$AV$6:$AV$13,0),MATCH('HIC-SOHIC-HF'!$S17,'Tables - Part 2'!$AX$5:$BA$5,0))+INDEX('Tables - Part 2'!$BF$6:$BI$13,MATCH('HIC-SOHIC-HF'!$U17,'Tables - Part 2'!$AV$6:$AV$13,0),MATCH('HIC-SOHIC-HF'!$S17,'Tables - Part 2'!$AX$5:$BA$5,0)))/2)+INDEX('Tables - Part 2'!$BF$6:$BI$13,MATCH('HIC-SOHIC-HF'!$U17,'Tables - Part 2'!$AV$6:$AV$13,0),MATCH('HIC-SOHIC-HF'!$S17,'Tables - Part 2'!$AX$5:$BA$5,0)))/2))/2,0)</f>
        <v>0</v>
      </c>
      <c r="AP17" s="248">
        <f>IF($R17=$AP$3,(((INDEX('Tables - Part 2'!$BB$6:$BE$13,MATCH('HIC-SOHIC-HF'!$U17,'Tables - Part 2'!$AV$6:$AV$13,0),MATCH('HIC-SOHIC-HF'!$S17,'Tables - Part 2'!$AX$5:$BA$5,0))+INDEX('Tables - Part 2'!$BF$6:$BI$13,MATCH('HIC-SOHIC-HF'!$U17,'Tables - Part 2'!$AV$6:$AV$13,0),MATCH('HIC-SOHIC-HF'!$S17,'Tables - Part 2'!$AX$5:$BA$5,0)))/2)+INDEX('Tables - Part 2'!$BF$6:$BI$13,MATCH('HIC-SOHIC-HF'!$U17,'Tables - Part 2'!$AV$6:$AV$13,0),MATCH('HIC-SOHIC-HF'!$S17,'Tables - Part 2'!$AX$5:$BA$5,0)))/2,0)</f>
        <v>0</v>
      </c>
      <c r="AQ17" s="248">
        <f>IF($R17=$AQ$3,(((((INDEX('Tables - Part 2'!$BB$6:$BE$13,MATCH('HIC-SOHIC-HF'!$U17,'Tables - Part 2'!$AV$6:$AV$13,0),MATCH('HIC-SOHIC-HF'!$S17,'Tables - Part 2'!$AX$5:$BA$5,0))+INDEX('Tables - Part 2'!$BF$6:$BI$13,MATCH('HIC-SOHIC-HF'!$U17,'Tables - Part 2'!$AV$6:$AV$13,0),MATCH('HIC-SOHIC-HF'!$S17,'Tables - Part 2'!$AX$5:$BA$5,0)))/2)+INDEX('Tables - Part 2'!$BF$6:$BI$13,MATCH('HIC-SOHIC-HF'!$U17,'Tables - Part 2'!$AV$6:$AV$13,0),MATCH('HIC-SOHIC-HF'!$S17,'Tables - Part 2'!$AX$5:$BA$5,0)))/2)+INDEX('Tables - Part 2'!$BF$6:$BI$13,MATCH('HIC-SOHIC-HF'!$U17,'Tables - Part 2'!$AV$6:$AV$13,0),MATCH('HIC-SOHIC-HF'!$S17,'Tables - Part 2'!$AX$5:$BA$5,0)))/2,0)</f>
        <v>0</v>
      </c>
      <c r="AR17" s="248">
        <f>IF($R17=$AR$3,INDEX('Tables - Part 2'!$BF$6:$BI$13,MATCH('HIC-SOHIC-HF'!$U17,'Tables - Part 2'!$AV$6:$AV$13,0),MATCH('HIC-SOHIC-HF'!$S17,'Tables - Part 2'!$AX$5:$BA$5,0)),0)</f>
        <v>0</v>
      </c>
      <c r="AS17" s="248">
        <f>IF($R17=$AS$3,(INDEX('Tables - Part 2'!$BF$6:$BI$13,MATCH('HIC-SOHIC-HF'!$U17,'Tables - Part 2'!$AV$6:$AV$13,0),MATCH('HIC-SOHIC-HF'!$S17,'Tables - Part 2'!$AX$5:$BA$5,0))+((INDEX('Tables - Part 2'!$BF$6:$BI$13,MATCH('HIC-SOHIC-HF'!$U17,'Tables - Part 2'!$AV$6:$AV$13,0),MATCH('HIC-SOHIC-HF'!$S17,'Tables - Part 2'!$AX$5:$BA$5,0))+(INDEX('Tables - Part 2'!$BF$6:$BI$13,MATCH('HIC-SOHIC-HF'!$U17,'Tables - Part 2'!$AV$6:$AV$13,0),MATCH('HIC-SOHIC-HF'!$S17,'Tables - Part 2'!$AX$5:$BA$5,0))+INDEX('Tables - Part 2'!$AX$17:$BA$24,MATCH('HIC-SOHIC-HF'!$U17,'Tables - Part 2'!$AV$6:$AV$13,0),MATCH('HIC-SOHIC-HF'!$S17,'Tables - Part 2'!$AX$5:$BA$5,0)))/2)/2))/2,0)</f>
        <v>0</v>
      </c>
      <c r="AT17" s="248">
        <f>IF($R17=$AT$3,(INDEX('Tables - Part 2'!$BF$6:$BI$13,MATCH('HIC-SOHIC-HF'!$U17,'Tables - Part 2'!$AV$6:$AV$13,0),MATCH('HIC-SOHIC-HF'!$S17,'Tables - Part 2'!$AX$5:$BA$5,0))+(INDEX('Tables - Part 2'!$BF$6:$BI$13,MATCH('HIC-SOHIC-HF'!$U17,'Tables - Part 2'!$AV$6:$AV$13,0),MATCH('HIC-SOHIC-HF'!$S17,'Tables - Part 2'!$AX$5:$BA$5,0))+INDEX('Tables - Part 2'!$AX$17:$BA$24,MATCH('HIC-SOHIC-HF'!$U17,'Tables - Part 2'!$AV$6:$AV$13,0),MATCH('HIC-SOHIC-HF'!$S17,'Tables - Part 2'!$AX$5:$BA$5,0)))/2)/2,0)</f>
        <v>0</v>
      </c>
      <c r="AU17" s="248">
        <f>IF($R17=$AU$3,(((INDEX('Tables - Part 2'!$BF$6:$BI$13,MATCH('HIC-SOHIC-HF'!$U17,'Tables - Part 2'!$AV$6:$AV$13,0),MATCH('HIC-SOHIC-HF'!$S17,'Tables - Part 2'!$AX$5:$BA$5,0))+(INDEX('Tables - Part 2'!$BF$6:$BI$13,MATCH('HIC-SOHIC-HF'!$U17,'Tables - Part 2'!$AV$6:$AV$13,0),MATCH('HIC-SOHIC-HF'!$S17,'Tables - Part 2'!$AX$5:$BA$5,0))+INDEX('Tables - Part 2'!$AX$17:$BA$24,MATCH('HIC-SOHIC-HF'!$U17,'Tables - Part 2'!$AV$6:$AV$13,0),MATCH('HIC-SOHIC-HF'!$S17,'Tables - Part 2'!$AX$5:$BA$5,0)))/2)/2)+((INDEX('Tables - Part 2'!$BF$6:$BI$13,MATCH('HIC-SOHIC-HF'!$U17,'Tables - Part 2'!$AV$6:$AV$13,0),MATCH('HIC-SOHIC-HF'!$S17,'Tables - Part 2'!$AX$5:$BA$5,0))+INDEX('Tables - Part 2'!$AX$17:$BA$24,MATCH('HIC-SOHIC-HF'!$U17,'Tables - Part 2'!$AV$6:$AV$13,0),MATCH('HIC-SOHIC-HF'!$S17,'Tables - Part 2'!$AX$5:$BA$5,0)))/2))/2,0)</f>
        <v>0</v>
      </c>
      <c r="AV17" s="248">
        <f>IF($R17=$AV$3,(INDEX('Tables - Part 2'!$BF$6:$BI$13,MATCH('HIC-SOHIC-HF'!$U17,'Tables - Part 2'!$AV$6:$AV$13,0),MATCH('HIC-SOHIC-HF'!$S17,'Tables - Part 2'!$AX$5:$BA$5,0))+INDEX('Tables - Part 2'!$AX$17:$BA$24,MATCH('HIC-SOHIC-HF'!$U17,'Tables - Part 2'!$AV$6:$AV$13,0),MATCH('HIC-SOHIC-HF'!$S17,'Tables - Part 2'!$AX$5:$BA$5,0)))/2,0)</f>
        <v>0</v>
      </c>
      <c r="AW17" s="248">
        <f>IF($R17=$AW$3,(((INDEX('Tables - Part 2'!$BF$6:$BI$13,MATCH('HIC-SOHIC-HF'!$U17,'Tables - Part 2'!$AV$6:$AV$13,0),MATCH('HIC-SOHIC-HF'!$S17,'Tables - Part 2'!$AX$5:$BA$5,0))+INDEX('Tables - Part 2'!$AX$17:$BA$24,MATCH('HIC-SOHIC-HF'!$U17,'Tables - Part 2'!$AV$6:$AV$13,0),MATCH('HIC-SOHIC-HF'!$S17,'Tables - Part 2'!$AX$5:$BA$5,0)))/2)+((((INDEX('Tables - Part 2'!$BF$6:$BI$13,MATCH('HIC-SOHIC-HF'!$U17,'Tables - Part 2'!$AV$6:$AV$13,0),MATCH('HIC-SOHIC-HF'!$S17,'Tables - Part 2'!$AX$5:$BA$5,0))+INDEX('Tables - Part 2'!$AX$17:$BA$24,MATCH('HIC-SOHIC-HF'!$U17,'Tables - Part 2'!$AV$6:$AV$13,0),MATCH('HIC-SOHIC-HF'!$S17,'Tables - Part 2'!$AX$5:$BA$5,0)))/2)+INDEX('Tables - Part 2'!$AX$17:$BA$24,MATCH('HIC-SOHIC-HF'!$U17,'Tables - Part 2'!$AV$6:$AV$13,0),MATCH('HIC-SOHIC-HF'!$S17,'Tables - Part 2'!$AX$5:$BA$5,0)))/2))/2,0)</f>
        <v>0</v>
      </c>
      <c r="AX17" s="248">
        <f>IF($R17=$AX$3,(((INDEX('Tables - Part 2'!$BF$6:$BI$13,MATCH('HIC-SOHIC-HF'!$U17,'Tables - Part 2'!$AV$6:$AV$13,0),MATCH('HIC-SOHIC-HF'!$S17,'Tables - Part 2'!$AX$5:$BA$5,0))+INDEX('Tables - Part 2'!$AX$17:$BA$24,MATCH('HIC-SOHIC-HF'!$U17,'Tables - Part 2'!$AV$6:$AV$13,0),MATCH('HIC-SOHIC-HF'!$S17,'Tables - Part 2'!$AX$5:$BA$5,0)))/2)+INDEX('Tables - Part 2'!$AX$17:$BA$24,MATCH('HIC-SOHIC-HF'!$U17,'Tables - Part 2'!$AV$6:$AV$13,0),MATCH('HIC-SOHIC-HF'!$S17,'Tables - Part 2'!$AX$5:$BA$5,0)))/2,0)</f>
        <v>0</v>
      </c>
      <c r="AY17" s="248">
        <f>IF($R17=$AY$3,(((((INDEX('Tables - Part 2'!$BF$6:$BI$13,MATCH('HIC-SOHIC-HF'!$U17,'Tables - Part 2'!$AV$6:$AV$13,0),MATCH('HIC-SOHIC-HF'!$S17,'Tables - Part 2'!$AX$5:$BA$5,0))+INDEX('Tables - Part 2'!$AX$17:$BA$24,MATCH('HIC-SOHIC-HF'!$U17,'Tables - Part 2'!$AV$6:$AV$13,0),MATCH('HIC-SOHIC-HF'!$S17,'Tables - Part 2'!$AX$5:$BA$5,0)))/2)+INDEX('Tables - Part 2'!$AX$17:$BA$24,MATCH('HIC-SOHIC-HF'!$U17,'Tables - Part 2'!$AV$6:$AV$13,0),MATCH('HIC-SOHIC-HF'!$S17,'Tables - Part 2'!$AX$5:$BA$5,0)))/2)+(INDEX('Tables - Part 2'!$AX$17:$BA$24,MATCH('HIC-SOHIC-HF'!$U17,'Tables - Part 2'!$AV$6:$AV$13,0),MATCH('HIC-SOHIC-HF'!$S17,'Tables - Part 2'!$AX$5:$BA$5,0))))/2,0)</f>
        <v>0</v>
      </c>
      <c r="AZ17" s="248">
        <f>IF($R17=$AZ$3,INDEX('Tables - Part 2'!$AX$17:$BA$24,MATCH('HIC-SOHIC-HF'!$U17,'Tables - Part 2'!$AV$6:$AV$13,0),MATCH('HIC-SOHIC-HF'!$S17,'Tables - Part 2'!$AX$5:$BA$5,0)),0)</f>
        <v>0</v>
      </c>
      <c r="BA17" s="248">
        <f>IF($R17=$BA$3,((INDEX('Tables - Part 2'!$AX$17:$BA$24,MATCH('HIC-SOHIC-HF'!$U17,'Tables - Part 2'!$AV$6:$AV$13,0),MATCH('HIC-SOHIC-HF'!$S17,'Tables - Part 2'!$AX$5:$BA$5,0)))+(((INDEX('Tables - Part 2'!$AX$17:$BA$24,MATCH('HIC-SOHIC-HF'!$U17,'Tables - Part 2'!$AV$6:$AV$13,0),MATCH('HIC-SOHIC-HF'!$S17,'Tables - Part 2'!$AX$5:$BA$5,0)))+(INDEX('Tables - Part 2'!$AX$17:$BA$24,MATCH('HIC-SOHIC-HF'!$U17,'Tables - Part 2'!$AV$6:$AV$13,0),MATCH('HIC-SOHIC-HF'!$S17,'Tables - Part 2'!$AX$5:$BA$5,0))+INDEX('Tables - Part 2'!$BB$17:$BE$24,MATCH('HIC-SOHIC-HF'!$U17,'Tables - Part 2'!$AV$6:$AV$13,0),MATCH('HIC-SOHIC-HF'!$S17,'Tables - Part 2'!$AX$5:$BA$5,0)))/2)/2))/2,0)</f>
        <v>0</v>
      </c>
      <c r="BB17" s="248">
        <f>IF($R17=$BB$3,((INDEX('Tables - Part 2'!$AX$17:$BA$24,MATCH('HIC-SOHIC-HF'!$U17,'Tables - Part 2'!$AV$6:$AV$13,0),MATCH('HIC-SOHIC-HF'!$S17,'Tables - Part 2'!$AX$5:$BA$5,0)))+(INDEX('Tables - Part 2'!$AX$17:$BA$24,MATCH('HIC-SOHIC-HF'!$U17,'Tables - Part 2'!$AV$6:$AV$13,0),MATCH('HIC-SOHIC-HF'!$S17,'Tables - Part 2'!$AX$5:$BA$5,0))+INDEX('Tables - Part 2'!$BB$17:$BE$24,MATCH('HIC-SOHIC-HF'!$U17,'Tables - Part 2'!$AV$6:$AV$13,0),MATCH('HIC-SOHIC-HF'!$S17,'Tables - Part 2'!$AX$5:$BA$5,0)))/2)/2,0)</f>
        <v>0</v>
      </c>
      <c r="BC17" s="248">
        <f>IF($R17=$BC$3,((((INDEX('Tables - Part 2'!$AX$17:$BA$24,MATCH('HIC-SOHIC-HF'!$U17,'Tables - Part 2'!$AV$6:$AV$13,0),MATCH('HIC-SOHIC-HF'!$S17,'Tables - Part 2'!$AX$5:$BA$5,0)))+(INDEX('Tables - Part 2'!$AX$17:$BA$24,MATCH('HIC-SOHIC-HF'!$U17,'Tables - Part 2'!$AV$6:$AV$13,0),MATCH('HIC-SOHIC-HF'!$S17,'Tables - Part 2'!$AX$5:$BA$5,0))+INDEX('Tables - Part 2'!$BB$17:$BE$24,MATCH('HIC-SOHIC-HF'!$U17,'Tables - Part 2'!$AV$6:$AV$13,0),MATCH('HIC-SOHIC-HF'!$S17,'Tables - Part 2'!$AX$5:$BA$5,0)))/2)/2)+((INDEX('Tables - Part 2'!$AX$17:$BA$24,MATCH('HIC-SOHIC-HF'!$U17,'Tables - Part 2'!$AV$6:$AV$13,0),MATCH('HIC-SOHIC-HF'!$S17,'Tables - Part 2'!$AX$5:$BA$5,0))+INDEX('Tables - Part 2'!$BB$17:$BE$24,MATCH('HIC-SOHIC-HF'!$U17,'Tables - Part 2'!$AV$6:$AV$13,0),MATCH('HIC-SOHIC-HF'!$S17,'Tables - Part 2'!$AX$5:$BA$5,0)))/2))/2,0)</f>
        <v>0</v>
      </c>
      <c r="BD17" s="248">
        <f>IF($R17=$BD$3,(INDEX('Tables - Part 2'!$AX$17:$BA$24,MATCH('HIC-SOHIC-HF'!$U17,'Tables - Part 2'!$AV$6:$AV$13,0),MATCH('HIC-SOHIC-HF'!$S17,'Tables - Part 2'!$AX$5:$BA$5,0))+INDEX('Tables - Part 2'!$BB$17:$BE$24,MATCH('HIC-SOHIC-HF'!$U17,'Tables - Part 2'!$AV$6:$AV$13,0),MATCH('HIC-SOHIC-HF'!$S17,'Tables - Part 2'!$AX$5:$BA$5,0)))/2,0)</f>
        <v>0</v>
      </c>
      <c r="BE17" s="248">
        <f>IF($R17=$BE$3,(((INDEX('Tables - Part 2'!$AX$17:$BA$24,MATCH('HIC-SOHIC-HF'!$U17,'Tables - Part 2'!$AV$6:$AV$13,0),MATCH('HIC-SOHIC-HF'!$S17,'Tables - Part 2'!$AX$5:$BA$5,0))+INDEX('Tables - Part 2'!$BB$17:$BE$24,MATCH('HIC-SOHIC-HF'!$U17,'Tables - Part 2'!$AV$6:$AV$13,0),MATCH('HIC-SOHIC-HF'!$S17,'Tables - Part 2'!$AX$5:$BA$5,0)))/2)+((((INDEX('Tables - Part 2'!$AX$17:$BA$24,MATCH('HIC-SOHIC-HF'!$U17,'Tables - Part 2'!$AV$6:$AV$13,0),MATCH('HIC-SOHIC-HF'!$S17,'Tables - Part 2'!$AX$5:$BA$5,0))+INDEX('Tables - Part 2'!$BB$17:$BE$24,MATCH('HIC-SOHIC-HF'!$U17,'Tables - Part 2'!$AV$6:$AV$13,0),MATCH('HIC-SOHIC-HF'!$S17,'Tables - Part 2'!$AX$5:$BA$5,0)))/2)+INDEX('Tables - Part 2'!$BB$17:$BE$24,MATCH('HIC-SOHIC-HF'!$U17,'Tables - Part 2'!$AV$6:$AV$13,0),MATCH('HIC-SOHIC-HF'!$S17,'Tables - Part 2'!$AX$5:$BA$5,0)))/2))/2,0)</f>
        <v>0</v>
      </c>
      <c r="BF17" s="248">
        <f>IF($R17=$BF$3,(((INDEX('Tables - Part 2'!$AX$17:$BA$24,MATCH('HIC-SOHIC-HF'!$U17,'Tables - Part 2'!$AV$6:$AV$13,0),MATCH('HIC-SOHIC-HF'!$S17,'Tables - Part 2'!$AX$5:$BA$5,0))+INDEX('Tables - Part 2'!$BB$17:$BE$24,MATCH('HIC-SOHIC-HF'!$U17,'Tables - Part 2'!$AV$6:$AV$13,0),MATCH('HIC-SOHIC-HF'!$S17,'Tables - Part 2'!$AX$5:$BA$5,0)))/2)+INDEX('Tables - Part 2'!$BB$17:$BE$24,MATCH('HIC-SOHIC-HF'!$U17,'Tables - Part 2'!$AV$6:$AV$13,0),MATCH('HIC-SOHIC-HF'!$S17,'Tables - Part 2'!$AX$5:$BA$5,0)))/2,0)</f>
        <v>0</v>
      </c>
      <c r="BG17" s="248">
        <f>IF($R17=$BG$3,(((((INDEX('Tables - Part 2'!$AX$17:$BA$24,MATCH('HIC-SOHIC-HF'!$U17,'Tables - Part 2'!$AV$6:$AV$13,0),MATCH('HIC-SOHIC-HF'!$S17,'Tables - Part 2'!$AX$5:$BA$5,0))+INDEX('Tables - Part 2'!$BB$17:$BE$24,MATCH('HIC-SOHIC-HF'!$U17,'Tables - Part 2'!$AV$6:$AV$13,0),MATCH('HIC-SOHIC-HF'!$S17,'Tables - Part 2'!$AX$5:$BA$5,0)))/2)+INDEX('Tables - Part 2'!$BB$17:$BE$24,MATCH('HIC-SOHIC-HF'!$U17,'Tables - Part 2'!$AV$6:$AV$13,0),MATCH('HIC-SOHIC-HF'!$S17,'Tables - Part 2'!$AX$5:$BA$5,0)))/2)+(INDEX('Tables - Part 2'!$BB$17:$BE$24,MATCH('HIC-SOHIC-HF'!$U17,'Tables - Part 2'!$AV$6:$AV$13,0),MATCH('HIC-SOHIC-HF'!$S17,'Tables - Part 2'!$AX$5:$BA$5,0))))/2,0)</f>
        <v>0</v>
      </c>
      <c r="BH17" s="248">
        <f>IF($R17=$BH$3,INDEX('Tables - Part 2'!$BB$17:$BE$24,MATCH('HIC-SOHIC-HF'!$U17,'Tables - Part 2'!$AV$6:$AV$13,0),MATCH('HIC-SOHIC-HF'!$S17,'Tables - Part 2'!$AX$5:$BA$5,0)),0)</f>
        <v>0</v>
      </c>
      <c r="BI17" s="248">
        <f>IF($R17=$BI$3,((INDEX('Tables - Part 2'!$BB$17:$BE$24,MATCH('HIC-SOHIC-HF'!$U17,'Tables - Part 2'!$AV$6:$AV$13,0),MATCH('HIC-SOHIC-HF'!$S17,'Tables - Part 2'!$AX$5:$BA$5,0)))+(((INDEX('Tables - Part 2'!$BB$17:$BE$24,MATCH('HIC-SOHIC-HF'!$U17,'Tables - Part 2'!$AV$6:$AV$13,0),MATCH('HIC-SOHIC-HF'!$S17,'Tables - Part 2'!$AX$5:$BA$5,0)))+(INDEX('Tables - Part 2'!$BB$17:$BE$24,MATCH('HIC-SOHIC-HF'!$U17,'Tables - Part 2'!$AV$6:$AV$13,0),MATCH('HIC-SOHIC-HF'!$S17,'Tables - Part 2'!$AX$5:$BA$5,0))+INDEX('Tables - Part 2'!$BF$17:$BI$24,MATCH('HIC-SOHIC-HF'!$U17,'Tables - Part 2'!$AV$6:$AV$13,0),MATCH('HIC-SOHIC-HF'!$S17,'Tables - Part 2'!$AX$5:$BA$5,0)))/2)/2))/2,0)</f>
        <v>0</v>
      </c>
      <c r="BJ17" s="248">
        <f>IF($R17=$BJ$3,((INDEX('Tables - Part 2'!$BB$17:$BE$24,MATCH('HIC-SOHIC-HF'!$U17,'Tables - Part 2'!$AV$6:$AV$13,0),MATCH('HIC-SOHIC-HF'!$S17,'Tables - Part 2'!$AX$5:$BA$5,0)))+(INDEX('Tables - Part 2'!$BB$17:$BE$24,MATCH('HIC-SOHIC-HF'!$U17,'Tables - Part 2'!$AV$6:$AV$13,0),MATCH('HIC-SOHIC-HF'!$S17,'Tables - Part 2'!$AX$5:$BA$5,0))+INDEX('Tables - Part 2'!$BF$17:$BI$24,MATCH('HIC-SOHIC-HF'!$U17,'Tables - Part 2'!$AV$6:$AV$13,0),MATCH('HIC-SOHIC-HF'!$S17,'Tables - Part 2'!$AX$5:$BA$5,0)))/2)/2,0)</f>
        <v>0</v>
      </c>
      <c r="BK17" s="248">
        <f>IF($R17=$BK$3,((((INDEX('Tables - Part 2'!$BB$17:$BE$24,MATCH('HIC-SOHIC-HF'!$U17,'Tables - Part 2'!$AV$6:$AV$13,0),MATCH('HIC-SOHIC-HF'!$S17,'Tables - Part 2'!$AX$5:$BA$5,0)))+(INDEX('Tables - Part 2'!$BB$17:$BE$24,MATCH('HIC-SOHIC-HF'!$U17,'Tables - Part 2'!$AV$6:$AV$13,0),MATCH('HIC-SOHIC-HF'!$S17,'Tables - Part 2'!$AX$5:$BA$5,0))+INDEX('Tables - Part 2'!$BF$17:$BI$24,MATCH('HIC-SOHIC-HF'!$U17,'Tables - Part 2'!$AV$6:$AV$13,0),MATCH('HIC-SOHIC-HF'!$S17,'Tables - Part 2'!$AX$5:$BA$5,0)))/2)/2)+((INDEX('Tables - Part 2'!$BB$17:$BE$24,MATCH('HIC-SOHIC-HF'!$U17,'Tables - Part 2'!$AV$6:$AV$13,0),MATCH('HIC-SOHIC-HF'!$S17,'Tables - Part 2'!$AX$5:$BA$5,0))+INDEX('Tables - Part 2'!$BF$17:$BI$24,MATCH('HIC-SOHIC-HF'!$U17,'Tables - Part 2'!$AV$6:$AV$13,0),MATCH('HIC-SOHIC-HF'!$S17,'Tables - Part 2'!$AX$5:$BA$5,0)))/2))/2,0)</f>
        <v>0</v>
      </c>
      <c r="BL17" s="248">
        <f>IF($R17=$BL$3,(INDEX('Tables - Part 2'!$BB$17:$BE$24,MATCH('HIC-SOHIC-HF'!$U17,'Tables - Part 2'!$AV$6:$AV$13,0),MATCH('HIC-SOHIC-HF'!$S17,'Tables - Part 2'!$AX$5:$BA$5,0))+INDEX('Tables - Part 2'!$BF$17:$BI$24,MATCH('HIC-SOHIC-HF'!$U17,'Tables - Part 2'!$AV$6:$AV$13,0),MATCH('HIC-SOHIC-HF'!$S17,'Tables - Part 2'!$AX$5:$BA$5,0)))/2,0)</f>
        <v>0</v>
      </c>
      <c r="BM17" s="248">
        <f>IF($R17=$BM$3,(((INDEX('Tables - Part 2'!$BB$17:$BE$24,MATCH('HIC-SOHIC-HF'!$U17,'Tables - Part 2'!$AV$6:$AV$13,0),MATCH('HIC-SOHIC-HF'!$S17,'Tables - Part 2'!$AX$5:$BA$5,0))+INDEX('Tables - Part 2'!$BF$17:$BI$24,MATCH('HIC-SOHIC-HF'!$U17,'Tables - Part 2'!$AV$6:$AV$13,0),MATCH('HIC-SOHIC-HF'!$S17,'Tables - Part 2'!$AX$5:$BA$5,0)))/2)+((((INDEX('Tables - Part 2'!$BB$17:$BE$24,MATCH('HIC-SOHIC-HF'!$U17,'Tables - Part 2'!$AV$6:$AV$13,0),MATCH('HIC-SOHIC-HF'!$S17,'Tables - Part 2'!$AX$5:$BA$5,0))+INDEX('Tables - Part 2'!$BF$17:$BI$24,MATCH('HIC-SOHIC-HF'!$U17,'Tables - Part 2'!$AV$6:$AV$13,0),MATCH('HIC-SOHIC-HF'!$S17,'Tables - Part 2'!$AX$5:$BA$5,0)))/2)+INDEX('Tables - Part 2'!$BF$17:$BI$24,MATCH('HIC-SOHIC-HF'!$U17,'Tables - Part 2'!$AV$6:$AV$13,0),MATCH('HIC-SOHIC-HF'!$S17,'Tables - Part 2'!$AX$5:$BA$5,0)))/2))/2,0)</f>
        <v>0</v>
      </c>
      <c r="BN17" s="248">
        <f>IF($R17=$BN$3,(((INDEX('Tables - Part 2'!$BB$17:$BE$24,MATCH('HIC-SOHIC-HF'!$U17,'Tables - Part 2'!$AV$6:$AV$13,0),MATCH('HIC-SOHIC-HF'!$S17,'Tables - Part 2'!$AX$5:$BA$5,0))+INDEX('Tables - Part 2'!$BF$17:$BI$24,MATCH('HIC-SOHIC-HF'!$U17,'Tables - Part 2'!$AV$6:$AV$13,0),MATCH('HIC-SOHIC-HF'!$S17,'Tables - Part 2'!$AX$5:$BA$5,0)))/2)+INDEX('Tables - Part 2'!$BF$17:$BI$24,MATCH('HIC-SOHIC-HF'!$U17,'Tables - Part 2'!$AV$6:$AV$13,0),MATCH('HIC-SOHIC-HF'!$S17,'Tables - Part 2'!$AX$5:$BA$5,0)))/2,0)</f>
        <v>0</v>
      </c>
      <c r="BO17" s="248">
        <f>IF($R17=$BO$3,(((((INDEX('Tables - Part 2'!$BB$17:$BE$24,MATCH('HIC-SOHIC-HF'!$U17,'Tables - Part 2'!$AV$6:$AV$13,0),MATCH('HIC-SOHIC-HF'!$S17,'Tables - Part 2'!$AX$5:$BA$5,0))+INDEX('Tables - Part 2'!$BF$17:$BI$24,MATCH('HIC-SOHIC-HF'!$U17,'Tables - Part 2'!$AV$6:$AV$13,0),MATCH('HIC-SOHIC-HF'!$S17,'Tables - Part 2'!$AX$5:$BA$5,0)))/2)+INDEX('Tables - Part 2'!$BF$17:$BI$24,MATCH('HIC-SOHIC-HF'!$U17,'Tables - Part 2'!$AV$6:$AV$13,0),MATCH('HIC-SOHIC-HF'!$S17,'Tables - Part 2'!$AX$5:$BA$5,0)))/2)+(INDEX('Tables - Part 2'!$BF$17:$BI$24,MATCH('HIC-SOHIC-HF'!$U17,'Tables - Part 2'!$AV$6:$AV$13,0),MATCH('HIC-SOHIC-HF'!$S17,'Tables - Part 2'!$AX$5:$BA$5,0))))/2,0)</f>
        <v>0</v>
      </c>
      <c r="BP17" s="248">
        <f>IF($R17=$BP$3,INDEX('Tables - Part 2'!$BF$17:$BI$24,MATCH('HIC-SOHIC-HF'!$U17,'Tables - Part 2'!$AV$6:$AV$13,0),MATCH('HIC-SOHIC-HF'!$S17,'Tables - Part 2'!$AX$5:$BA$5,0)),0)</f>
        <v>0</v>
      </c>
      <c r="BQ17" s="248">
        <f t="shared" si="6"/>
        <v>0</v>
      </c>
      <c r="BR17" s="238">
        <f t="shared" si="7"/>
        <v>3</v>
      </c>
      <c r="BS17" s="238">
        <f t="shared" si="8"/>
        <v>50.318647405225171</v>
      </c>
    </row>
    <row r="18" spans="2:71" x14ac:dyDescent="0.35">
      <c r="B18" s="161" t="str">
        <f>'Tratamento de Dados'!B26</f>
        <v>V-80</v>
      </c>
      <c r="C18" s="161" t="str">
        <f>'Tratamento de Dados'!D26</f>
        <v>Casco</v>
      </c>
      <c r="D18" s="209" t="s">
        <v>245</v>
      </c>
      <c r="E18" s="209" t="s">
        <v>61</v>
      </c>
      <c r="F18" s="209" t="s">
        <v>244</v>
      </c>
      <c r="G18" s="209" t="s">
        <v>244</v>
      </c>
      <c r="H18" s="209" t="s">
        <v>1208</v>
      </c>
      <c r="I18" s="209" t="s">
        <v>245</v>
      </c>
      <c r="J18" s="209" t="s">
        <v>898</v>
      </c>
      <c r="K18" s="210">
        <v>39092</v>
      </c>
      <c r="L18" s="209">
        <v>0</v>
      </c>
      <c r="M18" s="209">
        <v>1</v>
      </c>
      <c r="N18" s="209">
        <v>1</v>
      </c>
      <c r="O18" s="209">
        <v>4</v>
      </c>
      <c r="P18" s="253">
        <f>'Tratamento de Dados'!DA26</f>
        <v>0</v>
      </c>
      <c r="Q18" s="253">
        <f>'Tratamento de Dados'!DB26</f>
        <v>0</v>
      </c>
      <c r="R18" s="256">
        <f t="shared" si="0"/>
        <v>2.5</v>
      </c>
      <c r="S18" s="246" t="str">
        <f t="shared" si="1"/>
        <v>B</v>
      </c>
      <c r="T18" s="238" t="str" cm="1">
        <f t="array" ref="T18">IF(D18=$BX$2,$BV$4,IF(OR(F18=$BX$3,G18=$BX$3),$BV$5,INDEX(IF(I18=$BX$2,'Tables - Part 2'!$EI$6:$EK$6,'Tables - Part 2'!$EI$5:$EK$5),,MATCH('HIC-SOHIC-HF'!H18,'Tables - Part 2'!$EI$4:$EK$4,0))))</f>
        <v>High</v>
      </c>
      <c r="U18" s="238">
        <f>IF(AND(D18=$BX$2,E18&lt;&gt;$BX$2),"Fitness-For-Service",INDEX('Tables - Part 2'!$EN$4:$EN$7,MATCH('HIC-SOHIC-HF'!T18,'Tables - Part 2'!$EM$4:$EM$7,0),))</f>
        <v>100</v>
      </c>
      <c r="V18" s="238">
        <f>INDEX('Tables - Part 2'!$EQ$4:$EQ$7,MATCH('HIC-SOHIC-HF'!J18,'Tables - Part 2'!$EP$4:$EP$7,0))</f>
        <v>1</v>
      </c>
      <c r="W18" s="238">
        <f>IF(K18=0,(Thinning!G19-Thinning!F19)/365.25,(Thinning!G19-K18)/365.25)</f>
        <v>12.980150581793293</v>
      </c>
      <c r="X18" s="248">
        <f t="shared" si="2"/>
        <v>0</v>
      </c>
      <c r="Y18" s="248">
        <f t="shared" si="3"/>
        <v>2.5</v>
      </c>
      <c r="Z18" s="248">
        <f t="shared" si="4"/>
        <v>3</v>
      </c>
      <c r="AA18" s="247">
        <f t="shared" si="5"/>
        <v>4</v>
      </c>
      <c r="AB18" s="248">
        <f>IF($R18=$AB$3,INDEX('Tables - Part 2'!$AX$6:$BA$13,MATCH('HIC-SOHIC-HF'!U18,'Tables - Part 2'!$AV$6:$AV$13,0),MATCH('HIC-SOHIC-HF'!S18,'Tables - Part 2'!$AX$5:$BA$5,0)),0)</f>
        <v>0</v>
      </c>
      <c r="AC18" s="248">
        <f>IF($R18=$AC$3,(INDEX('Tables - Part 2'!$AX$6:$BA$13,MATCH('HIC-SOHIC-HF'!U18,'Tables - Part 2'!$AV$6:$AV$13,0),MATCH('HIC-SOHIC-HF'!S18,'Tables - Part 2'!$AX$5:$BA$5,0))+(INDEX('Tables - Part 2'!$AX$6:$BA$13,MATCH('HIC-SOHIC-HF'!U18,'Tables - Part 2'!$AV$6:$AV$13,0),MATCH('HIC-SOHIC-HF'!S18,'Tables - Part 2'!$AX$5:$BA$5,0))+((INDEX('Tables - Part 2'!$AX$6:$BA$13,MATCH('HIC-SOHIC-HF'!U18,'Tables - Part 2'!$AV$6:$AV$13,0),MATCH('HIC-SOHIC-HF'!S18,'Tables - Part 2'!$AX$5:$BA$5,0))+INDEX('Tables - Part 2'!$BB$6:$BE$13,MATCH('HIC-SOHIC-HF'!$U18,'Tables - Part 2'!$AV$6:$AV$13,0),MATCH('HIC-SOHIC-HF'!$S18,'Tables - Part 2'!$AX$5:$BA$5,0)))/2))/2)/2,0)</f>
        <v>0</v>
      </c>
      <c r="AD18" s="248">
        <f>IF($R18=$AD$3,(INDEX('Tables - Part 2'!$AX$6:$BA$13,MATCH('HIC-SOHIC-HF'!U18,'Tables - Part 2'!$AV$6:$AV$13,0),MATCH('HIC-SOHIC-HF'!S18,'Tables - Part 2'!$AX$5:$BA$5,0))+((INDEX('Tables - Part 2'!$AX$6:$BA$13,MATCH('HIC-SOHIC-HF'!U18,'Tables - Part 2'!$AV$6:$AV$13,0),MATCH('HIC-SOHIC-HF'!S18,'Tables - Part 2'!$AX$5:$BA$5,0))+INDEX('Tables - Part 2'!$BB$6:$BE$13,MATCH('HIC-SOHIC-HF'!$U18,'Tables - Part 2'!$AV$6:$AV$13,0),MATCH('HIC-SOHIC-HF'!$S18,'Tables - Part 2'!$AX$5:$BA$5,0)))/2))/2,0)</f>
        <v>0</v>
      </c>
      <c r="AE18" s="248">
        <f>IF($R18=$AE$3,(((INDEX('Tables - Part 2'!$AX$6:$BA$13,MATCH('HIC-SOHIC-HF'!U18,'Tables - Part 2'!$AV$6:$AV$13,0),MATCH('HIC-SOHIC-HF'!S18,'Tables - Part 2'!$AX$5:$BA$5,0))+((INDEX('Tables - Part 2'!$AX$6:$BA$13,MATCH('HIC-SOHIC-HF'!U18,'Tables - Part 2'!$AV$6:$AV$13,0),MATCH('HIC-SOHIC-HF'!S18,'Tables - Part 2'!$AX$5:$BA$5,0))+INDEX('Tables - Part 2'!$BB$6:$BE$13,MATCH('HIC-SOHIC-HF'!$U18,'Tables - Part 2'!$AV$6:$AV$13,0),MATCH('HIC-SOHIC-HF'!$S18,'Tables - Part 2'!$AX$5:$BA$5,0)))/2))/2)+(INDEX('Tables - Part 2'!$AX$6:$BA$13,MATCH('HIC-SOHIC-HF'!U18,'Tables - Part 2'!$AV$6:$AV$13,0),MATCH('HIC-SOHIC-HF'!S18,'Tables - Part 2'!$AX$5:$BA$5,0))+INDEX('Tables - Part 2'!$BB$6:$BE$13,MATCH('HIC-SOHIC-HF'!$U18,'Tables - Part 2'!$AV$6:$AV$13,0),MATCH('HIC-SOHIC-HF'!$S18,'Tables - Part 2'!$AX$5:$BA$5,0)))/2)/2,0)</f>
        <v>0</v>
      </c>
      <c r="AF18" s="248">
        <f>IF($R18=$AF$3,(INDEX('Tables - Part 2'!$AX$6:$BA$13,MATCH('HIC-SOHIC-HF'!U18,'Tables - Part 2'!$AV$6:$AV$13,0),MATCH('HIC-SOHIC-HF'!S18,'Tables - Part 2'!$AX$5:$BA$5,0))+INDEX('Tables - Part 2'!$BB$6:$BE$13,MATCH('HIC-SOHIC-HF'!$U18,'Tables - Part 2'!$AV$6:$AV$13,0),MATCH('HIC-SOHIC-HF'!$S18,'Tables - Part 2'!$AX$5:$BA$5,0)))/2,0)</f>
        <v>0</v>
      </c>
      <c r="AG18" s="248">
        <f>IF($R18=$AG$3,(((INDEX('Tables - Part 2'!$AX$6:$BA$13,MATCH('HIC-SOHIC-HF'!U18,'Tables - Part 2'!$AV$6:$AV$13,0),MATCH('HIC-SOHIC-HF'!S18,'Tables - Part 2'!$AX$5:$BA$5,0))+INDEX('Tables - Part 2'!$BB$6:$BE$13,MATCH('HIC-SOHIC-HF'!$U18,'Tables - Part 2'!$AV$6:$AV$13,0),MATCH('HIC-SOHIC-HF'!$S18,'Tables - Part 2'!$AX$5:$BA$5,0)))/2)+(((INDEX('Tables - Part 2'!$AX$6:$BA$13,MATCH('HIC-SOHIC-HF'!U18,'Tables - Part 2'!$AV$6:$AV$13,0),MATCH('HIC-SOHIC-HF'!S18,'Tables - Part 2'!$AX$5:$BA$5,0))+INDEX('Tables - Part 2'!$BB$6:$BE$13,MATCH('HIC-SOHIC-HF'!$U18,'Tables - Part 2'!$AV$6:$AV$13,0),MATCH('HIC-SOHIC-HF'!$S18,'Tables - Part 2'!$AX$5:$BA$5,0)))/2)+INDEX('Tables - Part 2'!$BB$6:$BE$13,MATCH('HIC-SOHIC-HF'!$U18,'Tables - Part 2'!$AV$6:$AV$13,0),MATCH('HIC-SOHIC-HF'!$S18,'Tables - Part 2'!$AX$5:$BA$5,0)))/2)/2,0)</f>
        <v>0</v>
      </c>
      <c r="AH18" s="248">
        <f>IF($R18=$AH$3,(((INDEX('Tables - Part 2'!$AX$6:$BA$13,MATCH('HIC-SOHIC-HF'!U18,'Tables - Part 2'!$AV$6:$AV$13,0),MATCH('HIC-SOHIC-HF'!S18,'Tables - Part 2'!$AX$5:$BA$5,0))+INDEX('Tables - Part 2'!$BB$6:$BE$13,MATCH('HIC-SOHIC-HF'!$U18,'Tables - Part 2'!$AV$6:$AV$13,0),MATCH('HIC-SOHIC-HF'!$S18,'Tables - Part 2'!$AX$5:$BA$5,0)))/2)+INDEX('Tables - Part 2'!$BB$6:$BE$13,MATCH('HIC-SOHIC-HF'!$U18,'Tables - Part 2'!$AV$6:$AV$13,0),MATCH('HIC-SOHIC-HF'!$S18,'Tables - Part 2'!$AX$5:$BA$5,0)))/2,0)</f>
        <v>0</v>
      </c>
      <c r="AI18" s="248">
        <f>IF($R18=$AI$3,(((((INDEX('Tables - Part 2'!$AX$6:$BA$13,MATCH('HIC-SOHIC-HF'!U18,'Tables - Part 2'!$AV$6:$AV$13,0),MATCH('HIC-SOHIC-HF'!S18,'Tables - Part 2'!$AX$5:$BA$5,0))+INDEX('Tables - Part 2'!$BB$6:$BE$13,MATCH('HIC-SOHIC-HF'!$U18,'Tables - Part 2'!$AV$6:$AV$13,0),MATCH('HIC-SOHIC-HF'!$S18,'Tables - Part 2'!$AX$5:$BA$5,0)))/2)+INDEX('Tables - Part 2'!$BB$6:$BE$13,MATCH('HIC-SOHIC-HF'!$U18,'Tables - Part 2'!$AV$6:$AV$13,0),MATCH('HIC-SOHIC-HF'!$S18,'Tables - Part 2'!$AX$5:$BA$5,0)))/2)+INDEX('Tables - Part 2'!$BB$6:$BE$13,MATCH('HIC-SOHIC-HF'!$U18,'Tables - Part 2'!$AV$6:$AV$13,0),MATCH('HIC-SOHIC-HF'!$S18,'Tables - Part 2'!$AX$5:$BA$5,0)))/2,0)</f>
        <v>0</v>
      </c>
      <c r="AJ18" s="248">
        <f>IF($R18=$AJ$3,INDEX('Tables - Part 2'!$BB$6:$BE$13,MATCH('HIC-SOHIC-HF'!$U18,'Tables - Part 2'!$AV$6:$AV$13,0),MATCH('HIC-SOHIC-HF'!$S18,'Tables - Part 2'!$AX$5:$BA$5,0)),0)</f>
        <v>0</v>
      </c>
      <c r="AK18" s="248">
        <f>IF($R18=$AK$3,((INDEX('Tables - Part 2'!$BB$6:$BE$13,MATCH('HIC-SOHIC-HF'!$U18,'Tables - Part 2'!$AV$6:$AV$13,0),MATCH('HIC-SOHIC-HF'!$S18,'Tables - Part 2'!$AX$5:$BA$5,0)))+(INDEX('Tables - Part 2'!$BB$6:$BE$13,MATCH('HIC-SOHIC-HF'!$U18,'Tables - Part 2'!$AV$6:$AV$13,0),MATCH('HIC-SOHIC-HF'!$S18,'Tables - Part 2'!$AX$5:$BA$5,0))+(INDEX('Tables - Part 2'!$BB$6:$BE$13,MATCH('HIC-SOHIC-HF'!$U18,'Tables - Part 2'!$AV$6:$AV$13,0),MATCH('HIC-SOHIC-HF'!$S18,'Tables - Part 2'!$AX$5:$BA$5,0))+INDEX('Tables - Part 2'!$BF$6:$BI$13,MATCH('HIC-SOHIC-HF'!$U18,'Tables - Part 2'!$AV$6:$AV$13,0),MATCH('HIC-SOHIC-HF'!$S18,'Tables - Part 2'!$AX$5:$BA$5,0)))/2)/2)/2,0)</f>
        <v>0</v>
      </c>
      <c r="AL18" s="248">
        <f>IF($R18=$AL$3,(INDEX('Tables - Part 2'!$BB$6:$BE$13,MATCH('HIC-SOHIC-HF'!$U18,'Tables - Part 2'!$AV$6:$AV$13,0),MATCH('HIC-SOHIC-HF'!$S18,'Tables - Part 2'!$AX$5:$BA$5,0))+(INDEX('Tables - Part 2'!$BB$6:$BE$13,MATCH('HIC-SOHIC-HF'!$U18,'Tables - Part 2'!$AV$6:$AV$13,0),MATCH('HIC-SOHIC-HF'!$S18,'Tables - Part 2'!$AX$5:$BA$5,0))+INDEX('Tables - Part 2'!$BF$6:$BI$13,MATCH('HIC-SOHIC-HF'!$U18,'Tables - Part 2'!$AV$6:$AV$13,0),MATCH('HIC-SOHIC-HF'!$S18,'Tables - Part 2'!$AX$5:$BA$5,0)))/2)/2,0)</f>
        <v>0</v>
      </c>
      <c r="AM18" s="248">
        <f>IF($R18=$AM$3,(((INDEX('Tables - Part 2'!$BB$6:$BE$13,MATCH('HIC-SOHIC-HF'!$U18,'Tables - Part 2'!$AV$6:$AV$13,0),MATCH('HIC-SOHIC-HF'!$S18,'Tables - Part 2'!$AX$5:$BA$5,0))+(INDEX('Tables - Part 2'!$BB$6:$BE$13,MATCH('HIC-SOHIC-HF'!$U18,'Tables - Part 2'!$AV$6:$AV$13,0),MATCH('HIC-SOHIC-HF'!$S18,'Tables - Part 2'!$AX$5:$BA$5,0))+INDEX('Tables - Part 2'!$BF$6:$BI$13,MATCH('HIC-SOHIC-HF'!$U18,'Tables - Part 2'!$AV$6:$AV$13,0),MATCH('HIC-SOHIC-HF'!$S18,'Tables - Part 2'!$AX$5:$BA$5,0)))/2)/2)+((INDEX('Tables - Part 2'!$BB$6:$BE$13,MATCH('HIC-SOHIC-HF'!$U18,'Tables - Part 2'!$AV$6:$AV$13,0),MATCH('HIC-SOHIC-HF'!$S18,'Tables - Part 2'!$AX$5:$BA$5,0))+INDEX('Tables - Part 2'!$BF$6:$BI$13,MATCH('HIC-SOHIC-HF'!$U18,'Tables - Part 2'!$AV$6:$AV$13,0),MATCH('HIC-SOHIC-HF'!$S18,'Tables - Part 2'!$AX$5:$BA$5,0)))/2))/2,0)</f>
        <v>0</v>
      </c>
      <c r="AN18" s="248">
        <f>IF($R18=$AN$3,(INDEX('Tables - Part 2'!$BB$6:$BE$13,MATCH('HIC-SOHIC-HF'!$U18,'Tables - Part 2'!$AV$6:$AV$13,0),MATCH('HIC-SOHIC-HF'!$S18,'Tables - Part 2'!$AX$5:$BA$5,0))+INDEX('Tables - Part 2'!$BF$6:$BI$13,MATCH('HIC-SOHIC-HF'!$U18,'Tables - Part 2'!$AV$6:$AV$13,0),MATCH('HIC-SOHIC-HF'!$S18,'Tables - Part 2'!$AX$5:$BA$5,0)))/2,0)</f>
        <v>3</v>
      </c>
      <c r="AO18" s="248">
        <f>IF($R18=$AO$3,(((INDEX('Tables - Part 2'!$BB$6:$BE$13,MATCH('HIC-SOHIC-HF'!$U18,'Tables - Part 2'!$AV$6:$AV$13,0),MATCH('HIC-SOHIC-HF'!$S18,'Tables - Part 2'!$AX$5:$BA$5,0))+INDEX('Tables - Part 2'!$BF$6:$BI$13,MATCH('HIC-SOHIC-HF'!$U18,'Tables - Part 2'!$AV$6:$AV$13,0),MATCH('HIC-SOHIC-HF'!$S18,'Tables - Part 2'!$AX$5:$BA$5,0)))/2)+((((INDEX('Tables - Part 2'!$BB$6:$BE$13,MATCH('HIC-SOHIC-HF'!$U18,'Tables - Part 2'!$AV$6:$AV$13,0),MATCH('HIC-SOHIC-HF'!$S18,'Tables - Part 2'!$AX$5:$BA$5,0))+INDEX('Tables - Part 2'!$BF$6:$BI$13,MATCH('HIC-SOHIC-HF'!$U18,'Tables - Part 2'!$AV$6:$AV$13,0),MATCH('HIC-SOHIC-HF'!$S18,'Tables - Part 2'!$AX$5:$BA$5,0)))/2)+INDEX('Tables - Part 2'!$BF$6:$BI$13,MATCH('HIC-SOHIC-HF'!$U18,'Tables - Part 2'!$AV$6:$AV$13,0),MATCH('HIC-SOHIC-HF'!$S18,'Tables - Part 2'!$AX$5:$BA$5,0)))/2))/2,0)</f>
        <v>0</v>
      </c>
      <c r="AP18" s="248">
        <f>IF($R18=$AP$3,(((INDEX('Tables - Part 2'!$BB$6:$BE$13,MATCH('HIC-SOHIC-HF'!$U18,'Tables - Part 2'!$AV$6:$AV$13,0),MATCH('HIC-SOHIC-HF'!$S18,'Tables - Part 2'!$AX$5:$BA$5,0))+INDEX('Tables - Part 2'!$BF$6:$BI$13,MATCH('HIC-SOHIC-HF'!$U18,'Tables - Part 2'!$AV$6:$AV$13,0),MATCH('HIC-SOHIC-HF'!$S18,'Tables - Part 2'!$AX$5:$BA$5,0)))/2)+INDEX('Tables - Part 2'!$BF$6:$BI$13,MATCH('HIC-SOHIC-HF'!$U18,'Tables - Part 2'!$AV$6:$AV$13,0),MATCH('HIC-SOHIC-HF'!$S18,'Tables - Part 2'!$AX$5:$BA$5,0)))/2,0)</f>
        <v>0</v>
      </c>
      <c r="AQ18" s="248">
        <f>IF($R18=$AQ$3,(((((INDEX('Tables - Part 2'!$BB$6:$BE$13,MATCH('HIC-SOHIC-HF'!$U18,'Tables - Part 2'!$AV$6:$AV$13,0),MATCH('HIC-SOHIC-HF'!$S18,'Tables - Part 2'!$AX$5:$BA$5,0))+INDEX('Tables - Part 2'!$BF$6:$BI$13,MATCH('HIC-SOHIC-HF'!$U18,'Tables - Part 2'!$AV$6:$AV$13,0),MATCH('HIC-SOHIC-HF'!$S18,'Tables - Part 2'!$AX$5:$BA$5,0)))/2)+INDEX('Tables - Part 2'!$BF$6:$BI$13,MATCH('HIC-SOHIC-HF'!$U18,'Tables - Part 2'!$AV$6:$AV$13,0),MATCH('HIC-SOHIC-HF'!$S18,'Tables - Part 2'!$AX$5:$BA$5,0)))/2)+INDEX('Tables - Part 2'!$BF$6:$BI$13,MATCH('HIC-SOHIC-HF'!$U18,'Tables - Part 2'!$AV$6:$AV$13,0),MATCH('HIC-SOHIC-HF'!$S18,'Tables - Part 2'!$AX$5:$BA$5,0)))/2,0)</f>
        <v>0</v>
      </c>
      <c r="AR18" s="248">
        <f>IF($R18=$AR$3,INDEX('Tables - Part 2'!$BF$6:$BI$13,MATCH('HIC-SOHIC-HF'!$U18,'Tables - Part 2'!$AV$6:$AV$13,0),MATCH('HIC-SOHIC-HF'!$S18,'Tables - Part 2'!$AX$5:$BA$5,0)),0)</f>
        <v>0</v>
      </c>
      <c r="AS18" s="248">
        <f>IF($R18=$AS$3,(INDEX('Tables - Part 2'!$BF$6:$BI$13,MATCH('HIC-SOHIC-HF'!$U18,'Tables - Part 2'!$AV$6:$AV$13,0),MATCH('HIC-SOHIC-HF'!$S18,'Tables - Part 2'!$AX$5:$BA$5,0))+((INDEX('Tables - Part 2'!$BF$6:$BI$13,MATCH('HIC-SOHIC-HF'!$U18,'Tables - Part 2'!$AV$6:$AV$13,0),MATCH('HIC-SOHIC-HF'!$S18,'Tables - Part 2'!$AX$5:$BA$5,0))+(INDEX('Tables - Part 2'!$BF$6:$BI$13,MATCH('HIC-SOHIC-HF'!$U18,'Tables - Part 2'!$AV$6:$AV$13,0),MATCH('HIC-SOHIC-HF'!$S18,'Tables - Part 2'!$AX$5:$BA$5,0))+INDEX('Tables - Part 2'!$AX$17:$BA$24,MATCH('HIC-SOHIC-HF'!$U18,'Tables - Part 2'!$AV$6:$AV$13,0),MATCH('HIC-SOHIC-HF'!$S18,'Tables - Part 2'!$AX$5:$BA$5,0)))/2)/2))/2,0)</f>
        <v>0</v>
      </c>
      <c r="AT18" s="248">
        <f>IF($R18=$AT$3,(INDEX('Tables - Part 2'!$BF$6:$BI$13,MATCH('HIC-SOHIC-HF'!$U18,'Tables - Part 2'!$AV$6:$AV$13,0),MATCH('HIC-SOHIC-HF'!$S18,'Tables - Part 2'!$AX$5:$BA$5,0))+(INDEX('Tables - Part 2'!$BF$6:$BI$13,MATCH('HIC-SOHIC-HF'!$U18,'Tables - Part 2'!$AV$6:$AV$13,0),MATCH('HIC-SOHIC-HF'!$S18,'Tables - Part 2'!$AX$5:$BA$5,0))+INDEX('Tables - Part 2'!$AX$17:$BA$24,MATCH('HIC-SOHIC-HF'!$U18,'Tables - Part 2'!$AV$6:$AV$13,0),MATCH('HIC-SOHIC-HF'!$S18,'Tables - Part 2'!$AX$5:$BA$5,0)))/2)/2,0)</f>
        <v>0</v>
      </c>
      <c r="AU18" s="248">
        <f>IF($R18=$AU$3,(((INDEX('Tables - Part 2'!$BF$6:$BI$13,MATCH('HIC-SOHIC-HF'!$U18,'Tables - Part 2'!$AV$6:$AV$13,0),MATCH('HIC-SOHIC-HF'!$S18,'Tables - Part 2'!$AX$5:$BA$5,0))+(INDEX('Tables - Part 2'!$BF$6:$BI$13,MATCH('HIC-SOHIC-HF'!$U18,'Tables - Part 2'!$AV$6:$AV$13,0),MATCH('HIC-SOHIC-HF'!$S18,'Tables - Part 2'!$AX$5:$BA$5,0))+INDEX('Tables - Part 2'!$AX$17:$BA$24,MATCH('HIC-SOHIC-HF'!$U18,'Tables - Part 2'!$AV$6:$AV$13,0),MATCH('HIC-SOHIC-HF'!$S18,'Tables - Part 2'!$AX$5:$BA$5,0)))/2)/2)+((INDEX('Tables - Part 2'!$BF$6:$BI$13,MATCH('HIC-SOHIC-HF'!$U18,'Tables - Part 2'!$AV$6:$AV$13,0),MATCH('HIC-SOHIC-HF'!$S18,'Tables - Part 2'!$AX$5:$BA$5,0))+INDEX('Tables - Part 2'!$AX$17:$BA$24,MATCH('HIC-SOHIC-HF'!$U18,'Tables - Part 2'!$AV$6:$AV$13,0),MATCH('HIC-SOHIC-HF'!$S18,'Tables - Part 2'!$AX$5:$BA$5,0)))/2))/2,0)</f>
        <v>0</v>
      </c>
      <c r="AV18" s="248">
        <f>IF($R18=$AV$3,(INDEX('Tables - Part 2'!$BF$6:$BI$13,MATCH('HIC-SOHIC-HF'!$U18,'Tables - Part 2'!$AV$6:$AV$13,0),MATCH('HIC-SOHIC-HF'!$S18,'Tables - Part 2'!$AX$5:$BA$5,0))+INDEX('Tables - Part 2'!$AX$17:$BA$24,MATCH('HIC-SOHIC-HF'!$U18,'Tables - Part 2'!$AV$6:$AV$13,0),MATCH('HIC-SOHIC-HF'!$S18,'Tables - Part 2'!$AX$5:$BA$5,0)))/2,0)</f>
        <v>0</v>
      </c>
      <c r="AW18" s="248">
        <f>IF($R18=$AW$3,(((INDEX('Tables - Part 2'!$BF$6:$BI$13,MATCH('HIC-SOHIC-HF'!$U18,'Tables - Part 2'!$AV$6:$AV$13,0),MATCH('HIC-SOHIC-HF'!$S18,'Tables - Part 2'!$AX$5:$BA$5,0))+INDEX('Tables - Part 2'!$AX$17:$BA$24,MATCH('HIC-SOHIC-HF'!$U18,'Tables - Part 2'!$AV$6:$AV$13,0),MATCH('HIC-SOHIC-HF'!$S18,'Tables - Part 2'!$AX$5:$BA$5,0)))/2)+((((INDEX('Tables - Part 2'!$BF$6:$BI$13,MATCH('HIC-SOHIC-HF'!$U18,'Tables - Part 2'!$AV$6:$AV$13,0),MATCH('HIC-SOHIC-HF'!$S18,'Tables - Part 2'!$AX$5:$BA$5,0))+INDEX('Tables - Part 2'!$AX$17:$BA$24,MATCH('HIC-SOHIC-HF'!$U18,'Tables - Part 2'!$AV$6:$AV$13,0),MATCH('HIC-SOHIC-HF'!$S18,'Tables - Part 2'!$AX$5:$BA$5,0)))/2)+INDEX('Tables - Part 2'!$AX$17:$BA$24,MATCH('HIC-SOHIC-HF'!$U18,'Tables - Part 2'!$AV$6:$AV$13,0),MATCH('HIC-SOHIC-HF'!$S18,'Tables - Part 2'!$AX$5:$BA$5,0)))/2))/2,0)</f>
        <v>0</v>
      </c>
      <c r="AX18" s="248">
        <f>IF($R18=$AX$3,(((INDEX('Tables - Part 2'!$BF$6:$BI$13,MATCH('HIC-SOHIC-HF'!$U18,'Tables - Part 2'!$AV$6:$AV$13,0),MATCH('HIC-SOHIC-HF'!$S18,'Tables - Part 2'!$AX$5:$BA$5,0))+INDEX('Tables - Part 2'!$AX$17:$BA$24,MATCH('HIC-SOHIC-HF'!$U18,'Tables - Part 2'!$AV$6:$AV$13,0),MATCH('HIC-SOHIC-HF'!$S18,'Tables - Part 2'!$AX$5:$BA$5,0)))/2)+INDEX('Tables - Part 2'!$AX$17:$BA$24,MATCH('HIC-SOHIC-HF'!$U18,'Tables - Part 2'!$AV$6:$AV$13,0),MATCH('HIC-SOHIC-HF'!$S18,'Tables - Part 2'!$AX$5:$BA$5,0)))/2,0)</f>
        <v>0</v>
      </c>
      <c r="AY18" s="248">
        <f>IF($R18=$AY$3,(((((INDEX('Tables - Part 2'!$BF$6:$BI$13,MATCH('HIC-SOHIC-HF'!$U18,'Tables - Part 2'!$AV$6:$AV$13,0),MATCH('HIC-SOHIC-HF'!$S18,'Tables - Part 2'!$AX$5:$BA$5,0))+INDEX('Tables - Part 2'!$AX$17:$BA$24,MATCH('HIC-SOHIC-HF'!$U18,'Tables - Part 2'!$AV$6:$AV$13,0),MATCH('HIC-SOHIC-HF'!$S18,'Tables - Part 2'!$AX$5:$BA$5,0)))/2)+INDEX('Tables - Part 2'!$AX$17:$BA$24,MATCH('HIC-SOHIC-HF'!$U18,'Tables - Part 2'!$AV$6:$AV$13,0),MATCH('HIC-SOHIC-HF'!$S18,'Tables - Part 2'!$AX$5:$BA$5,0)))/2)+(INDEX('Tables - Part 2'!$AX$17:$BA$24,MATCH('HIC-SOHIC-HF'!$U18,'Tables - Part 2'!$AV$6:$AV$13,0),MATCH('HIC-SOHIC-HF'!$S18,'Tables - Part 2'!$AX$5:$BA$5,0))))/2,0)</f>
        <v>0</v>
      </c>
      <c r="AZ18" s="248">
        <f>IF($R18=$AZ$3,INDEX('Tables - Part 2'!$AX$17:$BA$24,MATCH('HIC-SOHIC-HF'!$U18,'Tables - Part 2'!$AV$6:$AV$13,0),MATCH('HIC-SOHIC-HF'!$S18,'Tables - Part 2'!$AX$5:$BA$5,0)),0)</f>
        <v>0</v>
      </c>
      <c r="BA18" s="248">
        <f>IF($R18=$BA$3,((INDEX('Tables - Part 2'!$AX$17:$BA$24,MATCH('HIC-SOHIC-HF'!$U18,'Tables - Part 2'!$AV$6:$AV$13,0),MATCH('HIC-SOHIC-HF'!$S18,'Tables - Part 2'!$AX$5:$BA$5,0)))+(((INDEX('Tables - Part 2'!$AX$17:$BA$24,MATCH('HIC-SOHIC-HF'!$U18,'Tables - Part 2'!$AV$6:$AV$13,0),MATCH('HIC-SOHIC-HF'!$S18,'Tables - Part 2'!$AX$5:$BA$5,0)))+(INDEX('Tables - Part 2'!$AX$17:$BA$24,MATCH('HIC-SOHIC-HF'!$U18,'Tables - Part 2'!$AV$6:$AV$13,0),MATCH('HIC-SOHIC-HF'!$S18,'Tables - Part 2'!$AX$5:$BA$5,0))+INDEX('Tables - Part 2'!$BB$17:$BE$24,MATCH('HIC-SOHIC-HF'!$U18,'Tables - Part 2'!$AV$6:$AV$13,0),MATCH('HIC-SOHIC-HF'!$S18,'Tables - Part 2'!$AX$5:$BA$5,0)))/2)/2))/2,0)</f>
        <v>0</v>
      </c>
      <c r="BB18" s="248">
        <f>IF($R18=$BB$3,((INDEX('Tables - Part 2'!$AX$17:$BA$24,MATCH('HIC-SOHIC-HF'!$U18,'Tables - Part 2'!$AV$6:$AV$13,0),MATCH('HIC-SOHIC-HF'!$S18,'Tables - Part 2'!$AX$5:$BA$5,0)))+(INDEX('Tables - Part 2'!$AX$17:$BA$24,MATCH('HIC-SOHIC-HF'!$U18,'Tables - Part 2'!$AV$6:$AV$13,0),MATCH('HIC-SOHIC-HF'!$S18,'Tables - Part 2'!$AX$5:$BA$5,0))+INDEX('Tables - Part 2'!$BB$17:$BE$24,MATCH('HIC-SOHIC-HF'!$U18,'Tables - Part 2'!$AV$6:$AV$13,0),MATCH('HIC-SOHIC-HF'!$S18,'Tables - Part 2'!$AX$5:$BA$5,0)))/2)/2,0)</f>
        <v>0</v>
      </c>
      <c r="BC18" s="248">
        <f>IF($R18=$BC$3,((((INDEX('Tables - Part 2'!$AX$17:$BA$24,MATCH('HIC-SOHIC-HF'!$U18,'Tables - Part 2'!$AV$6:$AV$13,0),MATCH('HIC-SOHIC-HF'!$S18,'Tables - Part 2'!$AX$5:$BA$5,0)))+(INDEX('Tables - Part 2'!$AX$17:$BA$24,MATCH('HIC-SOHIC-HF'!$U18,'Tables - Part 2'!$AV$6:$AV$13,0),MATCH('HIC-SOHIC-HF'!$S18,'Tables - Part 2'!$AX$5:$BA$5,0))+INDEX('Tables - Part 2'!$BB$17:$BE$24,MATCH('HIC-SOHIC-HF'!$U18,'Tables - Part 2'!$AV$6:$AV$13,0),MATCH('HIC-SOHIC-HF'!$S18,'Tables - Part 2'!$AX$5:$BA$5,0)))/2)/2)+((INDEX('Tables - Part 2'!$AX$17:$BA$24,MATCH('HIC-SOHIC-HF'!$U18,'Tables - Part 2'!$AV$6:$AV$13,0),MATCH('HIC-SOHIC-HF'!$S18,'Tables - Part 2'!$AX$5:$BA$5,0))+INDEX('Tables - Part 2'!$BB$17:$BE$24,MATCH('HIC-SOHIC-HF'!$U18,'Tables - Part 2'!$AV$6:$AV$13,0),MATCH('HIC-SOHIC-HF'!$S18,'Tables - Part 2'!$AX$5:$BA$5,0)))/2))/2,0)</f>
        <v>0</v>
      </c>
      <c r="BD18" s="248">
        <f>IF($R18=$BD$3,(INDEX('Tables - Part 2'!$AX$17:$BA$24,MATCH('HIC-SOHIC-HF'!$U18,'Tables - Part 2'!$AV$6:$AV$13,0),MATCH('HIC-SOHIC-HF'!$S18,'Tables - Part 2'!$AX$5:$BA$5,0))+INDEX('Tables - Part 2'!$BB$17:$BE$24,MATCH('HIC-SOHIC-HF'!$U18,'Tables - Part 2'!$AV$6:$AV$13,0),MATCH('HIC-SOHIC-HF'!$S18,'Tables - Part 2'!$AX$5:$BA$5,0)))/2,0)</f>
        <v>0</v>
      </c>
      <c r="BE18" s="248">
        <f>IF($R18=$BE$3,(((INDEX('Tables - Part 2'!$AX$17:$BA$24,MATCH('HIC-SOHIC-HF'!$U18,'Tables - Part 2'!$AV$6:$AV$13,0),MATCH('HIC-SOHIC-HF'!$S18,'Tables - Part 2'!$AX$5:$BA$5,0))+INDEX('Tables - Part 2'!$BB$17:$BE$24,MATCH('HIC-SOHIC-HF'!$U18,'Tables - Part 2'!$AV$6:$AV$13,0),MATCH('HIC-SOHIC-HF'!$S18,'Tables - Part 2'!$AX$5:$BA$5,0)))/2)+((((INDEX('Tables - Part 2'!$AX$17:$BA$24,MATCH('HIC-SOHIC-HF'!$U18,'Tables - Part 2'!$AV$6:$AV$13,0),MATCH('HIC-SOHIC-HF'!$S18,'Tables - Part 2'!$AX$5:$BA$5,0))+INDEX('Tables - Part 2'!$BB$17:$BE$24,MATCH('HIC-SOHIC-HF'!$U18,'Tables - Part 2'!$AV$6:$AV$13,0),MATCH('HIC-SOHIC-HF'!$S18,'Tables - Part 2'!$AX$5:$BA$5,0)))/2)+INDEX('Tables - Part 2'!$BB$17:$BE$24,MATCH('HIC-SOHIC-HF'!$U18,'Tables - Part 2'!$AV$6:$AV$13,0),MATCH('HIC-SOHIC-HF'!$S18,'Tables - Part 2'!$AX$5:$BA$5,0)))/2))/2,0)</f>
        <v>0</v>
      </c>
      <c r="BF18" s="248">
        <f>IF($R18=$BF$3,(((INDEX('Tables - Part 2'!$AX$17:$BA$24,MATCH('HIC-SOHIC-HF'!$U18,'Tables - Part 2'!$AV$6:$AV$13,0),MATCH('HIC-SOHIC-HF'!$S18,'Tables - Part 2'!$AX$5:$BA$5,0))+INDEX('Tables - Part 2'!$BB$17:$BE$24,MATCH('HIC-SOHIC-HF'!$U18,'Tables - Part 2'!$AV$6:$AV$13,0),MATCH('HIC-SOHIC-HF'!$S18,'Tables - Part 2'!$AX$5:$BA$5,0)))/2)+INDEX('Tables - Part 2'!$BB$17:$BE$24,MATCH('HIC-SOHIC-HF'!$U18,'Tables - Part 2'!$AV$6:$AV$13,0),MATCH('HIC-SOHIC-HF'!$S18,'Tables - Part 2'!$AX$5:$BA$5,0)))/2,0)</f>
        <v>0</v>
      </c>
      <c r="BG18" s="248">
        <f>IF($R18=$BG$3,(((((INDEX('Tables - Part 2'!$AX$17:$BA$24,MATCH('HIC-SOHIC-HF'!$U18,'Tables - Part 2'!$AV$6:$AV$13,0),MATCH('HIC-SOHIC-HF'!$S18,'Tables - Part 2'!$AX$5:$BA$5,0))+INDEX('Tables - Part 2'!$BB$17:$BE$24,MATCH('HIC-SOHIC-HF'!$U18,'Tables - Part 2'!$AV$6:$AV$13,0),MATCH('HIC-SOHIC-HF'!$S18,'Tables - Part 2'!$AX$5:$BA$5,0)))/2)+INDEX('Tables - Part 2'!$BB$17:$BE$24,MATCH('HIC-SOHIC-HF'!$U18,'Tables - Part 2'!$AV$6:$AV$13,0),MATCH('HIC-SOHIC-HF'!$S18,'Tables - Part 2'!$AX$5:$BA$5,0)))/2)+(INDEX('Tables - Part 2'!$BB$17:$BE$24,MATCH('HIC-SOHIC-HF'!$U18,'Tables - Part 2'!$AV$6:$AV$13,0),MATCH('HIC-SOHIC-HF'!$S18,'Tables - Part 2'!$AX$5:$BA$5,0))))/2,0)</f>
        <v>0</v>
      </c>
      <c r="BH18" s="248">
        <f>IF($R18=$BH$3,INDEX('Tables - Part 2'!$BB$17:$BE$24,MATCH('HIC-SOHIC-HF'!$U18,'Tables - Part 2'!$AV$6:$AV$13,0),MATCH('HIC-SOHIC-HF'!$S18,'Tables - Part 2'!$AX$5:$BA$5,0)),0)</f>
        <v>0</v>
      </c>
      <c r="BI18" s="248">
        <f>IF($R18=$BI$3,((INDEX('Tables - Part 2'!$BB$17:$BE$24,MATCH('HIC-SOHIC-HF'!$U18,'Tables - Part 2'!$AV$6:$AV$13,0),MATCH('HIC-SOHIC-HF'!$S18,'Tables - Part 2'!$AX$5:$BA$5,0)))+(((INDEX('Tables - Part 2'!$BB$17:$BE$24,MATCH('HIC-SOHIC-HF'!$U18,'Tables - Part 2'!$AV$6:$AV$13,0),MATCH('HIC-SOHIC-HF'!$S18,'Tables - Part 2'!$AX$5:$BA$5,0)))+(INDEX('Tables - Part 2'!$BB$17:$BE$24,MATCH('HIC-SOHIC-HF'!$U18,'Tables - Part 2'!$AV$6:$AV$13,0),MATCH('HIC-SOHIC-HF'!$S18,'Tables - Part 2'!$AX$5:$BA$5,0))+INDEX('Tables - Part 2'!$BF$17:$BI$24,MATCH('HIC-SOHIC-HF'!$U18,'Tables - Part 2'!$AV$6:$AV$13,0),MATCH('HIC-SOHIC-HF'!$S18,'Tables - Part 2'!$AX$5:$BA$5,0)))/2)/2))/2,0)</f>
        <v>0</v>
      </c>
      <c r="BJ18" s="248">
        <f>IF($R18=$BJ$3,((INDEX('Tables - Part 2'!$BB$17:$BE$24,MATCH('HIC-SOHIC-HF'!$U18,'Tables - Part 2'!$AV$6:$AV$13,0),MATCH('HIC-SOHIC-HF'!$S18,'Tables - Part 2'!$AX$5:$BA$5,0)))+(INDEX('Tables - Part 2'!$BB$17:$BE$24,MATCH('HIC-SOHIC-HF'!$U18,'Tables - Part 2'!$AV$6:$AV$13,0),MATCH('HIC-SOHIC-HF'!$S18,'Tables - Part 2'!$AX$5:$BA$5,0))+INDEX('Tables - Part 2'!$BF$17:$BI$24,MATCH('HIC-SOHIC-HF'!$U18,'Tables - Part 2'!$AV$6:$AV$13,0),MATCH('HIC-SOHIC-HF'!$S18,'Tables - Part 2'!$AX$5:$BA$5,0)))/2)/2,0)</f>
        <v>0</v>
      </c>
      <c r="BK18" s="248">
        <f>IF($R18=$BK$3,((((INDEX('Tables - Part 2'!$BB$17:$BE$24,MATCH('HIC-SOHIC-HF'!$U18,'Tables - Part 2'!$AV$6:$AV$13,0),MATCH('HIC-SOHIC-HF'!$S18,'Tables - Part 2'!$AX$5:$BA$5,0)))+(INDEX('Tables - Part 2'!$BB$17:$BE$24,MATCH('HIC-SOHIC-HF'!$U18,'Tables - Part 2'!$AV$6:$AV$13,0),MATCH('HIC-SOHIC-HF'!$S18,'Tables - Part 2'!$AX$5:$BA$5,0))+INDEX('Tables - Part 2'!$BF$17:$BI$24,MATCH('HIC-SOHIC-HF'!$U18,'Tables - Part 2'!$AV$6:$AV$13,0),MATCH('HIC-SOHIC-HF'!$S18,'Tables - Part 2'!$AX$5:$BA$5,0)))/2)/2)+((INDEX('Tables - Part 2'!$BB$17:$BE$24,MATCH('HIC-SOHIC-HF'!$U18,'Tables - Part 2'!$AV$6:$AV$13,0),MATCH('HIC-SOHIC-HF'!$S18,'Tables - Part 2'!$AX$5:$BA$5,0))+INDEX('Tables - Part 2'!$BF$17:$BI$24,MATCH('HIC-SOHIC-HF'!$U18,'Tables - Part 2'!$AV$6:$AV$13,0),MATCH('HIC-SOHIC-HF'!$S18,'Tables - Part 2'!$AX$5:$BA$5,0)))/2))/2,0)</f>
        <v>0</v>
      </c>
      <c r="BL18" s="248">
        <f>IF($R18=$BL$3,(INDEX('Tables - Part 2'!$BB$17:$BE$24,MATCH('HIC-SOHIC-HF'!$U18,'Tables - Part 2'!$AV$6:$AV$13,0),MATCH('HIC-SOHIC-HF'!$S18,'Tables - Part 2'!$AX$5:$BA$5,0))+INDEX('Tables - Part 2'!$BF$17:$BI$24,MATCH('HIC-SOHIC-HF'!$U18,'Tables - Part 2'!$AV$6:$AV$13,0),MATCH('HIC-SOHIC-HF'!$S18,'Tables - Part 2'!$AX$5:$BA$5,0)))/2,0)</f>
        <v>0</v>
      </c>
      <c r="BM18" s="248">
        <f>IF($R18=$BM$3,(((INDEX('Tables - Part 2'!$BB$17:$BE$24,MATCH('HIC-SOHIC-HF'!$U18,'Tables - Part 2'!$AV$6:$AV$13,0),MATCH('HIC-SOHIC-HF'!$S18,'Tables - Part 2'!$AX$5:$BA$5,0))+INDEX('Tables - Part 2'!$BF$17:$BI$24,MATCH('HIC-SOHIC-HF'!$U18,'Tables - Part 2'!$AV$6:$AV$13,0),MATCH('HIC-SOHIC-HF'!$S18,'Tables - Part 2'!$AX$5:$BA$5,0)))/2)+((((INDEX('Tables - Part 2'!$BB$17:$BE$24,MATCH('HIC-SOHIC-HF'!$U18,'Tables - Part 2'!$AV$6:$AV$13,0),MATCH('HIC-SOHIC-HF'!$S18,'Tables - Part 2'!$AX$5:$BA$5,0))+INDEX('Tables - Part 2'!$BF$17:$BI$24,MATCH('HIC-SOHIC-HF'!$U18,'Tables - Part 2'!$AV$6:$AV$13,0),MATCH('HIC-SOHIC-HF'!$S18,'Tables - Part 2'!$AX$5:$BA$5,0)))/2)+INDEX('Tables - Part 2'!$BF$17:$BI$24,MATCH('HIC-SOHIC-HF'!$U18,'Tables - Part 2'!$AV$6:$AV$13,0),MATCH('HIC-SOHIC-HF'!$S18,'Tables - Part 2'!$AX$5:$BA$5,0)))/2))/2,0)</f>
        <v>0</v>
      </c>
      <c r="BN18" s="248">
        <f>IF($R18=$BN$3,(((INDEX('Tables - Part 2'!$BB$17:$BE$24,MATCH('HIC-SOHIC-HF'!$U18,'Tables - Part 2'!$AV$6:$AV$13,0),MATCH('HIC-SOHIC-HF'!$S18,'Tables - Part 2'!$AX$5:$BA$5,0))+INDEX('Tables - Part 2'!$BF$17:$BI$24,MATCH('HIC-SOHIC-HF'!$U18,'Tables - Part 2'!$AV$6:$AV$13,0),MATCH('HIC-SOHIC-HF'!$S18,'Tables - Part 2'!$AX$5:$BA$5,0)))/2)+INDEX('Tables - Part 2'!$BF$17:$BI$24,MATCH('HIC-SOHIC-HF'!$U18,'Tables - Part 2'!$AV$6:$AV$13,0),MATCH('HIC-SOHIC-HF'!$S18,'Tables - Part 2'!$AX$5:$BA$5,0)))/2,0)</f>
        <v>0</v>
      </c>
      <c r="BO18" s="248">
        <f>IF($R18=$BO$3,(((((INDEX('Tables - Part 2'!$BB$17:$BE$24,MATCH('HIC-SOHIC-HF'!$U18,'Tables - Part 2'!$AV$6:$AV$13,0),MATCH('HIC-SOHIC-HF'!$S18,'Tables - Part 2'!$AX$5:$BA$5,0))+INDEX('Tables - Part 2'!$BF$17:$BI$24,MATCH('HIC-SOHIC-HF'!$U18,'Tables - Part 2'!$AV$6:$AV$13,0),MATCH('HIC-SOHIC-HF'!$S18,'Tables - Part 2'!$AX$5:$BA$5,0)))/2)+INDEX('Tables - Part 2'!$BF$17:$BI$24,MATCH('HIC-SOHIC-HF'!$U18,'Tables - Part 2'!$AV$6:$AV$13,0),MATCH('HIC-SOHIC-HF'!$S18,'Tables - Part 2'!$AX$5:$BA$5,0)))/2)+(INDEX('Tables - Part 2'!$BF$17:$BI$24,MATCH('HIC-SOHIC-HF'!$U18,'Tables - Part 2'!$AV$6:$AV$13,0),MATCH('HIC-SOHIC-HF'!$S18,'Tables - Part 2'!$AX$5:$BA$5,0))))/2,0)</f>
        <v>0</v>
      </c>
      <c r="BP18" s="248">
        <f>IF($R18=$BP$3,INDEX('Tables - Part 2'!$BF$17:$BI$24,MATCH('HIC-SOHIC-HF'!$U18,'Tables - Part 2'!$AV$6:$AV$13,0),MATCH('HIC-SOHIC-HF'!$S18,'Tables - Part 2'!$AX$5:$BA$5,0)),0)</f>
        <v>0</v>
      </c>
      <c r="BQ18" s="248">
        <f t="shared" si="6"/>
        <v>0</v>
      </c>
      <c r="BR18" s="238">
        <f t="shared" si="7"/>
        <v>3</v>
      </c>
      <c r="BS18" s="238">
        <f t="shared" si="8"/>
        <v>50.318647405225171</v>
      </c>
    </row>
    <row r="19" spans="2:71" x14ac:dyDescent="0.35">
      <c r="B19" s="161" t="str">
        <f>'Tratamento de Dados'!B27</f>
        <v>V-8</v>
      </c>
      <c r="C19" s="161" t="str">
        <f>'Tratamento de Dados'!D27</f>
        <v>Casco</v>
      </c>
      <c r="D19" s="209" t="s">
        <v>245</v>
      </c>
      <c r="E19" s="209" t="s">
        <v>61</v>
      </c>
      <c r="F19" s="209" t="s">
        <v>244</v>
      </c>
      <c r="G19" s="209" t="s">
        <v>244</v>
      </c>
      <c r="H19" s="209" t="s">
        <v>1208</v>
      </c>
      <c r="I19" s="209" t="s">
        <v>245</v>
      </c>
      <c r="J19" s="209" t="s">
        <v>898</v>
      </c>
      <c r="K19" s="210">
        <v>39092</v>
      </c>
      <c r="L19" s="209">
        <v>0</v>
      </c>
      <c r="M19" s="209">
        <v>1</v>
      </c>
      <c r="N19" s="209">
        <v>1</v>
      </c>
      <c r="O19" s="209">
        <v>4</v>
      </c>
      <c r="P19" s="253">
        <f>'Tratamento de Dados'!DA27</f>
        <v>0</v>
      </c>
      <c r="Q19" s="253">
        <f>'Tratamento de Dados'!DB27</f>
        <v>0</v>
      </c>
      <c r="R19" s="256">
        <f t="shared" si="0"/>
        <v>2.5</v>
      </c>
      <c r="S19" s="246" t="str">
        <f t="shared" si="1"/>
        <v>B</v>
      </c>
      <c r="T19" s="238" t="str" cm="1">
        <f t="array" ref="T19">IF(D19=$BX$2,$BV$4,IF(OR(F19=$BX$3,G19=$BX$3),$BV$5,INDEX(IF(I19=$BX$2,'Tables - Part 2'!$EI$6:$EK$6,'Tables - Part 2'!$EI$5:$EK$5),,MATCH('HIC-SOHIC-HF'!H19,'Tables - Part 2'!$EI$4:$EK$4,0))))</f>
        <v>High</v>
      </c>
      <c r="U19" s="238">
        <f>IF(AND(D19=$BX$2,E19&lt;&gt;$BX$2),"Fitness-For-Service",INDEX('Tables - Part 2'!$EN$4:$EN$7,MATCH('HIC-SOHIC-HF'!T19,'Tables - Part 2'!$EM$4:$EM$7,0),))</f>
        <v>100</v>
      </c>
      <c r="V19" s="238">
        <f>INDEX('Tables - Part 2'!$EQ$4:$EQ$7,MATCH('HIC-SOHIC-HF'!J19,'Tables - Part 2'!$EP$4:$EP$7,0))</f>
        <v>1</v>
      </c>
      <c r="W19" s="238">
        <f>IF(K19=0,(Thinning!G20-Thinning!F20)/365.25,(Thinning!G20-K19)/365.25)</f>
        <v>12.980150581793293</v>
      </c>
      <c r="X19" s="248">
        <f t="shared" si="2"/>
        <v>0</v>
      </c>
      <c r="Y19" s="248">
        <f t="shared" si="3"/>
        <v>2.5</v>
      </c>
      <c r="Z19" s="248">
        <f t="shared" si="4"/>
        <v>3</v>
      </c>
      <c r="AA19" s="247">
        <f t="shared" si="5"/>
        <v>4</v>
      </c>
      <c r="AB19" s="248">
        <f>IF($R19=$AB$3,INDEX('Tables - Part 2'!$AX$6:$BA$13,MATCH('HIC-SOHIC-HF'!U19,'Tables - Part 2'!$AV$6:$AV$13,0),MATCH('HIC-SOHIC-HF'!S19,'Tables - Part 2'!$AX$5:$BA$5,0)),0)</f>
        <v>0</v>
      </c>
      <c r="AC19" s="248">
        <f>IF($R19=$AC$3,(INDEX('Tables - Part 2'!$AX$6:$BA$13,MATCH('HIC-SOHIC-HF'!U19,'Tables - Part 2'!$AV$6:$AV$13,0),MATCH('HIC-SOHIC-HF'!S19,'Tables - Part 2'!$AX$5:$BA$5,0))+(INDEX('Tables - Part 2'!$AX$6:$BA$13,MATCH('HIC-SOHIC-HF'!U19,'Tables - Part 2'!$AV$6:$AV$13,0),MATCH('HIC-SOHIC-HF'!S19,'Tables - Part 2'!$AX$5:$BA$5,0))+((INDEX('Tables - Part 2'!$AX$6:$BA$13,MATCH('HIC-SOHIC-HF'!U19,'Tables - Part 2'!$AV$6:$AV$13,0),MATCH('HIC-SOHIC-HF'!S19,'Tables - Part 2'!$AX$5:$BA$5,0))+INDEX('Tables - Part 2'!$BB$6:$BE$13,MATCH('HIC-SOHIC-HF'!$U19,'Tables - Part 2'!$AV$6:$AV$13,0),MATCH('HIC-SOHIC-HF'!$S19,'Tables - Part 2'!$AX$5:$BA$5,0)))/2))/2)/2,0)</f>
        <v>0</v>
      </c>
      <c r="AD19" s="248">
        <f>IF($R19=$AD$3,(INDEX('Tables - Part 2'!$AX$6:$BA$13,MATCH('HIC-SOHIC-HF'!U19,'Tables - Part 2'!$AV$6:$AV$13,0),MATCH('HIC-SOHIC-HF'!S19,'Tables - Part 2'!$AX$5:$BA$5,0))+((INDEX('Tables - Part 2'!$AX$6:$BA$13,MATCH('HIC-SOHIC-HF'!U19,'Tables - Part 2'!$AV$6:$AV$13,0),MATCH('HIC-SOHIC-HF'!S19,'Tables - Part 2'!$AX$5:$BA$5,0))+INDEX('Tables - Part 2'!$BB$6:$BE$13,MATCH('HIC-SOHIC-HF'!$U19,'Tables - Part 2'!$AV$6:$AV$13,0),MATCH('HIC-SOHIC-HF'!$S19,'Tables - Part 2'!$AX$5:$BA$5,0)))/2))/2,0)</f>
        <v>0</v>
      </c>
      <c r="AE19" s="248">
        <f>IF($R19=$AE$3,(((INDEX('Tables - Part 2'!$AX$6:$BA$13,MATCH('HIC-SOHIC-HF'!U19,'Tables - Part 2'!$AV$6:$AV$13,0),MATCH('HIC-SOHIC-HF'!S19,'Tables - Part 2'!$AX$5:$BA$5,0))+((INDEX('Tables - Part 2'!$AX$6:$BA$13,MATCH('HIC-SOHIC-HF'!U19,'Tables - Part 2'!$AV$6:$AV$13,0),MATCH('HIC-SOHIC-HF'!S19,'Tables - Part 2'!$AX$5:$BA$5,0))+INDEX('Tables - Part 2'!$BB$6:$BE$13,MATCH('HIC-SOHIC-HF'!$U19,'Tables - Part 2'!$AV$6:$AV$13,0),MATCH('HIC-SOHIC-HF'!$S19,'Tables - Part 2'!$AX$5:$BA$5,0)))/2))/2)+(INDEX('Tables - Part 2'!$AX$6:$BA$13,MATCH('HIC-SOHIC-HF'!U19,'Tables - Part 2'!$AV$6:$AV$13,0),MATCH('HIC-SOHIC-HF'!S19,'Tables - Part 2'!$AX$5:$BA$5,0))+INDEX('Tables - Part 2'!$BB$6:$BE$13,MATCH('HIC-SOHIC-HF'!$U19,'Tables - Part 2'!$AV$6:$AV$13,0),MATCH('HIC-SOHIC-HF'!$S19,'Tables - Part 2'!$AX$5:$BA$5,0)))/2)/2,0)</f>
        <v>0</v>
      </c>
      <c r="AF19" s="248">
        <f>IF($R19=$AF$3,(INDEX('Tables - Part 2'!$AX$6:$BA$13,MATCH('HIC-SOHIC-HF'!U19,'Tables - Part 2'!$AV$6:$AV$13,0),MATCH('HIC-SOHIC-HF'!S19,'Tables - Part 2'!$AX$5:$BA$5,0))+INDEX('Tables - Part 2'!$BB$6:$BE$13,MATCH('HIC-SOHIC-HF'!$U19,'Tables - Part 2'!$AV$6:$AV$13,0),MATCH('HIC-SOHIC-HF'!$S19,'Tables - Part 2'!$AX$5:$BA$5,0)))/2,0)</f>
        <v>0</v>
      </c>
      <c r="AG19" s="248">
        <f>IF($R19=$AG$3,(((INDEX('Tables - Part 2'!$AX$6:$BA$13,MATCH('HIC-SOHIC-HF'!U19,'Tables - Part 2'!$AV$6:$AV$13,0),MATCH('HIC-SOHIC-HF'!S19,'Tables - Part 2'!$AX$5:$BA$5,0))+INDEX('Tables - Part 2'!$BB$6:$BE$13,MATCH('HIC-SOHIC-HF'!$U19,'Tables - Part 2'!$AV$6:$AV$13,0),MATCH('HIC-SOHIC-HF'!$S19,'Tables - Part 2'!$AX$5:$BA$5,0)))/2)+(((INDEX('Tables - Part 2'!$AX$6:$BA$13,MATCH('HIC-SOHIC-HF'!U19,'Tables - Part 2'!$AV$6:$AV$13,0),MATCH('HIC-SOHIC-HF'!S19,'Tables - Part 2'!$AX$5:$BA$5,0))+INDEX('Tables - Part 2'!$BB$6:$BE$13,MATCH('HIC-SOHIC-HF'!$U19,'Tables - Part 2'!$AV$6:$AV$13,0),MATCH('HIC-SOHIC-HF'!$S19,'Tables - Part 2'!$AX$5:$BA$5,0)))/2)+INDEX('Tables - Part 2'!$BB$6:$BE$13,MATCH('HIC-SOHIC-HF'!$U19,'Tables - Part 2'!$AV$6:$AV$13,0),MATCH('HIC-SOHIC-HF'!$S19,'Tables - Part 2'!$AX$5:$BA$5,0)))/2)/2,0)</f>
        <v>0</v>
      </c>
      <c r="AH19" s="248">
        <f>IF($R19=$AH$3,(((INDEX('Tables - Part 2'!$AX$6:$BA$13,MATCH('HIC-SOHIC-HF'!U19,'Tables - Part 2'!$AV$6:$AV$13,0),MATCH('HIC-SOHIC-HF'!S19,'Tables - Part 2'!$AX$5:$BA$5,0))+INDEX('Tables - Part 2'!$BB$6:$BE$13,MATCH('HIC-SOHIC-HF'!$U19,'Tables - Part 2'!$AV$6:$AV$13,0),MATCH('HIC-SOHIC-HF'!$S19,'Tables - Part 2'!$AX$5:$BA$5,0)))/2)+INDEX('Tables - Part 2'!$BB$6:$BE$13,MATCH('HIC-SOHIC-HF'!$U19,'Tables - Part 2'!$AV$6:$AV$13,0),MATCH('HIC-SOHIC-HF'!$S19,'Tables - Part 2'!$AX$5:$BA$5,0)))/2,0)</f>
        <v>0</v>
      </c>
      <c r="AI19" s="248">
        <f>IF($R19=$AI$3,(((((INDEX('Tables - Part 2'!$AX$6:$BA$13,MATCH('HIC-SOHIC-HF'!U19,'Tables - Part 2'!$AV$6:$AV$13,0),MATCH('HIC-SOHIC-HF'!S19,'Tables - Part 2'!$AX$5:$BA$5,0))+INDEX('Tables - Part 2'!$BB$6:$BE$13,MATCH('HIC-SOHIC-HF'!$U19,'Tables - Part 2'!$AV$6:$AV$13,0),MATCH('HIC-SOHIC-HF'!$S19,'Tables - Part 2'!$AX$5:$BA$5,0)))/2)+INDEX('Tables - Part 2'!$BB$6:$BE$13,MATCH('HIC-SOHIC-HF'!$U19,'Tables - Part 2'!$AV$6:$AV$13,0),MATCH('HIC-SOHIC-HF'!$S19,'Tables - Part 2'!$AX$5:$BA$5,0)))/2)+INDEX('Tables - Part 2'!$BB$6:$BE$13,MATCH('HIC-SOHIC-HF'!$U19,'Tables - Part 2'!$AV$6:$AV$13,0),MATCH('HIC-SOHIC-HF'!$S19,'Tables - Part 2'!$AX$5:$BA$5,0)))/2,0)</f>
        <v>0</v>
      </c>
      <c r="AJ19" s="248">
        <f>IF($R19=$AJ$3,INDEX('Tables - Part 2'!$BB$6:$BE$13,MATCH('HIC-SOHIC-HF'!$U19,'Tables - Part 2'!$AV$6:$AV$13,0),MATCH('HIC-SOHIC-HF'!$S19,'Tables - Part 2'!$AX$5:$BA$5,0)),0)</f>
        <v>0</v>
      </c>
      <c r="AK19" s="248">
        <f>IF($R19=$AK$3,((INDEX('Tables - Part 2'!$BB$6:$BE$13,MATCH('HIC-SOHIC-HF'!$U19,'Tables - Part 2'!$AV$6:$AV$13,0),MATCH('HIC-SOHIC-HF'!$S19,'Tables - Part 2'!$AX$5:$BA$5,0)))+(INDEX('Tables - Part 2'!$BB$6:$BE$13,MATCH('HIC-SOHIC-HF'!$U19,'Tables - Part 2'!$AV$6:$AV$13,0),MATCH('HIC-SOHIC-HF'!$S19,'Tables - Part 2'!$AX$5:$BA$5,0))+(INDEX('Tables - Part 2'!$BB$6:$BE$13,MATCH('HIC-SOHIC-HF'!$U19,'Tables - Part 2'!$AV$6:$AV$13,0),MATCH('HIC-SOHIC-HF'!$S19,'Tables - Part 2'!$AX$5:$BA$5,0))+INDEX('Tables - Part 2'!$BF$6:$BI$13,MATCH('HIC-SOHIC-HF'!$U19,'Tables - Part 2'!$AV$6:$AV$13,0),MATCH('HIC-SOHIC-HF'!$S19,'Tables - Part 2'!$AX$5:$BA$5,0)))/2)/2)/2,0)</f>
        <v>0</v>
      </c>
      <c r="AL19" s="248">
        <f>IF($R19=$AL$3,(INDEX('Tables - Part 2'!$BB$6:$BE$13,MATCH('HIC-SOHIC-HF'!$U19,'Tables - Part 2'!$AV$6:$AV$13,0),MATCH('HIC-SOHIC-HF'!$S19,'Tables - Part 2'!$AX$5:$BA$5,0))+(INDEX('Tables - Part 2'!$BB$6:$BE$13,MATCH('HIC-SOHIC-HF'!$U19,'Tables - Part 2'!$AV$6:$AV$13,0),MATCH('HIC-SOHIC-HF'!$S19,'Tables - Part 2'!$AX$5:$BA$5,0))+INDEX('Tables - Part 2'!$BF$6:$BI$13,MATCH('HIC-SOHIC-HF'!$U19,'Tables - Part 2'!$AV$6:$AV$13,0),MATCH('HIC-SOHIC-HF'!$S19,'Tables - Part 2'!$AX$5:$BA$5,0)))/2)/2,0)</f>
        <v>0</v>
      </c>
      <c r="AM19" s="248">
        <f>IF($R19=$AM$3,(((INDEX('Tables - Part 2'!$BB$6:$BE$13,MATCH('HIC-SOHIC-HF'!$U19,'Tables - Part 2'!$AV$6:$AV$13,0),MATCH('HIC-SOHIC-HF'!$S19,'Tables - Part 2'!$AX$5:$BA$5,0))+(INDEX('Tables - Part 2'!$BB$6:$BE$13,MATCH('HIC-SOHIC-HF'!$U19,'Tables - Part 2'!$AV$6:$AV$13,0),MATCH('HIC-SOHIC-HF'!$S19,'Tables - Part 2'!$AX$5:$BA$5,0))+INDEX('Tables - Part 2'!$BF$6:$BI$13,MATCH('HIC-SOHIC-HF'!$U19,'Tables - Part 2'!$AV$6:$AV$13,0),MATCH('HIC-SOHIC-HF'!$S19,'Tables - Part 2'!$AX$5:$BA$5,0)))/2)/2)+((INDEX('Tables - Part 2'!$BB$6:$BE$13,MATCH('HIC-SOHIC-HF'!$U19,'Tables - Part 2'!$AV$6:$AV$13,0),MATCH('HIC-SOHIC-HF'!$S19,'Tables - Part 2'!$AX$5:$BA$5,0))+INDEX('Tables - Part 2'!$BF$6:$BI$13,MATCH('HIC-SOHIC-HF'!$U19,'Tables - Part 2'!$AV$6:$AV$13,0),MATCH('HIC-SOHIC-HF'!$S19,'Tables - Part 2'!$AX$5:$BA$5,0)))/2))/2,0)</f>
        <v>0</v>
      </c>
      <c r="AN19" s="248">
        <f>IF($R19=$AN$3,(INDEX('Tables - Part 2'!$BB$6:$BE$13,MATCH('HIC-SOHIC-HF'!$U19,'Tables - Part 2'!$AV$6:$AV$13,0),MATCH('HIC-SOHIC-HF'!$S19,'Tables - Part 2'!$AX$5:$BA$5,0))+INDEX('Tables - Part 2'!$BF$6:$BI$13,MATCH('HIC-SOHIC-HF'!$U19,'Tables - Part 2'!$AV$6:$AV$13,0),MATCH('HIC-SOHIC-HF'!$S19,'Tables - Part 2'!$AX$5:$BA$5,0)))/2,0)</f>
        <v>3</v>
      </c>
      <c r="AO19" s="248">
        <f>IF($R19=$AO$3,(((INDEX('Tables - Part 2'!$BB$6:$BE$13,MATCH('HIC-SOHIC-HF'!$U19,'Tables - Part 2'!$AV$6:$AV$13,0),MATCH('HIC-SOHIC-HF'!$S19,'Tables - Part 2'!$AX$5:$BA$5,0))+INDEX('Tables - Part 2'!$BF$6:$BI$13,MATCH('HIC-SOHIC-HF'!$U19,'Tables - Part 2'!$AV$6:$AV$13,0),MATCH('HIC-SOHIC-HF'!$S19,'Tables - Part 2'!$AX$5:$BA$5,0)))/2)+((((INDEX('Tables - Part 2'!$BB$6:$BE$13,MATCH('HIC-SOHIC-HF'!$U19,'Tables - Part 2'!$AV$6:$AV$13,0),MATCH('HIC-SOHIC-HF'!$S19,'Tables - Part 2'!$AX$5:$BA$5,0))+INDEX('Tables - Part 2'!$BF$6:$BI$13,MATCH('HIC-SOHIC-HF'!$U19,'Tables - Part 2'!$AV$6:$AV$13,0),MATCH('HIC-SOHIC-HF'!$S19,'Tables - Part 2'!$AX$5:$BA$5,0)))/2)+INDEX('Tables - Part 2'!$BF$6:$BI$13,MATCH('HIC-SOHIC-HF'!$U19,'Tables - Part 2'!$AV$6:$AV$13,0),MATCH('HIC-SOHIC-HF'!$S19,'Tables - Part 2'!$AX$5:$BA$5,0)))/2))/2,0)</f>
        <v>0</v>
      </c>
      <c r="AP19" s="248">
        <f>IF($R19=$AP$3,(((INDEX('Tables - Part 2'!$BB$6:$BE$13,MATCH('HIC-SOHIC-HF'!$U19,'Tables - Part 2'!$AV$6:$AV$13,0),MATCH('HIC-SOHIC-HF'!$S19,'Tables - Part 2'!$AX$5:$BA$5,0))+INDEX('Tables - Part 2'!$BF$6:$BI$13,MATCH('HIC-SOHIC-HF'!$U19,'Tables - Part 2'!$AV$6:$AV$13,0),MATCH('HIC-SOHIC-HF'!$S19,'Tables - Part 2'!$AX$5:$BA$5,0)))/2)+INDEX('Tables - Part 2'!$BF$6:$BI$13,MATCH('HIC-SOHIC-HF'!$U19,'Tables - Part 2'!$AV$6:$AV$13,0),MATCH('HIC-SOHIC-HF'!$S19,'Tables - Part 2'!$AX$5:$BA$5,0)))/2,0)</f>
        <v>0</v>
      </c>
      <c r="AQ19" s="248">
        <f>IF($R19=$AQ$3,(((((INDEX('Tables - Part 2'!$BB$6:$BE$13,MATCH('HIC-SOHIC-HF'!$U19,'Tables - Part 2'!$AV$6:$AV$13,0),MATCH('HIC-SOHIC-HF'!$S19,'Tables - Part 2'!$AX$5:$BA$5,0))+INDEX('Tables - Part 2'!$BF$6:$BI$13,MATCH('HIC-SOHIC-HF'!$U19,'Tables - Part 2'!$AV$6:$AV$13,0),MATCH('HIC-SOHIC-HF'!$S19,'Tables - Part 2'!$AX$5:$BA$5,0)))/2)+INDEX('Tables - Part 2'!$BF$6:$BI$13,MATCH('HIC-SOHIC-HF'!$U19,'Tables - Part 2'!$AV$6:$AV$13,0),MATCH('HIC-SOHIC-HF'!$S19,'Tables - Part 2'!$AX$5:$BA$5,0)))/2)+INDEX('Tables - Part 2'!$BF$6:$BI$13,MATCH('HIC-SOHIC-HF'!$U19,'Tables - Part 2'!$AV$6:$AV$13,0),MATCH('HIC-SOHIC-HF'!$S19,'Tables - Part 2'!$AX$5:$BA$5,0)))/2,0)</f>
        <v>0</v>
      </c>
      <c r="AR19" s="248">
        <f>IF($R19=$AR$3,INDEX('Tables - Part 2'!$BF$6:$BI$13,MATCH('HIC-SOHIC-HF'!$U19,'Tables - Part 2'!$AV$6:$AV$13,0),MATCH('HIC-SOHIC-HF'!$S19,'Tables - Part 2'!$AX$5:$BA$5,0)),0)</f>
        <v>0</v>
      </c>
      <c r="AS19" s="248">
        <f>IF($R19=$AS$3,(INDEX('Tables - Part 2'!$BF$6:$BI$13,MATCH('HIC-SOHIC-HF'!$U19,'Tables - Part 2'!$AV$6:$AV$13,0),MATCH('HIC-SOHIC-HF'!$S19,'Tables - Part 2'!$AX$5:$BA$5,0))+((INDEX('Tables - Part 2'!$BF$6:$BI$13,MATCH('HIC-SOHIC-HF'!$U19,'Tables - Part 2'!$AV$6:$AV$13,0),MATCH('HIC-SOHIC-HF'!$S19,'Tables - Part 2'!$AX$5:$BA$5,0))+(INDEX('Tables - Part 2'!$BF$6:$BI$13,MATCH('HIC-SOHIC-HF'!$U19,'Tables - Part 2'!$AV$6:$AV$13,0),MATCH('HIC-SOHIC-HF'!$S19,'Tables - Part 2'!$AX$5:$BA$5,0))+INDEX('Tables - Part 2'!$AX$17:$BA$24,MATCH('HIC-SOHIC-HF'!$U19,'Tables - Part 2'!$AV$6:$AV$13,0),MATCH('HIC-SOHIC-HF'!$S19,'Tables - Part 2'!$AX$5:$BA$5,0)))/2)/2))/2,0)</f>
        <v>0</v>
      </c>
      <c r="AT19" s="248">
        <f>IF($R19=$AT$3,(INDEX('Tables - Part 2'!$BF$6:$BI$13,MATCH('HIC-SOHIC-HF'!$U19,'Tables - Part 2'!$AV$6:$AV$13,0),MATCH('HIC-SOHIC-HF'!$S19,'Tables - Part 2'!$AX$5:$BA$5,0))+(INDEX('Tables - Part 2'!$BF$6:$BI$13,MATCH('HIC-SOHIC-HF'!$U19,'Tables - Part 2'!$AV$6:$AV$13,0),MATCH('HIC-SOHIC-HF'!$S19,'Tables - Part 2'!$AX$5:$BA$5,0))+INDEX('Tables - Part 2'!$AX$17:$BA$24,MATCH('HIC-SOHIC-HF'!$U19,'Tables - Part 2'!$AV$6:$AV$13,0),MATCH('HIC-SOHIC-HF'!$S19,'Tables - Part 2'!$AX$5:$BA$5,0)))/2)/2,0)</f>
        <v>0</v>
      </c>
      <c r="AU19" s="248">
        <f>IF($R19=$AU$3,(((INDEX('Tables - Part 2'!$BF$6:$BI$13,MATCH('HIC-SOHIC-HF'!$U19,'Tables - Part 2'!$AV$6:$AV$13,0),MATCH('HIC-SOHIC-HF'!$S19,'Tables - Part 2'!$AX$5:$BA$5,0))+(INDEX('Tables - Part 2'!$BF$6:$BI$13,MATCH('HIC-SOHIC-HF'!$U19,'Tables - Part 2'!$AV$6:$AV$13,0),MATCH('HIC-SOHIC-HF'!$S19,'Tables - Part 2'!$AX$5:$BA$5,0))+INDEX('Tables - Part 2'!$AX$17:$BA$24,MATCH('HIC-SOHIC-HF'!$U19,'Tables - Part 2'!$AV$6:$AV$13,0),MATCH('HIC-SOHIC-HF'!$S19,'Tables - Part 2'!$AX$5:$BA$5,0)))/2)/2)+((INDEX('Tables - Part 2'!$BF$6:$BI$13,MATCH('HIC-SOHIC-HF'!$U19,'Tables - Part 2'!$AV$6:$AV$13,0),MATCH('HIC-SOHIC-HF'!$S19,'Tables - Part 2'!$AX$5:$BA$5,0))+INDEX('Tables - Part 2'!$AX$17:$BA$24,MATCH('HIC-SOHIC-HF'!$U19,'Tables - Part 2'!$AV$6:$AV$13,0),MATCH('HIC-SOHIC-HF'!$S19,'Tables - Part 2'!$AX$5:$BA$5,0)))/2))/2,0)</f>
        <v>0</v>
      </c>
      <c r="AV19" s="248">
        <f>IF($R19=$AV$3,(INDEX('Tables - Part 2'!$BF$6:$BI$13,MATCH('HIC-SOHIC-HF'!$U19,'Tables - Part 2'!$AV$6:$AV$13,0),MATCH('HIC-SOHIC-HF'!$S19,'Tables - Part 2'!$AX$5:$BA$5,0))+INDEX('Tables - Part 2'!$AX$17:$BA$24,MATCH('HIC-SOHIC-HF'!$U19,'Tables - Part 2'!$AV$6:$AV$13,0),MATCH('HIC-SOHIC-HF'!$S19,'Tables - Part 2'!$AX$5:$BA$5,0)))/2,0)</f>
        <v>0</v>
      </c>
      <c r="AW19" s="248">
        <f>IF($R19=$AW$3,(((INDEX('Tables - Part 2'!$BF$6:$BI$13,MATCH('HIC-SOHIC-HF'!$U19,'Tables - Part 2'!$AV$6:$AV$13,0),MATCH('HIC-SOHIC-HF'!$S19,'Tables - Part 2'!$AX$5:$BA$5,0))+INDEX('Tables - Part 2'!$AX$17:$BA$24,MATCH('HIC-SOHIC-HF'!$U19,'Tables - Part 2'!$AV$6:$AV$13,0),MATCH('HIC-SOHIC-HF'!$S19,'Tables - Part 2'!$AX$5:$BA$5,0)))/2)+((((INDEX('Tables - Part 2'!$BF$6:$BI$13,MATCH('HIC-SOHIC-HF'!$U19,'Tables - Part 2'!$AV$6:$AV$13,0),MATCH('HIC-SOHIC-HF'!$S19,'Tables - Part 2'!$AX$5:$BA$5,0))+INDEX('Tables - Part 2'!$AX$17:$BA$24,MATCH('HIC-SOHIC-HF'!$U19,'Tables - Part 2'!$AV$6:$AV$13,0),MATCH('HIC-SOHIC-HF'!$S19,'Tables - Part 2'!$AX$5:$BA$5,0)))/2)+INDEX('Tables - Part 2'!$AX$17:$BA$24,MATCH('HIC-SOHIC-HF'!$U19,'Tables - Part 2'!$AV$6:$AV$13,0),MATCH('HIC-SOHIC-HF'!$S19,'Tables - Part 2'!$AX$5:$BA$5,0)))/2))/2,0)</f>
        <v>0</v>
      </c>
      <c r="AX19" s="248">
        <f>IF($R19=$AX$3,(((INDEX('Tables - Part 2'!$BF$6:$BI$13,MATCH('HIC-SOHIC-HF'!$U19,'Tables - Part 2'!$AV$6:$AV$13,0),MATCH('HIC-SOHIC-HF'!$S19,'Tables - Part 2'!$AX$5:$BA$5,0))+INDEX('Tables - Part 2'!$AX$17:$BA$24,MATCH('HIC-SOHIC-HF'!$U19,'Tables - Part 2'!$AV$6:$AV$13,0),MATCH('HIC-SOHIC-HF'!$S19,'Tables - Part 2'!$AX$5:$BA$5,0)))/2)+INDEX('Tables - Part 2'!$AX$17:$BA$24,MATCH('HIC-SOHIC-HF'!$U19,'Tables - Part 2'!$AV$6:$AV$13,0),MATCH('HIC-SOHIC-HF'!$S19,'Tables - Part 2'!$AX$5:$BA$5,0)))/2,0)</f>
        <v>0</v>
      </c>
      <c r="AY19" s="248">
        <f>IF($R19=$AY$3,(((((INDEX('Tables - Part 2'!$BF$6:$BI$13,MATCH('HIC-SOHIC-HF'!$U19,'Tables - Part 2'!$AV$6:$AV$13,0),MATCH('HIC-SOHIC-HF'!$S19,'Tables - Part 2'!$AX$5:$BA$5,0))+INDEX('Tables - Part 2'!$AX$17:$BA$24,MATCH('HIC-SOHIC-HF'!$U19,'Tables - Part 2'!$AV$6:$AV$13,0),MATCH('HIC-SOHIC-HF'!$S19,'Tables - Part 2'!$AX$5:$BA$5,0)))/2)+INDEX('Tables - Part 2'!$AX$17:$BA$24,MATCH('HIC-SOHIC-HF'!$U19,'Tables - Part 2'!$AV$6:$AV$13,0),MATCH('HIC-SOHIC-HF'!$S19,'Tables - Part 2'!$AX$5:$BA$5,0)))/2)+(INDEX('Tables - Part 2'!$AX$17:$BA$24,MATCH('HIC-SOHIC-HF'!$U19,'Tables - Part 2'!$AV$6:$AV$13,0),MATCH('HIC-SOHIC-HF'!$S19,'Tables - Part 2'!$AX$5:$BA$5,0))))/2,0)</f>
        <v>0</v>
      </c>
      <c r="AZ19" s="248">
        <f>IF($R19=$AZ$3,INDEX('Tables - Part 2'!$AX$17:$BA$24,MATCH('HIC-SOHIC-HF'!$U19,'Tables - Part 2'!$AV$6:$AV$13,0),MATCH('HIC-SOHIC-HF'!$S19,'Tables - Part 2'!$AX$5:$BA$5,0)),0)</f>
        <v>0</v>
      </c>
      <c r="BA19" s="248">
        <f>IF($R19=$BA$3,((INDEX('Tables - Part 2'!$AX$17:$BA$24,MATCH('HIC-SOHIC-HF'!$U19,'Tables - Part 2'!$AV$6:$AV$13,0),MATCH('HIC-SOHIC-HF'!$S19,'Tables - Part 2'!$AX$5:$BA$5,0)))+(((INDEX('Tables - Part 2'!$AX$17:$BA$24,MATCH('HIC-SOHIC-HF'!$U19,'Tables - Part 2'!$AV$6:$AV$13,0),MATCH('HIC-SOHIC-HF'!$S19,'Tables - Part 2'!$AX$5:$BA$5,0)))+(INDEX('Tables - Part 2'!$AX$17:$BA$24,MATCH('HIC-SOHIC-HF'!$U19,'Tables - Part 2'!$AV$6:$AV$13,0),MATCH('HIC-SOHIC-HF'!$S19,'Tables - Part 2'!$AX$5:$BA$5,0))+INDEX('Tables - Part 2'!$BB$17:$BE$24,MATCH('HIC-SOHIC-HF'!$U19,'Tables - Part 2'!$AV$6:$AV$13,0),MATCH('HIC-SOHIC-HF'!$S19,'Tables - Part 2'!$AX$5:$BA$5,0)))/2)/2))/2,0)</f>
        <v>0</v>
      </c>
      <c r="BB19" s="248">
        <f>IF($R19=$BB$3,((INDEX('Tables - Part 2'!$AX$17:$BA$24,MATCH('HIC-SOHIC-HF'!$U19,'Tables - Part 2'!$AV$6:$AV$13,0),MATCH('HIC-SOHIC-HF'!$S19,'Tables - Part 2'!$AX$5:$BA$5,0)))+(INDEX('Tables - Part 2'!$AX$17:$BA$24,MATCH('HIC-SOHIC-HF'!$U19,'Tables - Part 2'!$AV$6:$AV$13,0),MATCH('HIC-SOHIC-HF'!$S19,'Tables - Part 2'!$AX$5:$BA$5,0))+INDEX('Tables - Part 2'!$BB$17:$BE$24,MATCH('HIC-SOHIC-HF'!$U19,'Tables - Part 2'!$AV$6:$AV$13,0),MATCH('HIC-SOHIC-HF'!$S19,'Tables - Part 2'!$AX$5:$BA$5,0)))/2)/2,0)</f>
        <v>0</v>
      </c>
      <c r="BC19" s="248">
        <f>IF($R19=$BC$3,((((INDEX('Tables - Part 2'!$AX$17:$BA$24,MATCH('HIC-SOHIC-HF'!$U19,'Tables - Part 2'!$AV$6:$AV$13,0),MATCH('HIC-SOHIC-HF'!$S19,'Tables - Part 2'!$AX$5:$BA$5,0)))+(INDEX('Tables - Part 2'!$AX$17:$BA$24,MATCH('HIC-SOHIC-HF'!$U19,'Tables - Part 2'!$AV$6:$AV$13,0),MATCH('HIC-SOHIC-HF'!$S19,'Tables - Part 2'!$AX$5:$BA$5,0))+INDEX('Tables - Part 2'!$BB$17:$BE$24,MATCH('HIC-SOHIC-HF'!$U19,'Tables - Part 2'!$AV$6:$AV$13,0),MATCH('HIC-SOHIC-HF'!$S19,'Tables - Part 2'!$AX$5:$BA$5,0)))/2)/2)+((INDEX('Tables - Part 2'!$AX$17:$BA$24,MATCH('HIC-SOHIC-HF'!$U19,'Tables - Part 2'!$AV$6:$AV$13,0),MATCH('HIC-SOHIC-HF'!$S19,'Tables - Part 2'!$AX$5:$BA$5,0))+INDEX('Tables - Part 2'!$BB$17:$BE$24,MATCH('HIC-SOHIC-HF'!$U19,'Tables - Part 2'!$AV$6:$AV$13,0),MATCH('HIC-SOHIC-HF'!$S19,'Tables - Part 2'!$AX$5:$BA$5,0)))/2))/2,0)</f>
        <v>0</v>
      </c>
      <c r="BD19" s="248">
        <f>IF($R19=$BD$3,(INDEX('Tables - Part 2'!$AX$17:$BA$24,MATCH('HIC-SOHIC-HF'!$U19,'Tables - Part 2'!$AV$6:$AV$13,0),MATCH('HIC-SOHIC-HF'!$S19,'Tables - Part 2'!$AX$5:$BA$5,0))+INDEX('Tables - Part 2'!$BB$17:$BE$24,MATCH('HIC-SOHIC-HF'!$U19,'Tables - Part 2'!$AV$6:$AV$13,0),MATCH('HIC-SOHIC-HF'!$S19,'Tables - Part 2'!$AX$5:$BA$5,0)))/2,0)</f>
        <v>0</v>
      </c>
      <c r="BE19" s="248">
        <f>IF($R19=$BE$3,(((INDEX('Tables - Part 2'!$AX$17:$BA$24,MATCH('HIC-SOHIC-HF'!$U19,'Tables - Part 2'!$AV$6:$AV$13,0),MATCH('HIC-SOHIC-HF'!$S19,'Tables - Part 2'!$AX$5:$BA$5,0))+INDEX('Tables - Part 2'!$BB$17:$BE$24,MATCH('HIC-SOHIC-HF'!$U19,'Tables - Part 2'!$AV$6:$AV$13,0),MATCH('HIC-SOHIC-HF'!$S19,'Tables - Part 2'!$AX$5:$BA$5,0)))/2)+((((INDEX('Tables - Part 2'!$AX$17:$BA$24,MATCH('HIC-SOHIC-HF'!$U19,'Tables - Part 2'!$AV$6:$AV$13,0),MATCH('HIC-SOHIC-HF'!$S19,'Tables - Part 2'!$AX$5:$BA$5,0))+INDEX('Tables - Part 2'!$BB$17:$BE$24,MATCH('HIC-SOHIC-HF'!$U19,'Tables - Part 2'!$AV$6:$AV$13,0),MATCH('HIC-SOHIC-HF'!$S19,'Tables - Part 2'!$AX$5:$BA$5,0)))/2)+INDEX('Tables - Part 2'!$BB$17:$BE$24,MATCH('HIC-SOHIC-HF'!$U19,'Tables - Part 2'!$AV$6:$AV$13,0),MATCH('HIC-SOHIC-HF'!$S19,'Tables - Part 2'!$AX$5:$BA$5,0)))/2))/2,0)</f>
        <v>0</v>
      </c>
      <c r="BF19" s="248">
        <f>IF($R19=$BF$3,(((INDEX('Tables - Part 2'!$AX$17:$BA$24,MATCH('HIC-SOHIC-HF'!$U19,'Tables - Part 2'!$AV$6:$AV$13,0),MATCH('HIC-SOHIC-HF'!$S19,'Tables - Part 2'!$AX$5:$BA$5,0))+INDEX('Tables - Part 2'!$BB$17:$BE$24,MATCH('HIC-SOHIC-HF'!$U19,'Tables - Part 2'!$AV$6:$AV$13,0),MATCH('HIC-SOHIC-HF'!$S19,'Tables - Part 2'!$AX$5:$BA$5,0)))/2)+INDEX('Tables - Part 2'!$BB$17:$BE$24,MATCH('HIC-SOHIC-HF'!$U19,'Tables - Part 2'!$AV$6:$AV$13,0),MATCH('HIC-SOHIC-HF'!$S19,'Tables - Part 2'!$AX$5:$BA$5,0)))/2,0)</f>
        <v>0</v>
      </c>
      <c r="BG19" s="248">
        <f>IF($R19=$BG$3,(((((INDEX('Tables - Part 2'!$AX$17:$BA$24,MATCH('HIC-SOHIC-HF'!$U19,'Tables - Part 2'!$AV$6:$AV$13,0),MATCH('HIC-SOHIC-HF'!$S19,'Tables - Part 2'!$AX$5:$BA$5,0))+INDEX('Tables - Part 2'!$BB$17:$BE$24,MATCH('HIC-SOHIC-HF'!$U19,'Tables - Part 2'!$AV$6:$AV$13,0),MATCH('HIC-SOHIC-HF'!$S19,'Tables - Part 2'!$AX$5:$BA$5,0)))/2)+INDEX('Tables - Part 2'!$BB$17:$BE$24,MATCH('HIC-SOHIC-HF'!$U19,'Tables - Part 2'!$AV$6:$AV$13,0),MATCH('HIC-SOHIC-HF'!$S19,'Tables - Part 2'!$AX$5:$BA$5,0)))/2)+(INDEX('Tables - Part 2'!$BB$17:$BE$24,MATCH('HIC-SOHIC-HF'!$U19,'Tables - Part 2'!$AV$6:$AV$13,0),MATCH('HIC-SOHIC-HF'!$S19,'Tables - Part 2'!$AX$5:$BA$5,0))))/2,0)</f>
        <v>0</v>
      </c>
      <c r="BH19" s="248">
        <f>IF($R19=$BH$3,INDEX('Tables - Part 2'!$BB$17:$BE$24,MATCH('HIC-SOHIC-HF'!$U19,'Tables - Part 2'!$AV$6:$AV$13,0),MATCH('HIC-SOHIC-HF'!$S19,'Tables - Part 2'!$AX$5:$BA$5,0)),0)</f>
        <v>0</v>
      </c>
      <c r="BI19" s="248">
        <f>IF($R19=$BI$3,((INDEX('Tables - Part 2'!$BB$17:$BE$24,MATCH('HIC-SOHIC-HF'!$U19,'Tables - Part 2'!$AV$6:$AV$13,0),MATCH('HIC-SOHIC-HF'!$S19,'Tables - Part 2'!$AX$5:$BA$5,0)))+(((INDEX('Tables - Part 2'!$BB$17:$BE$24,MATCH('HIC-SOHIC-HF'!$U19,'Tables - Part 2'!$AV$6:$AV$13,0),MATCH('HIC-SOHIC-HF'!$S19,'Tables - Part 2'!$AX$5:$BA$5,0)))+(INDEX('Tables - Part 2'!$BB$17:$BE$24,MATCH('HIC-SOHIC-HF'!$U19,'Tables - Part 2'!$AV$6:$AV$13,0),MATCH('HIC-SOHIC-HF'!$S19,'Tables - Part 2'!$AX$5:$BA$5,0))+INDEX('Tables - Part 2'!$BF$17:$BI$24,MATCH('HIC-SOHIC-HF'!$U19,'Tables - Part 2'!$AV$6:$AV$13,0),MATCH('HIC-SOHIC-HF'!$S19,'Tables - Part 2'!$AX$5:$BA$5,0)))/2)/2))/2,0)</f>
        <v>0</v>
      </c>
      <c r="BJ19" s="248">
        <f>IF($R19=$BJ$3,((INDEX('Tables - Part 2'!$BB$17:$BE$24,MATCH('HIC-SOHIC-HF'!$U19,'Tables - Part 2'!$AV$6:$AV$13,0),MATCH('HIC-SOHIC-HF'!$S19,'Tables - Part 2'!$AX$5:$BA$5,0)))+(INDEX('Tables - Part 2'!$BB$17:$BE$24,MATCH('HIC-SOHIC-HF'!$U19,'Tables - Part 2'!$AV$6:$AV$13,0),MATCH('HIC-SOHIC-HF'!$S19,'Tables - Part 2'!$AX$5:$BA$5,0))+INDEX('Tables - Part 2'!$BF$17:$BI$24,MATCH('HIC-SOHIC-HF'!$U19,'Tables - Part 2'!$AV$6:$AV$13,0),MATCH('HIC-SOHIC-HF'!$S19,'Tables - Part 2'!$AX$5:$BA$5,0)))/2)/2,0)</f>
        <v>0</v>
      </c>
      <c r="BK19" s="248">
        <f>IF($R19=$BK$3,((((INDEX('Tables - Part 2'!$BB$17:$BE$24,MATCH('HIC-SOHIC-HF'!$U19,'Tables - Part 2'!$AV$6:$AV$13,0),MATCH('HIC-SOHIC-HF'!$S19,'Tables - Part 2'!$AX$5:$BA$5,0)))+(INDEX('Tables - Part 2'!$BB$17:$BE$24,MATCH('HIC-SOHIC-HF'!$U19,'Tables - Part 2'!$AV$6:$AV$13,0),MATCH('HIC-SOHIC-HF'!$S19,'Tables - Part 2'!$AX$5:$BA$5,0))+INDEX('Tables - Part 2'!$BF$17:$BI$24,MATCH('HIC-SOHIC-HF'!$U19,'Tables - Part 2'!$AV$6:$AV$13,0),MATCH('HIC-SOHIC-HF'!$S19,'Tables - Part 2'!$AX$5:$BA$5,0)))/2)/2)+((INDEX('Tables - Part 2'!$BB$17:$BE$24,MATCH('HIC-SOHIC-HF'!$U19,'Tables - Part 2'!$AV$6:$AV$13,0),MATCH('HIC-SOHIC-HF'!$S19,'Tables - Part 2'!$AX$5:$BA$5,0))+INDEX('Tables - Part 2'!$BF$17:$BI$24,MATCH('HIC-SOHIC-HF'!$U19,'Tables - Part 2'!$AV$6:$AV$13,0),MATCH('HIC-SOHIC-HF'!$S19,'Tables - Part 2'!$AX$5:$BA$5,0)))/2))/2,0)</f>
        <v>0</v>
      </c>
      <c r="BL19" s="248">
        <f>IF($R19=$BL$3,(INDEX('Tables - Part 2'!$BB$17:$BE$24,MATCH('HIC-SOHIC-HF'!$U19,'Tables - Part 2'!$AV$6:$AV$13,0),MATCH('HIC-SOHIC-HF'!$S19,'Tables - Part 2'!$AX$5:$BA$5,0))+INDEX('Tables - Part 2'!$BF$17:$BI$24,MATCH('HIC-SOHIC-HF'!$U19,'Tables - Part 2'!$AV$6:$AV$13,0),MATCH('HIC-SOHIC-HF'!$S19,'Tables - Part 2'!$AX$5:$BA$5,0)))/2,0)</f>
        <v>0</v>
      </c>
      <c r="BM19" s="248">
        <f>IF($R19=$BM$3,(((INDEX('Tables - Part 2'!$BB$17:$BE$24,MATCH('HIC-SOHIC-HF'!$U19,'Tables - Part 2'!$AV$6:$AV$13,0),MATCH('HIC-SOHIC-HF'!$S19,'Tables - Part 2'!$AX$5:$BA$5,0))+INDEX('Tables - Part 2'!$BF$17:$BI$24,MATCH('HIC-SOHIC-HF'!$U19,'Tables - Part 2'!$AV$6:$AV$13,0),MATCH('HIC-SOHIC-HF'!$S19,'Tables - Part 2'!$AX$5:$BA$5,0)))/2)+((((INDEX('Tables - Part 2'!$BB$17:$BE$24,MATCH('HIC-SOHIC-HF'!$U19,'Tables - Part 2'!$AV$6:$AV$13,0),MATCH('HIC-SOHIC-HF'!$S19,'Tables - Part 2'!$AX$5:$BA$5,0))+INDEX('Tables - Part 2'!$BF$17:$BI$24,MATCH('HIC-SOHIC-HF'!$U19,'Tables - Part 2'!$AV$6:$AV$13,0),MATCH('HIC-SOHIC-HF'!$S19,'Tables - Part 2'!$AX$5:$BA$5,0)))/2)+INDEX('Tables - Part 2'!$BF$17:$BI$24,MATCH('HIC-SOHIC-HF'!$U19,'Tables - Part 2'!$AV$6:$AV$13,0),MATCH('HIC-SOHIC-HF'!$S19,'Tables - Part 2'!$AX$5:$BA$5,0)))/2))/2,0)</f>
        <v>0</v>
      </c>
      <c r="BN19" s="248">
        <f>IF($R19=$BN$3,(((INDEX('Tables - Part 2'!$BB$17:$BE$24,MATCH('HIC-SOHIC-HF'!$U19,'Tables - Part 2'!$AV$6:$AV$13,0),MATCH('HIC-SOHIC-HF'!$S19,'Tables - Part 2'!$AX$5:$BA$5,0))+INDEX('Tables - Part 2'!$BF$17:$BI$24,MATCH('HIC-SOHIC-HF'!$U19,'Tables - Part 2'!$AV$6:$AV$13,0),MATCH('HIC-SOHIC-HF'!$S19,'Tables - Part 2'!$AX$5:$BA$5,0)))/2)+INDEX('Tables - Part 2'!$BF$17:$BI$24,MATCH('HIC-SOHIC-HF'!$U19,'Tables - Part 2'!$AV$6:$AV$13,0),MATCH('HIC-SOHIC-HF'!$S19,'Tables - Part 2'!$AX$5:$BA$5,0)))/2,0)</f>
        <v>0</v>
      </c>
      <c r="BO19" s="248">
        <f>IF($R19=$BO$3,(((((INDEX('Tables - Part 2'!$BB$17:$BE$24,MATCH('HIC-SOHIC-HF'!$U19,'Tables - Part 2'!$AV$6:$AV$13,0),MATCH('HIC-SOHIC-HF'!$S19,'Tables - Part 2'!$AX$5:$BA$5,0))+INDEX('Tables - Part 2'!$BF$17:$BI$24,MATCH('HIC-SOHIC-HF'!$U19,'Tables - Part 2'!$AV$6:$AV$13,0),MATCH('HIC-SOHIC-HF'!$S19,'Tables - Part 2'!$AX$5:$BA$5,0)))/2)+INDEX('Tables - Part 2'!$BF$17:$BI$24,MATCH('HIC-SOHIC-HF'!$U19,'Tables - Part 2'!$AV$6:$AV$13,0),MATCH('HIC-SOHIC-HF'!$S19,'Tables - Part 2'!$AX$5:$BA$5,0)))/2)+(INDEX('Tables - Part 2'!$BF$17:$BI$24,MATCH('HIC-SOHIC-HF'!$U19,'Tables - Part 2'!$AV$6:$AV$13,0),MATCH('HIC-SOHIC-HF'!$S19,'Tables - Part 2'!$AX$5:$BA$5,0))))/2,0)</f>
        <v>0</v>
      </c>
      <c r="BP19" s="248">
        <f>IF($R19=$BP$3,INDEX('Tables - Part 2'!$BF$17:$BI$24,MATCH('HIC-SOHIC-HF'!$U19,'Tables - Part 2'!$AV$6:$AV$13,0),MATCH('HIC-SOHIC-HF'!$S19,'Tables - Part 2'!$AX$5:$BA$5,0)),0)</f>
        <v>0</v>
      </c>
      <c r="BQ19" s="248">
        <f t="shared" si="6"/>
        <v>0</v>
      </c>
      <c r="BR19" s="238">
        <f t="shared" si="7"/>
        <v>3</v>
      </c>
      <c r="BS19" s="238">
        <f t="shared" si="8"/>
        <v>50.318647405225171</v>
      </c>
    </row>
    <row r="20" spans="2:71" x14ac:dyDescent="0.35">
      <c r="B20" s="161" t="str">
        <f>'Tratamento de Dados'!B28</f>
        <v>V-90</v>
      </c>
      <c r="C20" s="161" t="str">
        <f>'Tratamento de Dados'!D28</f>
        <v>Casco</v>
      </c>
      <c r="D20" s="209" t="s">
        <v>245</v>
      </c>
      <c r="E20" s="209" t="s">
        <v>61</v>
      </c>
      <c r="F20" s="209" t="s">
        <v>244</v>
      </c>
      <c r="G20" s="209" t="s">
        <v>244</v>
      </c>
      <c r="H20" s="209" t="s">
        <v>1208</v>
      </c>
      <c r="I20" s="209" t="s">
        <v>245</v>
      </c>
      <c r="J20" s="209" t="s">
        <v>898</v>
      </c>
      <c r="K20" s="210">
        <v>39092</v>
      </c>
      <c r="L20" s="209">
        <v>0</v>
      </c>
      <c r="M20" s="209">
        <v>1</v>
      </c>
      <c r="N20" s="209">
        <v>1</v>
      </c>
      <c r="O20" s="209">
        <v>4</v>
      </c>
      <c r="P20" s="253">
        <f>'Tratamento de Dados'!DA28</f>
        <v>0</v>
      </c>
      <c r="Q20" s="253">
        <f>'Tratamento de Dados'!DB28</f>
        <v>0</v>
      </c>
      <c r="R20" s="256">
        <f t="shared" si="0"/>
        <v>2.5</v>
      </c>
      <c r="S20" s="246" t="str">
        <f t="shared" si="1"/>
        <v>B</v>
      </c>
      <c r="T20" s="238" t="str" cm="1">
        <f t="array" ref="T20">IF(D20=$BX$2,$BV$4,IF(OR(F20=$BX$3,G20=$BX$3),$BV$5,INDEX(IF(I20=$BX$2,'Tables - Part 2'!$EI$6:$EK$6,'Tables - Part 2'!$EI$5:$EK$5),,MATCH('HIC-SOHIC-HF'!H20,'Tables - Part 2'!$EI$4:$EK$4,0))))</f>
        <v>High</v>
      </c>
      <c r="U20" s="238">
        <f>IF(AND(D20=$BX$2,E20&lt;&gt;$BX$2),"Fitness-For-Service",INDEX('Tables - Part 2'!$EN$4:$EN$7,MATCH('HIC-SOHIC-HF'!T20,'Tables - Part 2'!$EM$4:$EM$7,0),))</f>
        <v>100</v>
      </c>
      <c r="V20" s="238">
        <f>INDEX('Tables - Part 2'!$EQ$4:$EQ$7,MATCH('HIC-SOHIC-HF'!J20,'Tables - Part 2'!$EP$4:$EP$7,0))</f>
        <v>1</v>
      </c>
      <c r="W20" s="238">
        <f>IF(K20=0,(Thinning!G21-Thinning!F21)/365.25,(Thinning!G21-K20)/365.25)</f>
        <v>12.980150581793293</v>
      </c>
      <c r="X20" s="248">
        <f t="shared" si="2"/>
        <v>0</v>
      </c>
      <c r="Y20" s="248">
        <f t="shared" si="3"/>
        <v>2.5</v>
      </c>
      <c r="Z20" s="248">
        <f t="shared" si="4"/>
        <v>3</v>
      </c>
      <c r="AA20" s="247">
        <f t="shared" si="5"/>
        <v>4</v>
      </c>
      <c r="AB20" s="248">
        <f>IF($R20=$AB$3,INDEX('Tables - Part 2'!$AX$6:$BA$13,MATCH('HIC-SOHIC-HF'!U20,'Tables - Part 2'!$AV$6:$AV$13,0),MATCH('HIC-SOHIC-HF'!S20,'Tables - Part 2'!$AX$5:$BA$5,0)),0)</f>
        <v>0</v>
      </c>
      <c r="AC20" s="248">
        <f>IF($R20=$AC$3,(INDEX('Tables - Part 2'!$AX$6:$BA$13,MATCH('HIC-SOHIC-HF'!U20,'Tables - Part 2'!$AV$6:$AV$13,0),MATCH('HIC-SOHIC-HF'!S20,'Tables - Part 2'!$AX$5:$BA$5,0))+(INDEX('Tables - Part 2'!$AX$6:$BA$13,MATCH('HIC-SOHIC-HF'!U20,'Tables - Part 2'!$AV$6:$AV$13,0),MATCH('HIC-SOHIC-HF'!S20,'Tables - Part 2'!$AX$5:$BA$5,0))+((INDEX('Tables - Part 2'!$AX$6:$BA$13,MATCH('HIC-SOHIC-HF'!U20,'Tables - Part 2'!$AV$6:$AV$13,0),MATCH('HIC-SOHIC-HF'!S20,'Tables - Part 2'!$AX$5:$BA$5,0))+INDEX('Tables - Part 2'!$BB$6:$BE$13,MATCH('HIC-SOHIC-HF'!$U20,'Tables - Part 2'!$AV$6:$AV$13,0),MATCH('HIC-SOHIC-HF'!$S20,'Tables - Part 2'!$AX$5:$BA$5,0)))/2))/2)/2,0)</f>
        <v>0</v>
      </c>
      <c r="AD20" s="248">
        <f>IF($R20=$AD$3,(INDEX('Tables - Part 2'!$AX$6:$BA$13,MATCH('HIC-SOHIC-HF'!U20,'Tables - Part 2'!$AV$6:$AV$13,0),MATCH('HIC-SOHIC-HF'!S20,'Tables - Part 2'!$AX$5:$BA$5,0))+((INDEX('Tables - Part 2'!$AX$6:$BA$13,MATCH('HIC-SOHIC-HF'!U20,'Tables - Part 2'!$AV$6:$AV$13,0),MATCH('HIC-SOHIC-HF'!S20,'Tables - Part 2'!$AX$5:$BA$5,0))+INDEX('Tables - Part 2'!$BB$6:$BE$13,MATCH('HIC-SOHIC-HF'!$U20,'Tables - Part 2'!$AV$6:$AV$13,0),MATCH('HIC-SOHIC-HF'!$S20,'Tables - Part 2'!$AX$5:$BA$5,0)))/2))/2,0)</f>
        <v>0</v>
      </c>
      <c r="AE20" s="248">
        <f>IF($R20=$AE$3,(((INDEX('Tables - Part 2'!$AX$6:$BA$13,MATCH('HIC-SOHIC-HF'!U20,'Tables - Part 2'!$AV$6:$AV$13,0),MATCH('HIC-SOHIC-HF'!S20,'Tables - Part 2'!$AX$5:$BA$5,0))+((INDEX('Tables - Part 2'!$AX$6:$BA$13,MATCH('HIC-SOHIC-HF'!U20,'Tables - Part 2'!$AV$6:$AV$13,0),MATCH('HIC-SOHIC-HF'!S20,'Tables - Part 2'!$AX$5:$BA$5,0))+INDEX('Tables - Part 2'!$BB$6:$BE$13,MATCH('HIC-SOHIC-HF'!$U20,'Tables - Part 2'!$AV$6:$AV$13,0),MATCH('HIC-SOHIC-HF'!$S20,'Tables - Part 2'!$AX$5:$BA$5,0)))/2))/2)+(INDEX('Tables - Part 2'!$AX$6:$BA$13,MATCH('HIC-SOHIC-HF'!U20,'Tables - Part 2'!$AV$6:$AV$13,0),MATCH('HIC-SOHIC-HF'!S20,'Tables - Part 2'!$AX$5:$BA$5,0))+INDEX('Tables - Part 2'!$BB$6:$BE$13,MATCH('HIC-SOHIC-HF'!$U20,'Tables - Part 2'!$AV$6:$AV$13,0),MATCH('HIC-SOHIC-HF'!$S20,'Tables - Part 2'!$AX$5:$BA$5,0)))/2)/2,0)</f>
        <v>0</v>
      </c>
      <c r="AF20" s="248">
        <f>IF($R20=$AF$3,(INDEX('Tables - Part 2'!$AX$6:$BA$13,MATCH('HIC-SOHIC-HF'!U20,'Tables - Part 2'!$AV$6:$AV$13,0),MATCH('HIC-SOHIC-HF'!S20,'Tables - Part 2'!$AX$5:$BA$5,0))+INDEX('Tables - Part 2'!$BB$6:$BE$13,MATCH('HIC-SOHIC-HF'!$U20,'Tables - Part 2'!$AV$6:$AV$13,0),MATCH('HIC-SOHIC-HF'!$S20,'Tables - Part 2'!$AX$5:$BA$5,0)))/2,0)</f>
        <v>0</v>
      </c>
      <c r="AG20" s="248">
        <f>IF($R20=$AG$3,(((INDEX('Tables - Part 2'!$AX$6:$BA$13,MATCH('HIC-SOHIC-HF'!U20,'Tables - Part 2'!$AV$6:$AV$13,0),MATCH('HIC-SOHIC-HF'!S20,'Tables - Part 2'!$AX$5:$BA$5,0))+INDEX('Tables - Part 2'!$BB$6:$BE$13,MATCH('HIC-SOHIC-HF'!$U20,'Tables - Part 2'!$AV$6:$AV$13,0),MATCH('HIC-SOHIC-HF'!$S20,'Tables - Part 2'!$AX$5:$BA$5,0)))/2)+(((INDEX('Tables - Part 2'!$AX$6:$BA$13,MATCH('HIC-SOHIC-HF'!U20,'Tables - Part 2'!$AV$6:$AV$13,0),MATCH('HIC-SOHIC-HF'!S20,'Tables - Part 2'!$AX$5:$BA$5,0))+INDEX('Tables - Part 2'!$BB$6:$BE$13,MATCH('HIC-SOHIC-HF'!$U20,'Tables - Part 2'!$AV$6:$AV$13,0),MATCH('HIC-SOHIC-HF'!$S20,'Tables - Part 2'!$AX$5:$BA$5,0)))/2)+INDEX('Tables - Part 2'!$BB$6:$BE$13,MATCH('HIC-SOHIC-HF'!$U20,'Tables - Part 2'!$AV$6:$AV$13,0),MATCH('HIC-SOHIC-HF'!$S20,'Tables - Part 2'!$AX$5:$BA$5,0)))/2)/2,0)</f>
        <v>0</v>
      </c>
      <c r="AH20" s="248">
        <f>IF($R20=$AH$3,(((INDEX('Tables - Part 2'!$AX$6:$BA$13,MATCH('HIC-SOHIC-HF'!U20,'Tables - Part 2'!$AV$6:$AV$13,0),MATCH('HIC-SOHIC-HF'!S20,'Tables - Part 2'!$AX$5:$BA$5,0))+INDEX('Tables - Part 2'!$BB$6:$BE$13,MATCH('HIC-SOHIC-HF'!$U20,'Tables - Part 2'!$AV$6:$AV$13,0),MATCH('HIC-SOHIC-HF'!$S20,'Tables - Part 2'!$AX$5:$BA$5,0)))/2)+INDEX('Tables - Part 2'!$BB$6:$BE$13,MATCH('HIC-SOHIC-HF'!$U20,'Tables - Part 2'!$AV$6:$AV$13,0),MATCH('HIC-SOHIC-HF'!$S20,'Tables - Part 2'!$AX$5:$BA$5,0)))/2,0)</f>
        <v>0</v>
      </c>
      <c r="AI20" s="248">
        <f>IF($R20=$AI$3,(((((INDEX('Tables - Part 2'!$AX$6:$BA$13,MATCH('HIC-SOHIC-HF'!U20,'Tables - Part 2'!$AV$6:$AV$13,0),MATCH('HIC-SOHIC-HF'!S20,'Tables - Part 2'!$AX$5:$BA$5,0))+INDEX('Tables - Part 2'!$BB$6:$BE$13,MATCH('HIC-SOHIC-HF'!$U20,'Tables - Part 2'!$AV$6:$AV$13,0),MATCH('HIC-SOHIC-HF'!$S20,'Tables - Part 2'!$AX$5:$BA$5,0)))/2)+INDEX('Tables - Part 2'!$BB$6:$BE$13,MATCH('HIC-SOHIC-HF'!$U20,'Tables - Part 2'!$AV$6:$AV$13,0),MATCH('HIC-SOHIC-HF'!$S20,'Tables - Part 2'!$AX$5:$BA$5,0)))/2)+INDEX('Tables - Part 2'!$BB$6:$BE$13,MATCH('HIC-SOHIC-HF'!$U20,'Tables - Part 2'!$AV$6:$AV$13,0),MATCH('HIC-SOHIC-HF'!$S20,'Tables - Part 2'!$AX$5:$BA$5,0)))/2,0)</f>
        <v>0</v>
      </c>
      <c r="AJ20" s="248">
        <f>IF($R20=$AJ$3,INDEX('Tables - Part 2'!$BB$6:$BE$13,MATCH('HIC-SOHIC-HF'!$U20,'Tables - Part 2'!$AV$6:$AV$13,0),MATCH('HIC-SOHIC-HF'!$S20,'Tables - Part 2'!$AX$5:$BA$5,0)),0)</f>
        <v>0</v>
      </c>
      <c r="AK20" s="248">
        <f>IF($R20=$AK$3,((INDEX('Tables - Part 2'!$BB$6:$BE$13,MATCH('HIC-SOHIC-HF'!$U20,'Tables - Part 2'!$AV$6:$AV$13,0),MATCH('HIC-SOHIC-HF'!$S20,'Tables - Part 2'!$AX$5:$BA$5,0)))+(INDEX('Tables - Part 2'!$BB$6:$BE$13,MATCH('HIC-SOHIC-HF'!$U20,'Tables - Part 2'!$AV$6:$AV$13,0),MATCH('HIC-SOHIC-HF'!$S20,'Tables - Part 2'!$AX$5:$BA$5,0))+(INDEX('Tables - Part 2'!$BB$6:$BE$13,MATCH('HIC-SOHIC-HF'!$U20,'Tables - Part 2'!$AV$6:$AV$13,0),MATCH('HIC-SOHIC-HF'!$S20,'Tables - Part 2'!$AX$5:$BA$5,0))+INDEX('Tables - Part 2'!$BF$6:$BI$13,MATCH('HIC-SOHIC-HF'!$U20,'Tables - Part 2'!$AV$6:$AV$13,0),MATCH('HIC-SOHIC-HF'!$S20,'Tables - Part 2'!$AX$5:$BA$5,0)))/2)/2)/2,0)</f>
        <v>0</v>
      </c>
      <c r="AL20" s="248">
        <f>IF($R20=$AL$3,(INDEX('Tables - Part 2'!$BB$6:$BE$13,MATCH('HIC-SOHIC-HF'!$U20,'Tables - Part 2'!$AV$6:$AV$13,0),MATCH('HIC-SOHIC-HF'!$S20,'Tables - Part 2'!$AX$5:$BA$5,0))+(INDEX('Tables - Part 2'!$BB$6:$BE$13,MATCH('HIC-SOHIC-HF'!$U20,'Tables - Part 2'!$AV$6:$AV$13,0),MATCH('HIC-SOHIC-HF'!$S20,'Tables - Part 2'!$AX$5:$BA$5,0))+INDEX('Tables - Part 2'!$BF$6:$BI$13,MATCH('HIC-SOHIC-HF'!$U20,'Tables - Part 2'!$AV$6:$AV$13,0),MATCH('HIC-SOHIC-HF'!$S20,'Tables - Part 2'!$AX$5:$BA$5,0)))/2)/2,0)</f>
        <v>0</v>
      </c>
      <c r="AM20" s="248">
        <f>IF($R20=$AM$3,(((INDEX('Tables - Part 2'!$BB$6:$BE$13,MATCH('HIC-SOHIC-HF'!$U20,'Tables - Part 2'!$AV$6:$AV$13,0),MATCH('HIC-SOHIC-HF'!$S20,'Tables - Part 2'!$AX$5:$BA$5,0))+(INDEX('Tables - Part 2'!$BB$6:$BE$13,MATCH('HIC-SOHIC-HF'!$U20,'Tables - Part 2'!$AV$6:$AV$13,0),MATCH('HIC-SOHIC-HF'!$S20,'Tables - Part 2'!$AX$5:$BA$5,0))+INDEX('Tables - Part 2'!$BF$6:$BI$13,MATCH('HIC-SOHIC-HF'!$U20,'Tables - Part 2'!$AV$6:$AV$13,0),MATCH('HIC-SOHIC-HF'!$S20,'Tables - Part 2'!$AX$5:$BA$5,0)))/2)/2)+((INDEX('Tables - Part 2'!$BB$6:$BE$13,MATCH('HIC-SOHIC-HF'!$U20,'Tables - Part 2'!$AV$6:$AV$13,0),MATCH('HIC-SOHIC-HF'!$S20,'Tables - Part 2'!$AX$5:$BA$5,0))+INDEX('Tables - Part 2'!$BF$6:$BI$13,MATCH('HIC-SOHIC-HF'!$U20,'Tables - Part 2'!$AV$6:$AV$13,0),MATCH('HIC-SOHIC-HF'!$S20,'Tables - Part 2'!$AX$5:$BA$5,0)))/2))/2,0)</f>
        <v>0</v>
      </c>
      <c r="AN20" s="248">
        <f>IF($R20=$AN$3,(INDEX('Tables - Part 2'!$BB$6:$BE$13,MATCH('HIC-SOHIC-HF'!$U20,'Tables - Part 2'!$AV$6:$AV$13,0),MATCH('HIC-SOHIC-HF'!$S20,'Tables - Part 2'!$AX$5:$BA$5,0))+INDEX('Tables - Part 2'!$BF$6:$BI$13,MATCH('HIC-SOHIC-HF'!$U20,'Tables - Part 2'!$AV$6:$AV$13,0),MATCH('HIC-SOHIC-HF'!$S20,'Tables - Part 2'!$AX$5:$BA$5,0)))/2,0)</f>
        <v>3</v>
      </c>
      <c r="AO20" s="248">
        <f>IF($R20=$AO$3,(((INDEX('Tables - Part 2'!$BB$6:$BE$13,MATCH('HIC-SOHIC-HF'!$U20,'Tables - Part 2'!$AV$6:$AV$13,0),MATCH('HIC-SOHIC-HF'!$S20,'Tables - Part 2'!$AX$5:$BA$5,0))+INDEX('Tables - Part 2'!$BF$6:$BI$13,MATCH('HIC-SOHIC-HF'!$U20,'Tables - Part 2'!$AV$6:$AV$13,0),MATCH('HIC-SOHIC-HF'!$S20,'Tables - Part 2'!$AX$5:$BA$5,0)))/2)+((((INDEX('Tables - Part 2'!$BB$6:$BE$13,MATCH('HIC-SOHIC-HF'!$U20,'Tables - Part 2'!$AV$6:$AV$13,0),MATCH('HIC-SOHIC-HF'!$S20,'Tables - Part 2'!$AX$5:$BA$5,0))+INDEX('Tables - Part 2'!$BF$6:$BI$13,MATCH('HIC-SOHIC-HF'!$U20,'Tables - Part 2'!$AV$6:$AV$13,0),MATCH('HIC-SOHIC-HF'!$S20,'Tables - Part 2'!$AX$5:$BA$5,0)))/2)+INDEX('Tables - Part 2'!$BF$6:$BI$13,MATCH('HIC-SOHIC-HF'!$U20,'Tables - Part 2'!$AV$6:$AV$13,0),MATCH('HIC-SOHIC-HF'!$S20,'Tables - Part 2'!$AX$5:$BA$5,0)))/2))/2,0)</f>
        <v>0</v>
      </c>
      <c r="AP20" s="248">
        <f>IF($R20=$AP$3,(((INDEX('Tables - Part 2'!$BB$6:$BE$13,MATCH('HIC-SOHIC-HF'!$U20,'Tables - Part 2'!$AV$6:$AV$13,0),MATCH('HIC-SOHIC-HF'!$S20,'Tables - Part 2'!$AX$5:$BA$5,0))+INDEX('Tables - Part 2'!$BF$6:$BI$13,MATCH('HIC-SOHIC-HF'!$U20,'Tables - Part 2'!$AV$6:$AV$13,0),MATCH('HIC-SOHIC-HF'!$S20,'Tables - Part 2'!$AX$5:$BA$5,0)))/2)+INDEX('Tables - Part 2'!$BF$6:$BI$13,MATCH('HIC-SOHIC-HF'!$U20,'Tables - Part 2'!$AV$6:$AV$13,0),MATCH('HIC-SOHIC-HF'!$S20,'Tables - Part 2'!$AX$5:$BA$5,0)))/2,0)</f>
        <v>0</v>
      </c>
      <c r="AQ20" s="248">
        <f>IF($R20=$AQ$3,(((((INDEX('Tables - Part 2'!$BB$6:$BE$13,MATCH('HIC-SOHIC-HF'!$U20,'Tables - Part 2'!$AV$6:$AV$13,0),MATCH('HIC-SOHIC-HF'!$S20,'Tables - Part 2'!$AX$5:$BA$5,0))+INDEX('Tables - Part 2'!$BF$6:$BI$13,MATCH('HIC-SOHIC-HF'!$U20,'Tables - Part 2'!$AV$6:$AV$13,0),MATCH('HIC-SOHIC-HF'!$S20,'Tables - Part 2'!$AX$5:$BA$5,0)))/2)+INDEX('Tables - Part 2'!$BF$6:$BI$13,MATCH('HIC-SOHIC-HF'!$U20,'Tables - Part 2'!$AV$6:$AV$13,0),MATCH('HIC-SOHIC-HF'!$S20,'Tables - Part 2'!$AX$5:$BA$5,0)))/2)+INDEX('Tables - Part 2'!$BF$6:$BI$13,MATCH('HIC-SOHIC-HF'!$U20,'Tables - Part 2'!$AV$6:$AV$13,0),MATCH('HIC-SOHIC-HF'!$S20,'Tables - Part 2'!$AX$5:$BA$5,0)))/2,0)</f>
        <v>0</v>
      </c>
      <c r="AR20" s="248">
        <f>IF($R20=$AR$3,INDEX('Tables - Part 2'!$BF$6:$BI$13,MATCH('HIC-SOHIC-HF'!$U20,'Tables - Part 2'!$AV$6:$AV$13,0),MATCH('HIC-SOHIC-HF'!$S20,'Tables - Part 2'!$AX$5:$BA$5,0)),0)</f>
        <v>0</v>
      </c>
      <c r="AS20" s="248">
        <f>IF($R20=$AS$3,(INDEX('Tables - Part 2'!$BF$6:$BI$13,MATCH('HIC-SOHIC-HF'!$U20,'Tables - Part 2'!$AV$6:$AV$13,0),MATCH('HIC-SOHIC-HF'!$S20,'Tables - Part 2'!$AX$5:$BA$5,0))+((INDEX('Tables - Part 2'!$BF$6:$BI$13,MATCH('HIC-SOHIC-HF'!$U20,'Tables - Part 2'!$AV$6:$AV$13,0),MATCH('HIC-SOHIC-HF'!$S20,'Tables - Part 2'!$AX$5:$BA$5,0))+(INDEX('Tables - Part 2'!$BF$6:$BI$13,MATCH('HIC-SOHIC-HF'!$U20,'Tables - Part 2'!$AV$6:$AV$13,0),MATCH('HIC-SOHIC-HF'!$S20,'Tables - Part 2'!$AX$5:$BA$5,0))+INDEX('Tables - Part 2'!$AX$17:$BA$24,MATCH('HIC-SOHIC-HF'!$U20,'Tables - Part 2'!$AV$6:$AV$13,0),MATCH('HIC-SOHIC-HF'!$S20,'Tables - Part 2'!$AX$5:$BA$5,0)))/2)/2))/2,0)</f>
        <v>0</v>
      </c>
      <c r="AT20" s="248">
        <f>IF($R20=$AT$3,(INDEX('Tables - Part 2'!$BF$6:$BI$13,MATCH('HIC-SOHIC-HF'!$U20,'Tables - Part 2'!$AV$6:$AV$13,0),MATCH('HIC-SOHIC-HF'!$S20,'Tables - Part 2'!$AX$5:$BA$5,0))+(INDEX('Tables - Part 2'!$BF$6:$BI$13,MATCH('HIC-SOHIC-HF'!$U20,'Tables - Part 2'!$AV$6:$AV$13,0),MATCH('HIC-SOHIC-HF'!$S20,'Tables - Part 2'!$AX$5:$BA$5,0))+INDEX('Tables - Part 2'!$AX$17:$BA$24,MATCH('HIC-SOHIC-HF'!$U20,'Tables - Part 2'!$AV$6:$AV$13,0),MATCH('HIC-SOHIC-HF'!$S20,'Tables - Part 2'!$AX$5:$BA$5,0)))/2)/2,0)</f>
        <v>0</v>
      </c>
      <c r="AU20" s="248">
        <f>IF($R20=$AU$3,(((INDEX('Tables - Part 2'!$BF$6:$BI$13,MATCH('HIC-SOHIC-HF'!$U20,'Tables - Part 2'!$AV$6:$AV$13,0),MATCH('HIC-SOHIC-HF'!$S20,'Tables - Part 2'!$AX$5:$BA$5,0))+(INDEX('Tables - Part 2'!$BF$6:$BI$13,MATCH('HIC-SOHIC-HF'!$U20,'Tables - Part 2'!$AV$6:$AV$13,0),MATCH('HIC-SOHIC-HF'!$S20,'Tables - Part 2'!$AX$5:$BA$5,0))+INDEX('Tables - Part 2'!$AX$17:$BA$24,MATCH('HIC-SOHIC-HF'!$U20,'Tables - Part 2'!$AV$6:$AV$13,0),MATCH('HIC-SOHIC-HF'!$S20,'Tables - Part 2'!$AX$5:$BA$5,0)))/2)/2)+((INDEX('Tables - Part 2'!$BF$6:$BI$13,MATCH('HIC-SOHIC-HF'!$U20,'Tables - Part 2'!$AV$6:$AV$13,0),MATCH('HIC-SOHIC-HF'!$S20,'Tables - Part 2'!$AX$5:$BA$5,0))+INDEX('Tables - Part 2'!$AX$17:$BA$24,MATCH('HIC-SOHIC-HF'!$U20,'Tables - Part 2'!$AV$6:$AV$13,0),MATCH('HIC-SOHIC-HF'!$S20,'Tables - Part 2'!$AX$5:$BA$5,0)))/2))/2,0)</f>
        <v>0</v>
      </c>
      <c r="AV20" s="248">
        <f>IF($R20=$AV$3,(INDEX('Tables - Part 2'!$BF$6:$BI$13,MATCH('HIC-SOHIC-HF'!$U20,'Tables - Part 2'!$AV$6:$AV$13,0),MATCH('HIC-SOHIC-HF'!$S20,'Tables - Part 2'!$AX$5:$BA$5,0))+INDEX('Tables - Part 2'!$AX$17:$BA$24,MATCH('HIC-SOHIC-HF'!$U20,'Tables - Part 2'!$AV$6:$AV$13,0),MATCH('HIC-SOHIC-HF'!$S20,'Tables - Part 2'!$AX$5:$BA$5,0)))/2,0)</f>
        <v>0</v>
      </c>
      <c r="AW20" s="248">
        <f>IF($R20=$AW$3,(((INDEX('Tables - Part 2'!$BF$6:$BI$13,MATCH('HIC-SOHIC-HF'!$U20,'Tables - Part 2'!$AV$6:$AV$13,0),MATCH('HIC-SOHIC-HF'!$S20,'Tables - Part 2'!$AX$5:$BA$5,0))+INDEX('Tables - Part 2'!$AX$17:$BA$24,MATCH('HIC-SOHIC-HF'!$U20,'Tables - Part 2'!$AV$6:$AV$13,0),MATCH('HIC-SOHIC-HF'!$S20,'Tables - Part 2'!$AX$5:$BA$5,0)))/2)+((((INDEX('Tables - Part 2'!$BF$6:$BI$13,MATCH('HIC-SOHIC-HF'!$U20,'Tables - Part 2'!$AV$6:$AV$13,0),MATCH('HIC-SOHIC-HF'!$S20,'Tables - Part 2'!$AX$5:$BA$5,0))+INDEX('Tables - Part 2'!$AX$17:$BA$24,MATCH('HIC-SOHIC-HF'!$U20,'Tables - Part 2'!$AV$6:$AV$13,0),MATCH('HIC-SOHIC-HF'!$S20,'Tables - Part 2'!$AX$5:$BA$5,0)))/2)+INDEX('Tables - Part 2'!$AX$17:$BA$24,MATCH('HIC-SOHIC-HF'!$U20,'Tables - Part 2'!$AV$6:$AV$13,0),MATCH('HIC-SOHIC-HF'!$S20,'Tables - Part 2'!$AX$5:$BA$5,0)))/2))/2,0)</f>
        <v>0</v>
      </c>
      <c r="AX20" s="248">
        <f>IF($R20=$AX$3,(((INDEX('Tables - Part 2'!$BF$6:$BI$13,MATCH('HIC-SOHIC-HF'!$U20,'Tables - Part 2'!$AV$6:$AV$13,0),MATCH('HIC-SOHIC-HF'!$S20,'Tables - Part 2'!$AX$5:$BA$5,0))+INDEX('Tables - Part 2'!$AX$17:$BA$24,MATCH('HIC-SOHIC-HF'!$U20,'Tables - Part 2'!$AV$6:$AV$13,0),MATCH('HIC-SOHIC-HF'!$S20,'Tables - Part 2'!$AX$5:$BA$5,0)))/2)+INDEX('Tables - Part 2'!$AX$17:$BA$24,MATCH('HIC-SOHIC-HF'!$U20,'Tables - Part 2'!$AV$6:$AV$13,0),MATCH('HIC-SOHIC-HF'!$S20,'Tables - Part 2'!$AX$5:$BA$5,0)))/2,0)</f>
        <v>0</v>
      </c>
      <c r="AY20" s="248">
        <f>IF($R20=$AY$3,(((((INDEX('Tables - Part 2'!$BF$6:$BI$13,MATCH('HIC-SOHIC-HF'!$U20,'Tables - Part 2'!$AV$6:$AV$13,0),MATCH('HIC-SOHIC-HF'!$S20,'Tables - Part 2'!$AX$5:$BA$5,0))+INDEX('Tables - Part 2'!$AX$17:$BA$24,MATCH('HIC-SOHIC-HF'!$U20,'Tables - Part 2'!$AV$6:$AV$13,0),MATCH('HIC-SOHIC-HF'!$S20,'Tables - Part 2'!$AX$5:$BA$5,0)))/2)+INDEX('Tables - Part 2'!$AX$17:$BA$24,MATCH('HIC-SOHIC-HF'!$U20,'Tables - Part 2'!$AV$6:$AV$13,0),MATCH('HIC-SOHIC-HF'!$S20,'Tables - Part 2'!$AX$5:$BA$5,0)))/2)+(INDEX('Tables - Part 2'!$AX$17:$BA$24,MATCH('HIC-SOHIC-HF'!$U20,'Tables - Part 2'!$AV$6:$AV$13,0),MATCH('HIC-SOHIC-HF'!$S20,'Tables - Part 2'!$AX$5:$BA$5,0))))/2,0)</f>
        <v>0</v>
      </c>
      <c r="AZ20" s="248">
        <f>IF($R20=$AZ$3,INDEX('Tables - Part 2'!$AX$17:$BA$24,MATCH('HIC-SOHIC-HF'!$U20,'Tables - Part 2'!$AV$6:$AV$13,0),MATCH('HIC-SOHIC-HF'!$S20,'Tables - Part 2'!$AX$5:$BA$5,0)),0)</f>
        <v>0</v>
      </c>
      <c r="BA20" s="248">
        <f>IF($R20=$BA$3,((INDEX('Tables - Part 2'!$AX$17:$BA$24,MATCH('HIC-SOHIC-HF'!$U20,'Tables - Part 2'!$AV$6:$AV$13,0),MATCH('HIC-SOHIC-HF'!$S20,'Tables - Part 2'!$AX$5:$BA$5,0)))+(((INDEX('Tables - Part 2'!$AX$17:$BA$24,MATCH('HIC-SOHIC-HF'!$U20,'Tables - Part 2'!$AV$6:$AV$13,0),MATCH('HIC-SOHIC-HF'!$S20,'Tables - Part 2'!$AX$5:$BA$5,0)))+(INDEX('Tables - Part 2'!$AX$17:$BA$24,MATCH('HIC-SOHIC-HF'!$U20,'Tables - Part 2'!$AV$6:$AV$13,0),MATCH('HIC-SOHIC-HF'!$S20,'Tables - Part 2'!$AX$5:$BA$5,0))+INDEX('Tables - Part 2'!$BB$17:$BE$24,MATCH('HIC-SOHIC-HF'!$U20,'Tables - Part 2'!$AV$6:$AV$13,0),MATCH('HIC-SOHIC-HF'!$S20,'Tables - Part 2'!$AX$5:$BA$5,0)))/2)/2))/2,0)</f>
        <v>0</v>
      </c>
      <c r="BB20" s="248">
        <f>IF($R20=$BB$3,((INDEX('Tables - Part 2'!$AX$17:$BA$24,MATCH('HIC-SOHIC-HF'!$U20,'Tables - Part 2'!$AV$6:$AV$13,0),MATCH('HIC-SOHIC-HF'!$S20,'Tables - Part 2'!$AX$5:$BA$5,0)))+(INDEX('Tables - Part 2'!$AX$17:$BA$24,MATCH('HIC-SOHIC-HF'!$U20,'Tables - Part 2'!$AV$6:$AV$13,0),MATCH('HIC-SOHIC-HF'!$S20,'Tables - Part 2'!$AX$5:$BA$5,0))+INDEX('Tables - Part 2'!$BB$17:$BE$24,MATCH('HIC-SOHIC-HF'!$U20,'Tables - Part 2'!$AV$6:$AV$13,0),MATCH('HIC-SOHIC-HF'!$S20,'Tables - Part 2'!$AX$5:$BA$5,0)))/2)/2,0)</f>
        <v>0</v>
      </c>
      <c r="BC20" s="248">
        <f>IF($R20=$BC$3,((((INDEX('Tables - Part 2'!$AX$17:$BA$24,MATCH('HIC-SOHIC-HF'!$U20,'Tables - Part 2'!$AV$6:$AV$13,0),MATCH('HIC-SOHIC-HF'!$S20,'Tables - Part 2'!$AX$5:$BA$5,0)))+(INDEX('Tables - Part 2'!$AX$17:$BA$24,MATCH('HIC-SOHIC-HF'!$U20,'Tables - Part 2'!$AV$6:$AV$13,0),MATCH('HIC-SOHIC-HF'!$S20,'Tables - Part 2'!$AX$5:$BA$5,0))+INDEX('Tables - Part 2'!$BB$17:$BE$24,MATCH('HIC-SOHIC-HF'!$U20,'Tables - Part 2'!$AV$6:$AV$13,0),MATCH('HIC-SOHIC-HF'!$S20,'Tables - Part 2'!$AX$5:$BA$5,0)))/2)/2)+((INDEX('Tables - Part 2'!$AX$17:$BA$24,MATCH('HIC-SOHIC-HF'!$U20,'Tables - Part 2'!$AV$6:$AV$13,0),MATCH('HIC-SOHIC-HF'!$S20,'Tables - Part 2'!$AX$5:$BA$5,0))+INDEX('Tables - Part 2'!$BB$17:$BE$24,MATCH('HIC-SOHIC-HF'!$U20,'Tables - Part 2'!$AV$6:$AV$13,0),MATCH('HIC-SOHIC-HF'!$S20,'Tables - Part 2'!$AX$5:$BA$5,0)))/2))/2,0)</f>
        <v>0</v>
      </c>
      <c r="BD20" s="248">
        <f>IF($R20=$BD$3,(INDEX('Tables - Part 2'!$AX$17:$BA$24,MATCH('HIC-SOHIC-HF'!$U20,'Tables - Part 2'!$AV$6:$AV$13,0),MATCH('HIC-SOHIC-HF'!$S20,'Tables - Part 2'!$AX$5:$BA$5,0))+INDEX('Tables - Part 2'!$BB$17:$BE$24,MATCH('HIC-SOHIC-HF'!$U20,'Tables - Part 2'!$AV$6:$AV$13,0),MATCH('HIC-SOHIC-HF'!$S20,'Tables - Part 2'!$AX$5:$BA$5,0)))/2,0)</f>
        <v>0</v>
      </c>
      <c r="BE20" s="248">
        <f>IF($R20=$BE$3,(((INDEX('Tables - Part 2'!$AX$17:$BA$24,MATCH('HIC-SOHIC-HF'!$U20,'Tables - Part 2'!$AV$6:$AV$13,0),MATCH('HIC-SOHIC-HF'!$S20,'Tables - Part 2'!$AX$5:$BA$5,0))+INDEX('Tables - Part 2'!$BB$17:$BE$24,MATCH('HIC-SOHIC-HF'!$U20,'Tables - Part 2'!$AV$6:$AV$13,0),MATCH('HIC-SOHIC-HF'!$S20,'Tables - Part 2'!$AX$5:$BA$5,0)))/2)+((((INDEX('Tables - Part 2'!$AX$17:$BA$24,MATCH('HIC-SOHIC-HF'!$U20,'Tables - Part 2'!$AV$6:$AV$13,0),MATCH('HIC-SOHIC-HF'!$S20,'Tables - Part 2'!$AX$5:$BA$5,0))+INDEX('Tables - Part 2'!$BB$17:$BE$24,MATCH('HIC-SOHIC-HF'!$U20,'Tables - Part 2'!$AV$6:$AV$13,0),MATCH('HIC-SOHIC-HF'!$S20,'Tables - Part 2'!$AX$5:$BA$5,0)))/2)+INDEX('Tables - Part 2'!$BB$17:$BE$24,MATCH('HIC-SOHIC-HF'!$U20,'Tables - Part 2'!$AV$6:$AV$13,0),MATCH('HIC-SOHIC-HF'!$S20,'Tables - Part 2'!$AX$5:$BA$5,0)))/2))/2,0)</f>
        <v>0</v>
      </c>
      <c r="BF20" s="248">
        <f>IF($R20=$BF$3,(((INDEX('Tables - Part 2'!$AX$17:$BA$24,MATCH('HIC-SOHIC-HF'!$U20,'Tables - Part 2'!$AV$6:$AV$13,0),MATCH('HIC-SOHIC-HF'!$S20,'Tables - Part 2'!$AX$5:$BA$5,0))+INDEX('Tables - Part 2'!$BB$17:$BE$24,MATCH('HIC-SOHIC-HF'!$U20,'Tables - Part 2'!$AV$6:$AV$13,0),MATCH('HIC-SOHIC-HF'!$S20,'Tables - Part 2'!$AX$5:$BA$5,0)))/2)+INDEX('Tables - Part 2'!$BB$17:$BE$24,MATCH('HIC-SOHIC-HF'!$U20,'Tables - Part 2'!$AV$6:$AV$13,0),MATCH('HIC-SOHIC-HF'!$S20,'Tables - Part 2'!$AX$5:$BA$5,0)))/2,0)</f>
        <v>0</v>
      </c>
      <c r="BG20" s="248">
        <f>IF($R20=$BG$3,(((((INDEX('Tables - Part 2'!$AX$17:$BA$24,MATCH('HIC-SOHIC-HF'!$U20,'Tables - Part 2'!$AV$6:$AV$13,0),MATCH('HIC-SOHIC-HF'!$S20,'Tables - Part 2'!$AX$5:$BA$5,0))+INDEX('Tables - Part 2'!$BB$17:$BE$24,MATCH('HIC-SOHIC-HF'!$U20,'Tables - Part 2'!$AV$6:$AV$13,0),MATCH('HIC-SOHIC-HF'!$S20,'Tables - Part 2'!$AX$5:$BA$5,0)))/2)+INDEX('Tables - Part 2'!$BB$17:$BE$24,MATCH('HIC-SOHIC-HF'!$U20,'Tables - Part 2'!$AV$6:$AV$13,0),MATCH('HIC-SOHIC-HF'!$S20,'Tables - Part 2'!$AX$5:$BA$5,0)))/2)+(INDEX('Tables - Part 2'!$BB$17:$BE$24,MATCH('HIC-SOHIC-HF'!$U20,'Tables - Part 2'!$AV$6:$AV$13,0),MATCH('HIC-SOHIC-HF'!$S20,'Tables - Part 2'!$AX$5:$BA$5,0))))/2,0)</f>
        <v>0</v>
      </c>
      <c r="BH20" s="248">
        <f>IF($R20=$BH$3,INDEX('Tables - Part 2'!$BB$17:$BE$24,MATCH('HIC-SOHIC-HF'!$U20,'Tables - Part 2'!$AV$6:$AV$13,0),MATCH('HIC-SOHIC-HF'!$S20,'Tables - Part 2'!$AX$5:$BA$5,0)),0)</f>
        <v>0</v>
      </c>
      <c r="BI20" s="248">
        <f>IF($R20=$BI$3,((INDEX('Tables - Part 2'!$BB$17:$BE$24,MATCH('HIC-SOHIC-HF'!$U20,'Tables - Part 2'!$AV$6:$AV$13,0),MATCH('HIC-SOHIC-HF'!$S20,'Tables - Part 2'!$AX$5:$BA$5,0)))+(((INDEX('Tables - Part 2'!$BB$17:$BE$24,MATCH('HIC-SOHIC-HF'!$U20,'Tables - Part 2'!$AV$6:$AV$13,0),MATCH('HIC-SOHIC-HF'!$S20,'Tables - Part 2'!$AX$5:$BA$5,0)))+(INDEX('Tables - Part 2'!$BB$17:$BE$24,MATCH('HIC-SOHIC-HF'!$U20,'Tables - Part 2'!$AV$6:$AV$13,0),MATCH('HIC-SOHIC-HF'!$S20,'Tables - Part 2'!$AX$5:$BA$5,0))+INDEX('Tables - Part 2'!$BF$17:$BI$24,MATCH('HIC-SOHIC-HF'!$U20,'Tables - Part 2'!$AV$6:$AV$13,0),MATCH('HIC-SOHIC-HF'!$S20,'Tables - Part 2'!$AX$5:$BA$5,0)))/2)/2))/2,0)</f>
        <v>0</v>
      </c>
      <c r="BJ20" s="248">
        <f>IF($R20=$BJ$3,((INDEX('Tables - Part 2'!$BB$17:$BE$24,MATCH('HIC-SOHIC-HF'!$U20,'Tables - Part 2'!$AV$6:$AV$13,0),MATCH('HIC-SOHIC-HF'!$S20,'Tables - Part 2'!$AX$5:$BA$5,0)))+(INDEX('Tables - Part 2'!$BB$17:$BE$24,MATCH('HIC-SOHIC-HF'!$U20,'Tables - Part 2'!$AV$6:$AV$13,0),MATCH('HIC-SOHIC-HF'!$S20,'Tables - Part 2'!$AX$5:$BA$5,0))+INDEX('Tables - Part 2'!$BF$17:$BI$24,MATCH('HIC-SOHIC-HF'!$U20,'Tables - Part 2'!$AV$6:$AV$13,0),MATCH('HIC-SOHIC-HF'!$S20,'Tables - Part 2'!$AX$5:$BA$5,0)))/2)/2,0)</f>
        <v>0</v>
      </c>
      <c r="BK20" s="248">
        <f>IF($R20=$BK$3,((((INDEX('Tables - Part 2'!$BB$17:$BE$24,MATCH('HIC-SOHIC-HF'!$U20,'Tables - Part 2'!$AV$6:$AV$13,0),MATCH('HIC-SOHIC-HF'!$S20,'Tables - Part 2'!$AX$5:$BA$5,0)))+(INDEX('Tables - Part 2'!$BB$17:$BE$24,MATCH('HIC-SOHIC-HF'!$U20,'Tables - Part 2'!$AV$6:$AV$13,0),MATCH('HIC-SOHIC-HF'!$S20,'Tables - Part 2'!$AX$5:$BA$5,0))+INDEX('Tables - Part 2'!$BF$17:$BI$24,MATCH('HIC-SOHIC-HF'!$U20,'Tables - Part 2'!$AV$6:$AV$13,0),MATCH('HIC-SOHIC-HF'!$S20,'Tables - Part 2'!$AX$5:$BA$5,0)))/2)/2)+((INDEX('Tables - Part 2'!$BB$17:$BE$24,MATCH('HIC-SOHIC-HF'!$U20,'Tables - Part 2'!$AV$6:$AV$13,0),MATCH('HIC-SOHIC-HF'!$S20,'Tables - Part 2'!$AX$5:$BA$5,0))+INDEX('Tables - Part 2'!$BF$17:$BI$24,MATCH('HIC-SOHIC-HF'!$U20,'Tables - Part 2'!$AV$6:$AV$13,0),MATCH('HIC-SOHIC-HF'!$S20,'Tables - Part 2'!$AX$5:$BA$5,0)))/2))/2,0)</f>
        <v>0</v>
      </c>
      <c r="BL20" s="248">
        <f>IF($R20=$BL$3,(INDEX('Tables - Part 2'!$BB$17:$BE$24,MATCH('HIC-SOHIC-HF'!$U20,'Tables - Part 2'!$AV$6:$AV$13,0),MATCH('HIC-SOHIC-HF'!$S20,'Tables - Part 2'!$AX$5:$BA$5,0))+INDEX('Tables - Part 2'!$BF$17:$BI$24,MATCH('HIC-SOHIC-HF'!$U20,'Tables - Part 2'!$AV$6:$AV$13,0),MATCH('HIC-SOHIC-HF'!$S20,'Tables - Part 2'!$AX$5:$BA$5,0)))/2,0)</f>
        <v>0</v>
      </c>
      <c r="BM20" s="248">
        <f>IF($R20=$BM$3,(((INDEX('Tables - Part 2'!$BB$17:$BE$24,MATCH('HIC-SOHIC-HF'!$U20,'Tables - Part 2'!$AV$6:$AV$13,0),MATCH('HIC-SOHIC-HF'!$S20,'Tables - Part 2'!$AX$5:$BA$5,0))+INDEX('Tables - Part 2'!$BF$17:$BI$24,MATCH('HIC-SOHIC-HF'!$U20,'Tables - Part 2'!$AV$6:$AV$13,0),MATCH('HIC-SOHIC-HF'!$S20,'Tables - Part 2'!$AX$5:$BA$5,0)))/2)+((((INDEX('Tables - Part 2'!$BB$17:$BE$24,MATCH('HIC-SOHIC-HF'!$U20,'Tables - Part 2'!$AV$6:$AV$13,0),MATCH('HIC-SOHIC-HF'!$S20,'Tables - Part 2'!$AX$5:$BA$5,0))+INDEX('Tables - Part 2'!$BF$17:$BI$24,MATCH('HIC-SOHIC-HF'!$U20,'Tables - Part 2'!$AV$6:$AV$13,0),MATCH('HIC-SOHIC-HF'!$S20,'Tables - Part 2'!$AX$5:$BA$5,0)))/2)+INDEX('Tables - Part 2'!$BF$17:$BI$24,MATCH('HIC-SOHIC-HF'!$U20,'Tables - Part 2'!$AV$6:$AV$13,0),MATCH('HIC-SOHIC-HF'!$S20,'Tables - Part 2'!$AX$5:$BA$5,0)))/2))/2,0)</f>
        <v>0</v>
      </c>
      <c r="BN20" s="248">
        <f>IF($R20=$BN$3,(((INDEX('Tables - Part 2'!$BB$17:$BE$24,MATCH('HIC-SOHIC-HF'!$U20,'Tables - Part 2'!$AV$6:$AV$13,0),MATCH('HIC-SOHIC-HF'!$S20,'Tables - Part 2'!$AX$5:$BA$5,0))+INDEX('Tables - Part 2'!$BF$17:$BI$24,MATCH('HIC-SOHIC-HF'!$U20,'Tables - Part 2'!$AV$6:$AV$13,0),MATCH('HIC-SOHIC-HF'!$S20,'Tables - Part 2'!$AX$5:$BA$5,0)))/2)+INDEX('Tables - Part 2'!$BF$17:$BI$24,MATCH('HIC-SOHIC-HF'!$U20,'Tables - Part 2'!$AV$6:$AV$13,0),MATCH('HIC-SOHIC-HF'!$S20,'Tables - Part 2'!$AX$5:$BA$5,0)))/2,0)</f>
        <v>0</v>
      </c>
      <c r="BO20" s="248">
        <f>IF($R20=$BO$3,(((((INDEX('Tables - Part 2'!$BB$17:$BE$24,MATCH('HIC-SOHIC-HF'!$U20,'Tables - Part 2'!$AV$6:$AV$13,0),MATCH('HIC-SOHIC-HF'!$S20,'Tables - Part 2'!$AX$5:$BA$5,0))+INDEX('Tables - Part 2'!$BF$17:$BI$24,MATCH('HIC-SOHIC-HF'!$U20,'Tables - Part 2'!$AV$6:$AV$13,0),MATCH('HIC-SOHIC-HF'!$S20,'Tables - Part 2'!$AX$5:$BA$5,0)))/2)+INDEX('Tables - Part 2'!$BF$17:$BI$24,MATCH('HIC-SOHIC-HF'!$U20,'Tables - Part 2'!$AV$6:$AV$13,0),MATCH('HIC-SOHIC-HF'!$S20,'Tables - Part 2'!$AX$5:$BA$5,0)))/2)+(INDEX('Tables - Part 2'!$BF$17:$BI$24,MATCH('HIC-SOHIC-HF'!$U20,'Tables - Part 2'!$AV$6:$AV$13,0),MATCH('HIC-SOHIC-HF'!$S20,'Tables - Part 2'!$AX$5:$BA$5,0))))/2,0)</f>
        <v>0</v>
      </c>
      <c r="BP20" s="248">
        <f>IF($R20=$BP$3,INDEX('Tables - Part 2'!$BF$17:$BI$24,MATCH('HIC-SOHIC-HF'!$U20,'Tables - Part 2'!$AV$6:$AV$13,0),MATCH('HIC-SOHIC-HF'!$S20,'Tables - Part 2'!$AX$5:$BA$5,0)),0)</f>
        <v>0</v>
      </c>
      <c r="BQ20" s="248">
        <f t="shared" si="6"/>
        <v>0</v>
      </c>
      <c r="BR20" s="238">
        <f t="shared" si="7"/>
        <v>3</v>
      </c>
      <c r="BS20" s="238">
        <f t="shared" si="8"/>
        <v>50.318647405225171</v>
      </c>
    </row>
    <row r="21" spans="2:71" x14ac:dyDescent="0.35">
      <c r="B21" s="161" t="str">
        <f>'Tratamento de Dados'!B29</f>
        <v>V-9</v>
      </c>
      <c r="C21" s="161" t="str">
        <f>'Tratamento de Dados'!D29</f>
        <v>Casco</v>
      </c>
      <c r="D21" s="209" t="s">
        <v>245</v>
      </c>
      <c r="E21" s="209" t="s">
        <v>61</v>
      </c>
      <c r="F21" s="209" t="s">
        <v>244</v>
      </c>
      <c r="G21" s="209" t="s">
        <v>244</v>
      </c>
      <c r="H21" s="209" t="s">
        <v>1208</v>
      </c>
      <c r="I21" s="209" t="s">
        <v>245</v>
      </c>
      <c r="J21" s="209" t="s">
        <v>898</v>
      </c>
      <c r="K21" s="210">
        <v>39092</v>
      </c>
      <c r="L21" s="209">
        <v>0</v>
      </c>
      <c r="M21" s="209">
        <v>1</v>
      </c>
      <c r="N21" s="209">
        <v>1</v>
      </c>
      <c r="O21" s="209">
        <v>4</v>
      </c>
      <c r="P21" s="253">
        <f>'Tratamento de Dados'!DA29</f>
        <v>0</v>
      </c>
      <c r="Q21" s="253">
        <f>'Tratamento de Dados'!DB29</f>
        <v>0</v>
      </c>
      <c r="R21" s="256">
        <f t="shared" si="0"/>
        <v>2.5</v>
      </c>
      <c r="S21" s="246" t="str">
        <f t="shared" si="1"/>
        <v>B</v>
      </c>
      <c r="T21" s="238" t="str" cm="1">
        <f t="array" ref="T21">IF(D21=$BX$2,$BV$4,IF(OR(F21=$BX$3,G21=$BX$3),$BV$5,INDEX(IF(I21=$BX$2,'Tables - Part 2'!$EI$6:$EK$6,'Tables - Part 2'!$EI$5:$EK$5),,MATCH('HIC-SOHIC-HF'!H21,'Tables - Part 2'!$EI$4:$EK$4,0))))</f>
        <v>High</v>
      </c>
      <c r="U21" s="238">
        <f>IF(AND(D21=$BX$2,E21&lt;&gt;$BX$2),"Fitness-For-Service",INDEX('Tables - Part 2'!$EN$4:$EN$7,MATCH('HIC-SOHIC-HF'!T21,'Tables - Part 2'!$EM$4:$EM$7,0),))</f>
        <v>100</v>
      </c>
      <c r="V21" s="238">
        <f>INDEX('Tables - Part 2'!$EQ$4:$EQ$7,MATCH('HIC-SOHIC-HF'!J21,'Tables - Part 2'!$EP$4:$EP$7,0))</f>
        <v>1</v>
      </c>
      <c r="W21" s="238">
        <f>IF(K21=0,(Thinning!G22-Thinning!F22)/365.25,(Thinning!G22-K21)/365.25)</f>
        <v>12.980150581793293</v>
      </c>
      <c r="X21" s="248">
        <f t="shared" si="2"/>
        <v>0</v>
      </c>
      <c r="Y21" s="248">
        <f t="shared" si="3"/>
        <v>2.5</v>
      </c>
      <c r="Z21" s="248">
        <f t="shared" si="4"/>
        <v>3</v>
      </c>
      <c r="AA21" s="247">
        <f t="shared" si="5"/>
        <v>4</v>
      </c>
      <c r="AB21" s="248">
        <f>IF($R21=$AB$3,INDEX('Tables - Part 2'!$AX$6:$BA$13,MATCH('HIC-SOHIC-HF'!U21,'Tables - Part 2'!$AV$6:$AV$13,0),MATCH('HIC-SOHIC-HF'!S21,'Tables - Part 2'!$AX$5:$BA$5,0)),0)</f>
        <v>0</v>
      </c>
      <c r="AC21" s="248">
        <f>IF($R21=$AC$3,(INDEX('Tables - Part 2'!$AX$6:$BA$13,MATCH('HIC-SOHIC-HF'!U21,'Tables - Part 2'!$AV$6:$AV$13,0),MATCH('HIC-SOHIC-HF'!S21,'Tables - Part 2'!$AX$5:$BA$5,0))+(INDEX('Tables - Part 2'!$AX$6:$BA$13,MATCH('HIC-SOHIC-HF'!U21,'Tables - Part 2'!$AV$6:$AV$13,0),MATCH('HIC-SOHIC-HF'!S21,'Tables - Part 2'!$AX$5:$BA$5,0))+((INDEX('Tables - Part 2'!$AX$6:$BA$13,MATCH('HIC-SOHIC-HF'!U21,'Tables - Part 2'!$AV$6:$AV$13,0),MATCH('HIC-SOHIC-HF'!S21,'Tables - Part 2'!$AX$5:$BA$5,0))+INDEX('Tables - Part 2'!$BB$6:$BE$13,MATCH('HIC-SOHIC-HF'!$U21,'Tables - Part 2'!$AV$6:$AV$13,0),MATCH('HIC-SOHIC-HF'!$S21,'Tables - Part 2'!$AX$5:$BA$5,0)))/2))/2)/2,0)</f>
        <v>0</v>
      </c>
      <c r="AD21" s="248">
        <f>IF($R21=$AD$3,(INDEX('Tables - Part 2'!$AX$6:$BA$13,MATCH('HIC-SOHIC-HF'!U21,'Tables - Part 2'!$AV$6:$AV$13,0),MATCH('HIC-SOHIC-HF'!S21,'Tables - Part 2'!$AX$5:$BA$5,0))+((INDEX('Tables - Part 2'!$AX$6:$BA$13,MATCH('HIC-SOHIC-HF'!U21,'Tables - Part 2'!$AV$6:$AV$13,0),MATCH('HIC-SOHIC-HF'!S21,'Tables - Part 2'!$AX$5:$BA$5,0))+INDEX('Tables - Part 2'!$BB$6:$BE$13,MATCH('HIC-SOHIC-HF'!$U21,'Tables - Part 2'!$AV$6:$AV$13,0),MATCH('HIC-SOHIC-HF'!$S21,'Tables - Part 2'!$AX$5:$BA$5,0)))/2))/2,0)</f>
        <v>0</v>
      </c>
      <c r="AE21" s="248">
        <f>IF($R21=$AE$3,(((INDEX('Tables - Part 2'!$AX$6:$BA$13,MATCH('HIC-SOHIC-HF'!U21,'Tables - Part 2'!$AV$6:$AV$13,0),MATCH('HIC-SOHIC-HF'!S21,'Tables - Part 2'!$AX$5:$BA$5,0))+((INDEX('Tables - Part 2'!$AX$6:$BA$13,MATCH('HIC-SOHIC-HF'!U21,'Tables - Part 2'!$AV$6:$AV$13,0),MATCH('HIC-SOHIC-HF'!S21,'Tables - Part 2'!$AX$5:$BA$5,0))+INDEX('Tables - Part 2'!$BB$6:$BE$13,MATCH('HIC-SOHIC-HF'!$U21,'Tables - Part 2'!$AV$6:$AV$13,0),MATCH('HIC-SOHIC-HF'!$S21,'Tables - Part 2'!$AX$5:$BA$5,0)))/2))/2)+(INDEX('Tables - Part 2'!$AX$6:$BA$13,MATCH('HIC-SOHIC-HF'!U21,'Tables - Part 2'!$AV$6:$AV$13,0),MATCH('HIC-SOHIC-HF'!S21,'Tables - Part 2'!$AX$5:$BA$5,0))+INDEX('Tables - Part 2'!$BB$6:$BE$13,MATCH('HIC-SOHIC-HF'!$U21,'Tables - Part 2'!$AV$6:$AV$13,0),MATCH('HIC-SOHIC-HF'!$S21,'Tables - Part 2'!$AX$5:$BA$5,0)))/2)/2,0)</f>
        <v>0</v>
      </c>
      <c r="AF21" s="248">
        <f>IF($R21=$AF$3,(INDEX('Tables - Part 2'!$AX$6:$BA$13,MATCH('HIC-SOHIC-HF'!U21,'Tables - Part 2'!$AV$6:$AV$13,0),MATCH('HIC-SOHIC-HF'!S21,'Tables - Part 2'!$AX$5:$BA$5,0))+INDEX('Tables - Part 2'!$BB$6:$BE$13,MATCH('HIC-SOHIC-HF'!$U21,'Tables - Part 2'!$AV$6:$AV$13,0),MATCH('HIC-SOHIC-HF'!$S21,'Tables - Part 2'!$AX$5:$BA$5,0)))/2,0)</f>
        <v>0</v>
      </c>
      <c r="AG21" s="248">
        <f>IF($R21=$AG$3,(((INDEX('Tables - Part 2'!$AX$6:$BA$13,MATCH('HIC-SOHIC-HF'!U21,'Tables - Part 2'!$AV$6:$AV$13,0),MATCH('HIC-SOHIC-HF'!S21,'Tables - Part 2'!$AX$5:$BA$5,0))+INDEX('Tables - Part 2'!$BB$6:$BE$13,MATCH('HIC-SOHIC-HF'!$U21,'Tables - Part 2'!$AV$6:$AV$13,0),MATCH('HIC-SOHIC-HF'!$S21,'Tables - Part 2'!$AX$5:$BA$5,0)))/2)+(((INDEX('Tables - Part 2'!$AX$6:$BA$13,MATCH('HIC-SOHIC-HF'!U21,'Tables - Part 2'!$AV$6:$AV$13,0),MATCH('HIC-SOHIC-HF'!S21,'Tables - Part 2'!$AX$5:$BA$5,0))+INDEX('Tables - Part 2'!$BB$6:$BE$13,MATCH('HIC-SOHIC-HF'!$U21,'Tables - Part 2'!$AV$6:$AV$13,0),MATCH('HIC-SOHIC-HF'!$S21,'Tables - Part 2'!$AX$5:$BA$5,0)))/2)+INDEX('Tables - Part 2'!$BB$6:$BE$13,MATCH('HIC-SOHIC-HF'!$U21,'Tables - Part 2'!$AV$6:$AV$13,0),MATCH('HIC-SOHIC-HF'!$S21,'Tables - Part 2'!$AX$5:$BA$5,0)))/2)/2,0)</f>
        <v>0</v>
      </c>
      <c r="AH21" s="248">
        <f>IF($R21=$AH$3,(((INDEX('Tables - Part 2'!$AX$6:$BA$13,MATCH('HIC-SOHIC-HF'!U21,'Tables - Part 2'!$AV$6:$AV$13,0),MATCH('HIC-SOHIC-HF'!S21,'Tables - Part 2'!$AX$5:$BA$5,0))+INDEX('Tables - Part 2'!$BB$6:$BE$13,MATCH('HIC-SOHIC-HF'!$U21,'Tables - Part 2'!$AV$6:$AV$13,0),MATCH('HIC-SOHIC-HF'!$S21,'Tables - Part 2'!$AX$5:$BA$5,0)))/2)+INDEX('Tables - Part 2'!$BB$6:$BE$13,MATCH('HIC-SOHIC-HF'!$U21,'Tables - Part 2'!$AV$6:$AV$13,0),MATCH('HIC-SOHIC-HF'!$S21,'Tables - Part 2'!$AX$5:$BA$5,0)))/2,0)</f>
        <v>0</v>
      </c>
      <c r="AI21" s="248">
        <f>IF($R21=$AI$3,(((((INDEX('Tables - Part 2'!$AX$6:$BA$13,MATCH('HIC-SOHIC-HF'!U21,'Tables - Part 2'!$AV$6:$AV$13,0),MATCH('HIC-SOHIC-HF'!S21,'Tables - Part 2'!$AX$5:$BA$5,0))+INDEX('Tables - Part 2'!$BB$6:$BE$13,MATCH('HIC-SOHIC-HF'!$U21,'Tables - Part 2'!$AV$6:$AV$13,0),MATCH('HIC-SOHIC-HF'!$S21,'Tables - Part 2'!$AX$5:$BA$5,0)))/2)+INDEX('Tables - Part 2'!$BB$6:$BE$13,MATCH('HIC-SOHIC-HF'!$U21,'Tables - Part 2'!$AV$6:$AV$13,0),MATCH('HIC-SOHIC-HF'!$S21,'Tables - Part 2'!$AX$5:$BA$5,0)))/2)+INDEX('Tables - Part 2'!$BB$6:$BE$13,MATCH('HIC-SOHIC-HF'!$U21,'Tables - Part 2'!$AV$6:$AV$13,0),MATCH('HIC-SOHIC-HF'!$S21,'Tables - Part 2'!$AX$5:$BA$5,0)))/2,0)</f>
        <v>0</v>
      </c>
      <c r="AJ21" s="248">
        <f>IF($R21=$AJ$3,INDEX('Tables - Part 2'!$BB$6:$BE$13,MATCH('HIC-SOHIC-HF'!$U21,'Tables - Part 2'!$AV$6:$AV$13,0),MATCH('HIC-SOHIC-HF'!$S21,'Tables - Part 2'!$AX$5:$BA$5,0)),0)</f>
        <v>0</v>
      </c>
      <c r="AK21" s="248">
        <f>IF($R21=$AK$3,((INDEX('Tables - Part 2'!$BB$6:$BE$13,MATCH('HIC-SOHIC-HF'!$U21,'Tables - Part 2'!$AV$6:$AV$13,0),MATCH('HIC-SOHIC-HF'!$S21,'Tables - Part 2'!$AX$5:$BA$5,0)))+(INDEX('Tables - Part 2'!$BB$6:$BE$13,MATCH('HIC-SOHIC-HF'!$U21,'Tables - Part 2'!$AV$6:$AV$13,0),MATCH('HIC-SOHIC-HF'!$S21,'Tables - Part 2'!$AX$5:$BA$5,0))+(INDEX('Tables - Part 2'!$BB$6:$BE$13,MATCH('HIC-SOHIC-HF'!$U21,'Tables - Part 2'!$AV$6:$AV$13,0),MATCH('HIC-SOHIC-HF'!$S21,'Tables - Part 2'!$AX$5:$BA$5,0))+INDEX('Tables - Part 2'!$BF$6:$BI$13,MATCH('HIC-SOHIC-HF'!$U21,'Tables - Part 2'!$AV$6:$AV$13,0),MATCH('HIC-SOHIC-HF'!$S21,'Tables - Part 2'!$AX$5:$BA$5,0)))/2)/2)/2,0)</f>
        <v>0</v>
      </c>
      <c r="AL21" s="248">
        <f>IF($R21=$AL$3,(INDEX('Tables - Part 2'!$BB$6:$BE$13,MATCH('HIC-SOHIC-HF'!$U21,'Tables - Part 2'!$AV$6:$AV$13,0),MATCH('HIC-SOHIC-HF'!$S21,'Tables - Part 2'!$AX$5:$BA$5,0))+(INDEX('Tables - Part 2'!$BB$6:$BE$13,MATCH('HIC-SOHIC-HF'!$U21,'Tables - Part 2'!$AV$6:$AV$13,0),MATCH('HIC-SOHIC-HF'!$S21,'Tables - Part 2'!$AX$5:$BA$5,0))+INDEX('Tables - Part 2'!$BF$6:$BI$13,MATCH('HIC-SOHIC-HF'!$U21,'Tables - Part 2'!$AV$6:$AV$13,0),MATCH('HIC-SOHIC-HF'!$S21,'Tables - Part 2'!$AX$5:$BA$5,0)))/2)/2,0)</f>
        <v>0</v>
      </c>
      <c r="AM21" s="248">
        <f>IF($R21=$AM$3,(((INDEX('Tables - Part 2'!$BB$6:$BE$13,MATCH('HIC-SOHIC-HF'!$U21,'Tables - Part 2'!$AV$6:$AV$13,0),MATCH('HIC-SOHIC-HF'!$S21,'Tables - Part 2'!$AX$5:$BA$5,0))+(INDEX('Tables - Part 2'!$BB$6:$BE$13,MATCH('HIC-SOHIC-HF'!$U21,'Tables - Part 2'!$AV$6:$AV$13,0),MATCH('HIC-SOHIC-HF'!$S21,'Tables - Part 2'!$AX$5:$BA$5,0))+INDEX('Tables - Part 2'!$BF$6:$BI$13,MATCH('HIC-SOHIC-HF'!$U21,'Tables - Part 2'!$AV$6:$AV$13,0),MATCH('HIC-SOHIC-HF'!$S21,'Tables - Part 2'!$AX$5:$BA$5,0)))/2)/2)+((INDEX('Tables - Part 2'!$BB$6:$BE$13,MATCH('HIC-SOHIC-HF'!$U21,'Tables - Part 2'!$AV$6:$AV$13,0),MATCH('HIC-SOHIC-HF'!$S21,'Tables - Part 2'!$AX$5:$BA$5,0))+INDEX('Tables - Part 2'!$BF$6:$BI$13,MATCH('HIC-SOHIC-HF'!$U21,'Tables - Part 2'!$AV$6:$AV$13,0),MATCH('HIC-SOHIC-HF'!$S21,'Tables - Part 2'!$AX$5:$BA$5,0)))/2))/2,0)</f>
        <v>0</v>
      </c>
      <c r="AN21" s="248">
        <f>IF($R21=$AN$3,(INDEX('Tables - Part 2'!$BB$6:$BE$13,MATCH('HIC-SOHIC-HF'!$U21,'Tables - Part 2'!$AV$6:$AV$13,0),MATCH('HIC-SOHIC-HF'!$S21,'Tables - Part 2'!$AX$5:$BA$5,0))+INDEX('Tables - Part 2'!$BF$6:$BI$13,MATCH('HIC-SOHIC-HF'!$U21,'Tables - Part 2'!$AV$6:$AV$13,0),MATCH('HIC-SOHIC-HF'!$S21,'Tables - Part 2'!$AX$5:$BA$5,0)))/2,0)</f>
        <v>3</v>
      </c>
      <c r="AO21" s="248">
        <f>IF($R21=$AO$3,(((INDEX('Tables - Part 2'!$BB$6:$BE$13,MATCH('HIC-SOHIC-HF'!$U21,'Tables - Part 2'!$AV$6:$AV$13,0),MATCH('HIC-SOHIC-HF'!$S21,'Tables - Part 2'!$AX$5:$BA$5,0))+INDEX('Tables - Part 2'!$BF$6:$BI$13,MATCH('HIC-SOHIC-HF'!$U21,'Tables - Part 2'!$AV$6:$AV$13,0),MATCH('HIC-SOHIC-HF'!$S21,'Tables - Part 2'!$AX$5:$BA$5,0)))/2)+((((INDEX('Tables - Part 2'!$BB$6:$BE$13,MATCH('HIC-SOHIC-HF'!$U21,'Tables - Part 2'!$AV$6:$AV$13,0),MATCH('HIC-SOHIC-HF'!$S21,'Tables - Part 2'!$AX$5:$BA$5,0))+INDEX('Tables - Part 2'!$BF$6:$BI$13,MATCH('HIC-SOHIC-HF'!$U21,'Tables - Part 2'!$AV$6:$AV$13,0),MATCH('HIC-SOHIC-HF'!$S21,'Tables - Part 2'!$AX$5:$BA$5,0)))/2)+INDEX('Tables - Part 2'!$BF$6:$BI$13,MATCH('HIC-SOHIC-HF'!$U21,'Tables - Part 2'!$AV$6:$AV$13,0),MATCH('HIC-SOHIC-HF'!$S21,'Tables - Part 2'!$AX$5:$BA$5,0)))/2))/2,0)</f>
        <v>0</v>
      </c>
      <c r="AP21" s="248">
        <f>IF($R21=$AP$3,(((INDEX('Tables - Part 2'!$BB$6:$BE$13,MATCH('HIC-SOHIC-HF'!$U21,'Tables - Part 2'!$AV$6:$AV$13,0),MATCH('HIC-SOHIC-HF'!$S21,'Tables - Part 2'!$AX$5:$BA$5,0))+INDEX('Tables - Part 2'!$BF$6:$BI$13,MATCH('HIC-SOHIC-HF'!$U21,'Tables - Part 2'!$AV$6:$AV$13,0),MATCH('HIC-SOHIC-HF'!$S21,'Tables - Part 2'!$AX$5:$BA$5,0)))/2)+INDEX('Tables - Part 2'!$BF$6:$BI$13,MATCH('HIC-SOHIC-HF'!$U21,'Tables - Part 2'!$AV$6:$AV$13,0),MATCH('HIC-SOHIC-HF'!$S21,'Tables - Part 2'!$AX$5:$BA$5,0)))/2,0)</f>
        <v>0</v>
      </c>
      <c r="AQ21" s="248">
        <f>IF($R21=$AQ$3,(((((INDEX('Tables - Part 2'!$BB$6:$BE$13,MATCH('HIC-SOHIC-HF'!$U21,'Tables - Part 2'!$AV$6:$AV$13,0),MATCH('HIC-SOHIC-HF'!$S21,'Tables - Part 2'!$AX$5:$BA$5,0))+INDEX('Tables - Part 2'!$BF$6:$BI$13,MATCH('HIC-SOHIC-HF'!$U21,'Tables - Part 2'!$AV$6:$AV$13,0),MATCH('HIC-SOHIC-HF'!$S21,'Tables - Part 2'!$AX$5:$BA$5,0)))/2)+INDEX('Tables - Part 2'!$BF$6:$BI$13,MATCH('HIC-SOHIC-HF'!$U21,'Tables - Part 2'!$AV$6:$AV$13,0),MATCH('HIC-SOHIC-HF'!$S21,'Tables - Part 2'!$AX$5:$BA$5,0)))/2)+INDEX('Tables - Part 2'!$BF$6:$BI$13,MATCH('HIC-SOHIC-HF'!$U21,'Tables - Part 2'!$AV$6:$AV$13,0),MATCH('HIC-SOHIC-HF'!$S21,'Tables - Part 2'!$AX$5:$BA$5,0)))/2,0)</f>
        <v>0</v>
      </c>
      <c r="AR21" s="248">
        <f>IF($R21=$AR$3,INDEX('Tables - Part 2'!$BF$6:$BI$13,MATCH('HIC-SOHIC-HF'!$U21,'Tables - Part 2'!$AV$6:$AV$13,0),MATCH('HIC-SOHIC-HF'!$S21,'Tables - Part 2'!$AX$5:$BA$5,0)),0)</f>
        <v>0</v>
      </c>
      <c r="AS21" s="248">
        <f>IF($R21=$AS$3,(INDEX('Tables - Part 2'!$BF$6:$BI$13,MATCH('HIC-SOHIC-HF'!$U21,'Tables - Part 2'!$AV$6:$AV$13,0),MATCH('HIC-SOHIC-HF'!$S21,'Tables - Part 2'!$AX$5:$BA$5,0))+((INDEX('Tables - Part 2'!$BF$6:$BI$13,MATCH('HIC-SOHIC-HF'!$U21,'Tables - Part 2'!$AV$6:$AV$13,0),MATCH('HIC-SOHIC-HF'!$S21,'Tables - Part 2'!$AX$5:$BA$5,0))+(INDEX('Tables - Part 2'!$BF$6:$BI$13,MATCH('HIC-SOHIC-HF'!$U21,'Tables - Part 2'!$AV$6:$AV$13,0),MATCH('HIC-SOHIC-HF'!$S21,'Tables - Part 2'!$AX$5:$BA$5,0))+INDEX('Tables - Part 2'!$AX$17:$BA$24,MATCH('HIC-SOHIC-HF'!$U21,'Tables - Part 2'!$AV$6:$AV$13,0),MATCH('HIC-SOHIC-HF'!$S21,'Tables - Part 2'!$AX$5:$BA$5,0)))/2)/2))/2,0)</f>
        <v>0</v>
      </c>
      <c r="AT21" s="248">
        <f>IF($R21=$AT$3,(INDEX('Tables - Part 2'!$BF$6:$BI$13,MATCH('HIC-SOHIC-HF'!$U21,'Tables - Part 2'!$AV$6:$AV$13,0),MATCH('HIC-SOHIC-HF'!$S21,'Tables - Part 2'!$AX$5:$BA$5,0))+(INDEX('Tables - Part 2'!$BF$6:$BI$13,MATCH('HIC-SOHIC-HF'!$U21,'Tables - Part 2'!$AV$6:$AV$13,0),MATCH('HIC-SOHIC-HF'!$S21,'Tables - Part 2'!$AX$5:$BA$5,0))+INDEX('Tables - Part 2'!$AX$17:$BA$24,MATCH('HIC-SOHIC-HF'!$U21,'Tables - Part 2'!$AV$6:$AV$13,0),MATCH('HIC-SOHIC-HF'!$S21,'Tables - Part 2'!$AX$5:$BA$5,0)))/2)/2,0)</f>
        <v>0</v>
      </c>
      <c r="AU21" s="248">
        <f>IF($R21=$AU$3,(((INDEX('Tables - Part 2'!$BF$6:$BI$13,MATCH('HIC-SOHIC-HF'!$U21,'Tables - Part 2'!$AV$6:$AV$13,0),MATCH('HIC-SOHIC-HF'!$S21,'Tables - Part 2'!$AX$5:$BA$5,0))+(INDEX('Tables - Part 2'!$BF$6:$BI$13,MATCH('HIC-SOHIC-HF'!$U21,'Tables - Part 2'!$AV$6:$AV$13,0),MATCH('HIC-SOHIC-HF'!$S21,'Tables - Part 2'!$AX$5:$BA$5,0))+INDEX('Tables - Part 2'!$AX$17:$BA$24,MATCH('HIC-SOHIC-HF'!$U21,'Tables - Part 2'!$AV$6:$AV$13,0),MATCH('HIC-SOHIC-HF'!$S21,'Tables - Part 2'!$AX$5:$BA$5,0)))/2)/2)+((INDEX('Tables - Part 2'!$BF$6:$BI$13,MATCH('HIC-SOHIC-HF'!$U21,'Tables - Part 2'!$AV$6:$AV$13,0),MATCH('HIC-SOHIC-HF'!$S21,'Tables - Part 2'!$AX$5:$BA$5,0))+INDEX('Tables - Part 2'!$AX$17:$BA$24,MATCH('HIC-SOHIC-HF'!$U21,'Tables - Part 2'!$AV$6:$AV$13,0),MATCH('HIC-SOHIC-HF'!$S21,'Tables - Part 2'!$AX$5:$BA$5,0)))/2))/2,0)</f>
        <v>0</v>
      </c>
      <c r="AV21" s="248">
        <f>IF($R21=$AV$3,(INDEX('Tables - Part 2'!$BF$6:$BI$13,MATCH('HIC-SOHIC-HF'!$U21,'Tables - Part 2'!$AV$6:$AV$13,0),MATCH('HIC-SOHIC-HF'!$S21,'Tables - Part 2'!$AX$5:$BA$5,0))+INDEX('Tables - Part 2'!$AX$17:$BA$24,MATCH('HIC-SOHIC-HF'!$U21,'Tables - Part 2'!$AV$6:$AV$13,0),MATCH('HIC-SOHIC-HF'!$S21,'Tables - Part 2'!$AX$5:$BA$5,0)))/2,0)</f>
        <v>0</v>
      </c>
      <c r="AW21" s="248">
        <f>IF($R21=$AW$3,(((INDEX('Tables - Part 2'!$BF$6:$BI$13,MATCH('HIC-SOHIC-HF'!$U21,'Tables - Part 2'!$AV$6:$AV$13,0),MATCH('HIC-SOHIC-HF'!$S21,'Tables - Part 2'!$AX$5:$BA$5,0))+INDEX('Tables - Part 2'!$AX$17:$BA$24,MATCH('HIC-SOHIC-HF'!$U21,'Tables - Part 2'!$AV$6:$AV$13,0),MATCH('HIC-SOHIC-HF'!$S21,'Tables - Part 2'!$AX$5:$BA$5,0)))/2)+((((INDEX('Tables - Part 2'!$BF$6:$BI$13,MATCH('HIC-SOHIC-HF'!$U21,'Tables - Part 2'!$AV$6:$AV$13,0),MATCH('HIC-SOHIC-HF'!$S21,'Tables - Part 2'!$AX$5:$BA$5,0))+INDEX('Tables - Part 2'!$AX$17:$BA$24,MATCH('HIC-SOHIC-HF'!$U21,'Tables - Part 2'!$AV$6:$AV$13,0),MATCH('HIC-SOHIC-HF'!$S21,'Tables - Part 2'!$AX$5:$BA$5,0)))/2)+INDEX('Tables - Part 2'!$AX$17:$BA$24,MATCH('HIC-SOHIC-HF'!$U21,'Tables - Part 2'!$AV$6:$AV$13,0),MATCH('HIC-SOHIC-HF'!$S21,'Tables - Part 2'!$AX$5:$BA$5,0)))/2))/2,0)</f>
        <v>0</v>
      </c>
      <c r="AX21" s="248">
        <f>IF($R21=$AX$3,(((INDEX('Tables - Part 2'!$BF$6:$BI$13,MATCH('HIC-SOHIC-HF'!$U21,'Tables - Part 2'!$AV$6:$AV$13,0),MATCH('HIC-SOHIC-HF'!$S21,'Tables - Part 2'!$AX$5:$BA$5,0))+INDEX('Tables - Part 2'!$AX$17:$BA$24,MATCH('HIC-SOHIC-HF'!$U21,'Tables - Part 2'!$AV$6:$AV$13,0),MATCH('HIC-SOHIC-HF'!$S21,'Tables - Part 2'!$AX$5:$BA$5,0)))/2)+INDEX('Tables - Part 2'!$AX$17:$BA$24,MATCH('HIC-SOHIC-HF'!$U21,'Tables - Part 2'!$AV$6:$AV$13,0),MATCH('HIC-SOHIC-HF'!$S21,'Tables - Part 2'!$AX$5:$BA$5,0)))/2,0)</f>
        <v>0</v>
      </c>
      <c r="AY21" s="248">
        <f>IF($R21=$AY$3,(((((INDEX('Tables - Part 2'!$BF$6:$BI$13,MATCH('HIC-SOHIC-HF'!$U21,'Tables - Part 2'!$AV$6:$AV$13,0),MATCH('HIC-SOHIC-HF'!$S21,'Tables - Part 2'!$AX$5:$BA$5,0))+INDEX('Tables - Part 2'!$AX$17:$BA$24,MATCH('HIC-SOHIC-HF'!$U21,'Tables - Part 2'!$AV$6:$AV$13,0),MATCH('HIC-SOHIC-HF'!$S21,'Tables - Part 2'!$AX$5:$BA$5,0)))/2)+INDEX('Tables - Part 2'!$AX$17:$BA$24,MATCH('HIC-SOHIC-HF'!$U21,'Tables - Part 2'!$AV$6:$AV$13,0),MATCH('HIC-SOHIC-HF'!$S21,'Tables - Part 2'!$AX$5:$BA$5,0)))/2)+(INDEX('Tables - Part 2'!$AX$17:$BA$24,MATCH('HIC-SOHIC-HF'!$U21,'Tables - Part 2'!$AV$6:$AV$13,0),MATCH('HIC-SOHIC-HF'!$S21,'Tables - Part 2'!$AX$5:$BA$5,0))))/2,0)</f>
        <v>0</v>
      </c>
      <c r="AZ21" s="248">
        <f>IF($R21=$AZ$3,INDEX('Tables - Part 2'!$AX$17:$BA$24,MATCH('HIC-SOHIC-HF'!$U21,'Tables - Part 2'!$AV$6:$AV$13,0),MATCH('HIC-SOHIC-HF'!$S21,'Tables - Part 2'!$AX$5:$BA$5,0)),0)</f>
        <v>0</v>
      </c>
      <c r="BA21" s="248">
        <f>IF($R21=$BA$3,((INDEX('Tables - Part 2'!$AX$17:$BA$24,MATCH('HIC-SOHIC-HF'!$U21,'Tables - Part 2'!$AV$6:$AV$13,0),MATCH('HIC-SOHIC-HF'!$S21,'Tables - Part 2'!$AX$5:$BA$5,0)))+(((INDEX('Tables - Part 2'!$AX$17:$BA$24,MATCH('HIC-SOHIC-HF'!$U21,'Tables - Part 2'!$AV$6:$AV$13,0),MATCH('HIC-SOHIC-HF'!$S21,'Tables - Part 2'!$AX$5:$BA$5,0)))+(INDEX('Tables - Part 2'!$AX$17:$BA$24,MATCH('HIC-SOHIC-HF'!$U21,'Tables - Part 2'!$AV$6:$AV$13,0),MATCH('HIC-SOHIC-HF'!$S21,'Tables - Part 2'!$AX$5:$BA$5,0))+INDEX('Tables - Part 2'!$BB$17:$BE$24,MATCH('HIC-SOHIC-HF'!$U21,'Tables - Part 2'!$AV$6:$AV$13,0),MATCH('HIC-SOHIC-HF'!$S21,'Tables - Part 2'!$AX$5:$BA$5,0)))/2)/2))/2,0)</f>
        <v>0</v>
      </c>
      <c r="BB21" s="248">
        <f>IF($R21=$BB$3,((INDEX('Tables - Part 2'!$AX$17:$BA$24,MATCH('HIC-SOHIC-HF'!$U21,'Tables - Part 2'!$AV$6:$AV$13,0),MATCH('HIC-SOHIC-HF'!$S21,'Tables - Part 2'!$AX$5:$BA$5,0)))+(INDEX('Tables - Part 2'!$AX$17:$BA$24,MATCH('HIC-SOHIC-HF'!$U21,'Tables - Part 2'!$AV$6:$AV$13,0),MATCH('HIC-SOHIC-HF'!$S21,'Tables - Part 2'!$AX$5:$BA$5,0))+INDEX('Tables - Part 2'!$BB$17:$BE$24,MATCH('HIC-SOHIC-HF'!$U21,'Tables - Part 2'!$AV$6:$AV$13,0),MATCH('HIC-SOHIC-HF'!$S21,'Tables - Part 2'!$AX$5:$BA$5,0)))/2)/2,0)</f>
        <v>0</v>
      </c>
      <c r="BC21" s="248">
        <f>IF($R21=$BC$3,((((INDEX('Tables - Part 2'!$AX$17:$BA$24,MATCH('HIC-SOHIC-HF'!$U21,'Tables - Part 2'!$AV$6:$AV$13,0),MATCH('HIC-SOHIC-HF'!$S21,'Tables - Part 2'!$AX$5:$BA$5,0)))+(INDEX('Tables - Part 2'!$AX$17:$BA$24,MATCH('HIC-SOHIC-HF'!$U21,'Tables - Part 2'!$AV$6:$AV$13,0),MATCH('HIC-SOHIC-HF'!$S21,'Tables - Part 2'!$AX$5:$BA$5,0))+INDEX('Tables - Part 2'!$BB$17:$BE$24,MATCH('HIC-SOHIC-HF'!$U21,'Tables - Part 2'!$AV$6:$AV$13,0),MATCH('HIC-SOHIC-HF'!$S21,'Tables - Part 2'!$AX$5:$BA$5,0)))/2)/2)+((INDEX('Tables - Part 2'!$AX$17:$BA$24,MATCH('HIC-SOHIC-HF'!$U21,'Tables - Part 2'!$AV$6:$AV$13,0),MATCH('HIC-SOHIC-HF'!$S21,'Tables - Part 2'!$AX$5:$BA$5,0))+INDEX('Tables - Part 2'!$BB$17:$BE$24,MATCH('HIC-SOHIC-HF'!$U21,'Tables - Part 2'!$AV$6:$AV$13,0),MATCH('HIC-SOHIC-HF'!$S21,'Tables - Part 2'!$AX$5:$BA$5,0)))/2))/2,0)</f>
        <v>0</v>
      </c>
      <c r="BD21" s="248">
        <f>IF($R21=$BD$3,(INDEX('Tables - Part 2'!$AX$17:$BA$24,MATCH('HIC-SOHIC-HF'!$U21,'Tables - Part 2'!$AV$6:$AV$13,0),MATCH('HIC-SOHIC-HF'!$S21,'Tables - Part 2'!$AX$5:$BA$5,0))+INDEX('Tables - Part 2'!$BB$17:$BE$24,MATCH('HIC-SOHIC-HF'!$U21,'Tables - Part 2'!$AV$6:$AV$13,0),MATCH('HIC-SOHIC-HF'!$S21,'Tables - Part 2'!$AX$5:$BA$5,0)))/2,0)</f>
        <v>0</v>
      </c>
      <c r="BE21" s="248">
        <f>IF($R21=$BE$3,(((INDEX('Tables - Part 2'!$AX$17:$BA$24,MATCH('HIC-SOHIC-HF'!$U21,'Tables - Part 2'!$AV$6:$AV$13,0),MATCH('HIC-SOHIC-HF'!$S21,'Tables - Part 2'!$AX$5:$BA$5,0))+INDEX('Tables - Part 2'!$BB$17:$BE$24,MATCH('HIC-SOHIC-HF'!$U21,'Tables - Part 2'!$AV$6:$AV$13,0),MATCH('HIC-SOHIC-HF'!$S21,'Tables - Part 2'!$AX$5:$BA$5,0)))/2)+((((INDEX('Tables - Part 2'!$AX$17:$BA$24,MATCH('HIC-SOHIC-HF'!$U21,'Tables - Part 2'!$AV$6:$AV$13,0),MATCH('HIC-SOHIC-HF'!$S21,'Tables - Part 2'!$AX$5:$BA$5,0))+INDEX('Tables - Part 2'!$BB$17:$BE$24,MATCH('HIC-SOHIC-HF'!$U21,'Tables - Part 2'!$AV$6:$AV$13,0),MATCH('HIC-SOHIC-HF'!$S21,'Tables - Part 2'!$AX$5:$BA$5,0)))/2)+INDEX('Tables - Part 2'!$BB$17:$BE$24,MATCH('HIC-SOHIC-HF'!$U21,'Tables - Part 2'!$AV$6:$AV$13,0),MATCH('HIC-SOHIC-HF'!$S21,'Tables - Part 2'!$AX$5:$BA$5,0)))/2))/2,0)</f>
        <v>0</v>
      </c>
      <c r="BF21" s="248">
        <f>IF($R21=$BF$3,(((INDEX('Tables - Part 2'!$AX$17:$BA$24,MATCH('HIC-SOHIC-HF'!$U21,'Tables - Part 2'!$AV$6:$AV$13,0),MATCH('HIC-SOHIC-HF'!$S21,'Tables - Part 2'!$AX$5:$BA$5,0))+INDEX('Tables - Part 2'!$BB$17:$BE$24,MATCH('HIC-SOHIC-HF'!$U21,'Tables - Part 2'!$AV$6:$AV$13,0),MATCH('HIC-SOHIC-HF'!$S21,'Tables - Part 2'!$AX$5:$BA$5,0)))/2)+INDEX('Tables - Part 2'!$BB$17:$BE$24,MATCH('HIC-SOHIC-HF'!$U21,'Tables - Part 2'!$AV$6:$AV$13,0),MATCH('HIC-SOHIC-HF'!$S21,'Tables - Part 2'!$AX$5:$BA$5,0)))/2,0)</f>
        <v>0</v>
      </c>
      <c r="BG21" s="248">
        <f>IF($R21=$BG$3,(((((INDEX('Tables - Part 2'!$AX$17:$BA$24,MATCH('HIC-SOHIC-HF'!$U21,'Tables - Part 2'!$AV$6:$AV$13,0),MATCH('HIC-SOHIC-HF'!$S21,'Tables - Part 2'!$AX$5:$BA$5,0))+INDEX('Tables - Part 2'!$BB$17:$BE$24,MATCH('HIC-SOHIC-HF'!$U21,'Tables - Part 2'!$AV$6:$AV$13,0),MATCH('HIC-SOHIC-HF'!$S21,'Tables - Part 2'!$AX$5:$BA$5,0)))/2)+INDEX('Tables - Part 2'!$BB$17:$BE$24,MATCH('HIC-SOHIC-HF'!$U21,'Tables - Part 2'!$AV$6:$AV$13,0),MATCH('HIC-SOHIC-HF'!$S21,'Tables - Part 2'!$AX$5:$BA$5,0)))/2)+(INDEX('Tables - Part 2'!$BB$17:$BE$24,MATCH('HIC-SOHIC-HF'!$U21,'Tables - Part 2'!$AV$6:$AV$13,0),MATCH('HIC-SOHIC-HF'!$S21,'Tables - Part 2'!$AX$5:$BA$5,0))))/2,0)</f>
        <v>0</v>
      </c>
      <c r="BH21" s="248">
        <f>IF($R21=$BH$3,INDEX('Tables - Part 2'!$BB$17:$BE$24,MATCH('HIC-SOHIC-HF'!$U21,'Tables - Part 2'!$AV$6:$AV$13,0),MATCH('HIC-SOHIC-HF'!$S21,'Tables - Part 2'!$AX$5:$BA$5,0)),0)</f>
        <v>0</v>
      </c>
      <c r="BI21" s="248">
        <f>IF($R21=$BI$3,((INDEX('Tables - Part 2'!$BB$17:$BE$24,MATCH('HIC-SOHIC-HF'!$U21,'Tables - Part 2'!$AV$6:$AV$13,0),MATCH('HIC-SOHIC-HF'!$S21,'Tables - Part 2'!$AX$5:$BA$5,0)))+(((INDEX('Tables - Part 2'!$BB$17:$BE$24,MATCH('HIC-SOHIC-HF'!$U21,'Tables - Part 2'!$AV$6:$AV$13,0),MATCH('HIC-SOHIC-HF'!$S21,'Tables - Part 2'!$AX$5:$BA$5,0)))+(INDEX('Tables - Part 2'!$BB$17:$BE$24,MATCH('HIC-SOHIC-HF'!$U21,'Tables - Part 2'!$AV$6:$AV$13,0),MATCH('HIC-SOHIC-HF'!$S21,'Tables - Part 2'!$AX$5:$BA$5,0))+INDEX('Tables - Part 2'!$BF$17:$BI$24,MATCH('HIC-SOHIC-HF'!$U21,'Tables - Part 2'!$AV$6:$AV$13,0),MATCH('HIC-SOHIC-HF'!$S21,'Tables - Part 2'!$AX$5:$BA$5,0)))/2)/2))/2,0)</f>
        <v>0</v>
      </c>
      <c r="BJ21" s="248">
        <f>IF($R21=$BJ$3,((INDEX('Tables - Part 2'!$BB$17:$BE$24,MATCH('HIC-SOHIC-HF'!$U21,'Tables - Part 2'!$AV$6:$AV$13,0),MATCH('HIC-SOHIC-HF'!$S21,'Tables - Part 2'!$AX$5:$BA$5,0)))+(INDEX('Tables - Part 2'!$BB$17:$BE$24,MATCH('HIC-SOHIC-HF'!$U21,'Tables - Part 2'!$AV$6:$AV$13,0),MATCH('HIC-SOHIC-HF'!$S21,'Tables - Part 2'!$AX$5:$BA$5,0))+INDEX('Tables - Part 2'!$BF$17:$BI$24,MATCH('HIC-SOHIC-HF'!$U21,'Tables - Part 2'!$AV$6:$AV$13,0),MATCH('HIC-SOHIC-HF'!$S21,'Tables - Part 2'!$AX$5:$BA$5,0)))/2)/2,0)</f>
        <v>0</v>
      </c>
      <c r="BK21" s="248">
        <f>IF($R21=$BK$3,((((INDEX('Tables - Part 2'!$BB$17:$BE$24,MATCH('HIC-SOHIC-HF'!$U21,'Tables - Part 2'!$AV$6:$AV$13,0),MATCH('HIC-SOHIC-HF'!$S21,'Tables - Part 2'!$AX$5:$BA$5,0)))+(INDEX('Tables - Part 2'!$BB$17:$BE$24,MATCH('HIC-SOHIC-HF'!$U21,'Tables - Part 2'!$AV$6:$AV$13,0),MATCH('HIC-SOHIC-HF'!$S21,'Tables - Part 2'!$AX$5:$BA$5,0))+INDEX('Tables - Part 2'!$BF$17:$BI$24,MATCH('HIC-SOHIC-HF'!$U21,'Tables - Part 2'!$AV$6:$AV$13,0),MATCH('HIC-SOHIC-HF'!$S21,'Tables - Part 2'!$AX$5:$BA$5,0)))/2)/2)+((INDEX('Tables - Part 2'!$BB$17:$BE$24,MATCH('HIC-SOHIC-HF'!$U21,'Tables - Part 2'!$AV$6:$AV$13,0),MATCH('HIC-SOHIC-HF'!$S21,'Tables - Part 2'!$AX$5:$BA$5,0))+INDEX('Tables - Part 2'!$BF$17:$BI$24,MATCH('HIC-SOHIC-HF'!$U21,'Tables - Part 2'!$AV$6:$AV$13,0),MATCH('HIC-SOHIC-HF'!$S21,'Tables - Part 2'!$AX$5:$BA$5,0)))/2))/2,0)</f>
        <v>0</v>
      </c>
      <c r="BL21" s="248">
        <f>IF($R21=$BL$3,(INDEX('Tables - Part 2'!$BB$17:$BE$24,MATCH('HIC-SOHIC-HF'!$U21,'Tables - Part 2'!$AV$6:$AV$13,0),MATCH('HIC-SOHIC-HF'!$S21,'Tables - Part 2'!$AX$5:$BA$5,0))+INDEX('Tables - Part 2'!$BF$17:$BI$24,MATCH('HIC-SOHIC-HF'!$U21,'Tables - Part 2'!$AV$6:$AV$13,0),MATCH('HIC-SOHIC-HF'!$S21,'Tables - Part 2'!$AX$5:$BA$5,0)))/2,0)</f>
        <v>0</v>
      </c>
      <c r="BM21" s="248">
        <f>IF($R21=$BM$3,(((INDEX('Tables - Part 2'!$BB$17:$BE$24,MATCH('HIC-SOHIC-HF'!$U21,'Tables - Part 2'!$AV$6:$AV$13,0),MATCH('HIC-SOHIC-HF'!$S21,'Tables - Part 2'!$AX$5:$BA$5,0))+INDEX('Tables - Part 2'!$BF$17:$BI$24,MATCH('HIC-SOHIC-HF'!$U21,'Tables - Part 2'!$AV$6:$AV$13,0),MATCH('HIC-SOHIC-HF'!$S21,'Tables - Part 2'!$AX$5:$BA$5,0)))/2)+((((INDEX('Tables - Part 2'!$BB$17:$BE$24,MATCH('HIC-SOHIC-HF'!$U21,'Tables - Part 2'!$AV$6:$AV$13,0),MATCH('HIC-SOHIC-HF'!$S21,'Tables - Part 2'!$AX$5:$BA$5,0))+INDEX('Tables - Part 2'!$BF$17:$BI$24,MATCH('HIC-SOHIC-HF'!$U21,'Tables - Part 2'!$AV$6:$AV$13,0),MATCH('HIC-SOHIC-HF'!$S21,'Tables - Part 2'!$AX$5:$BA$5,0)))/2)+INDEX('Tables - Part 2'!$BF$17:$BI$24,MATCH('HIC-SOHIC-HF'!$U21,'Tables - Part 2'!$AV$6:$AV$13,0),MATCH('HIC-SOHIC-HF'!$S21,'Tables - Part 2'!$AX$5:$BA$5,0)))/2))/2,0)</f>
        <v>0</v>
      </c>
      <c r="BN21" s="248">
        <f>IF($R21=$BN$3,(((INDEX('Tables - Part 2'!$BB$17:$BE$24,MATCH('HIC-SOHIC-HF'!$U21,'Tables - Part 2'!$AV$6:$AV$13,0),MATCH('HIC-SOHIC-HF'!$S21,'Tables - Part 2'!$AX$5:$BA$5,0))+INDEX('Tables - Part 2'!$BF$17:$BI$24,MATCH('HIC-SOHIC-HF'!$U21,'Tables - Part 2'!$AV$6:$AV$13,0),MATCH('HIC-SOHIC-HF'!$S21,'Tables - Part 2'!$AX$5:$BA$5,0)))/2)+INDEX('Tables - Part 2'!$BF$17:$BI$24,MATCH('HIC-SOHIC-HF'!$U21,'Tables - Part 2'!$AV$6:$AV$13,0),MATCH('HIC-SOHIC-HF'!$S21,'Tables - Part 2'!$AX$5:$BA$5,0)))/2,0)</f>
        <v>0</v>
      </c>
      <c r="BO21" s="248">
        <f>IF($R21=$BO$3,(((((INDEX('Tables - Part 2'!$BB$17:$BE$24,MATCH('HIC-SOHIC-HF'!$U21,'Tables - Part 2'!$AV$6:$AV$13,0),MATCH('HIC-SOHIC-HF'!$S21,'Tables - Part 2'!$AX$5:$BA$5,0))+INDEX('Tables - Part 2'!$BF$17:$BI$24,MATCH('HIC-SOHIC-HF'!$U21,'Tables - Part 2'!$AV$6:$AV$13,0),MATCH('HIC-SOHIC-HF'!$S21,'Tables - Part 2'!$AX$5:$BA$5,0)))/2)+INDEX('Tables - Part 2'!$BF$17:$BI$24,MATCH('HIC-SOHIC-HF'!$U21,'Tables - Part 2'!$AV$6:$AV$13,0),MATCH('HIC-SOHIC-HF'!$S21,'Tables - Part 2'!$AX$5:$BA$5,0)))/2)+(INDEX('Tables - Part 2'!$BF$17:$BI$24,MATCH('HIC-SOHIC-HF'!$U21,'Tables - Part 2'!$AV$6:$AV$13,0),MATCH('HIC-SOHIC-HF'!$S21,'Tables - Part 2'!$AX$5:$BA$5,0))))/2,0)</f>
        <v>0</v>
      </c>
      <c r="BP21" s="248">
        <f>IF($R21=$BP$3,INDEX('Tables - Part 2'!$BF$17:$BI$24,MATCH('HIC-SOHIC-HF'!$U21,'Tables - Part 2'!$AV$6:$AV$13,0),MATCH('HIC-SOHIC-HF'!$S21,'Tables - Part 2'!$AX$5:$BA$5,0)),0)</f>
        <v>0</v>
      </c>
      <c r="BQ21" s="248">
        <f t="shared" si="6"/>
        <v>0</v>
      </c>
      <c r="BR21" s="238">
        <f t="shared" si="7"/>
        <v>3</v>
      </c>
      <c r="BS21" s="238">
        <f t="shared" si="8"/>
        <v>50.318647405225171</v>
      </c>
    </row>
  </sheetData>
  <mergeCells count="1">
    <mergeCell ref="X2:AA2"/>
  </mergeCells>
  <dataValidations count="2">
    <dataValidation type="list" allowBlank="1" showInputMessage="1" showErrorMessage="1" sqref="E4:E21" xr:uid="{00000000-0002-0000-1700-000000000000}">
      <formula1>$BX$2:$BX$4</formula1>
    </dataValidation>
    <dataValidation type="list" allowBlank="1" showInputMessage="1" showErrorMessage="1" sqref="F4:G21 I4:I21" xr:uid="{00000000-0002-0000-1700-000001000000}">
      <formula1>$U$8:$U$9</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700-000003000000}">
          <x14:formula1>
            <xm:f>'Tables - Part 2'!$EI$4:$EK$4</xm:f>
          </x14:formula1>
          <xm:sqref>H4:H21</xm:sqref>
        </x14:dataValidation>
        <x14:dataValidation type="list" allowBlank="1" showInputMessage="1" showErrorMessage="1" xr:uid="{00000000-0002-0000-1700-000004000000}">
          <x14:formula1>
            <xm:f>'Tables - Part 2'!$EP$4:$EP$7</xm:f>
          </x14:formula1>
          <xm:sqref>J4:J21</xm:sqref>
        </x14:dataValidation>
        <x14:dataValidation type="list" allowBlank="1" showInputMessage="1" showErrorMessage="1" xr:uid="{00000000-0002-0000-1700-000005000000}">
          <x14:formula1>
            <xm:f>COF!$TH$10:$TH$11</xm:f>
          </x14:formula1>
          <xm:sqref>D4:D21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9"/>
  <dimension ref="B1:CI21"/>
  <sheetViews>
    <sheetView zoomScale="85" zoomScaleNormal="85" workbookViewId="0">
      <selection activeCell="AL4" sqref="AL4"/>
    </sheetView>
  </sheetViews>
  <sheetFormatPr defaultRowHeight="14.5" x14ac:dyDescent="0.35"/>
  <cols>
    <col min="1" max="1" width="1.26953125" customWidth="1"/>
    <col min="2" max="3" width="15.453125" customWidth="1"/>
    <col min="4" max="4" width="23.54296875" customWidth="1"/>
    <col min="5" max="5" width="30" customWidth="1"/>
    <col min="6" max="7" width="22" customWidth="1"/>
    <col min="9" max="9" width="19" customWidth="1"/>
    <col min="10" max="10" width="10.81640625" customWidth="1"/>
    <col min="11" max="11" width="20.26953125" customWidth="1"/>
    <col min="12" max="12" width="10.81640625" customWidth="1"/>
    <col min="13" max="13" width="22.7265625" customWidth="1"/>
    <col min="14" max="14" width="33.26953125" customWidth="1"/>
    <col min="15" max="15" width="14.7265625" customWidth="1"/>
    <col min="16" max="17" width="10.81640625" customWidth="1"/>
    <col min="18" max="18" width="11" customWidth="1"/>
    <col min="19" max="19" width="7.81640625" customWidth="1"/>
    <col min="20" max="20" width="23.26953125" customWidth="1"/>
    <col min="21" max="21" width="14.7265625" customWidth="1"/>
    <col min="22" max="22" width="18.81640625" customWidth="1"/>
    <col min="23" max="23" width="21" customWidth="1"/>
    <col min="24" max="24" width="10.81640625" customWidth="1"/>
    <col min="25" max="25" width="12.54296875" customWidth="1"/>
    <col min="26" max="26" width="12.1796875" customWidth="1"/>
    <col min="27" max="27" width="12.81640625" customWidth="1"/>
    <col min="28" max="28" width="21.26953125" customWidth="1"/>
    <col min="29" max="31" width="10.81640625" customWidth="1"/>
    <col min="32" max="33" width="15" customWidth="1"/>
    <col min="34" max="34" width="23.7265625" customWidth="1"/>
    <col min="35" max="35" width="20.1796875" customWidth="1"/>
    <col min="36" max="38" width="15" customWidth="1"/>
    <col min="39" max="39" width="17" customWidth="1"/>
    <col min="40" max="40" width="15" customWidth="1"/>
    <col min="42" max="42" width="11.81640625" bestFit="1" customWidth="1"/>
    <col min="43" max="43" width="11.26953125" customWidth="1"/>
    <col min="44" max="45" width="13.7265625" customWidth="1"/>
    <col min="46" max="48" width="14.54296875" customWidth="1"/>
    <col min="49" max="49" width="16.26953125" customWidth="1"/>
    <col min="50" max="51" width="16.1796875" customWidth="1"/>
    <col min="52" max="53" width="16.26953125" customWidth="1"/>
    <col min="54" max="55" width="16.1796875" customWidth="1"/>
    <col min="56" max="57" width="16.26953125" customWidth="1"/>
    <col min="58" max="59" width="16.1796875" customWidth="1"/>
    <col min="60" max="60" width="16.26953125" customWidth="1"/>
    <col min="61" max="63" width="12" customWidth="1"/>
    <col min="64" max="66" width="15" customWidth="1"/>
    <col min="67" max="68" width="11.54296875" customWidth="1"/>
    <col min="69" max="69" width="12" customWidth="1"/>
    <col min="70" max="70" width="19.26953125" customWidth="1"/>
  </cols>
  <sheetData>
    <row r="1" spans="2:87" ht="6" customHeight="1" x14ac:dyDescent="0.35"/>
    <row r="2" spans="2:87" x14ac:dyDescent="0.35">
      <c r="D2" s="703" t="s">
        <v>900</v>
      </c>
      <c r="E2" s="704"/>
      <c r="H2" s="696" t="s">
        <v>901</v>
      </c>
      <c r="I2" s="696"/>
      <c r="J2" s="696"/>
      <c r="K2" s="697" t="s">
        <v>866</v>
      </c>
      <c r="L2" s="699"/>
      <c r="M2" s="250"/>
      <c r="N2" s="250"/>
      <c r="O2" s="249" t="s">
        <v>856</v>
      </c>
      <c r="P2" s="697" t="s">
        <v>862</v>
      </c>
      <c r="Q2" s="699"/>
      <c r="R2" s="697" t="s">
        <v>883</v>
      </c>
      <c r="S2" s="698"/>
      <c r="T2" s="698"/>
      <c r="U2" s="699"/>
      <c r="V2" s="697" t="s">
        <v>809</v>
      </c>
      <c r="W2" s="699"/>
      <c r="X2" s="697" t="s">
        <v>813</v>
      </c>
      <c r="Y2" s="698"/>
      <c r="Z2" s="698"/>
      <c r="AA2" s="699"/>
      <c r="AB2" s="258" t="s">
        <v>1041</v>
      </c>
      <c r="AC2" s="213"/>
      <c r="AD2" s="697" t="s">
        <v>857</v>
      </c>
      <c r="AE2" s="698"/>
      <c r="AF2" s="698"/>
      <c r="AG2" s="698"/>
      <c r="AH2" s="698"/>
      <c r="AI2" s="699"/>
      <c r="AJ2" s="696" t="s">
        <v>769</v>
      </c>
      <c r="AK2" s="696"/>
      <c r="AL2" s="249" t="s">
        <v>771</v>
      </c>
      <c r="AM2" s="697" t="s">
        <v>773</v>
      </c>
      <c r="AN2" s="698"/>
      <c r="AO2" s="699"/>
      <c r="AP2" s="249" t="s">
        <v>928</v>
      </c>
      <c r="AQ2" s="257" t="s">
        <v>791</v>
      </c>
      <c r="AR2" s="257" t="s">
        <v>931</v>
      </c>
      <c r="AS2" s="257" t="s">
        <v>812</v>
      </c>
      <c r="AT2" s="696" t="s">
        <v>932</v>
      </c>
      <c r="AU2" s="696"/>
      <c r="AV2" s="696"/>
      <c r="AW2" s="696"/>
      <c r="AX2" s="696"/>
      <c r="AY2" s="696"/>
      <c r="AZ2" s="696"/>
      <c r="BA2" s="696"/>
      <c r="BB2" s="696"/>
      <c r="BC2" s="696"/>
      <c r="BD2" s="696"/>
      <c r="BE2" s="696"/>
      <c r="BF2" s="696"/>
      <c r="BG2" s="696"/>
      <c r="BH2" s="696"/>
      <c r="BI2" s="696"/>
      <c r="BJ2" s="696"/>
      <c r="BK2" s="696"/>
      <c r="BL2" s="696" t="s">
        <v>814</v>
      </c>
      <c r="BM2" s="696"/>
      <c r="BN2" s="696"/>
      <c r="BO2" s="696" t="s">
        <v>815</v>
      </c>
      <c r="BP2" s="696"/>
      <c r="BQ2" s="696"/>
      <c r="BR2" s="257" t="s">
        <v>814</v>
      </c>
      <c r="BX2">
        <v>1</v>
      </c>
      <c r="BY2" t="s">
        <v>244</v>
      </c>
      <c r="BZ2" t="s">
        <v>904</v>
      </c>
      <c r="CE2" s="208" t="s">
        <v>738</v>
      </c>
      <c r="CF2">
        <v>0.2</v>
      </c>
      <c r="CG2" s="208" t="s">
        <v>741</v>
      </c>
      <c r="CH2" s="208" t="s">
        <v>742</v>
      </c>
      <c r="CI2" s="208" t="s">
        <v>743</v>
      </c>
    </row>
    <row r="3" spans="2:87" ht="29" x14ac:dyDescent="0.35">
      <c r="B3" s="134" t="s">
        <v>968</v>
      </c>
      <c r="C3" s="134" t="s">
        <v>969</v>
      </c>
      <c r="D3" s="139" t="s">
        <v>899</v>
      </c>
      <c r="E3" s="139" t="s">
        <v>826</v>
      </c>
      <c r="F3" s="134" t="s">
        <v>321</v>
      </c>
      <c r="G3" s="134" t="s">
        <v>951</v>
      </c>
      <c r="H3" s="134" t="s">
        <v>755</v>
      </c>
      <c r="I3" s="134" t="s">
        <v>920</v>
      </c>
      <c r="J3" s="134" t="s">
        <v>754</v>
      </c>
      <c r="K3" s="134" t="s">
        <v>763</v>
      </c>
      <c r="L3" s="134" t="s">
        <v>919</v>
      </c>
      <c r="M3" s="134" t="s">
        <v>922</v>
      </c>
      <c r="N3" s="134" t="s">
        <v>923</v>
      </c>
      <c r="O3" s="134" t="s">
        <v>903</v>
      </c>
      <c r="P3" s="134" t="s">
        <v>916</v>
      </c>
      <c r="Q3" s="134" t="s">
        <v>917</v>
      </c>
      <c r="R3" s="134" t="s">
        <v>772</v>
      </c>
      <c r="S3" s="134" t="s">
        <v>786</v>
      </c>
      <c r="T3" s="134" t="s">
        <v>787</v>
      </c>
      <c r="U3" s="134" t="s">
        <v>774</v>
      </c>
      <c r="V3" s="134" t="s">
        <v>775</v>
      </c>
      <c r="W3" s="134" t="s">
        <v>776</v>
      </c>
      <c r="X3" s="134" t="s">
        <v>713</v>
      </c>
      <c r="Y3" s="134" t="s">
        <v>714</v>
      </c>
      <c r="Z3" s="134" t="s">
        <v>715</v>
      </c>
      <c r="AA3" s="134" t="s">
        <v>716</v>
      </c>
      <c r="AB3" s="134" t="s">
        <v>810</v>
      </c>
      <c r="AC3" s="134" t="s">
        <v>756</v>
      </c>
      <c r="AD3" s="134" t="s">
        <v>911</v>
      </c>
      <c r="AE3" s="134" t="s">
        <v>912</v>
      </c>
      <c r="AF3" s="134" t="s">
        <v>913</v>
      </c>
      <c r="AG3" s="134" t="s">
        <v>914</v>
      </c>
      <c r="AH3" s="134" t="s">
        <v>902</v>
      </c>
      <c r="AI3" s="134" t="s">
        <v>915</v>
      </c>
      <c r="AJ3" s="134" t="s">
        <v>919</v>
      </c>
      <c r="AK3" s="272" t="s">
        <v>918</v>
      </c>
      <c r="AL3" s="134" t="s">
        <v>921</v>
      </c>
      <c r="AM3" s="134" t="s">
        <v>925</v>
      </c>
      <c r="AN3" s="134" t="s">
        <v>926</v>
      </c>
      <c r="AO3" s="134" t="s">
        <v>927</v>
      </c>
      <c r="AP3" s="134" t="s">
        <v>929</v>
      </c>
      <c r="AQ3" s="134" t="s">
        <v>712</v>
      </c>
      <c r="AR3" s="134" t="s">
        <v>1265</v>
      </c>
      <c r="AS3" s="134" t="s">
        <v>1266</v>
      </c>
      <c r="AT3" s="134" t="s">
        <v>1267</v>
      </c>
      <c r="AU3" s="134" t="s">
        <v>1268</v>
      </c>
      <c r="AV3" s="134" t="s">
        <v>1269</v>
      </c>
      <c r="AW3" s="134" t="s">
        <v>1270</v>
      </c>
      <c r="AX3" s="134" t="s">
        <v>1271</v>
      </c>
      <c r="AY3" s="134" t="s">
        <v>1272</v>
      </c>
      <c r="AZ3" s="134" t="s">
        <v>1273</v>
      </c>
      <c r="BA3" s="134" t="s">
        <v>1274</v>
      </c>
      <c r="BB3" s="134" t="s">
        <v>1275</v>
      </c>
      <c r="BC3" s="134" t="s">
        <v>1276</v>
      </c>
      <c r="BD3" s="134" t="s">
        <v>1277</v>
      </c>
      <c r="BE3" s="134" t="s">
        <v>1278</v>
      </c>
      <c r="BF3" s="134" t="s">
        <v>1279</v>
      </c>
      <c r="BG3" s="134" t="s">
        <v>1280</v>
      </c>
      <c r="BH3" s="134" t="s">
        <v>1281</v>
      </c>
      <c r="BI3" s="134" t="s">
        <v>1282</v>
      </c>
      <c r="BJ3" s="134" t="s">
        <v>1283</v>
      </c>
      <c r="BK3" s="134" t="s">
        <v>1284</v>
      </c>
      <c r="BL3" s="134" t="s">
        <v>1285</v>
      </c>
      <c r="BM3" s="134" t="s">
        <v>1286</v>
      </c>
      <c r="BN3" s="134" t="s">
        <v>1287</v>
      </c>
      <c r="BO3" s="134" t="s">
        <v>1288</v>
      </c>
      <c r="BP3" s="134" t="s">
        <v>1289</v>
      </c>
      <c r="BQ3" s="134" t="s">
        <v>1290</v>
      </c>
      <c r="BR3" s="244" t="s">
        <v>1291</v>
      </c>
      <c r="BX3">
        <v>2</v>
      </c>
      <c r="BY3" t="s">
        <v>245</v>
      </c>
      <c r="BZ3" t="s">
        <v>840</v>
      </c>
      <c r="CA3" t="s">
        <v>924</v>
      </c>
      <c r="CE3" t="s">
        <v>739</v>
      </c>
      <c r="CF3">
        <v>0.2</v>
      </c>
      <c r="CG3">
        <v>1</v>
      </c>
      <c r="CH3">
        <v>2</v>
      </c>
      <c r="CI3">
        <v>4</v>
      </c>
    </row>
    <row r="4" spans="2:87" x14ac:dyDescent="0.35">
      <c r="B4" s="161" t="str">
        <f>'Tratamento de Dados'!B12</f>
        <v>V-90</v>
      </c>
      <c r="C4" s="161" t="str">
        <f>'Tratamento de Dados'!D12</f>
        <v>Casco</v>
      </c>
      <c r="D4" s="161">
        <f>'Tratamento de Dados'!BW12</f>
        <v>0</v>
      </c>
      <c r="E4" s="285">
        <f>'Tratamento de Dados'!S12</f>
        <v>2</v>
      </c>
      <c r="F4" s="246" t="str">
        <f>IF(B4=0,"",IF(D4=$BY$2,"Aplicar avaliação de CSI","OK"))</f>
        <v>OK</v>
      </c>
      <c r="G4" s="161">
        <f>'Tratamento de Dados'!BX12</f>
        <v>0</v>
      </c>
      <c r="H4" s="209">
        <f>Thinning!E5</f>
        <v>10</v>
      </c>
      <c r="I4" s="210">
        <f>Thinning!F5</f>
        <v>43831</v>
      </c>
      <c r="J4" s="210">
        <f>Thinning!G5</f>
        <v>43833</v>
      </c>
      <c r="K4" s="210">
        <f>'Tratamento de Dados'!BZ12</f>
        <v>0</v>
      </c>
      <c r="L4" s="209">
        <f>'Tratamento de Dados'!CB12</f>
        <v>0</v>
      </c>
      <c r="M4" s="210">
        <f>'Tratamento de Dados'!CC12</f>
        <v>0</v>
      </c>
      <c r="N4" s="209">
        <f>'Tratamento de Dados'!CD12</f>
        <v>0</v>
      </c>
      <c r="O4" s="209">
        <f>'Tratamento de Dados'!CE12</f>
        <v>0</v>
      </c>
      <c r="P4" s="209">
        <f>'Tratamento de Dados'!CF12</f>
        <v>0</v>
      </c>
      <c r="Q4" s="209">
        <f>'Tratamento de Dados'!CG12</f>
        <v>0</v>
      </c>
      <c r="R4" s="209">
        <f>Thinning!N5</f>
        <v>2</v>
      </c>
      <c r="S4" s="218">
        <f>Thinning!O5</f>
        <v>0</v>
      </c>
      <c r="T4" s="218">
        <f>Thinning!T5</f>
        <v>0</v>
      </c>
      <c r="U4" s="209">
        <f>Thinning!R5</f>
        <v>1</v>
      </c>
      <c r="V4" s="209">
        <f>Thinning!P5</f>
        <v>10</v>
      </c>
      <c r="W4" s="209">
        <f>Thinning!Q5</f>
        <v>20</v>
      </c>
      <c r="X4" s="219">
        <f>'Tratamento de Dados'!CH12</f>
        <v>0</v>
      </c>
      <c r="Y4" s="219">
        <f>'Tratamento de Dados'!CI12</f>
        <v>0</v>
      </c>
      <c r="Z4" s="219">
        <f>'Tratamento de Dados'!CJ12</f>
        <v>0</v>
      </c>
      <c r="AA4" s="219">
        <f>'Tratamento de Dados'!CK12</f>
        <v>0</v>
      </c>
      <c r="AB4" s="225">
        <f>'Tratamento de Dados'!CM12</f>
        <v>0</v>
      </c>
      <c r="AC4" s="211">
        <f>(J4-I4)/365.25</f>
        <v>5.4757015742642025E-3</v>
      </c>
      <c r="AD4" s="211">
        <f>IF(E4&gt;='Tables - Part 2'!$ES$11,'Tables - Part 2'!$ES$11,LOOKUP(E4,'Tables - Part 2'!$ES$5:$ES$11))</f>
        <v>-8</v>
      </c>
      <c r="AE4" s="211">
        <f>IF(E4&lt;='Tables - Part 2'!$ES$5,'Tables - Part 2'!$ES$5,IF(Ext_Corr_Ferritic!E4&lt;='Tables - Part 2'!$ES$6,'Tables - Part 2'!$ES$6,IF(Ext_Corr_Ferritic!E4&lt;='Tables - Part 2'!$ES$7,'Tables - Part 2'!$ES$7,IF(Ext_Corr_Ferritic!E4&lt;='Tables - Part 2'!$ES$8,'Tables - Part 2'!$ES$8,IF(Ext_Corr_Ferritic!E4&lt;='Tables - Part 2'!$ES$9,'Tables - Part 2'!$ES$9,IF(Ext_Corr_Ferritic!E4&lt;='Tables - Part 2'!$ES$10,'Tables - Part 2'!$ES$10,IF(Ext_Corr_Ferritic!E4&lt;='Tables - Part 2'!$ES$11,'Tables - Part 2'!$ES$11,IF(Ext_Corr_Ferritic!E4&gt;='Tables - Part 2'!$ES$11,'Tables - Part 2'!$ES$11))))))))</f>
        <v>6</v>
      </c>
      <c r="AF4" s="271" t="e">
        <f>INDEX('Tables - Part 2'!$ET$5:$EW$11,MATCH(Ext_Corr_Ferritic!AD4,'Tables - Part 2'!$ES$5:$ES$11,0),MATCH(Ext_Corr_Ferritic!O4,'Tables - Part 2'!$ET$4:$EW$4,0))</f>
        <v>#N/A</v>
      </c>
      <c r="AG4" s="271" t="e">
        <f>INDEX('Tables - Part 2'!$ET$5:$EW$11,MATCH(Ext_Corr_Ferritic!AE4,'Tables - Part 2'!$ES$5:$ES$11,0),MATCH(Ext_Corr_Ferritic!O4,'Tables - Part 2'!$ET$4:$EW$4,0))</f>
        <v>#N/A</v>
      </c>
      <c r="AH4" s="271" t="e">
        <f>IF(E4&gt;'Tables - Part 2'!$ES$11,0,IF(AE4-AD4=0,INDEX('Tables - Part 2'!$ET$5:$EW$11,MATCH(Ext_Corr_Ferritic!E4,'Tables - Part 2'!$ES$5:$ES$11,0),MATCH(Ext_Corr_Ferritic!O4,'Tables - Part 2'!$ET$4:$EW$4,0)),((E4-AD4)*(AG4-AF4)/(AE4-AD4))+AF4))</f>
        <v>#N/A</v>
      </c>
      <c r="AI4" s="271" t="e">
        <f>AH4*MAX(P4,Q4)</f>
        <v>#N/A</v>
      </c>
      <c r="AJ4" s="271">
        <f>IF(L4=0,H4,L4)</f>
        <v>10</v>
      </c>
      <c r="AK4" s="273">
        <f>IF(AJ4=H4,AC4,(J4-K4)/365.25)</f>
        <v>5.4757015742642025E-3</v>
      </c>
      <c r="AL4" s="211">
        <f>(J4-M4)/365.25</f>
        <v>120.0082135523614</v>
      </c>
      <c r="AM4" s="211">
        <f>IF(N4=$AM$3,IF(AK4&gt;=AL4,MIN(5,AL4),MIN(5,AL4)-MIN(5,AL4-AK4)),0)</f>
        <v>0</v>
      </c>
      <c r="AN4" s="211">
        <f>IF(N4=$AN$3,IF(AK4&gt;=AL4,MIN(15,AL4),MIN(15,AL4)-MIN(15,AL4-AK4)),0)</f>
        <v>0</v>
      </c>
      <c r="AO4" s="211">
        <f>SUM(AM4:AN4)</f>
        <v>0</v>
      </c>
      <c r="AP4" s="211">
        <f>AK4-AO4</f>
        <v>5.4757015742642025E-3</v>
      </c>
      <c r="AQ4" s="271" t="e">
        <f>AI4*AP4/AJ4</f>
        <v>#N/A</v>
      </c>
      <c r="AR4" s="271">
        <f>(V4+W4)*U4*1.1/2</f>
        <v>16.5</v>
      </c>
      <c r="AS4" s="271">
        <f>IF(OR(S4="",S4=0),(Thinning!AL5*Thinning!AM5)/(Thinning!AN5*Ext_Corr_Ferritic!AR4*Ext_Corr_Ferritic!AJ4),(T4*U4*MAX(R4,S4))/(AR4*AJ4))</f>
        <v>1.5256958970233307</v>
      </c>
      <c r="AT4" s="215" t="e">
        <f>INDEX('Tables - Part 2'!$K$4:$M$4,,MATCH(AB4,'Tables - Part 2'!$K$3:$M$3,0))</f>
        <v>#N/A</v>
      </c>
      <c r="AU4" s="215" t="e">
        <f>INDEX('Tables - Part 2'!$K$5:$M$5,,MATCH(AB4,'Tables - Part 2'!$K$3:$M$3,0))</f>
        <v>#N/A</v>
      </c>
      <c r="AV4" s="215" t="e">
        <f>INDEX('Tables - Part 2'!$K$6:$M$6,,MATCH(AB4,'Tables - Part 2'!$K$3:$M$3,0))</f>
        <v>#N/A</v>
      </c>
      <c r="AW4" s="215">
        <v>0.9</v>
      </c>
      <c r="AX4" s="215">
        <v>0.7</v>
      </c>
      <c r="AY4" s="215">
        <v>0.5</v>
      </c>
      <c r="AZ4" s="215">
        <v>0.4</v>
      </c>
      <c r="BA4" s="215">
        <v>0.09</v>
      </c>
      <c r="BB4" s="215">
        <v>0.2</v>
      </c>
      <c r="BC4" s="215">
        <v>0.3</v>
      </c>
      <c r="BD4" s="215">
        <v>0.33</v>
      </c>
      <c r="BE4" s="215">
        <v>0.01</v>
      </c>
      <c r="BF4" s="215">
        <v>0.1</v>
      </c>
      <c r="BG4" s="215">
        <v>0.2</v>
      </c>
      <c r="BH4" s="215">
        <v>0.27</v>
      </c>
      <c r="BI4" s="215" t="e">
        <f>AT4*POWER(AW4,$X4)*POWER(AX4,$Y4)*POWER(AY4,$Z4)*POWER(AZ4,$AA4)</f>
        <v>#N/A</v>
      </c>
      <c r="BJ4" s="215" t="e">
        <f>AU4*POWER(BA4,$X4)*POWER(BB4,$Y4)*POWER(BC4,$Z4)*POWER(BD4,$AA4)</f>
        <v>#N/A</v>
      </c>
      <c r="BK4" s="215" t="e">
        <f>AV4*POWER(BE4,$X4)*POWER(BF4,$Y4)*POWER(BG4,$Z4)*POWER(BH4,$AA4)</f>
        <v>#N/A</v>
      </c>
      <c r="BL4" s="215" t="e">
        <f>BI4/($BI4+$BJ4+$BK4)</f>
        <v>#N/A</v>
      </c>
      <c r="BM4" s="215" t="e">
        <f t="shared" ref="BM4:BN4" si="0">BJ4/($BI4+$BJ4+$BK4)</f>
        <v>#N/A</v>
      </c>
      <c r="BN4" s="215" t="e">
        <f t="shared" si="0"/>
        <v>#N/A</v>
      </c>
      <c r="BO4" s="215" t="e">
        <f>(1-CG$3*$AQ4-$AS4)/SQRT(POWER(CG$3*$AQ4*$CF$2,2)+POWER(1-CG$3*$AQ4,2)*POWER($CF$3,2)+POWER($AS4*$CF$4,2))</f>
        <v>#N/A</v>
      </c>
      <c r="BP4" s="215" t="e">
        <f t="shared" ref="BP4:BQ4" si="1">(1-CH$3*$AQ4-$AS4)/SQRT(POWER(CH$3*$AQ4*$CF$2,2)+POWER(1-CH$3*$AQ4,2)*POWER($CF$3,2)+POWER($AS4*$CF$4,2))</f>
        <v>#N/A</v>
      </c>
      <c r="BQ4" s="215" t="e">
        <f t="shared" si="1"/>
        <v>#N/A</v>
      </c>
      <c r="BR4" s="215" t="e">
        <f t="shared" ref="BR4:BR21" si="2">IF(B4=0,0,IF(F4&lt;&gt;"OK",0,(BL4*NORMSDIST(-BO4)+BM4*NORMSDIST(-BP4)+BN4*NORMSDIST(-BQ4))/0.000156))</f>
        <v>#N/A</v>
      </c>
      <c r="BZ4" t="s">
        <v>905</v>
      </c>
      <c r="CA4" t="s">
        <v>925</v>
      </c>
      <c r="CE4" t="s">
        <v>740</v>
      </c>
      <c r="CF4">
        <v>0.05</v>
      </c>
    </row>
    <row r="5" spans="2:87" x14ac:dyDescent="0.35">
      <c r="B5" s="161" t="str">
        <f>'Tratamento de Dados'!B13</f>
        <v>V-07</v>
      </c>
      <c r="C5" s="161" t="str">
        <f>'Tratamento de Dados'!D13</f>
        <v>Tampo_Sul</v>
      </c>
      <c r="D5" s="161" t="str">
        <f>'Tratamento de Dados'!BW13</f>
        <v>Não</v>
      </c>
      <c r="E5" s="285">
        <f>'Tratamento de Dados'!S13</f>
        <v>49</v>
      </c>
      <c r="F5" s="246" t="str">
        <f t="shared" ref="F5:F21" si="3">IF(B5=0,"",IF(D5=$BY$2,"Aplicar avaliação de CSI","OK"))</f>
        <v>OK</v>
      </c>
      <c r="G5" s="161" t="str">
        <f>'Tratamento de Dados'!BX13</f>
        <v>Generalizada</v>
      </c>
      <c r="H5" s="209">
        <f>Thinning!E6</f>
        <v>12.5</v>
      </c>
      <c r="I5" s="210">
        <f>Thinning!F6</f>
        <v>35234</v>
      </c>
      <c r="J5" s="210">
        <f>Thinning!G6</f>
        <v>43983</v>
      </c>
      <c r="K5" s="210">
        <f>'Tratamento de Dados'!BZ13</f>
        <v>43350</v>
      </c>
      <c r="L5" s="209">
        <f>'Tratamento de Dados'!CB13</f>
        <v>11.2</v>
      </c>
      <c r="M5" s="210">
        <f>'Tratamento de Dados'!CC13</f>
        <v>41127</v>
      </c>
      <c r="N5" s="209" t="str">
        <f>'Tratamento de Dados'!CD13</f>
        <v>High Coating Quality</v>
      </c>
      <c r="O5" s="209" t="str">
        <f>'Tratamento de Dados'!CE13</f>
        <v>Mild</v>
      </c>
      <c r="P5" s="209">
        <f>'Tratamento de Dados'!CF13</f>
        <v>1</v>
      </c>
      <c r="Q5" s="209">
        <f>'Tratamento de Dados'!CG13</f>
        <v>1</v>
      </c>
      <c r="R5" s="209">
        <f>Thinning!N6</f>
        <v>6.5</v>
      </c>
      <c r="S5" s="218">
        <f>Thinning!O6</f>
        <v>0</v>
      </c>
      <c r="T5" s="218">
        <f>Thinning!T6</f>
        <v>0</v>
      </c>
      <c r="U5" s="209">
        <f>Thinning!R6</f>
        <v>1</v>
      </c>
      <c r="V5" s="209">
        <f>Thinning!P6</f>
        <v>31.908300000000001</v>
      </c>
      <c r="W5" s="209">
        <f>Thinning!Q6</f>
        <v>60.1907</v>
      </c>
      <c r="X5" s="219">
        <f>'Tratamento de Dados'!CH13</f>
        <v>0</v>
      </c>
      <c r="Y5" s="219">
        <f>'Tratamento de Dados'!CI13</f>
        <v>5</v>
      </c>
      <c r="Z5" s="219">
        <f>'Tratamento de Dados'!CJ13</f>
        <v>1</v>
      </c>
      <c r="AA5" s="219">
        <f>'Tratamento de Dados'!CK13</f>
        <v>0</v>
      </c>
      <c r="AB5" s="225" t="str">
        <f>'Tratamento de Dados'!CM13</f>
        <v>High Confidence Data</v>
      </c>
      <c r="AC5" s="211">
        <f t="shared" ref="AC5:AC21" si="4">(J5-I5)/365.25</f>
        <v>23.953456536618756</v>
      </c>
      <c r="AD5" s="211">
        <f>IF(E5&gt;='Tables - Part 2'!$ES$11,'Tables - Part 2'!$ES$11,LOOKUP(E5,'Tables - Part 2'!$ES$5:$ES$11))</f>
        <v>32</v>
      </c>
      <c r="AE5" s="211">
        <f>IF(E5&lt;='Tables - Part 2'!$ES$5,'Tables - Part 2'!$ES$5,IF(Ext_Corr_Ferritic!E5&lt;='Tables - Part 2'!$ES$6,'Tables - Part 2'!$ES$6,IF(Ext_Corr_Ferritic!E5&lt;='Tables - Part 2'!$ES$7,'Tables - Part 2'!$ES$7,IF(Ext_Corr_Ferritic!E5&lt;='Tables - Part 2'!$ES$8,'Tables - Part 2'!$ES$8,IF(Ext_Corr_Ferritic!E5&lt;='Tables - Part 2'!$ES$9,'Tables - Part 2'!$ES$9,IF(Ext_Corr_Ferritic!E5&lt;='Tables - Part 2'!$ES$10,'Tables - Part 2'!$ES$10,IF(Ext_Corr_Ferritic!E5&lt;='Tables - Part 2'!$ES$11,'Tables - Part 2'!$ES$11,IF(Ext_Corr_Ferritic!E5&gt;='Tables - Part 2'!$ES$11,'Tables - Part 2'!$ES$11))))))))</f>
        <v>71</v>
      </c>
      <c r="AF5" s="271">
        <f>INDEX('Tables - Part 2'!$ET$5:$EW$11,MATCH(Ext_Corr_Ferritic!AD5,'Tables - Part 2'!$ES$5:$ES$11,0),MATCH(Ext_Corr_Ferritic!O5,'Tables - Part 2'!$ET$4:$EW$4,0))</f>
        <v>7.5999999999999998E-2</v>
      </c>
      <c r="AG5" s="271">
        <f>INDEX('Tables - Part 2'!$ET$5:$EW$11,MATCH(Ext_Corr_Ferritic!AE5,'Tables - Part 2'!$ES$5:$ES$11,0),MATCH(Ext_Corr_Ferritic!O5,'Tables - Part 2'!$ET$4:$EW$4,0))</f>
        <v>5.0999999999999997E-2</v>
      </c>
      <c r="AH5" s="271">
        <f>IF(E5&gt;'Tables - Part 2'!$ES$11,0,IF(AE5-AD5=0,INDEX('Tables - Part 2'!$ET$5:$EW$11,MATCH(Ext_Corr_Ferritic!E5,'Tables - Part 2'!$ES$5:$ES$11,0),MATCH(Ext_Corr_Ferritic!O5,'Tables - Part 2'!$ET$4:$EW$4,0)),((E5-AD5)*(AG5-AF5)/(AE5-AD5))+AF5))</f>
        <v>6.5102564102564098E-2</v>
      </c>
      <c r="AI5" s="271">
        <f t="shared" ref="AI5:AI21" si="5">AH5*MAX(P5,Q5)</f>
        <v>6.5102564102564098E-2</v>
      </c>
      <c r="AJ5" s="271">
        <f t="shared" ref="AJ5:AJ21" si="6">IF(L5=0,H5,L5)</f>
        <v>11.2</v>
      </c>
      <c r="AK5" s="273">
        <f t="shared" ref="AK5:AK21" si="7">IF(AJ5=H5,AC5,(J5-K5)/365.25)</f>
        <v>1.7330595482546201</v>
      </c>
      <c r="AL5" s="211">
        <f t="shared" ref="AL5:AL21" si="8">(J5-M5)/365.25</f>
        <v>7.8193018480492817</v>
      </c>
      <c r="AM5" s="211">
        <f t="shared" ref="AM5:AM21" si="9">IF(N5=$AM$3,IF(AK5&gt;=AL5,MIN(5,AL5),MIN(5,AL5)-MIN(5,AL5-AK5)),0)</f>
        <v>0</v>
      </c>
      <c r="AN5" s="211">
        <f t="shared" ref="AN5:AN21" si="10">IF(N5=$AN$3,IF(AK5&gt;=AL5,MIN(15,AL5),MIN(15,AL5)-MIN(15,AL5-AK5)),0)</f>
        <v>1.7330595482546203</v>
      </c>
      <c r="AO5" s="211">
        <f t="shared" ref="AO5:AO21" si="11">SUM(AM5:AN5)</f>
        <v>1.7330595482546203</v>
      </c>
      <c r="AP5" s="211">
        <f t="shared" ref="AP5:AP21" si="12">AK5-AO5</f>
        <v>0</v>
      </c>
      <c r="AQ5" s="271">
        <f t="shared" ref="AQ5:AQ21" si="13">AI5*AP5/AJ5</f>
        <v>0</v>
      </c>
      <c r="AR5" s="271">
        <f t="shared" ref="AR5:AR21" si="14">(V5+W5)*U5*1.1/2</f>
        <v>50.654450000000004</v>
      </c>
      <c r="AS5" s="271">
        <f>IF(OR(S5="",S5=0),(Thinning!AL6*Thinning!AM6)/(Thinning!AN6*Ext_Corr_Ferritic!AR5*Ext_Corr_Ferritic!AJ5),(T5*U5*MAX(R5,S5))/(AR5*AJ5))</f>
        <v>0.443727449641728</v>
      </c>
      <c r="AT5" s="215">
        <f>INDEX('Tables - Part 2'!$K$4:$M$4,,MATCH(AB5,'Tables - Part 2'!$K$3:$M$3,0))</f>
        <v>0.8</v>
      </c>
      <c r="AU5" s="215">
        <f>INDEX('Tables - Part 2'!$K$5:$M$5,,MATCH(AB5,'Tables - Part 2'!$K$3:$M$3,0))</f>
        <v>0.15</v>
      </c>
      <c r="AV5" s="215">
        <f>INDEX('Tables - Part 2'!$K$6:$M$6,,MATCH(AB5,'Tables - Part 2'!$K$3:$M$3,0))</f>
        <v>0.05</v>
      </c>
      <c r="AW5" s="215">
        <v>0.9</v>
      </c>
      <c r="AX5" s="215">
        <v>0.7</v>
      </c>
      <c r="AY5" s="215">
        <v>0.5</v>
      </c>
      <c r="AZ5" s="215">
        <v>0.4</v>
      </c>
      <c r="BA5" s="215">
        <v>0.09</v>
      </c>
      <c r="BB5" s="215">
        <v>0.2</v>
      </c>
      <c r="BC5" s="215">
        <v>0.3</v>
      </c>
      <c r="BD5" s="215">
        <v>0.33</v>
      </c>
      <c r="BE5" s="215">
        <v>0.01</v>
      </c>
      <c r="BF5" s="215">
        <v>0.1</v>
      </c>
      <c r="BG5" s="215">
        <v>0.2</v>
      </c>
      <c r="BH5" s="215">
        <v>0.27</v>
      </c>
      <c r="BI5" s="215">
        <f t="shared" ref="BI5:BI21" si="15">AT5*POWER(AW5,$X5)*POWER(AX5,$Y5)*POWER(AY5,$Z5)*POWER(AZ5,$AA5)</f>
        <v>6.7227999999999982E-2</v>
      </c>
      <c r="BJ5" s="215">
        <f t="shared" ref="BJ5:BJ21" si="16">AU5*POWER(BA5,$X5)*POWER(BB5,$Y5)*POWER(BC5,$Z5)*POWER(BD5,$AA5)</f>
        <v>1.4400000000000008E-5</v>
      </c>
      <c r="BK5" s="215">
        <f t="shared" ref="BK5:BK21" si="17">AV5*POWER(BE5,$X5)*POWER(BF5,$Y5)*POWER(BG5,$Z5)*POWER(BH5,$AA5)</f>
        <v>1.0000000000000006E-7</v>
      </c>
      <c r="BL5" s="215">
        <f t="shared" ref="BL5:BL21" si="18">BI5/($BI5+$BJ5+$BK5)</f>
        <v>0.99978436256831615</v>
      </c>
      <c r="BM5" s="215">
        <f t="shared" ref="BM5:BM21" si="19">BJ5/($BI5+$BJ5+$BK5)</f>
        <v>2.1415027698256327E-4</v>
      </c>
      <c r="BN5" s="215">
        <f t="shared" ref="BN5:BN21" si="20">BK5/($BI5+$BJ5+$BK5)</f>
        <v>1.4871547012678007E-6</v>
      </c>
      <c r="BO5" s="215">
        <f t="shared" ref="BO5:BO21" si="21">(1-CG$3*$AQ5-$AS5)/SQRT(POWER(CG$3*$AQ5*$CF$2,2)+POWER(1-CG$3*$AQ5,2)*POWER($CF$3,2)+POWER($AS5*$CF$4,2))</f>
        <v>2.7644055418114841</v>
      </c>
      <c r="BP5" s="215">
        <f t="shared" ref="BP5:BP21" si="22">(1-CH$3*$AQ5-$AS5)/SQRT(POWER(CH$3*$AQ5*$CF$2,2)+POWER(1-CH$3*$AQ5,2)*POWER($CF$3,2)+POWER($AS5*$CF$4,2))</f>
        <v>2.7644055418114841</v>
      </c>
      <c r="BQ5" s="215">
        <f t="shared" ref="BQ5:BQ21" si="23">(1-CI$3*$AQ5-$AS5)/SQRT(POWER(CI$3*$AQ5*$CF$2,2)+POWER(1-CI$3*$AQ5,2)*POWER($CF$3,2)+POWER($AS5*$CF$4,2))</f>
        <v>2.7644055418114841</v>
      </c>
      <c r="BR5" s="215">
        <f t="shared" si="2"/>
        <v>18.277761305526749</v>
      </c>
      <c r="BZ5" t="s">
        <v>906</v>
      </c>
      <c r="CA5" t="s">
        <v>926</v>
      </c>
    </row>
    <row r="6" spans="2:87" x14ac:dyDescent="0.35">
      <c r="B6" s="161" t="str">
        <f>'Tratamento de Dados'!B14</f>
        <v>V-10</v>
      </c>
      <c r="C6" s="161" t="str">
        <f>'Tratamento de Dados'!D14</f>
        <v>Casco</v>
      </c>
      <c r="D6" s="161">
        <f>'Tratamento de Dados'!BW14</f>
        <v>0</v>
      </c>
      <c r="E6" s="285">
        <f>'Tratamento de Dados'!S14</f>
        <v>2</v>
      </c>
      <c r="F6" s="246" t="str">
        <f t="shared" si="3"/>
        <v>OK</v>
      </c>
      <c r="G6" s="161">
        <f>'Tratamento de Dados'!BX14</f>
        <v>0</v>
      </c>
      <c r="H6" s="209">
        <f>Thinning!E7</f>
        <v>10</v>
      </c>
      <c r="I6" s="210">
        <f>Thinning!F7</f>
        <v>43831</v>
      </c>
      <c r="J6" s="210">
        <f>Thinning!G7</f>
        <v>43833</v>
      </c>
      <c r="K6" s="210">
        <f>'Tratamento de Dados'!BZ14</f>
        <v>0</v>
      </c>
      <c r="L6" s="209">
        <f>'Tratamento de Dados'!CB14</f>
        <v>0</v>
      </c>
      <c r="M6" s="210">
        <f>'Tratamento de Dados'!CC14</f>
        <v>0</v>
      </c>
      <c r="N6" s="209">
        <f>'Tratamento de Dados'!CD14</f>
        <v>0</v>
      </c>
      <c r="O6" s="209">
        <f>'Tratamento de Dados'!CE14</f>
        <v>0</v>
      </c>
      <c r="P6" s="209">
        <f>'Tratamento de Dados'!CF14</f>
        <v>0</v>
      </c>
      <c r="Q6" s="209">
        <f>'Tratamento de Dados'!CG14</f>
        <v>0</v>
      </c>
      <c r="R6" s="209">
        <f>Thinning!N7</f>
        <v>2</v>
      </c>
      <c r="S6" s="218">
        <f>Thinning!O7</f>
        <v>0</v>
      </c>
      <c r="T6" s="218">
        <f>Thinning!T7</f>
        <v>0</v>
      </c>
      <c r="U6" s="209">
        <f>Thinning!R7</f>
        <v>1</v>
      </c>
      <c r="V6" s="209">
        <f>Thinning!P7</f>
        <v>10</v>
      </c>
      <c r="W6" s="209">
        <f>Thinning!Q7</f>
        <v>20</v>
      </c>
      <c r="X6" s="219">
        <f>'Tratamento de Dados'!CH14</f>
        <v>0</v>
      </c>
      <c r="Y6" s="219">
        <f>'Tratamento de Dados'!CI14</f>
        <v>0</v>
      </c>
      <c r="Z6" s="219">
        <f>'Tratamento de Dados'!CJ14</f>
        <v>0</v>
      </c>
      <c r="AA6" s="219">
        <f>'Tratamento de Dados'!CK14</f>
        <v>0</v>
      </c>
      <c r="AB6" s="225">
        <f>'Tratamento de Dados'!CM14</f>
        <v>0</v>
      </c>
      <c r="AC6" s="211">
        <f t="shared" si="4"/>
        <v>5.4757015742642025E-3</v>
      </c>
      <c r="AD6" s="211">
        <f>IF(E6&gt;='Tables - Part 2'!$ES$11,'Tables - Part 2'!$ES$11,LOOKUP(E6,'Tables - Part 2'!$ES$5:$ES$11))</f>
        <v>-8</v>
      </c>
      <c r="AE6" s="211">
        <f>IF(E6&lt;='Tables - Part 2'!$ES$5,'Tables - Part 2'!$ES$5,IF(Ext_Corr_Ferritic!E6&lt;='Tables - Part 2'!$ES$6,'Tables - Part 2'!$ES$6,IF(Ext_Corr_Ferritic!E6&lt;='Tables - Part 2'!$ES$7,'Tables - Part 2'!$ES$7,IF(Ext_Corr_Ferritic!E6&lt;='Tables - Part 2'!$ES$8,'Tables - Part 2'!$ES$8,IF(Ext_Corr_Ferritic!E6&lt;='Tables - Part 2'!$ES$9,'Tables - Part 2'!$ES$9,IF(Ext_Corr_Ferritic!E6&lt;='Tables - Part 2'!$ES$10,'Tables - Part 2'!$ES$10,IF(Ext_Corr_Ferritic!E6&lt;='Tables - Part 2'!$ES$11,'Tables - Part 2'!$ES$11,IF(Ext_Corr_Ferritic!E6&gt;='Tables - Part 2'!$ES$11,'Tables - Part 2'!$ES$11))))))))</f>
        <v>6</v>
      </c>
      <c r="AF6" s="271" t="e">
        <f>INDEX('Tables - Part 2'!$ET$5:$EW$11,MATCH(Ext_Corr_Ferritic!AD6,'Tables - Part 2'!$ES$5:$ES$11,0),MATCH(Ext_Corr_Ferritic!O6,'Tables - Part 2'!$ET$4:$EW$4,0))</f>
        <v>#N/A</v>
      </c>
      <c r="AG6" s="271" t="e">
        <f>INDEX('Tables - Part 2'!$ET$5:$EW$11,MATCH(Ext_Corr_Ferritic!AE6,'Tables - Part 2'!$ES$5:$ES$11,0),MATCH(Ext_Corr_Ferritic!O6,'Tables - Part 2'!$ET$4:$EW$4,0))</f>
        <v>#N/A</v>
      </c>
      <c r="AH6" s="271" t="e">
        <f>IF(E6&gt;'Tables - Part 2'!$ES$11,0,IF(AE6-AD6=0,INDEX('Tables - Part 2'!$ET$5:$EW$11,MATCH(Ext_Corr_Ferritic!E6,'Tables - Part 2'!$ES$5:$ES$11,0),MATCH(Ext_Corr_Ferritic!O6,'Tables - Part 2'!$ET$4:$EW$4,0)),((E6-AD6)*(AG6-AF6)/(AE6-AD6))+AF6))</f>
        <v>#N/A</v>
      </c>
      <c r="AI6" s="271" t="e">
        <f t="shared" si="5"/>
        <v>#N/A</v>
      </c>
      <c r="AJ6" s="271">
        <f t="shared" si="6"/>
        <v>10</v>
      </c>
      <c r="AK6" s="273">
        <f t="shared" si="7"/>
        <v>5.4757015742642025E-3</v>
      </c>
      <c r="AL6" s="211">
        <f t="shared" si="8"/>
        <v>120.0082135523614</v>
      </c>
      <c r="AM6" s="211">
        <f t="shared" si="9"/>
        <v>0</v>
      </c>
      <c r="AN6" s="211">
        <f t="shared" si="10"/>
        <v>0</v>
      </c>
      <c r="AO6" s="211">
        <f t="shared" si="11"/>
        <v>0</v>
      </c>
      <c r="AP6" s="211">
        <f t="shared" si="12"/>
        <v>5.4757015742642025E-3</v>
      </c>
      <c r="AQ6" s="271" t="e">
        <f t="shared" si="13"/>
        <v>#N/A</v>
      </c>
      <c r="AR6" s="271">
        <f t="shared" si="14"/>
        <v>16.5</v>
      </c>
      <c r="AS6" s="271">
        <f>IF(OR(S6="",S6=0),(Thinning!AL7*Thinning!AM7)/(Thinning!AN7*Ext_Corr_Ferritic!AR6*Ext_Corr_Ferritic!AJ6),(T6*U6*MAX(R6,S6))/(AR6*AJ6))</f>
        <v>0</v>
      </c>
      <c r="AT6" s="215" t="e">
        <f>INDEX('Tables - Part 2'!$K$4:$M$4,,MATCH(AB6,'Tables - Part 2'!$K$3:$M$3,0))</f>
        <v>#N/A</v>
      </c>
      <c r="AU6" s="215" t="e">
        <f>INDEX('Tables - Part 2'!$K$5:$M$5,,MATCH(AB6,'Tables - Part 2'!$K$3:$M$3,0))</f>
        <v>#N/A</v>
      </c>
      <c r="AV6" s="215" t="e">
        <f>INDEX('Tables - Part 2'!$K$6:$M$6,,MATCH(AB6,'Tables - Part 2'!$K$3:$M$3,0))</f>
        <v>#N/A</v>
      </c>
      <c r="AW6" s="215">
        <v>0.9</v>
      </c>
      <c r="AX6" s="215">
        <v>0.7</v>
      </c>
      <c r="AY6" s="215">
        <v>0.5</v>
      </c>
      <c r="AZ6" s="215">
        <v>0.4</v>
      </c>
      <c r="BA6" s="215">
        <v>0.09</v>
      </c>
      <c r="BB6" s="215">
        <v>0.2</v>
      </c>
      <c r="BC6" s="215">
        <v>0.3</v>
      </c>
      <c r="BD6" s="215">
        <v>0.33</v>
      </c>
      <c r="BE6" s="215">
        <v>0.01</v>
      </c>
      <c r="BF6" s="215">
        <v>0.1</v>
      </c>
      <c r="BG6" s="215">
        <v>0.2</v>
      </c>
      <c r="BH6" s="215">
        <v>0.27</v>
      </c>
      <c r="BI6" s="215" t="e">
        <f t="shared" si="15"/>
        <v>#N/A</v>
      </c>
      <c r="BJ6" s="215" t="e">
        <f t="shared" si="16"/>
        <v>#N/A</v>
      </c>
      <c r="BK6" s="215" t="e">
        <f t="shared" si="17"/>
        <v>#N/A</v>
      </c>
      <c r="BL6" s="215" t="e">
        <f t="shared" si="18"/>
        <v>#N/A</v>
      </c>
      <c r="BM6" s="215" t="e">
        <f t="shared" si="19"/>
        <v>#N/A</v>
      </c>
      <c r="BN6" s="215" t="e">
        <f t="shared" si="20"/>
        <v>#N/A</v>
      </c>
      <c r="BO6" s="215" t="e">
        <f t="shared" si="21"/>
        <v>#N/A</v>
      </c>
      <c r="BP6" s="215" t="e">
        <f t="shared" si="22"/>
        <v>#N/A</v>
      </c>
      <c r="BQ6" s="215" t="e">
        <f t="shared" si="23"/>
        <v>#N/A</v>
      </c>
      <c r="BR6" s="215" t="e">
        <f t="shared" si="2"/>
        <v>#N/A</v>
      </c>
    </row>
    <row r="7" spans="2:87" x14ac:dyDescent="0.35">
      <c r="B7" s="161" t="str">
        <f>'Tratamento de Dados'!B15</f>
        <v>V-11</v>
      </c>
      <c r="C7" s="161" t="str">
        <f>'Tratamento de Dados'!D15</f>
        <v>Casco</v>
      </c>
      <c r="D7" s="161">
        <f>'Tratamento de Dados'!BW15</f>
        <v>0</v>
      </c>
      <c r="E7" s="285">
        <f>'Tratamento de Dados'!S15</f>
        <v>2</v>
      </c>
      <c r="F7" s="246" t="str">
        <f t="shared" si="3"/>
        <v>OK</v>
      </c>
      <c r="G7" s="161">
        <f>'Tratamento de Dados'!BX15</f>
        <v>0</v>
      </c>
      <c r="H7" s="209">
        <f>Thinning!E8</f>
        <v>10</v>
      </c>
      <c r="I7" s="210">
        <f>Thinning!F8</f>
        <v>43831</v>
      </c>
      <c r="J7" s="210">
        <f>Thinning!G8</f>
        <v>43833</v>
      </c>
      <c r="K7" s="210">
        <f>'Tratamento de Dados'!BZ15</f>
        <v>0</v>
      </c>
      <c r="L7" s="209">
        <f>'Tratamento de Dados'!CB15</f>
        <v>0</v>
      </c>
      <c r="M7" s="210">
        <f>'Tratamento de Dados'!CC15</f>
        <v>0</v>
      </c>
      <c r="N7" s="209">
        <f>'Tratamento de Dados'!CD15</f>
        <v>0</v>
      </c>
      <c r="O7" s="209">
        <f>'Tratamento de Dados'!CE15</f>
        <v>0</v>
      </c>
      <c r="P7" s="209">
        <f>'Tratamento de Dados'!CF15</f>
        <v>0</v>
      </c>
      <c r="Q7" s="209">
        <f>'Tratamento de Dados'!CG15</f>
        <v>0</v>
      </c>
      <c r="R7" s="209">
        <f>Thinning!N8</f>
        <v>2</v>
      </c>
      <c r="S7" s="218">
        <f>Thinning!O8</f>
        <v>0</v>
      </c>
      <c r="T7" s="218">
        <f>Thinning!T8</f>
        <v>0</v>
      </c>
      <c r="U7" s="209">
        <f>Thinning!R8</f>
        <v>1</v>
      </c>
      <c r="V7" s="209">
        <f>Thinning!P8</f>
        <v>10</v>
      </c>
      <c r="W7" s="209">
        <f>Thinning!Q8</f>
        <v>20</v>
      </c>
      <c r="X7" s="219">
        <f>'Tratamento de Dados'!CH15</f>
        <v>0</v>
      </c>
      <c r="Y7" s="219">
        <f>'Tratamento de Dados'!CI15</f>
        <v>0</v>
      </c>
      <c r="Z7" s="219">
        <f>'Tratamento de Dados'!CJ15</f>
        <v>0</v>
      </c>
      <c r="AA7" s="219">
        <f>'Tratamento de Dados'!CK15</f>
        <v>0</v>
      </c>
      <c r="AB7" s="225">
        <f>'Tratamento de Dados'!CM15</f>
        <v>0</v>
      </c>
      <c r="AC7" s="211">
        <f t="shared" si="4"/>
        <v>5.4757015742642025E-3</v>
      </c>
      <c r="AD7" s="211">
        <f>IF(E7&gt;='Tables - Part 2'!$ES$11,'Tables - Part 2'!$ES$11,LOOKUP(E7,'Tables - Part 2'!$ES$5:$ES$11))</f>
        <v>-8</v>
      </c>
      <c r="AE7" s="211">
        <f>IF(E7&lt;='Tables - Part 2'!$ES$5,'Tables - Part 2'!$ES$5,IF(Ext_Corr_Ferritic!E7&lt;='Tables - Part 2'!$ES$6,'Tables - Part 2'!$ES$6,IF(Ext_Corr_Ferritic!E7&lt;='Tables - Part 2'!$ES$7,'Tables - Part 2'!$ES$7,IF(Ext_Corr_Ferritic!E7&lt;='Tables - Part 2'!$ES$8,'Tables - Part 2'!$ES$8,IF(Ext_Corr_Ferritic!E7&lt;='Tables - Part 2'!$ES$9,'Tables - Part 2'!$ES$9,IF(Ext_Corr_Ferritic!E7&lt;='Tables - Part 2'!$ES$10,'Tables - Part 2'!$ES$10,IF(Ext_Corr_Ferritic!E7&lt;='Tables - Part 2'!$ES$11,'Tables - Part 2'!$ES$11,IF(Ext_Corr_Ferritic!E7&gt;='Tables - Part 2'!$ES$11,'Tables - Part 2'!$ES$11))))))))</f>
        <v>6</v>
      </c>
      <c r="AF7" s="271" t="e">
        <f>INDEX('Tables - Part 2'!$ET$5:$EW$11,MATCH(Ext_Corr_Ferritic!AD7,'Tables - Part 2'!$ES$5:$ES$11,0),MATCH(Ext_Corr_Ferritic!O7,'Tables - Part 2'!$ET$4:$EW$4,0))</f>
        <v>#N/A</v>
      </c>
      <c r="AG7" s="271" t="e">
        <f>INDEX('Tables - Part 2'!$ET$5:$EW$11,MATCH(Ext_Corr_Ferritic!AE7,'Tables - Part 2'!$ES$5:$ES$11,0),MATCH(Ext_Corr_Ferritic!O7,'Tables - Part 2'!$ET$4:$EW$4,0))</f>
        <v>#N/A</v>
      </c>
      <c r="AH7" s="271" t="e">
        <f>IF(E7&gt;'Tables - Part 2'!$ES$11,0,IF(AE7-AD7=0,INDEX('Tables - Part 2'!$ET$5:$EW$11,MATCH(Ext_Corr_Ferritic!E7,'Tables - Part 2'!$ES$5:$ES$11,0),MATCH(Ext_Corr_Ferritic!O7,'Tables - Part 2'!$ET$4:$EW$4,0)),((E7-AD7)*(AG7-AF7)/(AE7-AD7))+AF7))</f>
        <v>#N/A</v>
      </c>
      <c r="AI7" s="271" t="e">
        <f t="shared" si="5"/>
        <v>#N/A</v>
      </c>
      <c r="AJ7" s="271">
        <f t="shared" si="6"/>
        <v>10</v>
      </c>
      <c r="AK7" s="273">
        <f t="shared" si="7"/>
        <v>5.4757015742642025E-3</v>
      </c>
      <c r="AL7" s="211">
        <f t="shared" si="8"/>
        <v>120.0082135523614</v>
      </c>
      <c r="AM7" s="211">
        <f t="shared" si="9"/>
        <v>0</v>
      </c>
      <c r="AN7" s="211">
        <f t="shared" si="10"/>
        <v>0</v>
      </c>
      <c r="AO7" s="211">
        <f t="shared" si="11"/>
        <v>0</v>
      </c>
      <c r="AP7" s="211">
        <f t="shared" si="12"/>
        <v>5.4757015742642025E-3</v>
      </c>
      <c r="AQ7" s="271" t="e">
        <f t="shared" si="13"/>
        <v>#N/A</v>
      </c>
      <c r="AR7" s="271">
        <f t="shared" si="14"/>
        <v>16.5</v>
      </c>
      <c r="AS7" s="271">
        <f>IF(OR(S7="",S7=0),(Thinning!AL8*Thinning!AM8)/(Thinning!AN8*Ext_Corr_Ferritic!AR7*Ext_Corr_Ferritic!AJ7),(T7*U7*MAX(R7,S7))/(AR7*AJ7))</f>
        <v>0</v>
      </c>
      <c r="AT7" s="215" t="e">
        <f>INDEX('Tables - Part 2'!$K$4:$M$4,,MATCH(AB7,'Tables - Part 2'!$K$3:$M$3,0))</f>
        <v>#N/A</v>
      </c>
      <c r="AU7" s="215" t="e">
        <f>INDEX('Tables - Part 2'!$K$5:$M$5,,MATCH(AB7,'Tables - Part 2'!$K$3:$M$3,0))</f>
        <v>#N/A</v>
      </c>
      <c r="AV7" s="215" t="e">
        <f>INDEX('Tables - Part 2'!$K$6:$M$6,,MATCH(AB7,'Tables - Part 2'!$K$3:$M$3,0))</f>
        <v>#N/A</v>
      </c>
      <c r="AW7" s="215">
        <v>0.9</v>
      </c>
      <c r="AX7" s="215">
        <v>0.7</v>
      </c>
      <c r="AY7" s="215">
        <v>0.5</v>
      </c>
      <c r="AZ7" s="215">
        <v>0.4</v>
      </c>
      <c r="BA7" s="215">
        <v>0.09</v>
      </c>
      <c r="BB7" s="215">
        <v>0.2</v>
      </c>
      <c r="BC7" s="215">
        <v>0.3</v>
      </c>
      <c r="BD7" s="215">
        <v>0.33</v>
      </c>
      <c r="BE7" s="215">
        <v>0.01</v>
      </c>
      <c r="BF7" s="215">
        <v>0.1</v>
      </c>
      <c r="BG7" s="215">
        <v>0.2</v>
      </c>
      <c r="BH7" s="215">
        <v>0.27</v>
      </c>
      <c r="BI7" s="215" t="e">
        <f t="shared" si="15"/>
        <v>#N/A</v>
      </c>
      <c r="BJ7" s="215" t="e">
        <f t="shared" si="16"/>
        <v>#N/A</v>
      </c>
      <c r="BK7" s="215" t="e">
        <f t="shared" si="17"/>
        <v>#N/A</v>
      </c>
      <c r="BL7" s="215" t="e">
        <f t="shared" si="18"/>
        <v>#N/A</v>
      </c>
      <c r="BM7" s="215" t="e">
        <f t="shared" si="19"/>
        <v>#N/A</v>
      </c>
      <c r="BN7" s="215" t="e">
        <f t="shared" si="20"/>
        <v>#N/A</v>
      </c>
      <c r="BO7" s="215" t="e">
        <f t="shared" si="21"/>
        <v>#N/A</v>
      </c>
      <c r="BP7" s="215" t="e">
        <f t="shared" si="22"/>
        <v>#N/A</v>
      </c>
      <c r="BQ7" s="215" t="e">
        <f t="shared" si="23"/>
        <v>#N/A</v>
      </c>
      <c r="BR7" s="215" t="e">
        <f t="shared" si="2"/>
        <v>#N/A</v>
      </c>
    </row>
    <row r="8" spans="2:87" x14ac:dyDescent="0.35">
      <c r="B8" s="161" t="str">
        <f>'Tratamento de Dados'!B16</f>
        <v>V-13</v>
      </c>
      <c r="C8" s="161" t="str">
        <f>'Tratamento de Dados'!D16</f>
        <v>Casco</v>
      </c>
      <c r="D8" s="161">
        <f>'Tratamento de Dados'!BW16</f>
        <v>0</v>
      </c>
      <c r="E8" s="285">
        <f>'Tratamento de Dados'!S16</f>
        <v>2</v>
      </c>
      <c r="F8" s="246" t="str">
        <f t="shared" si="3"/>
        <v>OK</v>
      </c>
      <c r="G8" s="161">
        <f>'Tratamento de Dados'!BX16</f>
        <v>0</v>
      </c>
      <c r="H8" s="209">
        <f>Thinning!E9</f>
        <v>10</v>
      </c>
      <c r="I8" s="210">
        <f>Thinning!F9</f>
        <v>43831</v>
      </c>
      <c r="J8" s="210">
        <f>Thinning!G9</f>
        <v>43833</v>
      </c>
      <c r="K8" s="210">
        <f>'Tratamento de Dados'!BZ16</f>
        <v>0</v>
      </c>
      <c r="L8" s="209">
        <f>'Tratamento de Dados'!CB16</f>
        <v>0</v>
      </c>
      <c r="M8" s="210">
        <f>'Tratamento de Dados'!CC16</f>
        <v>0</v>
      </c>
      <c r="N8" s="209">
        <f>'Tratamento de Dados'!CD16</f>
        <v>0</v>
      </c>
      <c r="O8" s="209">
        <f>'Tratamento de Dados'!CE16</f>
        <v>0</v>
      </c>
      <c r="P8" s="209">
        <f>'Tratamento de Dados'!CF16</f>
        <v>0</v>
      </c>
      <c r="Q8" s="209">
        <f>'Tratamento de Dados'!CG16</f>
        <v>0</v>
      </c>
      <c r="R8" s="209">
        <f>Thinning!N9</f>
        <v>2</v>
      </c>
      <c r="S8" s="218">
        <f>Thinning!O9</f>
        <v>0</v>
      </c>
      <c r="T8" s="218">
        <f>Thinning!T9</f>
        <v>0</v>
      </c>
      <c r="U8" s="209">
        <f>Thinning!R9</f>
        <v>1</v>
      </c>
      <c r="V8" s="209">
        <f>Thinning!P9</f>
        <v>10</v>
      </c>
      <c r="W8" s="209">
        <f>Thinning!Q9</f>
        <v>20</v>
      </c>
      <c r="X8" s="219">
        <f>'Tratamento de Dados'!CH16</f>
        <v>0</v>
      </c>
      <c r="Y8" s="219">
        <f>'Tratamento de Dados'!CI16</f>
        <v>0</v>
      </c>
      <c r="Z8" s="219">
        <f>'Tratamento de Dados'!CJ16</f>
        <v>0</v>
      </c>
      <c r="AA8" s="219">
        <f>'Tratamento de Dados'!CK16</f>
        <v>0</v>
      </c>
      <c r="AB8" s="225">
        <f>'Tratamento de Dados'!CM16</f>
        <v>0</v>
      </c>
      <c r="AC8" s="211">
        <f t="shared" si="4"/>
        <v>5.4757015742642025E-3</v>
      </c>
      <c r="AD8" s="211">
        <f>IF(E8&gt;='Tables - Part 2'!$ES$11,'Tables - Part 2'!$ES$11,LOOKUP(E8,'Tables - Part 2'!$ES$5:$ES$11))</f>
        <v>-8</v>
      </c>
      <c r="AE8" s="211">
        <f>IF(E8&lt;='Tables - Part 2'!$ES$5,'Tables - Part 2'!$ES$5,IF(Ext_Corr_Ferritic!E8&lt;='Tables - Part 2'!$ES$6,'Tables - Part 2'!$ES$6,IF(Ext_Corr_Ferritic!E8&lt;='Tables - Part 2'!$ES$7,'Tables - Part 2'!$ES$7,IF(Ext_Corr_Ferritic!E8&lt;='Tables - Part 2'!$ES$8,'Tables - Part 2'!$ES$8,IF(Ext_Corr_Ferritic!E8&lt;='Tables - Part 2'!$ES$9,'Tables - Part 2'!$ES$9,IF(Ext_Corr_Ferritic!E8&lt;='Tables - Part 2'!$ES$10,'Tables - Part 2'!$ES$10,IF(Ext_Corr_Ferritic!E8&lt;='Tables - Part 2'!$ES$11,'Tables - Part 2'!$ES$11,IF(Ext_Corr_Ferritic!E8&gt;='Tables - Part 2'!$ES$11,'Tables - Part 2'!$ES$11))))))))</f>
        <v>6</v>
      </c>
      <c r="AF8" s="271" t="e">
        <f>INDEX('Tables - Part 2'!$ET$5:$EW$11,MATCH(Ext_Corr_Ferritic!AD8,'Tables - Part 2'!$ES$5:$ES$11,0),MATCH(Ext_Corr_Ferritic!O8,'Tables - Part 2'!$ET$4:$EW$4,0))</f>
        <v>#N/A</v>
      </c>
      <c r="AG8" s="271" t="e">
        <f>INDEX('Tables - Part 2'!$ET$5:$EW$11,MATCH(Ext_Corr_Ferritic!AE8,'Tables - Part 2'!$ES$5:$ES$11,0),MATCH(Ext_Corr_Ferritic!O8,'Tables - Part 2'!$ET$4:$EW$4,0))</f>
        <v>#N/A</v>
      </c>
      <c r="AH8" s="271" t="e">
        <f>IF(E8&gt;'Tables - Part 2'!$ES$11,0,IF(AE8-AD8=0,INDEX('Tables - Part 2'!$ET$5:$EW$11,MATCH(Ext_Corr_Ferritic!E8,'Tables - Part 2'!$ES$5:$ES$11,0),MATCH(Ext_Corr_Ferritic!O8,'Tables - Part 2'!$ET$4:$EW$4,0)),((E8-AD8)*(AG8-AF8)/(AE8-AD8))+AF8))</f>
        <v>#N/A</v>
      </c>
      <c r="AI8" s="271" t="e">
        <f t="shared" si="5"/>
        <v>#N/A</v>
      </c>
      <c r="AJ8" s="271">
        <f t="shared" si="6"/>
        <v>10</v>
      </c>
      <c r="AK8" s="273">
        <f t="shared" si="7"/>
        <v>5.4757015742642025E-3</v>
      </c>
      <c r="AL8" s="211">
        <f t="shared" si="8"/>
        <v>120.0082135523614</v>
      </c>
      <c r="AM8" s="211">
        <f t="shared" si="9"/>
        <v>0</v>
      </c>
      <c r="AN8" s="211">
        <f t="shared" si="10"/>
        <v>0</v>
      </c>
      <c r="AO8" s="211">
        <f t="shared" si="11"/>
        <v>0</v>
      </c>
      <c r="AP8" s="211">
        <f t="shared" si="12"/>
        <v>5.4757015742642025E-3</v>
      </c>
      <c r="AQ8" s="271" t="e">
        <f t="shared" si="13"/>
        <v>#N/A</v>
      </c>
      <c r="AR8" s="271">
        <f t="shared" si="14"/>
        <v>16.5</v>
      </c>
      <c r="AS8" s="271">
        <f>IF(OR(S8="",S8=0),(Thinning!AL9*Thinning!AM9)/(Thinning!AN9*Ext_Corr_Ferritic!AR8*Ext_Corr_Ferritic!AJ8),(T8*U8*MAX(R8,S8))/(AR8*AJ8))</f>
        <v>0</v>
      </c>
      <c r="AT8" s="215" t="e">
        <f>INDEX('Tables - Part 2'!$K$4:$M$4,,MATCH(AB8,'Tables - Part 2'!$K$3:$M$3,0))</f>
        <v>#N/A</v>
      </c>
      <c r="AU8" s="215" t="e">
        <f>INDEX('Tables - Part 2'!$K$5:$M$5,,MATCH(AB8,'Tables - Part 2'!$K$3:$M$3,0))</f>
        <v>#N/A</v>
      </c>
      <c r="AV8" s="215" t="e">
        <f>INDEX('Tables - Part 2'!$K$6:$M$6,,MATCH(AB8,'Tables - Part 2'!$K$3:$M$3,0))</f>
        <v>#N/A</v>
      </c>
      <c r="AW8" s="215">
        <v>0.9</v>
      </c>
      <c r="AX8" s="215">
        <v>0.7</v>
      </c>
      <c r="AY8" s="215">
        <v>0.5</v>
      </c>
      <c r="AZ8" s="215">
        <v>0.4</v>
      </c>
      <c r="BA8" s="215">
        <v>0.09</v>
      </c>
      <c r="BB8" s="215">
        <v>0.2</v>
      </c>
      <c r="BC8" s="215">
        <v>0.3</v>
      </c>
      <c r="BD8" s="215">
        <v>0.33</v>
      </c>
      <c r="BE8" s="215">
        <v>0.01</v>
      </c>
      <c r="BF8" s="215">
        <v>0.1</v>
      </c>
      <c r="BG8" s="215">
        <v>0.2</v>
      </c>
      <c r="BH8" s="215">
        <v>0.27</v>
      </c>
      <c r="BI8" s="215" t="e">
        <f t="shared" si="15"/>
        <v>#N/A</v>
      </c>
      <c r="BJ8" s="215" t="e">
        <f t="shared" si="16"/>
        <v>#N/A</v>
      </c>
      <c r="BK8" s="215" t="e">
        <f t="shared" si="17"/>
        <v>#N/A</v>
      </c>
      <c r="BL8" s="215" t="e">
        <f t="shared" si="18"/>
        <v>#N/A</v>
      </c>
      <c r="BM8" s="215" t="e">
        <f t="shared" si="19"/>
        <v>#N/A</v>
      </c>
      <c r="BN8" s="215" t="e">
        <f t="shared" si="20"/>
        <v>#N/A</v>
      </c>
      <c r="BO8" s="215" t="e">
        <f t="shared" si="21"/>
        <v>#N/A</v>
      </c>
      <c r="BP8" s="215" t="e">
        <f t="shared" si="22"/>
        <v>#N/A</v>
      </c>
      <c r="BQ8" s="215" t="e">
        <f t="shared" si="23"/>
        <v>#N/A</v>
      </c>
      <c r="BR8" s="215" t="e">
        <f t="shared" si="2"/>
        <v>#N/A</v>
      </c>
    </row>
    <row r="9" spans="2:87" x14ac:dyDescent="0.35">
      <c r="B9" s="161" t="str">
        <f>'Tratamento de Dados'!B17</f>
        <v>V-14</v>
      </c>
      <c r="C9" s="161" t="str">
        <f>'Tratamento de Dados'!D17</f>
        <v>Casco</v>
      </c>
      <c r="D9" s="161">
        <f>'Tratamento de Dados'!BW17</f>
        <v>0</v>
      </c>
      <c r="E9" s="285">
        <f>'Tratamento de Dados'!S17</f>
        <v>2</v>
      </c>
      <c r="F9" s="246" t="str">
        <f t="shared" si="3"/>
        <v>OK</v>
      </c>
      <c r="G9" s="161">
        <f>'Tratamento de Dados'!BX17</f>
        <v>0</v>
      </c>
      <c r="H9" s="209">
        <f>Thinning!E10</f>
        <v>10</v>
      </c>
      <c r="I9" s="210">
        <f>Thinning!F10</f>
        <v>43831</v>
      </c>
      <c r="J9" s="210">
        <f>Thinning!G10</f>
        <v>43833</v>
      </c>
      <c r="K9" s="210">
        <f>'Tratamento de Dados'!BZ17</f>
        <v>0</v>
      </c>
      <c r="L9" s="209">
        <f>'Tratamento de Dados'!CB17</f>
        <v>0</v>
      </c>
      <c r="M9" s="210">
        <f>'Tratamento de Dados'!CC17</f>
        <v>0</v>
      </c>
      <c r="N9" s="209">
        <f>'Tratamento de Dados'!CD17</f>
        <v>0</v>
      </c>
      <c r="O9" s="209">
        <f>'Tratamento de Dados'!CE17</f>
        <v>0</v>
      </c>
      <c r="P9" s="209">
        <f>'Tratamento de Dados'!CF17</f>
        <v>0</v>
      </c>
      <c r="Q9" s="209">
        <f>'Tratamento de Dados'!CG17</f>
        <v>0</v>
      </c>
      <c r="R9" s="209">
        <f>Thinning!N10</f>
        <v>2</v>
      </c>
      <c r="S9" s="218">
        <f>Thinning!O10</f>
        <v>0</v>
      </c>
      <c r="T9" s="218">
        <f>Thinning!T10</f>
        <v>0</v>
      </c>
      <c r="U9" s="209">
        <f>Thinning!R10</f>
        <v>1</v>
      </c>
      <c r="V9" s="209">
        <f>Thinning!P10</f>
        <v>10</v>
      </c>
      <c r="W9" s="209">
        <f>Thinning!Q10</f>
        <v>20</v>
      </c>
      <c r="X9" s="219">
        <f>'Tratamento de Dados'!CH17</f>
        <v>0</v>
      </c>
      <c r="Y9" s="219">
        <f>'Tratamento de Dados'!CI17</f>
        <v>0</v>
      </c>
      <c r="Z9" s="219">
        <f>'Tratamento de Dados'!CJ17</f>
        <v>0</v>
      </c>
      <c r="AA9" s="219">
        <f>'Tratamento de Dados'!CK17</f>
        <v>0</v>
      </c>
      <c r="AB9" s="225">
        <f>'Tratamento de Dados'!CM17</f>
        <v>0</v>
      </c>
      <c r="AC9" s="211">
        <f t="shared" si="4"/>
        <v>5.4757015742642025E-3</v>
      </c>
      <c r="AD9" s="211">
        <f>IF(E9&gt;='Tables - Part 2'!$ES$11,'Tables - Part 2'!$ES$11,LOOKUP(E9,'Tables - Part 2'!$ES$5:$ES$11))</f>
        <v>-8</v>
      </c>
      <c r="AE9" s="211">
        <f>IF(E9&lt;='Tables - Part 2'!$ES$5,'Tables - Part 2'!$ES$5,IF(Ext_Corr_Ferritic!E9&lt;='Tables - Part 2'!$ES$6,'Tables - Part 2'!$ES$6,IF(Ext_Corr_Ferritic!E9&lt;='Tables - Part 2'!$ES$7,'Tables - Part 2'!$ES$7,IF(Ext_Corr_Ferritic!E9&lt;='Tables - Part 2'!$ES$8,'Tables - Part 2'!$ES$8,IF(Ext_Corr_Ferritic!E9&lt;='Tables - Part 2'!$ES$9,'Tables - Part 2'!$ES$9,IF(Ext_Corr_Ferritic!E9&lt;='Tables - Part 2'!$ES$10,'Tables - Part 2'!$ES$10,IF(Ext_Corr_Ferritic!E9&lt;='Tables - Part 2'!$ES$11,'Tables - Part 2'!$ES$11,IF(Ext_Corr_Ferritic!E9&gt;='Tables - Part 2'!$ES$11,'Tables - Part 2'!$ES$11))))))))</f>
        <v>6</v>
      </c>
      <c r="AF9" s="271" t="e">
        <f>INDEX('Tables - Part 2'!$ET$5:$EW$11,MATCH(Ext_Corr_Ferritic!AD9,'Tables - Part 2'!$ES$5:$ES$11,0),MATCH(Ext_Corr_Ferritic!O9,'Tables - Part 2'!$ET$4:$EW$4,0))</f>
        <v>#N/A</v>
      </c>
      <c r="AG9" s="271" t="e">
        <f>INDEX('Tables - Part 2'!$ET$5:$EW$11,MATCH(Ext_Corr_Ferritic!AE9,'Tables - Part 2'!$ES$5:$ES$11,0),MATCH(Ext_Corr_Ferritic!O9,'Tables - Part 2'!$ET$4:$EW$4,0))</f>
        <v>#N/A</v>
      </c>
      <c r="AH9" s="271" t="e">
        <f>IF(E9&gt;'Tables - Part 2'!$ES$11,0,IF(AE9-AD9=0,INDEX('Tables - Part 2'!$ET$5:$EW$11,MATCH(Ext_Corr_Ferritic!E9,'Tables - Part 2'!$ES$5:$ES$11,0),MATCH(Ext_Corr_Ferritic!O9,'Tables - Part 2'!$ET$4:$EW$4,0)),((E9-AD9)*(AG9-AF9)/(AE9-AD9))+AF9))</f>
        <v>#N/A</v>
      </c>
      <c r="AI9" s="271" t="e">
        <f t="shared" si="5"/>
        <v>#N/A</v>
      </c>
      <c r="AJ9" s="271">
        <f t="shared" si="6"/>
        <v>10</v>
      </c>
      <c r="AK9" s="273">
        <f t="shared" si="7"/>
        <v>5.4757015742642025E-3</v>
      </c>
      <c r="AL9" s="211">
        <f t="shared" si="8"/>
        <v>120.0082135523614</v>
      </c>
      <c r="AM9" s="211">
        <f t="shared" si="9"/>
        <v>0</v>
      </c>
      <c r="AN9" s="211">
        <f t="shared" si="10"/>
        <v>0</v>
      </c>
      <c r="AO9" s="211">
        <f t="shared" si="11"/>
        <v>0</v>
      </c>
      <c r="AP9" s="211">
        <f t="shared" si="12"/>
        <v>5.4757015742642025E-3</v>
      </c>
      <c r="AQ9" s="271" t="e">
        <f t="shared" si="13"/>
        <v>#N/A</v>
      </c>
      <c r="AR9" s="271">
        <f t="shared" si="14"/>
        <v>16.5</v>
      </c>
      <c r="AS9" s="271">
        <f>IF(OR(S9="",S9=0),(Thinning!AL10*Thinning!AM10)/(Thinning!AN10*Ext_Corr_Ferritic!AR9*Ext_Corr_Ferritic!AJ9),(T9*U9*MAX(R9,S9))/(AR9*AJ9))</f>
        <v>0</v>
      </c>
      <c r="AT9" s="215" t="e">
        <f>INDEX('Tables - Part 2'!$K$4:$M$4,,MATCH(AB9,'Tables - Part 2'!$K$3:$M$3,0))</f>
        <v>#N/A</v>
      </c>
      <c r="AU9" s="215" t="e">
        <f>INDEX('Tables - Part 2'!$K$5:$M$5,,MATCH(AB9,'Tables - Part 2'!$K$3:$M$3,0))</f>
        <v>#N/A</v>
      </c>
      <c r="AV9" s="215" t="e">
        <f>INDEX('Tables - Part 2'!$K$6:$M$6,,MATCH(AB9,'Tables - Part 2'!$K$3:$M$3,0))</f>
        <v>#N/A</v>
      </c>
      <c r="AW9" s="215">
        <v>0.9</v>
      </c>
      <c r="AX9" s="215">
        <v>0.7</v>
      </c>
      <c r="AY9" s="215">
        <v>0.5</v>
      </c>
      <c r="AZ9" s="215">
        <v>0.4</v>
      </c>
      <c r="BA9" s="215">
        <v>0.09</v>
      </c>
      <c r="BB9" s="215">
        <v>0.2</v>
      </c>
      <c r="BC9" s="215">
        <v>0.3</v>
      </c>
      <c r="BD9" s="215">
        <v>0.33</v>
      </c>
      <c r="BE9" s="215">
        <v>0.01</v>
      </c>
      <c r="BF9" s="215">
        <v>0.1</v>
      </c>
      <c r="BG9" s="215">
        <v>0.2</v>
      </c>
      <c r="BH9" s="215">
        <v>0.27</v>
      </c>
      <c r="BI9" s="215" t="e">
        <f t="shared" si="15"/>
        <v>#N/A</v>
      </c>
      <c r="BJ9" s="215" t="e">
        <f t="shared" si="16"/>
        <v>#N/A</v>
      </c>
      <c r="BK9" s="215" t="e">
        <f t="shared" si="17"/>
        <v>#N/A</v>
      </c>
      <c r="BL9" s="215" t="e">
        <f t="shared" si="18"/>
        <v>#N/A</v>
      </c>
      <c r="BM9" s="215" t="e">
        <f t="shared" si="19"/>
        <v>#N/A</v>
      </c>
      <c r="BN9" s="215" t="e">
        <f t="shared" si="20"/>
        <v>#N/A</v>
      </c>
      <c r="BO9" s="215" t="e">
        <f t="shared" si="21"/>
        <v>#N/A</v>
      </c>
      <c r="BP9" s="215" t="e">
        <f t="shared" si="22"/>
        <v>#N/A</v>
      </c>
      <c r="BQ9" s="215" t="e">
        <f t="shared" si="23"/>
        <v>#N/A</v>
      </c>
      <c r="BR9" s="215" t="e">
        <f t="shared" si="2"/>
        <v>#N/A</v>
      </c>
    </row>
    <row r="10" spans="2:87" x14ac:dyDescent="0.35">
      <c r="B10" s="161" t="str">
        <f>'Tratamento de Dados'!B18</f>
        <v>V-1</v>
      </c>
      <c r="C10" s="161" t="str">
        <f>'Tratamento de Dados'!D18</f>
        <v>Casco</v>
      </c>
      <c r="D10" s="161">
        <f>'Tratamento de Dados'!BW18</f>
        <v>0</v>
      </c>
      <c r="E10" s="285">
        <f>'Tratamento de Dados'!S18</f>
        <v>2</v>
      </c>
      <c r="F10" s="246" t="str">
        <f t="shared" si="3"/>
        <v>OK</v>
      </c>
      <c r="G10" s="161">
        <f>'Tratamento de Dados'!BX18</f>
        <v>0</v>
      </c>
      <c r="H10" s="209">
        <f>Thinning!E11</f>
        <v>10</v>
      </c>
      <c r="I10" s="210">
        <f>Thinning!F11</f>
        <v>43831</v>
      </c>
      <c r="J10" s="210">
        <f>Thinning!G11</f>
        <v>43833</v>
      </c>
      <c r="K10" s="210">
        <f>'Tratamento de Dados'!BZ18</f>
        <v>0</v>
      </c>
      <c r="L10" s="209">
        <f>'Tratamento de Dados'!CB18</f>
        <v>0</v>
      </c>
      <c r="M10" s="210">
        <f>'Tratamento de Dados'!CC18</f>
        <v>0</v>
      </c>
      <c r="N10" s="209">
        <f>'Tratamento de Dados'!CD18</f>
        <v>0</v>
      </c>
      <c r="O10" s="209">
        <f>'Tratamento de Dados'!CE18</f>
        <v>0</v>
      </c>
      <c r="P10" s="209">
        <f>'Tratamento de Dados'!CF18</f>
        <v>0</v>
      </c>
      <c r="Q10" s="209">
        <f>'Tratamento de Dados'!CG18</f>
        <v>0</v>
      </c>
      <c r="R10" s="209">
        <f>Thinning!N11</f>
        <v>2</v>
      </c>
      <c r="S10" s="218">
        <f>Thinning!O11</f>
        <v>0</v>
      </c>
      <c r="T10" s="218">
        <f>Thinning!T11</f>
        <v>0</v>
      </c>
      <c r="U10" s="209">
        <f>Thinning!R11</f>
        <v>1</v>
      </c>
      <c r="V10" s="209">
        <f>Thinning!P11</f>
        <v>10</v>
      </c>
      <c r="W10" s="209">
        <f>Thinning!Q11</f>
        <v>20</v>
      </c>
      <c r="X10" s="219">
        <f>'Tratamento de Dados'!CH18</f>
        <v>0</v>
      </c>
      <c r="Y10" s="219">
        <f>'Tratamento de Dados'!CI18</f>
        <v>0</v>
      </c>
      <c r="Z10" s="219">
        <f>'Tratamento de Dados'!CJ18</f>
        <v>0</v>
      </c>
      <c r="AA10" s="219">
        <f>'Tratamento de Dados'!CK18</f>
        <v>0</v>
      </c>
      <c r="AB10" s="225">
        <f>'Tratamento de Dados'!CM18</f>
        <v>0</v>
      </c>
      <c r="AC10" s="211">
        <f t="shared" si="4"/>
        <v>5.4757015742642025E-3</v>
      </c>
      <c r="AD10" s="211">
        <f>IF(E10&gt;='Tables - Part 2'!$ES$11,'Tables - Part 2'!$ES$11,LOOKUP(E10,'Tables - Part 2'!$ES$5:$ES$11))</f>
        <v>-8</v>
      </c>
      <c r="AE10" s="211">
        <f>IF(E10&lt;='Tables - Part 2'!$ES$5,'Tables - Part 2'!$ES$5,IF(Ext_Corr_Ferritic!E10&lt;='Tables - Part 2'!$ES$6,'Tables - Part 2'!$ES$6,IF(Ext_Corr_Ferritic!E10&lt;='Tables - Part 2'!$ES$7,'Tables - Part 2'!$ES$7,IF(Ext_Corr_Ferritic!E10&lt;='Tables - Part 2'!$ES$8,'Tables - Part 2'!$ES$8,IF(Ext_Corr_Ferritic!E10&lt;='Tables - Part 2'!$ES$9,'Tables - Part 2'!$ES$9,IF(Ext_Corr_Ferritic!E10&lt;='Tables - Part 2'!$ES$10,'Tables - Part 2'!$ES$10,IF(Ext_Corr_Ferritic!E10&lt;='Tables - Part 2'!$ES$11,'Tables - Part 2'!$ES$11,IF(Ext_Corr_Ferritic!E10&gt;='Tables - Part 2'!$ES$11,'Tables - Part 2'!$ES$11))))))))</f>
        <v>6</v>
      </c>
      <c r="AF10" s="271" t="e">
        <f>INDEX('Tables - Part 2'!$ET$5:$EW$11,MATCH(Ext_Corr_Ferritic!AD10,'Tables - Part 2'!$ES$5:$ES$11,0),MATCH(Ext_Corr_Ferritic!O10,'Tables - Part 2'!$ET$4:$EW$4,0))</f>
        <v>#N/A</v>
      </c>
      <c r="AG10" s="271" t="e">
        <f>INDEX('Tables - Part 2'!$ET$5:$EW$11,MATCH(Ext_Corr_Ferritic!AE10,'Tables - Part 2'!$ES$5:$ES$11,0),MATCH(Ext_Corr_Ferritic!O10,'Tables - Part 2'!$ET$4:$EW$4,0))</f>
        <v>#N/A</v>
      </c>
      <c r="AH10" s="271" t="e">
        <f>IF(E10&gt;'Tables - Part 2'!$ES$11,0,IF(AE10-AD10=0,INDEX('Tables - Part 2'!$ET$5:$EW$11,MATCH(Ext_Corr_Ferritic!E10,'Tables - Part 2'!$ES$5:$ES$11,0),MATCH(Ext_Corr_Ferritic!O10,'Tables - Part 2'!$ET$4:$EW$4,0)),((E10-AD10)*(AG10-AF10)/(AE10-AD10))+AF10))</f>
        <v>#N/A</v>
      </c>
      <c r="AI10" s="271" t="e">
        <f t="shared" si="5"/>
        <v>#N/A</v>
      </c>
      <c r="AJ10" s="271">
        <f t="shared" si="6"/>
        <v>10</v>
      </c>
      <c r="AK10" s="273">
        <f t="shared" si="7"/>
        <v>5.4757015742642025E-3</v>
      </c>
      <c r="AL10" s="211">
        <f t="shared" si="8"/>
        <v>120.0082135523614</v>
      </c>
      <c r="AM10" s="211">
        <f t="shared" si="9"/>
        <v>0</v>
      </c>
      <c r="AN10" s="211">
        <f t="shared" si="10"/>
        <v>0</v>
      </c>
      <c r="AO10" s="211">
        <f t="shared" si="11"/>
        <v>0</v>
      </c>
      <c r="AP10" s="211">
        <f t="shared" si="12"/>
        <v>5.4757015742642025E-3</v>
      </c>
      <c r="AQ10" s="271" t="e">
        <f t="shared" si="13"/>
        <v>#N/A</v>
      </c>
      <c r="AR10" s="271">
        <f t="shared" si="14"/>
        <v>16.5</v>
      </c>
      <c r="AS10" s="271">
        <f>IF(OR(S10="",S10=0),(Thinning!AL11*Thinning!AM11)/(Thinning!AN11*Ext_Corr_Ferritic!AR10*Ext_Corr_Ferritic!AJ10),(T10*U10*MAX(R10,S10))/(AR10*AJ10))</f>
        <v>0</v>
      </c>
      <c r="AT10" s="215" t="e">
        <f>INDEX('Tables - Part 2'!$K$4:$M$4,,MATCH(AB10,'Tables - Part 2'!$K$3:$M$3,0))</f>
        <v>#N/A</v>
      </c>
      <c r="AU10" s="215" t="e">
        <f>INDEX('Tables - Part 2'!$K$5:$M$5,,MATCH(AB10,'Tables - Part 2'!$K$3:$M$3,0))</f>
        <v>#N/A</v>
      </c>
      <c r="AV10" s="215" t="e">
        <f>INDEX('Tables - Part 2'!$K$6:$M$6,,MATCH(AB10,'Tables - Part 2'!$K$3:$M$3,0))</f>
        <v>#N/A</v>
      </c>
      <c r="AW10" s="215">
        <v>0.9</v>
      </c>
      <c r="AX10" s="215">
        <v>0.7</v>
      </c>
      <c r="AY10" s="215">
        <v>0.5</v>
      </c>
      <c r="AZ10" s="215">
        <v>0.4</v>
      </c>
      <c r="BA10" s="215">
        <v>0.09</v>
      </c>
      <c r="BB10" s="215">
        <v>0.2</v>
      </c>
      <c r="BC10" s="215">
        <v>0.3</v>
      </c>
      <c r="BD10" s="215">
        <v>0.33</v>
      </c>
      <c r="BE10" s="215">
        <v>0.01</v>
      </c>
      <c r="BF10" s="215">
        <v>0.1</v>
      </c>
      <c r="BG10" s="215">
        <v>0.2</v>
      </c>
      <c r="BH10" s="215">
        <v>0.27</v>
      </c>
      <c r="BI10" s="215" t="e">
        <f t="shared" si="15"/>
        <v>#N/A</v>
      </c>
      <c r="BJ10" s="215" t="e">
        <f t="shared" si="16"/>
        <v>#N/A</v>
      </c>
      <c r="BK10" s="215" t="e">
        <f t="shared" si="17"/>
        <v>#N/A</v>
      </c>
      <c r="BL10" s="215" t="e">
        <f t="shared" si="18"/>
        <v>#N/A</v>
      </c>
      <c r="BM10" s="215" t="e">
        <f t="shared" si="19"/>
        <v>#N/A</v>
      </c>
      <c r="BN10" s="215" t="e">
        <f t="shared" si="20"/>
        <v>#N/A</v>
      </c>
      <c r="BO10" s="215" t="e">
        <f t="shared" si="21"/>
        <v>#N/A</v>
      </c>
      <c r="BP10" s="215" t="e">
        <f t="shared" si="22"/>
        <v>#N/A</v>
      </c>
      <c r="BQ10" s="215" t="e">
        <f t="shared" si="23"/>
        <v>#N/A</v>
      </c>
      <c r="BR10" s="215" t="e">
        <f t="shared" si="2"/>
        <v>#N/A</v>
      </c>
    </row>
    <row r="11" spans="2:87" x14ac:dyDescent="0.35">
      <c r="B11" s="161" t="str">
        <f>'Tratamento de Dados'!B19</f>
        <v>V-2</v>
      </c>
      <c r="C11" s="161" t="str">
        <f>'Tratamento de Dados'!D19</f>
        <v>Casco</v>
      </c>
      <c r="D11" s="161">
        <f>'Tratamento de Dados'!BW19</f>
        <v>0</v>
      </c>
      <c r="E11" s="285">
        <f>'Tratamento de Dados'!S19</f>
        <v>2</v>
      </c>
      <c r="F11" s="246" t="str">
        <f t="shared" si="3"/>
        <v>OK</v>
      </c>
      <c r="G11" s="161">
        <f>'Tratamento de Dados'!BX19</f>
        <v>0</v>
      </c>
      <c r="H11" s="209">
        <f>Thinning!E12</f>
        <v>10</v>
      </c>
      <c r="I11" s="210">
        <f>Thinning!F12</f>
        <v>43831</v>
      </c>
      <c r="J11" s="210">
        <f>Thinning!G12</f>
        <v>43833</v>
      </c>
      <c r="K11" s="210">
        <f>'Tratamento de Dados'!BZ19</f>
        <v>0</v>
      </c>
      <c r="L11" s="209">
        <f>'Tratamento de Dados'!CB19</f>
        <v>0</v>
      </c>
      <c r="M11" s="210">
        <f>'Tratamento de Dados'!CC19</f>
        <v>0</v>
      </c>
      <c r="N11" s="209">
        <f>'Tratamento de Dados'!CD19</f>
        <v>0</v>
      </c>
      <c r="O11" s="209">
        <f>'Tratamento de Dados'!CE19</f>
        <v>0</v>
      </c>
      <c r="P11" s="209">
        <f>'Tratamento de Dados'!CF19</f>
        <v>0</v>
      </c>
      <c r="Q11" s="209">
        <f>'Tratamento de Dados'!CG19</f>
        <v>0</v>
      </c>
      <c r="R11" s="209">
        <f>Thinning!N12</f>
        <v>2</v>
      </c>
      <c r="S11" s="218">
        <f>Thinning!O12</f>
        <v>0</v>
      </c>
      <c r="T11" s="218">
        <f>Thinning!T12</f>
        <v>0</v>
      </c>
      <c r="U11" s="209">
        <f>Thinning!R12</f>
        <v>1</v>
      </c>
      <c r="V11" s="209">
        <f>Thinning!P12</f>
        <v>10</v>
      </c>
      <c r="W11" s="209">
        <f>Thinning!Q12</f>
        <v>20</v>
      </c>
      <c r="X11" s="219">
        <f>'Tratamento de Dados'!CH19</f>
        <v>0</v>
      </c>
      <c r="Y11" s="219">
        <f>'Tratamento de Dados'!CI19</f>
        <v>0</v>
      </c>
      <c r="Z11" s="219">
        <f>'Tratamento de Dados'!CJ19</f>
        <v>0</v>
      </c>
      <c r="AA11" s="219">
        <f>'Tratamento de Dados'!CK19</f>
        <v>0</v>
      </c>
      <c r="AB11" s="225">
        <f>'Tratamento de Dados'!CM19</f>
        <v>0</v>
      </c>
      <c r="AC11" s="211">
        <f t="shared" si="4"/>
        <v>5.4757015742642025E-3</v>
      </c>
      <c r="AD11" s="211">
        <f>IF(E11&gt;='Tables - Part 2'!$ES$11,'Tables - Part 2'!$ES$11,LOOKUP(E11,'Tables - Part 2'!$ES$5:$ES$11))</f>
        <v>-8</v>
      </c>
      <c r="AE11" s="211">
        <f>IF(E11&lt;='Tables - Part 2'!$ES$5,'Tables - Part 2'!$ES$5,IF(Ext_Corr_Ferritic!E11&lt;='Tables - Part 2'!$ES$6,'Tables - Part 2'!$ES$6,IF(Ext_Corr_Ferritic!E11&lt;='Tables - Part 2'!$ES$7,'Tables - Part 2'!$ES$7,IF(Ext_Corr_Ferritic!E11&lt;='Tables - Part 2'!$ES$8,'Tables - Part 2'!$ES$8,IF(Ext_Corr_Ferritic!E11&lt;='Tables - Part 2'!$ES$9,'Tables - Part 2'!$ES$9,IF(Ext_Corr_Ferritic!E11&lt;='Tables - Part 2'!$ES$10,'Tables - Part 2'!$ES$10,IF(Ext_Corr_Ferritic!E11&lt;='Tables - Part 2'!$ES$11,'Tables - Part 2'!$ES$11,IF(Ext_Corr_Ferritic!E11&gt;='Tables - Part 2'!$ES$11,'Tables - Part 2'!$ES$11))))))))</f>
        <v>6</v>
      </c>
      <c r="AF11" s="271" t="e">
        <f>INDEX('Tables - Part 2'!$ET$5:$EW$11,MATCH(Ext_Corr_Ferritic!AD11,'Tables - Part 2'!$ES$5:$ES$11,0),MATCH(Ext_Corr_Ferritic!O11,'Tables - Part 2'!$ET$4:$EW$4,0))</f>
        <v>#N/A</v>
      </c>
      <c r="AG11" s="271" t="e">
        <f>INDEX('Tables - Part 2'!$ET$5:$EW$11,MATCH(Ext_Corr_Ferritic!AE11,'Tables - Part 2'!$ES$5:$ES$11,0),MATCH(Ext_Corr_Ferritic!O11,'Tables - Part 2'!$ET$4:$EW$4,0))</f>
        <v>#N/A</v>
      </c>
      <c r="AH11" s="271" t="e">
        <f>IF(E11&gt;'Tables - Part 2'!$ES$11,0,IF(AE11-AD11=0,INDEX('Tables - Part 2'!$ET$5:$EW$11,MATCH(Ext_Corr_Ferritic!E11,'Tables - Part 2'!$ES$5:$ES$11,0),MATCH(Ext_Corr_Ferritic!O11,'Tables - Part 2'!$ET$4:$EW$4,0)),((E11-AD11)*(AG11-AF11)/(AE11-AD11))+AF11))</f>
        <v>#N/A</v>
      </c>
      <c r="AI11" s="271" t="e">
        <f t="shared" si="5"/>
        <v>#N/A</v>
      </c>
      <c r="AJ11" s="271">
        <f t="shared" si="6"/>
        <v>10</v>
      </c>
      <c r="AK11" s="273">
        <f t="shared" si="7"/>
        <v>5.4757015742642025E-3</v>
      </c>
      <c r="AL11" s="211">
        <f t="shared" si="8"/>
        <v>120.0082135523614</v>
      </c>
      <c r="AM11" s="211">
        <f t="shared" si="9"/>
        <v>0</v>
      </c>
      <c r="AN11" s="211">
        <f t="shared" si="10"/>
        <v>0</v>
      </c>
      <c r="AO11" s="211">
        <f t="shared" si="11"/>
        <v>0</v>
      </c>
      <c r="AP11" s="211">
        <f t="shared" si="12"/>
        <v>5.4757015742642025E-3</v>
      </c>
      <c r="AQ11" s="271" t="e">
        <f t="shared" si="13"/>
        <v>#N/A</v>
      </c>
      <c r="AR11" s="271">
        <f t="shared" si="14"/>
        <v>16.5</v>
      </c>
      <c r="AS11" s="271">
        <f>IF(OR(S11="",S11=0),(Thinning!AL12*Thinning!AM12)/(Thinning!AN12*Ext_Corr_Ferritic!AR11*Ext_Corr_Ferritic!AJ11),(T11*U11*MAX(R11,S11))/(AR11*AJ11))</f>
        <v>0</v>
      </c>
      <c r="AT11" s="215" t="e">
        <f>INDEX('Tables - Part 2'!$K$4:$M$4,,MATCH(AB11,'Tables - Part 2'!$K$3:$M$3,0))</f>
        <v>#N/A</v>
      </c>
      <c r="AU11" s="215" t="e">
        <f>INDEX('Tables - Part 2'!$K$5:$M$5,,MATCH(AB11,'Tables - Part 2'!$K$3:$M$3,0))</f>
        <v>#N/A</v>
      </c>
      <c r="AV11" s="215" t="e">
        <f>INDEX('Tables - Part 2'!$K$6:$M$6,,MATCH(AB11,'Tables - Part 2'!$K$3:$M$3,0))</f>
        <v>#N/A</v>
      </c>
      <c r="AW11" s="215">
        <v>0.9</v>
      </c>
      <c r="AX11" s="215">
        <v>0.7</v>
      </c>
      <c r="AY11" s="215">
        <v>0.5</v>
      </c>
      <c r="AZ11" s="215">
        <v>0.4</v>
      </c>
      <c r="BA11" s="215">
        <v>0.09</v>
      </c>
      <c r="BB11" s="215">
        <v>0.2</v>
      </c>
      <c r="BC11" s="215">
        <v>0.3</v>
      </c>
      <c r="BD11" s="215">
        <v>0.33</v>
      </c>
      <c r="BE11" s="215">
        <v>0.01</v>
      </c>
      <c r="BF11" s="215">
        <v>0.1</v>
      </c>
      <c r="BG11" s="215">
        <v>0.2</v>
      </c>
      <c r="BH11" s="215">
        <v>0.27</v>
      </c>
      <c r="BI11" s="215" t="e">
        <f t="shared" si="15"/>
        <v>#N/A</v>
      </c>
      <c r="BJ11" s="215" t="e">
        <f t="shared" si="16"/>
        <v>#N/A</v>
      </c>
      <c r="BK11" s="215" t="e">
        <f t="shared" si="17"/>
        <v>#N/A</v>
      </c>
      <c r="BL11" s="215" t="e">
        <f t="shared" si="18"/>
        <v>#N/A</v>
      </c>
      <c r="BM11" s="215" t="e">
        <f t="shared" si="19"/>
        <v>#N/A</v>
      </c>
      <c r="BN11" s="215" t="e">
        <f t="shared" si="20"/>
        <v>#N/A</v>
      </c>
      <c r="BO11" s="215" t="e">
        <f t="shared" si="21"/>
        <v>#N/A</v>
      </c>
      <c r="BP11" s="215" t="e">
        <f t="shared" si="22"/>
        <v>#N/A</v>
      </c>
      <c r="BQ11" s="215" t="e">
        <f t="shared" si="23"/>
        <v>#N/A</v>
      </c>
      <c r="BR11" s="215" t="e">
        <f t="shared" si="2"/>
        <v>#N/A</v>
      </c>
    </row>
    <row r="12" spans="2:87" x14ac:dyDescent="0.35">
      <c r="B12" s="161" t="str">
        <f>'Tratamento de Dados'!B20</f>
        <v>V-3</v>
      </c>
      <c r="C12" s="161" t="str">
        <f>'Tratamento de Dados'!D20</f>
        <v>Casco</v>
      </c>
      <c r="D12" s="161">
        <f>'Tratamento de Dados'!BW20</f>
        <v>0</v>
      </c>
      <c r="E12" s="285">
        <f>'Tratamento de Dados'!S20</f>
        <v>2</v>
      </c>
      <c r="F12" s="246" t="str">
        <f t="shared" si="3"/>
        <v>OK</v>
      </c>
      <c r="G12" s="161">
        <f>'Tratamento de Dados'!BX20</f>
        <v>0</v>
      </c>
      <c r="H12" s="209">
        <f>Thinning!E13</f>
        <v>10</v>
      </c>
      <c r="I12" s="210">
        <f>Thinning!F13</f>
        <v>43831</v>
      </c>
      <c r="J12" s="210">
        <f>Thinning!G13</f>
        <v>43833</v>
      </c>
      <c r="K12" s="210">
        <f>'Tratamento de Dados'!BZ20</f>
        <v>0</v>
      </c>
      <c r="L12" s="209">
        <f>'Tratamento de Dados'!CB20</f>
        <v>0</v>
      </c>
      <c r="M12" s="210">
        <f>'Tratamento de Dados'!CC20</f>
        <v>0</v>
      </c>
      <c r="N12" s="209">
        <f>'Tratamento de Dados'!CD20</f>
        <v>0</v>
      </c>
      <c r="O12" s="209">
        <f>'Tratamento de Dados'!CE20</f>
        <v>0</v>
      </c>
      <c r="P12" s="209">
        <f>'Tratamento de Dados'!CF20</f>
        <v>0</v>
      </c>
      <c r="Q12" s="209">
        <f>'Tratamento de Dados'!CG20</f>
        <v>0</v>
      </c>
      <c r="R12" s="209">
        <f>Thinning!N13</f>
        <v>2</v>
      </c>
      <c r="S12" s="218">
        <f>Thinning!O13</f>
        <v>0</v>
      </c>
      <c r="T12" s="218">
        <f>Thinning!T13</f>
        <v>0</v>
      </c>
      <c r="U12" s="209">
        <f>Thinning!R13</f>
        <v>1</v>
      </c>
      <c r="V12" s="209">
        <f>Thinning!P13</f>
        <v>10</v>
      </c>
      <c r="W12" s="209">
        <f>Thinning!Q13</f>
        <v>20</v>
      </c>
      <c r="X12" s="219">
        <f>'Tratamento de Dados'!CH20</f>
        <v>0</v>
      </c>
      <c r="Y12" s="219">
        <f>'Tratamento de Dados'!CI20</f>
        <v>0</v>
      </c>
      <c r="Z12" s="219">
        <f>'Tratamento de Dados'!CJ20</f>
        <v>0</v>
      </c>
      <c r="AA12" s="219">
        <f>'Tratamento de Dados'!CK20</f>
        <v>0</v>
      </c>
      <c r="AB12" s="225">
        <f>'Tratamento de Dados'!CM20</f>
        <v>0</v>
      </c>
      <c r="AC12" s="211">
        <f t="shared" si="4"/>
        <v>5.4757015742642025E-3</v>
      </c>
      <c r="AD12" s="211">
        <f>IF(E12&gt;='Tables - Part 2'!$ES$11,'Tables - Part 2'!$ES$11,LOOKUP(E12,'Tables - Part 2'!$ES$5:$ES$11))</f>
        <v>-8</v>
      </c>
      <c r="AE12" s="211">
        <f>IF(E12&lt;='Tables - Part 2'!$ES$5,'Tables - Part 2'!$ES$5,IF(Ext_Corr_Ferritic!E12&lt;='Tables - Part 2'!$ES$6,'Tables - Part 2'!$ES$6,IF(Ext_Corr_Ferritic!E12&lt;='Tables - Part 2'!$ES$7,'Tables - Part 2'!$ES$7,IF(Ext_Corr_Ferritic!E12&lt;='Tables - Part 2'!$ES$8,'Tables - Part 2'!$ES$8,IF(Ext_Corr_Ferritic!E12&lt;='Tables - Part 2'!$ES$9,'Tables - Part 2'!$ES$9,IF(Ext_Corr_Ferritic!E12&lt;='Tables - Part 2'!$ES$10,'Tables - Part 2'!$ES$10,IF(Ext_Corr_Ferritic!E12&lt;='Tables - Part 2'!$ES$11,'Tables - Part 2'!$ES$11,IF(Ext_Corr_Ferritic!E12&gt;='Tables - Part 2'!$ES$11,'Tables - Part 2'!$ES$11))))))))</f>
        <v>6</v>
      </c>
      <c r="AF12" s="271" t="e">
        <f>INDEX('Tables - Part 2'!$ET$5:$EW$11,MATCH(Ext_Corr_Ferritic!AD12,'Tables - Part 2'!$ES$5:$ES$11,0),MATCH(Ext_Corr_Ferritic!O12,'Tables - Part 2'!$ET$4:$EW$4,0))</f>
        <v>#N/A</v>
      </c>
      <c r="AG12" s="271" t="e">
        <f>INDEX('Tables - Part 2'!$ET$5:$EW$11,MATCH(Ext_Corr_Ferritic!AE12,'Tables - Part 2'!$ES$5:$ES$11,0),MATCH(Ext_Corr_Ferritic!O12,'Tables - Part 2'!$ET$4:$EW$4,0))</f>
        <v>#N/A</v>
      </c>
      <c r="AH12" s="271" t="e">
        <f>IF(E12&gt;'Tables - Part 2'!$ES$11,0,IF(AE12-AD12=0,INDEX('Tables - Part 2'!$ET$5:$EW$11,MATCH(Ext_Corr_Ferritic!E12,'Tables - Part 2'!$ES$5:$ES$11,0),MATCH(Ext_Corr_Ferritic!O12,'Tables - Part 2'!$ET$4:$EW$4,0)),((E12-AD12)*(AG12-AF12)/(AE12-AD12))+AF12))</f>
        <v>#N/A</v>
      </c>
      <c r="AI12" s="271" t="e">
        <f t="shared" si="5"/>
        <v>#N/A</v>
      </c>
      <c r="AJ12" s="271">
        <f t="shared" si="6"/>
        <v>10</v>
      </c>
      <c r="AK12" s="273">
        <f t="shared" si="7"/>
        <v>5.4757015742642025E-3</v>
      </c>
      <c r="AL12" s="211">
        <f t="shared" si="8"/>
        <v>120.0082135523614</v>
      </c>
      <c r="AM12" s="211">
        <f t="shared" si="9"/>
        <v>0</v>
      </c>
      <c r="AN12" s="211">
        <f t="shared" si="10"/>
        <v>0</v>
      </c>
      <c r="AO12" s="211">
        <f t="shared" si="11"/>
        <v>0</v>
      </c>
      <c r="AP12" s="211">
        <f t="shared" si="12"/>
        <v>5.4757015742642025E-3</v>
      </c>
      <c r="AQ12" s="271" t="e">
        <f t="shared" si="13"/>
        <v>#N/A</v>
      </c>
      <c r="AR12" s="271">
        <f t="shared" si="14"/>
        <v>16.5</v>
      </c>
      <c r="AS12" s="271">
        <f>IF(OR(S12="",S12=0),(Thinning!AL13*Thinning!AM13)/(Thinning!AN13*Ext_Corr_Ferritic!AR12*Ext_Corr_Ferritic!AJ12),(T12*U12*MAX(R12,S12))/(AR12*AJ12))</f>
        <v>0</v>
      </c>
      <c r="AT12" s="215" t="e">
        <f>INDEX('Tables - Part 2'!$K$4:$M$4,,MATCH(AB12,'Tables - Part 2'!$K$3:$M$3,0))</f>
        <v>#N/A</v>
      </c>
      <c r="AU12" s="215" t="e">
        <f>INDEX('Tables - Part 2'!$K$5:$M$5,,MATCH(AB12,'Tables - Part 2'!$K$3:$M$3,0))</f>
        <v>#N/A</v>
      </c>
      <c r="AV12" s="215" t="e">
        <f>INDEX('Tables - Part 2'!$K$6:$M$6,,MATCH(AB12,'Tables - Part 2'!$K$3:$M$3,0))</f>
        <v>#N/A</v>
      </c>
      <c r="AW12" s="215">
        <v>0.9</v>
      </c>
      <c r="AX12" s="215">
        <v>0.7</v>
      </c>
      <c r="AY12" s="215">
        <v>0.5</v>
      </c>
      <c r="AZ12" s="215">
        <v>0.4</v>
      </c>
      <c r="BA12" s="215">
        <v>0.09</v>
      </c>
      <c r="BB12" s="215">
        <v>0.2</v>
      </c>
      <c r="BC12" s="215">
        <v>0.3</v>
      </c>
      <c r="BD12" s="215">
        <v>0.33</v>
      </c>
      <c r="BE12" s="215">
        <v>0.01</v>
      </c>
      <c r="BF12" s="215">
        <v>0.1</v>
      </c>
      <c r="BG12" s="215">
        <v>0.2</v>
      </c>
      <c r="BH12" s="215">
        <v>0.27</v>
      </c>
      <c r="BI12" s="215" t="e">
        <f t="shared" si="15"/>
        <v>#N/A</v>
      </c>
      <c r="BJ12" s="215" t="e">
        <f t="shared" si="16"/>
        <v>#N/A</v>
      </c>
      <c r="BK12" s="215" t="e">
        <f t="shared" si="17"/>
        <v>#N/A</v>
      </c>
      <c r="BL12" s="215" t="e">
        <f t="shared" si="18"/>
        <v>#N/A</v>
      </c>
      <c r="BM12" s="215" t="e">
        <f t="shared" si="19"/>
        <v>#N/A</v>
      </c>
      <c r="BN12" s="215" t="e">
        <f t="shared" si="20"/>
        <v>#N/A</v>
      </c>
      <c r="BO12" s="215" t="e">
        <f t="shared" si="21"/>
        <v>#N/A</v>
      </c>
      <c r="BP12" s="215" t="e">
        <f t="shared" si="22"/>
        <v>#N/A</v>
      </c>
      <c r="BQ12" s="215" t="e">
        <f t="shared" si="23"/>
        <v>#N/A</v>
      </c>
      <c r="BR12" s="215" t="e">
        <f t="shared" si="2"/>
        <v>#N/A</v>
      </c>
    </row>
    <row r="13" spans="2:87" x14ac:dyDescent="0.35">
      <c r="B13" s="161" t="str">
        <f>'Tratamento de Dados'!B21</f>
        <v>V-4</v>
      </c>
      <c r="C13" s="161" t="str">
        <f>'Tratamento de Dados'!D21</f>
        <v>Casco</v>
      </c>
      <c r="D13" s="161">
        <f>'Tratamento de Dados'!BW21</f>
        <v>0</v>
      </c>
      <c r="E13" s="285">
        <f>'Tratamento de Dados'!S21</f>
        <v>2</v>
      </c>
      <c r="F13" s="246" t="str">
        <f t="shared" si="3"/>
        <v>OK</v>
      </c>
      <c r="G13" s="161">
        <f>'Tratamento de Dados'!BX21</f>
        <v>0</v>
      </c>
      <c r="H13" s="209">
        <f>Thinning!E14</f>
        <v>10</v>
      </c>
      <c r="I13" s="210">
        <f>Thinning!F14</f>
        <v>43831</v>
      </c>
      <c r="J13" s="210">
        <f>Thinning!G14</f>
        <v>43833</v>
      </c>
      <c r="K13" s="210">
        <f>'Tratamento de Dados'!BZ21</f>
        <v>0</v>
      </c>
      <c r="L13" s="209">
        <f>'Tratamento de Dados'!CB21</f>
        <v>0</v>
      </c>
      <c r="M13" s="210">
        <f>'Tratamento de Dados'!CC21</f>
        <v>0</v>
      </c>
      <c r="N13" s="209">
        <f>'Tratamento de Dados'!CD21</f>
        <v>0</v>
      </c>
      <c r="O13" s="209">
        <f>'Tratamento de Dados'!CE21</f>
        <v>0</v>
      </c>
      <c r="P13" s="209">
        <f>'Tratamento de Dados'!CF21</f>
        <v>0</v>
      </c>
      <c r="Q13" s="209">
        <f>'Tratamento de Dados'!CG21</f>
        <v>0</v>
      </c>
      <c r="R13" s="209">
        <f>Thinning!N14</f>
        <v>2</v>
      </c>
      <c r="S13" s="218">
        <f>Thinning!O14</f>
        <v>0</v>
      </c>
      <c r="T13" s="218">
        <f>Thinning!T14</f>
        <v>0</v>
      </c>
      <c r="U13" s="209">
        <f>Thinning!R14</f>
        <v>1</v>
      </c>
      <c r="V13" s="209">
        <f>Thinning!P14</f>
        <v>10</v>
      </c>
      <c r="W13" s="209">
        <f>Thinning!Q14</f>
        <v>20</v>
      </c>
      <c r="X13" s="219">
        <f>'Tratamento de Dados'!CH21</f>
        <v>0</v>
      </c>
      <c r="Y13" s="219">
        <f>'Tratamento de Dados'!CI21</f>
        <v>0</v>
      </c>
      <c r="Z13" s="219">
        <f>'Tratamento de Dados'!CJ21</f>
        <v>0</v>
      </c>
      <c r="AA13" s="219">
        <f>'Tratamento de Dados'!CK21</f>
        <v>0</v>
      </c>
      <c r="AB13" s="225">
        <f>'Tratamento de Dados'!CM21</f>
        <v>0</v>
      </c>
      <c r="AC13" s="211">
        <f t="shared" si="4"/>
        <v>5.4757015742642025E-3</v>
      </c>
      <c r="AD13" s="211">
        <f>IF(E13&gt;='Tables - Part 2'!$ES$11,'Tables - Part 2'!$ES$11,LOOKUP(E13,'Tables - Part 2'!$ES$5:$ES$11))</f>
        <v>-8</v>
      </c>
      <c r="AE13" s="211">
        <f>IF(E13&lt;='Tables - Part 2'!$ES$5,'Tables - Part 2'!$ES$5,IF(Ext_Corr_Ferritic!E13&lt;='Tables - Part 2'!$ES$6,'Tables - Part 2'!$ES$6,IF(Ext_Corr_Ferritic!E13&lt;='Tables - Part 2'!$ES$7,'Tables - Part 2'!$ES$7,IF(Ext_Corr_Ferritic!E13&lt;='Tables - Part 2'!$ES$8,'Tables - Part 2'!$ES$8,IF(Ext_Corr_Ferritic!E13&lt;='Tables - Part 2'!$ES$9,'Tables - Part 2'!$ES$9,IF(Ext_Corr_Ferritic!E13&lt;='Tables - Part 2'!$ES$10,'Tables - Part 2'!$ES$10,IF(Ext_Corr_Ferritic!E13&lt;='Tables - Part 2'!$ES$11,'Tables - Part 2'!$ES$11,IF(Ext_Corr_Ferritic!E13&gt;='Tables - Part 2'!$ES$11,'Tables - Part 2'!$ES$11))))))))</f>
        <v>6</v>
      </c>
      <c r="AF13" s="271" t="e">
        <f>INDEX('Tables - Part 2'!$ET$5:$EW$11,MATCH(Ext_Corr_Ferritic!AD13,'Tables - Part 2'!$ES$5:$ES$11,0),MATCH(Ext_Corr_Ferritic!O13,'Tables - Part 2'!$ET$4:$EW$4,0))</f>
        <v>#N/A</v>
      </c>
      <c r="AG13" s="271" t="e">
        <f>INDEX('Tables - Part 2'!$ET$5:$EW$11,MATCH(Ext_Corr_Ferritic!AE13,'Tables - Part 2'!$ES$5:$ES$11,0),MATCH(Ext_Corr_Ferritic!O13,'Tables - Part 2'!$ET$4:$EW$4,0))</f>
        <v>#N/A</v>
      </c>
      <c r="AH13" s="271" t="e">
        <f>IF(E13&gt;'Tables - Part 2'!$ES$11,0,IF(AE13-AD13=0,INDEX('Tables - Part 2'!$ET$5:$EW$11,MATCH(Ext_Corr_Ferritic!E13,'Tables - Part 2'!$ES$5:$ES$11,0),MATCH(Ext_Corr_Ferritic!O13,'Tables - Part 2'!$ET$4:$EW$4,0)),((E13-AD13)*(AG13-AF13)/(AE13-AD13))+AF13))</f>
        <v>#N/A</v>
      </c>
      <c r="AI13" s="271" t="e">
        <f t="shared" si="5"/>
        <v>#N/A</v>
      </c>
      <c r="AJ13" s="271">
        <f t="shared" si="6"/>
        <v>10</v>
      </c>
      <c r="AK13" s="273">
        <f t="shared" si="7"/>
        <v>5.4757015742642025E-3</v>
      </c>
      <c r="AL13" s="211">
        <f t="shared" si="8"/>
        <v>120.0082135523614</v>
      </c>
      <c r="AM13" s="211">
        <f t="shared" si="9"/>
        <v>0</v>
      </c>
      <c r="AN13" s="211">
        <f t="shared" si="10"/>
        <v>0</v>
      </c>
      <c r="AO13" s="211">
        <f t="shared" si="11"/>
        <v>0</v>
      </c>
      <c r="AP13" s="211">
        <f t="shared" si="12"/>
        <v>5.4757015742642025E-3</v>
      </c>
      <c r="AQ13" s="271" t="e">
        <f t="shared" si="13"/>
        <v>#N/A</v>
      </c>
      <c r="AR13" s="271">
        <f t="shared" si="14"/>
        <v>16.5</v>
      </c>
      <c r="AS13" s="271">
        <f>IF(OR(S13="",S13=0),(Thinning!AL14*Thinning!AM14)/(Thinning!AN14*Ext_Corr_Ferritic!AR13*Ext_Corr_Ferritic!AJ13),(T13*U13*MAX(R13,S13))/(AR13*AJ13))</f>
        <v>0</v>
      </c>
      <c r="AT13" s="215" t="e">
        <f>INDEX('Tables - Part 2'!$K$4:$M$4,,MATCH(AB13,'Tables - Part 2'!$K$3:$M$3,0))</f>
        <v>#N/A</v>
      </c>
      <c r="AU13" s="215" t="e">
        <f>INDEX('Tables - Part 2'!$K$5:$M$5,,MATCH(AB13,'Tables - Part 2'!$K$3:$M$3,0))</f>
        <v>#N/A</v>
      </c>
      <c r="AV13" s="215" t="e">
        <f>INDEX('Tables - Part 2'!$K$6:$M$6,,MATCH(AB13,'Tables - Part 2'!$K$3:$M$3,0))</f>
        <v>#N/A</v>
      </c>
      <c r="AW13" s="215">
        <v>0.9</v>
      </c>
      <c r="AX13" s="215">
        <v>0.7</v>
      </c>
      <c r="AY13" s="215">
        <v>0.5</v>
      </c>
      <c r="AZ13" s="215">
        <v>0.4</v>
      </c>
      <c r="BA13" s="215">
        <v>0.09</v>
      </c>
      <c r="BB13" s="215">
        <v>0.2</v>
      </c>
      <c r="BC13" s="215">
        <v>0.3</v>
      </c>
      <c r="BD13" s="215">
        <v>0.33</v>
      </c>
      <c r="BE13" s="215">
        <v>0.01</v>
      </c>
      <c r="BF13" s="215">
        <v>0.1</v>
      </c>
      <c r="BG13" s="215">
        <v>0.2</v>
      </c>
      <c r="BH13" s="215">
        <v>0.27</v>
      </c>
      <c r="BI13" s="215" t="e">
        <f t="shared" si="15"/>
        <v>#N/A</v>
      </c>
      <c r="BJ13" s="215" t="e">
        <f t="shared" si="16"/>
        <v>#N/A</v>
      </c>
      <c r="BK13" s="215" t="e">
        <f t="shared" si="17"/>
        <v>#N/A</v>
      </c>
      <c r="BL13" s="215" t="e">
        <f t="shared" si="18"/>
        <v>#N/A</v>
      </c>
      <c r="BM13" s="215" t="e">
        <f t="shared" si="19"/>
        <v>#N/A</v>
      </c>
      <c r="BN13" s="215" t="e">
        <f t="shared" si="20"/>
        <v>#N/A</v>
      </c>
      <c r="BO13" s="215" t="e">
        <f t="shared" si="21"/>
        <v>#N/A</v>
      </c>
      <c r="BP13" s="215" t="e">
        <f t="shared" si="22"/>
        <v>#N/A</v>
      </c>
      <c r="BQ13" s="215" t="e">
        <f t="shared" si="23"/>
        <v>#N/A</v>
      </c>
      <c r="BR13" s="215" t="e">
        <f t="shared" si="2"/>
        <v>#N/A</v>
      </c>
    </row>
    <row r="14" spans="2:87" x14ac:dyDescent="0.35">
      <c r="B14" s="161" t="str">
        <f>'Tratamento de Dados'!B22</f>
        <v>V-50</v>
      </c>
      <c r="C14" s="161" t="str">
        <f>'Tratamento de Dados'!D22</f>
        <v>Casco</v>
      </c>
      <c r="D14" s="161">
        <f>'Tratamento de Dados'!BW22</f>
        <v>0</v>
      </c>
      <c r="E14" s="285">
        <f>'Tratamento de Dados'!S22</f>
        <v>2</v>
      </c>
      <c r="F14" s="246" t="str">
        <f t="shared" si="3"/>
        <v>OK</v>
      </c>
      <c r="G14" s="161">
        <f>'Tratamento de Dados'!BX22</f>
        <v>0</v>
      </c>
      <c r="H14" s="209">
        <f>Thinning!E15</f>
        <v>10</v>
      </c>
      <c r="I14" s="210">
        <f>Thinning!F15</f>
        <v>43831</v>
      </c>
      <c r="J14" s="210">
        <f>Thinning!G15</f>
        <v>43833</v>
      </c>
      <c r="K14" s="210">
        <f>'Tratamento de Dados'!BZ22</f>
        <v>0</v>
      </c>
      <c r="L14" s="209">
        <f>'Tratamento de Dados'!CB22</f>
        <v>0</v>
      </c>
      <c r="M14" s="210">
        <f>'Tratamento de Dados'!CC22</f>
        <v>0</v>
      </c>
      <c r="N14" s="209">
        <f>'Tratamento de Dados'!CD22</f>
        <v>0</v>
      </c>
      <c r="O14" s="209">
        <f>'Tratamento de Dados'!CE22</f>
        <v>0</v>
      </c>
      <c r="P14" s="209">
        <f>'Tratamento de Dados'!CF22</f>
        <v>0</v>
      </c>
      <c r="Q14" s="209">
        <f>'Tratamento de Dados'!CG22</f>
        <v>0</v>
      </c>
      <c r="R14" s="209">
        <f>Thinning!N15</f>
        <v>2</v>
      </c>
      <c r="S14" s="218">
        <f>Thinning!O15</f>
        <v>0</v>
      </c>
      <c r="T14" s="218">
        <f>Thinning!T15</f>
        <v>0</v>
      </c>
      <c r="U14" s="209">
        <f>Thinning!R15</f>
        <v>1</v>
      </c>
      <c r="V14" s="209">
        <f>Thinning!P15</f>
        <v>10</v>
      </c>
      <c r="W14" s="209">
        <f>Thinning!Q15</f>
        <v>20</v>
      </c>
      <c r="X14" s="219">
        <f>'Tratamento de Dados'!CH22</f>
        <v>0</v>
      </c>
      <c r="Y14" s="219">
        <f>'Tratamento de Dados'!CI22</f>
        <v>0</v>
      </c>
      <c r="Z14" s="219">
        <f>'Tratamento de Dados'!CJ22</f>
        <v>0</v>
      </c>
      <c r="AA14" s="219">
        <f>'Tratamento de Dados'!CK22</f>
        <v>0</v>
      </c>
      <c r="AB14" s="225">
        <f>'Tratamento de Dados'!CM22</f>
        <v>0</v>
      </c>
      <c r="AC14" s="211">
        <f t="shared" si="4"/>
        <v>5.4757015742642025E-3</v>
      </c>
      <c r="AD14" s="211">
        <f>IF(E14&gt;='Tables - Part 2'!$ES$11,'Tables - Part 2'!$ES$11,LOOKUP(E14,'Tables - Part 2'!$ES$5:$ES$11))</f>
        <v>-8</v>
      </c>
      <c r="AE14" s="211">
        <f>IF(E14&lt;='Tables - Part 2'!$ES$5,'Tables - Part 2'!$ES$5,IF(Ext_Corr_Ferritic!E14&lt;='Tables - Part 2'!$ES$6,'Tables - Part 2'!$ES$6,IF(Ext_Corr_Ferritic!E14&lt;='Tables - Part 2'!$ES$7,'Tables - Part 2'!$ES$7,IF(Ext_Corr_Ferritic!E14&lt;='Tables - Part 2'!$ES$8,'Tables - Part 2'!$ES$8,IF(Ext_Corr_Ferritic!E14&lt;='Tables - Part 2'!$ES$9,'Tables - Part 2'!$ES$9,IF(Ext_Corr_Ferritic!E14&lt;='Tables - Part 2'!$ES$10,'Tables - Part 2'!$ES$10,IF(Ext_Corr_Ferritic!E14&lt;='Tables - Part 2'!$ES$11,'Tables - Part 2'!$ES$11,IF(Ext_Corr_Ferritic!E14&gt;='Tables - Part 2'!$ES$11,'Tables - Part 2'!$ES$11))))))))</f>
        <v>6</v>
      </c>
      <c r="AF14" s="271" t="e">
        <f>INDEX('Tables - Part 2'!$ET$5:$EW$11,MATCH(Ext_Corr_Ferritic!AD14,'Tables - Part 2'!$ES$5:$ES$11,0),MATCH(Ext_Corr_Ferritic!O14,'Tables - Part 2'!$ET$4:$EW$4,0))</f>
        <v>#N/A</v>
      </c>
      <c r="AG14" s="271" t="e">
        <f>INDEX('Tables - Part 2'!$ET$5:$EW$11,MATCH(Ext_Corr_Ferritic!AE14,'Tables - Part 2'!$ES$5:$ES$11,0),MATCH(Ext_Corr_Ferritic!O14,'Tables - Part 2'!$ET$4:$EW$4,0))</f>
        <v>#N/A</v>
      </c>
      <c r="AH14" s="271" t="e">
        <f>IF(E14&gt;'Tables - Part 2'!$ES$11,0,IF(AE14-AD14=0,INDEX('Tables - Part 2'!$ET$5:$EW$11,MATCH(Ext_Corr_Ferritic!E14,'Tables - Part 2'!$ES$5:$ES$11,0),MATCH(Ext_Corr_Ferritic!O14,'Tables - Part 2'!$ET$4:$EW$4,0)),((E14-AD14)*(AG14-AF14)/(AE14-AD14))+AF14))</f>
        <v>#N/A</v>
      </c>
      <c r="AI14" s="271" t="e">
        <f t="shared" si="5"/>
        <v>#N/A</v>
      </c>
      <c r="AJ14" s="271">
        <f t="shared" si="6"/>
        <v>10</v>
      </c>
      <c r="AK14" s="273">
        <f t="shared" si="7"/>
        <v>5.4757015742642025E-3</v>
      </c>
      <c r="AL14" s="211">
        <f t="shared" si="8"/>
        <v>120.0082135523614</v>
      </c>
      <c r="AM14" s="211">
        <f t="shared" si="9"/>
        <v>0</v>
      </c>
      <c r="AN14" s="211">
        <f t="shared" si="10"/>
        <v>0</v>
      </c>
      <c r="AO14" s="211">
        <f t="shared" si="11"/>
        <v>0</v>
      </c>
      <c r="AP14" s="211">
        <f t="shared" si="12"/>
        <v>5.4757015742642025E-3</v>
      </c>
      <c r="AQ14" s="271" t="e">
        <f t="shared" si="13"/>
        <v>#N/A</v>
      </c>
      <c r="AR14" s="271">
        <f t="shared" si="14"/>
        <v>16.5</v>
      </c>
      <c r="AS14" s="271">
        <f>IF(OR(S14="",S14=0),(Thinning!AL15*Thinning!AM15)/(Thinning!AN15*Ext_Corr_Ferritic!AR14*Ext_Corr_Ferritic!AJ14),(T14*U14*MAX(R14,S14))/(AR14*AJ14))</f>
        <v>0</v>
      </c>
      <c r="AT14" s="215" t="e">
        <f>INDEX('Tables - Part 2'!$K$4:$M$4,,MATCH(AB14,'Tables - Part 2'!$K$3:$M$3,0))</f>
        <v>#N/A</v>
      </c>
      <c r="AU14" s="215" t="e">
        <f>INDEX('Tables - Part 2'!$K$5:$M$5,,MATCH(AB14,'Tables - Part 2'!$K$3:$M$3,0))</f>
        <v>#N/A</v>
      </c>
      <c r="AV14" s="215" t="e">
        <f>INDEX('Tables - Part 2'!$K$6:$M$6,,MATCH(AB14,'Tables - Part 2'!$K$3:$M$3,0))</f>
        <v>#N/A</v>
      </c>
      <c r="AW14" s="215">
        <v>0.9</v>
      </c>
      <c r="AX14" s="215">
        <v>0.7</v>
      </c>
      <c r="AY14" s="215">
        <v>0.5</v>
      </c>
      <c r="AZ14" s="215">
        <v>0.4</v>
      </c>
      <c r="BA14" s="215">
        <v>0.09</v>
      </c>
      <c r="BB14" s="215">
        <v>0.2</v>
      </c>
      <c r="BC14" s="215">
        <v>0.3</v>
      </c>
      <c r="BD14" s="215">
        <v>0.33</v>
      </c>
      <c r="BE14" s="215">
        <v>0.01</v>
      </c>
      <c r="BF14" s="215">
        <v>0.1</v>
      </c>
      <c r="BG14" s="215">
        <v>0.2</v>
      </c>
      <c r="BH14" s="215">
        <v>0.27</v>
      </c>
      <c r="BI14" s="215" t="e">
        <f t="shared" si="15"/>
        <v>#N/A</v>
      </c>
      <c r="BJ14" s="215" t="e">
        <f t="shared" si="16"/>
        <v>#N/A</v>
      </c>
      <c r="BK14" s="215" t="e">
        <f t="shared" si="17"/>
        <v>#N/A</v>
      </c>
      <c r="BL14" s="215" t="e">
        <f t="shared" si="18"/>
        <v>#N/A</v>
      </c>
      <c r="BM14" s="215" t="e">
        <f t="shared" si="19"/>
        <v>#N/A</v>
      </c>
      <c r="BN14" s="215" t="e">
        <f t="shared" si="20"/>
        <v>#N/A</v>
      </c>
      <c r="BO14" s="215" t="e">
        <f t="shared" si="21"/>
        <v>#N/A</v>
      </c>
      <c r="BP14" s="215" t="e">
        <f t="shared" si="22"/>
        <v>#N/A</v>
      </c>
      <c r="BQ14" s="215" t="e">
        <f t="shared" si="23"/>
        <v>#N/A</v>
      </c>
      <c r="BR14" s="215" t="e">
        <f t="shared" si="2"/>
        <v>#N/A</v>
      </c>
    </row>
    <row r="15" spans="2:87" x14ac:dyDescent="0.35">
      <c r="B15" s="161" t="str">
        <f>'Tratamento de Dados'!B23</f>
        <v>V-5</v>
      </c>
      <c r="C15" s="161" t="str">
        <f>'Tratamento de Dados'!D23</f>
        <v>Casco</v>
      </c>
      <c r="D15" s="161">
        <f>'Tratamento de Dados'!BW23</f>
        <v>0</v>
      </c>
      <c r="E15" s="285">
        <f>'Tratamento de Dados'!S23</f>
        <v>2</v>
      </c>
      <c r="F15" s="246" t="str">
        <f t="shared" si="3"/>
        <v>OK</v>
      </c>
      <c r="G15" s="161">
        <f>'Tratamento de Dados'!BX23</f>
        <v>0</v>
      </c>
      <c r="H15" s="209">
        <f>Thinning!E16</f>
        <v>10</v>
      </c>
      <c r="I15" s="210">
        <f>Thinning!F16</f>
        <v>43831</v>
      </c>
      <c r="J15" s="210">
        <f>Thinning!G16</f>
        <v>43833</v>
      </c>
      <c r="K15" s="210">
        <f>'Tratamento de Dados'!BZ23</f>
        <v>0</v>
      </c>
      <c r="L15" s="209">
        <f>'Tratamento de Dados'!CB23</f>
        <v>0</v>
      </c>
      <c r="M15" s="210">
        <f>'Tratamento de Dados'!CC23</f>
        <v>0</v>
      </c>
      <c r="N15" s="209">
        <f>'Tratamento de Dados'!CD23</f>
        <v>0</v>
      </c>
      <c r="O15" s="209">
        <f>'Tratamento de Dados'!CE23</f>
        <v>0</v>
      </c>
      <c r="P15" s="209">
        <f>'Tratamento de Dados'!CF23</f>
        <v>0</v>
      </c>
      <c r="Q15" s="209">
        <f>'Tratamento de Dados'!CG23</f>
        <v>0</v>
      </c>
      <c r="R15" s="209">
        <f>Thinning!N16</f>
        <v>2</v>
      </c>
      <c r="S15" s="218">
        <f>Thinning!O16</f>
        <v>0</v>
      </c>
      <c r="T15" s="218">
        <f>Thinning!T16</f>
        <v>0</v>
      </c>
      <c r="U15" s="209">
        <f>Thinning!R16</f>
        <v>1</v>
      </c>
      <c r="V15" s="209">
        <f>Thinning!P16</f>
        <v>10</v>
      </c>
      <c r="W15" s="209">
        <f>Thinning!Q16</f>
        <v>20</v>
      </c>
      <c r="X15" s="219">
        <f>'Tratamento de Dados'!CH23</f>
        <v>0</v>
      </c>
      <c r="Y15" s="219">
        <f>'Tratamento de Dados'!CI23</f>
        <v>0</v>
      </c>
      <c r="Z15" s="219">
        <f>'Tratamento de Dados'!CJ23</f>
        <v>0</v>
      </c>
      <c r="AA15" s="219">
        <f>'Tratamento de Dados'!CK23</f>
        <v>0</v>
      </c>
      <c r="AB15" s="225">
        <f>'Tratamento de Dados'!CM23</f>
        <v>0</v>
      </c>
      <c r="AC15" s="211">
        <f t="shared" si="4"/>
        <v>5.4757015742642025E-3</v>
      </c>
      <c r="AD15" s="211">
        <f>IF(E15&gt;='Tables - Part 2'!$ES$11,'Tables - Part 2'!$ES$11,LOOKUP(E15,'Tables - Part 2'!$ES$5:$ES$11))</f>
        <v>-8</v>
      </c>
      <c r="AE15" s="211">
        <f>IF(E15&lt;='Tables - Part 2'!$ES$5,'Tables - Part 2'!$ES$5,IF(Ext_Corr_Ferritic!E15&lt;='Tables - Part 2'!$ES$6,'Tables - Part 2'!$ES$6,IF(Ext_Corr_Ferritic!E15&lt;='Tables - Part 2'!$ES$7,'Tables - Part 2'!$ES$7,IF(Ext_Corr_Ferritic!E15&lt;='Tables - Part 2'!$ES$8,'Tables - Part 2'!$ES$8,IF(Ext_Corr_Ferritic!E15&lt;='Tables - Part 2'!$ES$9,'Tables - Part 2'!$ES$9,IF(Ext_Corr_Ferritic!E15&lt;='Tables - Part 2'!$ES$10,'Tables - Part 2'!$ES$10,IF(Ext_Corr_Ferritic!E15&lt;='Tables - Part 2'!$ES$11,'Tables - Part 2'!$ES$11,IF(Ext_Corr_Ferritic!E15&gt;='Tables - Part 2'!$ES$11,'Tables - Part 2'!$ES$11))))))))</f>
        <v>6</v>
      </c>
      <c r="AF15" s="271" t="e">
        <f>INDEX('Tables - Part 2'!$ET$5:$EW$11,MATCH(Ext_Corr_Ferritic!AD15,'Tables - Part 2'!$ES$5:$ES$11,0),MATCH(Ext_Corr_Ferritic!O15,'Tables - Part 2'!$ET$4:$EW$4,0))</f>
        <v>#N/A</v>
      </c>
      <c r="AG15" s="271" t="e">
        <f>INDEX('Tables - Part 2'!$ET$5:$EW$11,MATCH(Ext_Corr_Ferritic!AE15,'Tables - Part 2'!$ES$5:$ES$11,0),MATCH(Ext_Corr_Ferritic!O15,'Tables - Part 2'!$ET$4:$EW$4,0))</f>
        <v>#N/A</v>
      </c>
      <c r="AH15" s="271" t="e">
        <f>IF(E15&gt;'Tables - Part 2'!$ES$11,0,IF(AE15-AD15=0,INDEX('Tables - Part 2'!$ET$5:$EW$11,MATCH(Ext_Corr_Ferritic!E15,'Tables - Part 2'!$ES$5:$ES$11,0),MATCH(Ext_Corr_Ferritic!O15,'Tables - Part 2'!$ET$4:$EW$4,0)),((E15-AD15)*(AG15-AF15)/(AE15-AD15))+AF15))</f>
        <v>#N/A</v>
      </c>
      <c r="AI15" s="271" t="e">
        <f t="shared" si="5"/>
        <v>#N/A</v>
      </c>
      <c r="AJ15" s="271">
        <f t="shared" si="6"/>
        <v>10</v>
      </c>
      <c r="AK15" s="273">
        <f t="shared" si="7"/>
        <v>5.4757015742642025E-3</v>
      </c>
      <c r="AL15" s="211">
        <f t="shared" si="8"/>
        <v>120.0082135523614</v>
      </c>
      <c r="AM15" s="211">
        <f t="shared" si="9"/>
        <v>0</v>
      </c>
      <c r="AN15" s="211">
        <f t="shared" si="10"/>
        <v>0</v>
      </c>
      <c r="AO15" s="211">
        <f t="shared" si="11"/>
        <v>0</v>
      </c>
      <c r="AP15" s="211">
        <f t="shared" si="12"/>
        <v>5.4757015742642025E-3</v>
      </c>
      <c r="AQ15" s="271" t="e">
        <f t="shared" si="13"/>
        <v>#N/A</v>
      </c>
      <c r="AR15" s="271">
        <f t="shared" si="14"/>
        <v>16.5</v>
      </c>
      <c r="AS15" s="271">
        <f>IF(OR(S15="",S15=0),(Thinning!AL16*Thinning!AM16)/(Thinning!AN16*Ext_Corr_Ferritic!AR15*Ext_Corr_Ferritic!AJ15),(T15*U15*MAX(R15,S15))/(AR15*AJ15))</f>
        <v>0</v>
      </c>
      <c r="AT15" s="215" t="e">
        <f>INDEX('Tables - Part 2'!$K$4:$M$4,,MATCH(AB15,'Tables - Part 2'!$K$3:$M$3,0))</f>
        <v>#N/A</v>
      </c>
      <c r="AU15" s="215" t="e">
        <f>INDEX('Tables - Part 2'!$K$5:$M$5,,MATCH(AB15,'Tables - Part 2'!$K$3:$M$3,0))</f>
        <v>#N/A</v>
      </c>
      <c r="AV15" s="215" t="e">
        <f>INDEX('Tables - Part 2'!$K$6:$M$6,,MATCH(AB15,'Tables - Part 2'!$K$3:$M$3,0))</f>
        <v>#N/A</v>
      </c>
      <c r="AW15" s="215">
        <v>0.9</v>
      </c>
      <c r="AX15" s="215">
        <v>0.7</v>
      </c>
      <c r="AY15" s="215">
        <v>0.5</v>
      </c>
      <c r="AZ15" s="215">
        <v>0.4</v>
      </c>
      <c r="BA15" s="215">
        <v>0.09</v>
      </c>
      <c r="BB15" s="215">
        <v>0.2</v>
      </c>
      <c r="BC15" s="215">
        <v>0.3</v>
      </c>
      <c r="BD15" s="215">
        <v>0.33</v>
      </c>
      <c r="BE15" s="215">
        <v>0.01</v>
      </c>
      <c r="BF15" s="215">
        <v>0.1</v>
      </c>
      <c r="BG15" s="215">
        <v>0.2</v>
      </c>
      <c r="BH15" s="215">
        <v>0.27</v>
      </c>
      <c r="BI15" s="215" t="e">
        <f t="shared" si="15"/>
        <v>#N/A</v>
      </c>
      <c r="BJ15" s="215" t="e">
        <f t="shared" si="16"/>
        <v>#N/A</v>
      </c>
      <c r="BK15" s="215" t="e">
        <f t="shared" si="17"/>
        <v>#N/A</v>
      </c>
      <c r="BL15" s="215" t="e">
        <f t="shared" si="18"/>
        <v>#N/A</v>
      </c>
      <c r="BM15" s="215" t="e">
        <f t="shared" si="19"/>
        <v>#N/A</v>
      </c>
      <c r="BN15" s="215" t="e">
        <f t="shared" si="20"/>
        <v>#N/A</v>
      </c>
      <c r="BO15" s="215" t="e">
        <f t="shared" si="21"/>
        <v>#N/A</v>
      </c>
      <c r="BP15" s="215" t="e">
        <f t="shared" si="22"/>
        <v>#N/A</v>
      </c>
      <c r="BQ15" s="215" t="e">
        <f t="shared" si="23"/>
        <v>#N/A</v>
      </c>
      <c r="BR15" s="215" t="e">
        <f t="shared" si="2"/>
        <v>#N/A</v>
      </c>
    </row>
    <row r="16" spans="2:87" x14ac:dyDescent="0.35">
      <c r="B16" s="161" t="str">
        <f>'Tratamento de Dados'!B24</f>
        <v>V-6</v>
      </c>
      <c r="C16" s="161" t="str">
        <f>'Tratamento de Dados'!D24</f>
        <v>Casco</v>
      </c>
      <c r="D16" s="161">
        <f>'Tratamento de Dados'!BW24</f>
        <v>0</v>
      </c>
      <c r="E16" s="285">
        <f>'Tratamento de Dados'!S24</f>
        <v>2</v>
      </c>
      <c r="F16" s="246" t="str">
        <f t="shared" si="3"/>
        <v>OK</v>
      </c>
      <c r="G16" s="161">
        <f>'Tratamento de Dados'!BX24</f>
        <v>0</v>
      </c>
      <c r="H16" s="209">
        <f>Thinning!E17</f>
        <v>10</v>
      </c>
      <c r="I16" s="210">
        <f>Thinning!F17</f>
        <v>43831</v>
      </c>
      <c r="J16" s="210">
        <f>Thinning!G17</f>
        <v>43833</v>
      </c>
      <c r="K16" s="210">
        <f>'Tratamento de Dados'!BZ24</f>
        <v>0</v>
      </c>
      <c r="L16" s="209">
        <f>'Tratamento de Dados'!CB24</f>
        <v>0</v>
      </c>
      <c r="M16" s="210">
        <f>'Tratamento de Dados'!CC24</f>
        <v>0</v>
      </c>
      <c r="N16" s="209">
        <f>'Tratamento de Dados'!CD24</f>
        <v>0</v>
      </c>
      <c r="O16" s="209">
        <f>'Tratamento de Dados'!CE24</f>
        <v>0</v>
      </c>
      <c r="P16" s="209">
        <f>'Tratamento de Dados'!CF24</f>
        <v>0</v>
      </c>
      <c r="Q16" s="209">
        <f>'Tratamento de Dados'!CG24</f>
        <v>0</v>
      </c>
      <c r="R16" s="209">
        <f>Thinning!N17</f>
        <v>2</v>
      </c>
      <c r="S16" s="218">
        <f>Thinning!O17</f>
        <v>0</v>
      </c>
      <c r="T16" s="218">
        <f>Thinning!T17</f>
        <v>0</v>
      </c>
      <c r="U16" s="209">
        <f>Thinning!R17</f>
        <v>1</v>
      </c>
      <c r="V16" s="209">
        <f>Thinning!P17</f>
        <v>10</v>
      </c>
      <c r="W16" s="209">
        <f>Thinning!Q17</f>
        <v>20</v>
      </c>
      <c r="X16" s="219">
        <f>'Tratamento de Dados'!CH24</f>
        <v>0</v>
      </c>
      <c r="Y16" s="219">
        <f>'Tratamento de Dados'!CI24</f>
        <v>0</v>
      </c>
      <c r="Z16" s="219">
        <f>'Tratamento de Dados'!CJ24</f>
        <v>0</v>
      </c>
      <c r="AA16" s="219">
        <f>'Tratamento de Dados'!CK24</f>
        <v>0</v>
      </c>
      <c r="AB16" s="225">
        <f>'Tratamento de Dados'!CM24</f>
        <v>0</v>
      </c>
      <c r="AC16" s="211">
        <f t="shared" si="4"/>
        <v>5.4757015742642025E-3</v>
      </c>
      <c r="AD16" s="211">
        <f>IF(E16&gt;='Tables - Part 2'!$ES$11,'Tables - Part 2'!$ES$11,LOOKUP(E16,'Tables - Part 2'!$ES$5:$ES$11))</f>
        <v>-8</v>
      </c>
      <c r="AE16" s="211">
        <f>IF(E16&lt;='Tables - Part 2'!$ES$5,'Tables - Part 2'!$ES$5,IF(Ext_Corr_Ferritic!E16&lt;='Tables - Part 2'!$ES$6,'Tables - Part 2'!$ES$6,IF(Ext_Corr_Ferritic!E16&lt;='Tables - Part 2'!$ES$7,'Tables - Part 2'!$ES$7,IF(Ext_Corr_Ferritic!E16&lt;='Tables - Part 2'!$ES$8,'Tables - Part 2'!$ES$8,IF(Ext_Corr_Ferritic!E16&lt;='Tables - Part 2'!$ES$9,'Tables - Part 2'!$ES$9,IF(Ext_Corr_Ferritic!E16&lt;='Tables - Part 2'!$ES$10,'Tables - Part 2'!$ES$10,IF(Ext_Corr_Ferritic!E16&lt;='Tables - Part 2'!$ES$11,'Tables - Part 2'!$ES$11,IF(Ext_Corr_Ferritic!E16&gt;='Tables - Part 2'!$ES$11,'Tables - Part 2'!$ES$11))))))))</f>
        <v>6</v>
      </c>
      <c r="AF16" s="271" t="e">
        <f>INDEX('Tables - Part 2'!$ET$5:$EW$11,MATCH(Ext_Corr_Ferritic!AD16,'Tables - Part 2'!$ES$5:$ES$11,0),MATCH(Ext_Corr_Ferritic!O16,'Tables - Part 2'!$ET$4:$EW$4,0))</f>
        <v>#N/A</v>
      </c>
      <c r="AG16" s="271" t="e">
        <f>INDEX('Tables - Part 2'!$ET$5:$EW$11,MATCH(Ext_Corr_Ferritic!AE16,'Tables - Part 2'!$ES$5:$ES$11,0),MATCH(Ext_Corr_Ferritic!O16,'Tables - Part 2'!$ET$4:$EW$4,0))</f>
        <v>#N/A</v>
      </c>
      <c r="AH16" s="271" t="e">
        <f>IF(E16&gt;'Tables - Part 2'!$ES$11,0,IF(AE16-AD16=0,INDEX('Tables - Part 2'!$ET$5:$EW$11,MATCH(Ext_Corr_Ferritic!E16,'Tables - Part 2'!$ES$5:$ES$11,0),MATCH(Ext_Corr_Ferritic!O16,'Tables - Part 2'!$ET$4:$EW$4,0)),((E16-AD16)*(AG16-AF16)/(AE16-AD16))+AF16))</f>
        <v>#N/A</v>
      </c>
      <c r="AI16" s="271" t="e">
        <f t="shared" si="5"/>
        <v>#N/A</v>
      </c>
      <c r="AJ16" s="271">
        <f t="shared" si="6"/>
        <v>10</v>
      </c>
      <c r="AK16" s="273">
        <f t="shared" si="7"/>
        <v>5.4757015742642025E-3</v>
      </c>
      <c r="AL16" s="211">
        <f t="shared" si="8"/>
        <v>120.0082135523614</v>
      </c>
      <c r="AM16" s="211">
        <f t="shared" si="9"/>
        <v>0</v>
      </c>
      <c r="AN16" s="211">
        <f t="shared" si="10"/>
        <v>0</v>
      </c>
      <c r="AO16" s="211">
        <f t="shared" si="11"/>
        <v>0</v>
      </c>
      <c r="AP16" s="211">
        <f t="shared" si="12"/>
        <v>5.4757015742642025E-3</v>
      </c>
      <c r="AQ16" s="271" t="e">
        <f t="shared" si="13"/>
        <v>#N/A</v>
      </c>
      <c r="AR16" s="271">
        <f t="shared" si="14"/>
        <v>16.5</v>
      </c>
      <c r="AS16" s="271">
        <f>IF(OR(S16="",S16=0),(Thinning!AL17*Thinning!AM17)/(Thinning!AN17*Ext_Corr_Ferritic!AR16*Ext_Corr_Ferritic!AJ16),(T16*U16*MAX(R16,S16))/(AR16*AJ16))</f>
        <v>0</v>
      </c>
      <c r="AT16" s="215" t="e">
        <f>INDEX('Tables - Part 2'!$K$4:$M$4,,MATCH(AB16,'Tables - Part 2'!$K$3:$M$3,0))</f>
        <v>#N/A</v>
      </c>
      <c r="AU16" s="215" t="e">
        <f>INDEX('Tables - Part 2'!$K$5:$M$5,,MATCH(AB16,'Tables - Part 2'!$K$3:$M$3,0))</f>
        <v>#N/A</v>
      </c>
      <c r="AV16" s="215" t="e">
        <f>INDEX('Tables - Part 2'!$K$6:$M$6,,MATCH(AB16,'Tables - Part 2'!$K$3:$M$3,0))</f>
        <v>#N/A</v>
      </c>
      <c r="AW16" s="215">
        <v>0.9</v>
      </c>
      <c r="AX16" s="215">
        <v>0.7</v>
      </c>
      <c r="AY16" s="215">
        <v>0.5</v>
      </c>
      <c r="AZ16" s="215">
        <v>0.4</v>
      </c>
      <c r="BA16" s="215">
        <v>0.09</v>
      </c>
      <c r="BB16" s="215">
        <v>0.2</v>
      </c>
      <c r="BC16" s="215">
        <v>0.3</v>
      </c>
      <c r="BD16" s="215">
        <v>0.33</v>
      </c>
      <c r="BE16" s="215">
        <v>0.01</v>
      </c>
      <c r="BF16" s="215">
        <v>0.1</v>
      </c>
      <c r="BG16" s="215">
        <v>0.2</v>
      </c>
      <c r="BH16" s="215">
        <v>0.27</v>
      </c>
      <c r="BI16" s="215" t="e">
        <f t="shared" si="15"/>
        <v>#N/A</v>
      </c>
      <c r="BJ16" s="215" t="e">
        <f t="shared" si="16"/>
        <v>#N/A</v>
      </c>
      <c r="BK16" s="215" t="e">
        <f t="shared" si="17"/>
        <v>#N/A</v>
      </c>
      <c r="BL16" s="215" t="e">
        <f t="shared" si="18"/>
        <v>#N/A</v>
      </c>
      <c r="BM16" s="215" t="e">
        <f t="shared" si="19"/>
        <v>#N/A</v>
      </c>
      <c r="BN16" s="215" t="e">
        <f t="shared" si="20"/>
        <v>#N/A</v>
      </c>
      <c r="BO16" s="215" t="e">
        <f t="shared" si="21"/>
        <v>#N/A</v>
      </c>
      <c r="BP16" s="215" t="e">
        <f t="shared" si="22"/>
        <v>#N/A</v>
      </c>
      <c r="BQ16" s="215" t="e">
        <f t="shared" si="23"/>
        <v>#N/A</v>
      </c>
      <c r="BR16" s="215" t="e">
        <f t="shared" si="2"/>
        <v>#N/A</v>
      </c>
    </row>
    <row r="17" spans="2:70" x14ac:dyDescent="0.35">
      <c r="B17" s="161" t="str">
        <f>'Tratamento de Dados'!B25</f>
        <v>V-7</v>
      </c>
      <c r="C17" s="161" t="str">
        <f>'Tratamento de Dados'!D25</f>
        <v>Casco</v>
      </c>
      <c r="D17" s="161">
        <f>'Tratamento de Dados'!BW25</f>
        <v>0</v>
      </c>
      <c r="E17" s="285">
        <f>'Tratamento de Dados'!S25</f>
        <v>2</v>
      </c>
      <c r="F17" s="246" t="str">
        <f t="shared" si="3"/>
        <v>OK</v>
      </c>
      <c r="G17" s="161">
        <f>'Tratamento de Dados'!BX25</f>
        <v>0</v>
      </c>
      <c r="H17" s="209">
        <f>Thinning!E18</f>
        <v>10</v>
      </c>
      <c r="I17" s="210">
        <f>Thinning!F18</f>
        <v>43831</v>
      </c>
      <c r="J17" s="210">
        <f>Thinning!G18</f>
        <v>43833</v>
      </c>
      <c r="K17" s="210">
        <f>'Tratamento de Dados'!BZ25</f>
        <v>0</v>
      </c>
      <c r="L17" s="209">
        <f>'Tratamento de Dados'!CB25</f>
        <v>0</v>
      </c>
      <c r="M17" s="210">
        <f>'Tratamento de Dados'!CC25</f>
        <v>0</v>
      </c>
      <c r="N17" s="209">
        <f>'Tratamento de Dados'!CD25</f>
        <v>0</v>
      </c>
      <c r="O17" s="209">
        <f>'Tratamento de Dados'!CE25</f>
        <v>0</v>
      </c>
      <c r="P17" s="209">
        <f>'Tratamento de Dados'!CF25</f>
        <v>0</v>
      </c>
      <c r="Q17" s="209">
        <f>'Tratamento de Dados'!CG25</f>
        <v>0</v>
      </c>
      <c r="R17" s="209">
        <f>Thinning!N18</f>
        <v>2</v>
      </c>
      <c r="S17" s="218">
        <f>Thinning!O18</f>
        <v>0</v>
      </c>
      <c r="T17" s="218">
        <f>Thinning!T18</f>
        <v>0</v>
      </c>
      <c r="U17" s="209">
        <f>Thinning!R18</f>
        <v>1</v>
      </c>
      <c r="V17" s="209">
        <f>Thinning!P18</f>
        <v>10</v>
      </c>
      <c r="W17" s="209">
        <f>Thinning!Q18</f>
        <v>20</v>
      </c>
      <c r="X17" s="219">
        <f>'Tratamento de Dados'!CH25</f>
        <v>0</v>
      </c>
      <c r="Y17" s="219">
        <f>'Tratamento de Dados'!CI25</f>
        <v>0</v>
      </c>
      <c r="Z17" s="219">
        <f>'Tratamento de Dados'!CJ25</f>
        <v>0</v>
      </c>
      <c r="AA17" s="219">
        <f>'Tratamento de Dados'!CK25</f>
        <v>0</v>
      </c>
      <c r="AB17" s="225">
        <f>'Tratamento de Dados'!CM25</f>
        <v>0</v>
      </c>
      <c r="AC17" s="211">
        <f t="shared" si="4"/>
        <v>5.4757015742642025E-3</v>
      </c>
      <c r="AD17" s="211">
        <f>IF(E17&gt;='Tables - Part 2'!$ES$11,'Tables - Part 2'!$ES$11,LOOKUP(E17,'Tables - Part 2'!$ES$5:$ES$11))</f>
        <v>-8</v>
      </c>
      <c r="AE17" s="211">
        <f>IF(E17&lt;='Tables - Part 2'!$ES$5,'Tables - Part 2'!$ES$5,IF(Ext_Corr_Ferritic!E17&lt;='Tables - Part 2'!$ES$6,'Tables - Part 2'!$ES$6,IF(Ext_Corr_Ferritic!E17&lt;='Tables - Part 2'!$ES$7,'Tables - Part 2'!$ES$7,IF(Ext_Corr_Ferritic!E17&lt;='Tables - Part 2'!$ES$8,'Tables - Part 2'!$ES$8,IF(Ext_Corr_Ferritic!E17&lt;='Tables - Part 2'!$ES$9,'Tables - Part 2'!$ES$9,IF(Ext_Corr_Ferritic!E17&lt;='Tables - Part 2'!$ES$10,'Tables - Part 2'!$ES$10,IF(Ext_Corr_Ferritic!E17&lt;='Tables - Part 2'!$ES$11,'Tables - Part 2'!$ES$11,IF(Ext_Corr_Ferritic!E17&gt;='Tables - Part 2'!$ES$11,'Tables - Part 2'!$ES$11))))))))</f>
        <v>6</v>
      </c>
      <c r="AF17" s="271" t="e">
        <f>INDEX('Tables - Part 2'!$ET$5:$EW$11,MATCH(Ext_Corr_Ferritic!AD17,'Tables - Part 2'!$ES$5:$ES$11,0),MATCH(Ext_Corr_Ferritic!O17,'Tables - Part 2'!$ET$4:$EW$4,0))</f>
        <v>#N/A</v>
      </c>
      <c r="AG17" s="271" t="e">
        <f>INDEX('Tables - Part 2'!$ET$5:$EW$11,MATCH(Ext_Corr_Ferritic!AE17,'Tables - Part 2'!$ES$5:$ES$11,0),MATCH(Ext_Corr_Ferritic!O17,'Tables - Part 2'!$ET$4:$EW$4,0))</f>
        <v>#N/A</v>
      </c>
      <c r="AH17" s="271" t="e">
        <f>IF(E17&gt;'Tables - Part 2'!$ES$11,0,IF(AE17-AD17=0,INDEX('Tables - Part 2'!$ET$5:$EW$11,MATCH(Ext_Corr_Ferritic!E17,'Tables - Part 2'!$ES$5:$ES$11,0),MATCH(Ext_Corr_Ferritic!O17,'Tables - Part 2'!$ET$4:$EW$4,0)),((E17-AD17)*(AG17-AF17)/(AE17-AD17))+AF17))</f>
        <v>#N/A</v>
      </c>
      <c r="AI17" s="271" t="e">
        <f t="shared" si="5"/>
        <v>#N/A</v>
      </c>
      <c r="AJ17" s="271">
        <f t="shared" si="6"/>
        <v>10</v>
      </c>
      <c r="AK17" s="273">
        <f t="shared" si="7"/>
        <v>5.4757015742642025E-3</v>
      </c>
      <c r="AL17" s="211">
        <f t="shared" si="8"/>
        <v>120.0082135523614</v>
      </c>
      <c r="AM17" s="211">
        <f t="shared" si="9"/>
        <v>0</v>
      </c>
      <c r="AN17" s="211">
        <f t="shared" si="10"/>
        <v>0</v>
      </c>
      <c r="AO17" s="211">
        <f t="shared" si="11"/>
        <v>0</v>
      </c>
      <c r="AP17" s="211">
        <f t="shared" si="12"/>
        <v>5.4757015742642025E-3</v>
      </c>
      <c r="AQ17" s="271" t="e">
        <f t="shared" si="13"/>
        <v>#N/A</v>
      </c>
      <c r="AR17" s="271">
        <f t="shared" si="14"/>
        <v>16.5</v>
      </c>
      <c r="AS17" s="271">
        <f>IF(OR(S17="",S17=0),(Thinning!AL18*Thinning!AM18)/(Thinning!AN18*Ext_Corr_Ferritic!AR17*Ext_Corr_Ferritic!AJ17),(T17*U17*MAX(R17,S17))/(AR17*AJ17))</f>
        <v>0</v>
      </c>
      <c r="AT17" s="215" t="e">
        <f>INDEX('Tables - Part 2'!$K$4:$M$4,,MATCH(AB17,'Tables - Part 2'!$K$3:$M$3,0))</f>
        <v>#N/A</v>
      </c>
      <c r="AU17" s="215" t="e">
        <f>INDEX('Tables - Part 2'!$K$5:$M$5,,MATCH(AB17,'Tables - Part 2'!$K$3:$M$3,0))</f>
        <v>#N/A</v>
      </c>
      <c r="AV17" s="215" t="e">
        <f>INDEX('Tables - Part 2'!$K$6:$M$6,,MATCH(AB17,'Tables - Part 2'!$K$3:$M$3,0))</f>
        <v>#N/A</v>
      </c>
      <c r="AW17" s="215">
        <v>0.9</v>
      </c>
      <c r="AX17" s="215">
        <v>0.7</v>
      </c>
      <c r="AY17" s="215">
        <v>0.5</v>
      </c>
      <c r="AZ17" s="215">
        <v>0.4</v>
      </c>
      <c r="BA17" s="215">
        <v>0.09</v>
      </c>
      <c r="BB17" s="215">
        <v>0.2</v>
      </c>
      <c r="BC17" s="215">
        <v>0.3</v>
      </c>
      <c r="BD17" s="215">
        <v>0.33</v>
      </c>
      <c r="BE17" s="215">
        <v>0.01</v>
      </c>
      <c r="BF17" s="215">
        <v>0.1</v>
      </c>
      <c r="BG17" s="215">
        <v>0.2</v>
      </c>
      <c r="BH17" s="215">
        <v>0.27</v>
      </c>
      <c r="BI17" s="215" t="e">
        <f t="shared" si="15"/>
        <v>#N/A</v>
      </c>
      <c r="BJ17" s="215" t="e">
        <f t="shared" si="16"/>
        <v>#N/A</v>
      </c>
      <c r="BK17" s="215" t="e">
        <f t="shared" si="17"/>
        <v>#N/A</v>
      </c>
      <c r="BL17" s="215" t="e">
        <f t="shared" si="18"/>
        <v>#N/A</v>
      </c>
      <c r="BM17" s="215" t="e">
        <f t="shared" si="19"/>
        <v>#N/A</v>
      </c>
      <c r="BN17" s="215" t="e">
        <f t="shared" si="20"/>
        <v>#N/A</v>
      </c>
      <c r="BO17" s="215" t="e">
        <f t="shared" si="21"/>
        <v>#N/A</v>
      </c>
      <c r="BP17" s="215" t="e">
        <f t="shared" si="22"/>
        <v>#N/A</v>
      </c>
      <c r="BQ17" s="215" t="e">
        <f t="shared" si="23"/>
        <v>#N/A</v>
      </c>
      <c r="BR17" s="215" t="e">
        <f t="shared" si="2"/>
        <v>#N/A</v>
      </c>
    </row>
    <row r="18" spans="2:70" x14ac:dyDescent="0.35">
      <c r="B18" s="161" t="str">
        <f>'Tratamento de Dados'!B26</f>
        <v>V-80</v>
      </c>
      <c r="C18" s="161" t="str">
        <f>'Tratamento de Dados'!D26</f>
        <v>Casco</v>
      </c>
      <c r="D18" s="161">
        <f>'Tratamento de Dados'!BW26</f>
        <v>0</v>
      </c>
      <c r="E18" s="285">
        <f>'Tratamento de Dados'!S26</f>
        <v>2</v>
      </c>
      <c r="F18" s="246" t="str">
        <f t="shared" si="3"/>
        <v>OK</v>
      </c>
      <c r="G18" s="161">
        <f>'Tratamento de Dados'!BX26</f>
        <v>0</v>
      </c>
      <c r="H18" s="209">
        <f>Thinning!E19</f>
        <v>10</v>
      </c>
      <c r="I18" s="210">
        <f>Thinning!F19</f>
        <v>43831</v>
      </c>
      <c r="J18" s="210">
        <f>Thinning!G19</f>
        <v>43833</v>
      </c>
      <c r="K18" s="210">
        <f>'Tratamento de Dados'!BZ26</f>
        <v>0</v>
      </c>
      <c r="L18" s="209">
        <f>'Tratamento de Dados'!CB26</f>
        <v>0</v>
      </c>
      <c r="M18" s="210">
        <f>'Tratamento de Dados'!CC26</f>
        <v>0</v>
      </c>
      <c r="N18" s="209">
        <f>'Tratamento de Dados'!CD26</f>
        <v>0</v>
      </c>
      <c r="O18" s="209">
        <f>'Tratamento de Dados'!CE26</f>
        <v>0</v>
      </c>
      <c r="P18" s="209">
        <f>'Tratamento de Dados'!CF26</f>
        <v>0</v>
      </c>
      <c r="Q18" s="209">
        <f>'Tratamento de Dados'!CG26</f>
        <v>0</v>
      </c>
      <c r="R18" s="209">
        <f>Thinning!N19</f>
        <v>2</v>
      </c>
      <c r="S18" s="218">
        <f>Thinning!O19</f>
        <v>0</v>
      </c>
      <c r="T18" s="218">
        <f>Thinning!T19</f>
        <v>0</v>
      </c>
      <c r="U18" s="209">
        <f>Thinning!R19</f>
        <v>1</v>
      </c>
      <c r="V18" s="209">
        <f>Thinning!P19</f>
        <v>10</v>
      </c>
      <c r="W18" s="209">
        <f>Thinning!Q19</f>
        <v>20</v>
      </c>
      <c r="X18" s="219">
        <f>'Tratamento de Dados'!CH26</f>
        <v>0</v>
      </c>
      <c r="Y18" s="219">
        <f>'Tratamento de Dados'!CI26</f>
        <v>0</v>
      </c>
      <c r="Z18" s="219">
        <f>'Tratamento de Dados'!CJ26</f>
        <v>0</v>
      </c>
      <c r="AA18" s="219">
        <f>'Tratamento de Dados'!CK26</f>
        <v>0</v>
      </c>
      <c r="AB18" s="225">
        <f>'Tratamento de Dados'!CM26</f>
        <v>0</v>
      </c>
      <c r="AC18" s="211">
        <f t="shared" si="4"/>
        <v>5.4757015742642025E-3</v>
      </c>
      <c r="AD18" s="211">
        <f>IF(E18&gt;='Tables - Part 2'!$ES$11,'Tables - Part 2'!$ES$11,LOOKUP(E18,'Tables - Part 2'!$ES$5:$ES$11))</f>
        <v>-8</v>
      </c>
      <c r="AE18" s="211">
        <f>IF(E18&lt;='Tables - Part 2'!$ES$5,'Tables - Part 2'!$ES$5,IF(Ext_Corr_Ferritic!E18&lt;='Tables - Part 2'!$ES$6,'Tables - Part 2'!$ES$6,IF(Ext_Corr_Ferritic!E18&lt;='Tables - Part 2'!$ES$7,'Tables - Part 2'!$ES$7,IF(Ext_Corr_Ferritic!E18&lt;='Tables - Part 2'!$ES$8,'Tables - Part 2'!$ES$8,IF(Ext_Corr_Ferritic!E18&lt;='Tables - Part 2'!$ES$9,'Tables - Part 2'!$ES$9,IF(Ext_Corr_Ferritic!E18&lt;='Tables - Part 2'!$ES$10,'Tables - Part 2'!$ES$10,IF(Ext_Corr_Ferritic!E18&lt;='Tables - Part 2'!$ES$11,'Tables - Part 2'!$ES$11,IF(Ext_Corr_Ferritic!E18&gt;='Tables - Part 2'!$ES$11,'Tables - Part 2'!$ES$11))))))))</f>
        <v>6</v>
      </c>
      <c r="AF18" s="271" t="e">
        <f>INDEX('Tables - Part 2'!$ET$5:$EW$11,MATCH(Ext_Corr_Ferritic!AD18,'Tables - Part 2'!$ES$5:$ES$11,0),MATCH(Ext_Corr_Ferritic!O18,'Tables - Part 2'!$ET$4:$EW$4,0))</f>
        <v>#N/A</v>
      </c>
      <c r="AG18" s="271" t="e">
        <f>INDEX('Tables - Part 2'!$ET$5:$EW$11,MATCH(Ext_Corr_Ferritic!AE18,'Tables - Part 2'!$ES$5:$ES$11,0),MATCH(Ext_Corr_Ferritic!O18,'Tables - Part 2'!$ET$4:$EW$4,0))</f>
        <v>#N/A</v>
      </c>
      <c r="AH18" s="271" t="e">
        <f>IF(E18&gt;'Tables - Part 2'!$ES$11,0,IF(AE18-AD18=0,INDEX('Tables - Part 2'!$ET$5:$EW$11,MATCH(Ext_Corr_Ferritic!E18,'Tables - Part 2'!$ES$5:$ES$11,0),MATCH(Ext_Corr_Ferritic!O18,'Tables - Part 2'!$ET$4:$EW$4,0)),((E18-AD18)*(AG18-AF18)/(AE18-AD18))+AF18))</f>
        <v>#N/A</v>
      </c>
      <c r="AI18" s="271" t="e">
        <f t="shared" si="5"/>
        <v>#N/A</v>
      </c>
      <c r="AJ18" s="271">
        <f t="shared" si="6"/>
        <v>10</v>
      </c>
      <c r="AK18" s="273">
        <f t="shared" si="7"/>
        <v>5.4757015742642025E-3</v>
      </c>
      <c r="AL18" s="211">
        <f t="shared" si="8"/>
        <v>120.0082135523614</v>
      </c>
      <c r="AM18" s="211">
        <f t="shared" si="9"/>
        <v>0</v>
      </c>
      <c r="AN18" s="211">
        <f t="shared" si="10"/>
        <v>0</v>
      </c>
      <c r="AO18" s="211">
        <f t="shared" si="11"/>
        <v>0</v>
      </c>
      <c r="AP18" s="211">
        <f t="shared" si="12"/>
        <v>5.4757015742642025E-3</v>
      </c>
      <c r="AQ18" s="271" t="e">
        <f t="shared" si="13"/>
        <v>#N/A</v>
      </c>
      <c r="AR18" s="271">
        <f t="shared" si="14"/>
        <v>16.5</v>
      </c>
      <c r="AS18" s="271">
        <f>IF(OR(S18="",S18=0),(Thinning!AL19*Thinning!AM19)/(Thinning!AN19*Ext_Corr_Ferritic!AR18*Ext_Corr_Ferritic!AJ18),(T18*U18*MAX(R18,S18))/(AR18*AJ18))</f>
        <v>0</v>
      </c>
      <c r="AT18" s="215" t="e">
        <f>INDEX('Tables - Part 2'!$K$4:$M$4,,MATCH(AB18,'Tables - Part 2'!$K$3:$M$3,0))</f>
        <v>#N/A</v>
      </c>
      <c r="AU18" s="215" t="e">
        <f>INDEX('Tables - Part 2'!$K$5:$M$5,,MATCH(AB18,'Tables - Part 2'!$K$3:$M$3,0))</f>
        <v>#N/A</v>
      </c>
      <c r="AV18" s="215" t="e">
        <f>INDEX('Tables - Part 2'!$K$6:$M$6,,MATCH(AB18,'Tables - Part 2'!$K$3:$M$3,0))</f>
        <v>#N/A</v>
      </c>
      <c r="AW18" s="215">
        <v>0.9</v>
      </c>
      <c r="AX18" s="215">
        <v>0.7</v>
      </c>
      <c r="AY18" s="215">
        <v>0.5</v>
      </c>
      <c r="AZ18" s="215">
        <v>0.4</v>
      </c>
      <c r="BA18" s="215">
        <v>0.09</v>
      </c>
      <c r="BB18" s="215">
        <v>0.2</v>
      </c>
      <c r="BC18" s="215">
        <v>0.3</v>
      </c>
      <c r="BD18" s="215">
        <v>0.33</v>
      </c>
      <c r="BE18" s="215">
        <v>0.01</v>
      </c>
      <c r="BF18" s="215">
        <v>0.1</v>
      </c>
      <c r="BG18" s="215">
        <v>0.2</v>
      </c>
      <c r="BH18" s="215">
        <v>0.27</v>
      </c>
      <c r="BI18" s="215" t="e">
        <f t="shared" si="15"/>
        <v>#N/A</v>
      </c>
      <c r="BJ18" s="215" t="e">
        <f t="shared" si="16"/>
        <v>#N/A</v>
      </c>
      <c r="BK18" s="215" t="e">
        <f t="shared" si="17"/>
        <v>#N/A</v>
      </c>
      <c r="BL18" s="215" t="e">
        <f t="shared" si="18"/>
        <v>#N/A</v>
      </c>
      <c r="BM18" s="215" t="e">
        <f t="shared" si="19"/>
        <v>#N/A</v>
      </c>
      <c r="BN18" s="215" t="e">
        <f t="shared" si="20"/>
        <v>#N/A</v>
      </c>
      <c r="BO18" s="215" t="e">
        <f t="shared" si="21"/>
        <v>#N/A</v>
      </c>
      <c r="BP18" s="215" t="e">
        <f t="shared" si="22"/>
        <v>#N/A</v>
      </c>
      <c r="BQ18" s="215" t="e">
        <f t="shared" si="23"/>
        <v>#N/A</v>
      </c>
      <c r="BR18" s="215" t="e">
        <f t="shared" si="2"/>
        <v>#N/A</v>
      </c>
    </row>
    <row r="19" spans="2:70" x14ac:dyDescent="0.35">
      <c r="B19" s="161" t="str">
        <f>'Tratamento de Dados'!B27</f>
        <v>V-8</v>
      </c>
      <c r="C19" s="161" t="str">
        <f>'Tratamento de Dados'!D27</f>
        <v>Casco</v>
      </c>
      <c r="D19" s="161">
        <f>'Tratamento de Dados'!BW27</f>
        <v>0</v>
      </c>
      <c r="E19" s="285">
        <f>'Tratamento de Dados'!S27</f>
        <v>2</v>
      </c>
      <c r="F19" s="246" t="str">
        <f t="shared" si="3"/>
        <v>OK</v>
      </c>
      <c r="G19" s="161">
        <f>'Tratamento de Dados'!BX27</f>
        <v>0</v>
      </c>
      <c r="H19" s="209">
        <f>Thinning!E20</f>
        <v>10</v>
      </c>
      <c r="I19" s="210">
        <f>Thinning!F20</f>
        <v>43831</v>
      </c>
      <c r="J19" s="210">
        <f>Thinning!G20</f>
        <v>43833</v>
      </c>
      <c r="K19" s="210">
        <f>'Tratamento de Dados'!BZ27</f>
        <v>0</v>
      </c>
      <c r="L19" s="209">
        <f>'Tratamento de Dados'!CB27</f>
        <v>0</v>
      </c>
      <c r="M19" s="210">
        <f>'Tratamento de Dados'!CC27</f>
        <v>0</v>
      </c>
      <c r="N19" s="209">
        <f>'Tratamento de Dados'!CD27</f>
        <v>0</v>
      </c>
      <c r="O19" s="209">
        <f>'Tratamento de Dados'!CE27</f>
        <v>0</v>
      </c>
      <c r="P19" s="209">
        <f>'Tratamento de Dados'!CF27</f>
        <v>0</v>
      </c>
      <c r="Q19" s="209">
        <f>'Tratamento de Dados'!CG27</f>
        <v>0</v>
      </c>
      <c r="R19" s="209">
        <f>Thinning!N20</f>
        <v>2</v>
      </c>
      <c r="S19" s="218">
        <f>Thinning!O20</f>
        <v>0</v>
      </c>
      <c r="T19" s="218">
        <f>Thinning!T20</f>
        <v>0</v>
      </c>
      <c r="U19" s="209">
        <f>Thinning!R20</f>
        <v>1</v>
      </c>
      <c r="V19" s="209">
        <f>Thinning!P20</f>
        <v>10</v>
      </c>
      <c r="W19" s="209">
        <f>Thinning!Q20</f>
        <v>20</v>
      </c>
      <c r="X19" s="219">
        <f>'Tratamento de Dados'!CH27</f>
        <v>0</v>
      </c>
      <c r="Y19" s="219">
        <f>'Tratamento de Dados'!CI27</f>
        <v>0</v>
      </c>
      <c r="Z19" s="219">
        <f>'Tratamento de Dados'!CJ27</f>
        <v>0</v>
      </c>
      <c r="AA19" s="219">
        <f>'Tratamento de Dados'!CK27</f>
        <v>0</v>
      </c>
      <c r="AB19" s="225">
        <f>'Tratamento de Dados'!CM27</f>
        <v>0</v>
      </c>
      <c r="AC19" s="211">
        <f t="shared" si="4"/>
        <v>5.4757015742642025E-3</v>
      </c>
      <c r="AD19" s="211">
        <f>IF(E19&gt;='Tables - Part 2'!$ES$11,'Tables - Part 2'!$ES$11,LOOKUP(E19,'Tables - Part 2'!$ES$5:$ES$11))</f>
        <v>-8</v>
      </c>
      <c r="AE19" s="211">
        <f>IF(E19&lt;='Tables - Part 2'!$ES$5,'Tables - Part 2'!$ES$5,IF(Ext_Corr_Ferritic!E19&lt;='Tables - Part 2'!$ES$6,'Tables - Part 2'!$ES$6,IF(Ext_Corr_Ferritic!E19&lt;='Tables - Part 2'!$ES$7,'Tables - Part 2'!$ES$7,IF(Ext_Corr_Ferritic!E19&lt;='Tables - Part 2'!$ES$8,'Tables - Part 2'!$ES$8,IF(Ext_Corr_Ferritic!E19&lt;='Tables - Part 2'!$ES$9,'Tables - Part 2'!$ES$9,IF(Ext_Corr_Ferritic!E19&lt;='Tables - Part 2'!$ES$10,'Tables - Part 2'!$ES$10,IF(Ext_Corr_Ferritic!E19&lt;='Tables - Part 2'!$ES$11,'Tables - Part 2'!$ES$11,IF(Ext_Corr_Ferritic!E19&gt;='Tables - Part 2'!$ES$11,'Tables - Part 2'!$ES$11))))))))</f>
        <v>6</v>
      </c>
      <c r="AF19" s="271" t="e">
        <f>INDEX('Tables - Part 2'!$ET$5:$EW$11,MATCH(Ext_Corr_Ferritic!AD19,'Tables - Part 2'!$ES$5:$ES$11,0),MATCH(Ext_Corr_Ferritic!O19,'Tables - Part 2'!$ET$4:$EW$4,0))</f>
        <v>#N/A</v>
      </c>
      <c r="AG19" s="271" t="e">
        <f>INDEX('Tables - Part 2'!$ET$5:$EW$11,MATCH(Ext_Corr_Ferritic!AE19,'Tables - Part 2'!$ES$5:$ES$11,0),MATCH(Ext_Corr_Ferritic!O19,'Tables - Part 2'!$ET$4:$EW$4,0))</f>
        <v>#N/A</v>
      </c>
      <c r="AH19" s="271" t="e">
        <f>IF(E19&gt;'Tables - Part 2'!$ES$11,0,IF(AE19-AD19=0,INDEX('Tables - Part 2'!$ET$5:$EW$11,MATCH(Ext_Corr_Ferritic!E19,'Tables - Part 2'!$ES$5:$ES$11,0),MATCH(Ext_Corr_Ferritic!O19,'Tables - Part 2'!$ET$4:$EW$4,0)),((E19-AD19)*(AG19-AF19)/(AE19-AD19))+AF19))</f>
        <v>#N/A</v>
      </c>
      <c r="AI19" s="271" t="e">
        <f t="shared" si="5"/>
        <v>#N/A</v>
      </c>
      <c r="AJ19" s="271">
        <f t="shared" si="6"/>
        <v>10</v>
      </c>
      <c r="AK19" s="273">
        <f t="shared" si="7"/>
        <v>5.4757015742642025E-3</v>
      </c>
      <c r="AL19" s="211">
        <f t="shared" si="8"/>
        <v>120.0082135523614</v>
      </c>
      <c r="AM19" s="211">
        <f t="shared" si="9"/>
        <v>0</v>
      </c>
      <c r="AN19" s="211">
        <f t="shared" si="10"/>
        <v>0</v>
      </c>
      <c r="AO19" s="211">
        <f t="shared" si="11"/>
        <v>0</v>
      </c>
      <c r="AP19" s="211">
        <f t="shared" si="12"/>
        <v>5.4757015742642025E-3</v>
      </c>
      <c r="AQ19" s="271" t="e">
        <f t="shared" si="13"/>
        <v>#N/A</v>
      </c>
      <c r="AR19" s="271">
        <f t="shared" si="14"/>
        <v>16.5</v>
      </c>
      <c r="AS19" s="271">
        <f>IF(OR(S19="",S19=0),(Thinning!AL20*Thinning!AM20)/(Thinning!AN20*Ext_Corr_Ferritic!AR19*Ext_Corr_Ferritic!AJ19),(T19*U19*MAX(R19,S19))/(AR19*AJ19))</f>
        <v>0</v>
      </c>
      <c r="AT19" s="215" t="e">
        <f>INDEX('Tables - Part 2'!$K$4:$M$4,,MATCH(AB19,'Tables - Part 2'!$K$3:$M$3,0))</f>
        <v>#N/A</v>
      </c>
      <c r="AU19" s="215" t="e">
        <f>INDEX('Tables - Part 2'!$K$5:$M$5,,MATCH(AB19,'Tables - Part 2'!$K$3:$M$3,0))</f>
        <v>#N/A</v>
      </c>
      <c r="AV19" s="215" t="e">
        <f>INDEX('Tables - Part 2'!$K$6:$M$6,,MATCH(AB19,'Tables - Part 2'!$K$3:$M$3,0))</f>
        <v>#N/A</v>
      </c>
      <c r="AW19" s="215">
        <v>0.9</v>
      </c>
      <c r="AX19" s="215">
        <v>0.7</v>
      </c>
      <c r="AY19" s="215">
        <v>0.5</v>
      </c>
      <c r="AZ19" s="215">
        <v>0.4</v>
      </c>
      <c r="BA19" s="215">
        <v>0.09</v>
      </c>
      <c r="BB19" s="215">
        <v>0.2</v>
      </c>
      <c r="BC19" s="215">
        <v>0.3</v>
      </c>
      <c r="BD19" s="215">
        <v>0.33</v>
      </c>
      <c r="BE19" s="215">
        <v>0.01</v>
      </c>
      <c r="BF19" s="215">
        <v>0.1</v>
      </c>
      <c r="BG19" s="215">
        <v>0.2</v>
      </c>
      <c r="BH19" s="215">
        <v>0.27</v>
      </c>
      <c r="BI19" s="215" t="e">
        <f t="shared" si="15"/>
        <v>#N/A</v>
      </c>
      <c r="BJ19" s="215" t="e">
        <f t="shared" si="16"/>
        <v>#N/A</v>
      </c>
      <c r="BK19" s="215" t="e">
        <f t="shared" si="17"/>
        <v>#N/A</v>
      </c>
      <c r="BL19" s="215" t="e">
        <f t="shared" si="18"/>
        <v>#N/A</v>
      </c>
      <c r="BM19" s="215" t="e">
        <f t="shared" si="19"/>
        <v>#N/A</v>
      </c>
      <c r="BN19" s="215" t="e">
        <f t="shared" si="20"/>
        <v>#N/A</v>
      </c>
      <c r="BO19" s="215" t="e">
        <f t="shared" si="21"/>
        <v>#N/A</v>
      </c>
      <c r="BP19" s="215" t="e">
        <f t="shared" si="22"/>
        <v>#N/A</v>
      </c>
      <c r="BQ19" s="215" t="e">
        <f t="shared" si="23"/>
        <v>#N/A</v>
      </c>
      <c r="BR19" s="215" t="e">
        <f t="shared" si="2"/>
        <v>#N/A</v>
      </c>
    </row>
    <row r="20" spans="2:70" x14ac:dyDescent="0.35">
      <c r="B20" s="161" t="str">
        <f>'Tratamento de Dados'!B28</f>
        <v>V-90</v>
      </c>
      <c r="C20" s="161" t="str">
        <f>'Tratamento de Dados'!D28</f>
        <v>Casco</v>
      </c>
      <c r="D20" s="161">
        <f>'Tratamento de Dados'!BW28</f>
        <v>0</v>
      </c>
      <c r="E20" s="285">
        <f>'Tratamento de Dados'!S28</f>
        <v>2</v>
      </c>
      <c r="F20" s="246" t="str">
        <f t="shared" si="3"/>
        <v>OK</v>
      </c>
      <c r="G20" s="161">
        <f>'Tratamento de Dados'!BX28</f>
        <v>0</v>
      </c>
      <c r="H20" s="209">
        <f>Thinning!E21</f>
        <v>10</v>
      </c>
      <c r="I20" s="210">
        <f>Thinning!F21</f>
        <v>43831</v>
      </c>
      <c r="J20" s="210">
        <f>Thinning!G21</f>
        <v>43833</v>
      </c>
      <c r="K20" s="210">
        <f>'Tratamento de Dados'!BZ28</f>
        <v>0</v>
      </c>
      <c r="L20" s="209">
        <f>'Tratamento de Dados'!CB28</f>
        <v>0</v>
      </c>
      <c r="M20" s="210">
        <f>'Tratamento de Dados'!CC28</f>
        <v>0</v>
      </c>
      <c r="N20" s="209">
        <f>'Tratamento de Dados'!CD28</f>
        <v>0</v>
      </c>
      <c r="O20" s="209">
        <f>'Tratamento de Dados'!CE28</f>
        <v>0</v>
      </c>
      <c r="P20" s="209">
        <f>'Tratamento de Dados'!CF28</f>
        <v>0</v>
      </c>
      <c r="Q20" s="209">
        <f>'Tratamento de Dados'!CG28</f>
        <v>0</v>
      </c>
      <c r="R20" s="209">
        <f>Thinning!N21</f>
        <v>2</v>
      </c>
      <c r="S20" s="218">
        <f>Thinning!O21</f>
        <v>0</v>
      </c>
      <c r="T20" s="218">
        <f>Thinning!T21</f>
        <v>0</v>
      </c>
      <c r="U20" s="209">
        <f>Thinning!R21</f>
        <v>1</v>
      </c>
      <c r="V20" s="209">
        <f>Thinning!P21</f>
        <v>10</v>
      </c>
      <c r="W20" s="209">
        <f>Thinning!Q21</f>
        <v>20</v>
      </c>
      <c r="X20" s="219">
        <f>'Tratamento de Dados'!CH28</f>
        <v>0</v>
      </c>
      <c r="Y20" s="219">
        <f>'Tratamento de Dados'!CI28</f>
        <v>0</v>
      </c>
      <c r="Z20" s="219">
        <f>'Tratamento de Dados'!CJ28</f>
        <v>0</v>
      </c>
      <c r="AA20" s="219">
        <f>'Tratamento de Dados'!CK28</f>
        <v>0</v>
      </c>
      <c r="AB20" s="225">
        <f>'Tratamento de Dados'!CM28</f>
        <v>0</v>
      </c>
      <c r="AC20" s="211">
        <f t="shared" si="4"/>
        <v>5.4757015742642025E-3</v>
      </c>
      <c r="AD20" s="211">
        <f>IF(E20&gt;='Tables - Part 2'!$ES$11,'Tables - Part 2'!$ES$11,LOOKUP(E20,'Tables - Part 2'!$ES$5:$ES$11))</f>
        <v>-8</v>
      </c>
      <c r="AE20" s="211">
        <f>IF(E20&lt;='Tables - Part 2'!$ES$5,'Tables - Part 2'!$ES$5,IF(Ext_Corr_Ferritic!E20&lt;='Tables - Part 2'!$ES$6,'Tables - Part 2'!$ES$6,IF(Ext_Corr_Ferritic!E20&lt;='Tables - Part 2'!$ES$7,'Tables - Part 2'!$ES$7,IF(Ext_Corr_Ferritic!E20&lt;='Tables - Part 2'!$ES$8,'Tables - Part 2'!$ES$8,IF(Ext_Corr_Ferritic!E20&lt;='Tables - Part 2'!$ES$9,'Tables - Part 2'!$ES$9,IF(Ext_Corr_Ferritic!E20&lt;='Tables - Part 2'!$ES$10,'Tables - Part 2'!$ES$10,IF(Ext_Corr_Ferritic!E20&lt;='Tables - Part 2'!$ES$11,'Tables - Part 2'!$ES$11,IF(Ext_Corr_Ferritic!E20&gt;='Tables - Part 2'!$ES$11,'Tables - Part 2'!$ES$11))))))))</f>
        <v>6</v>
      </c>
      <c r="AF20" s="271" t="e">
        <f>INDEX('Tables - Part 2'!$ET$5:$EW$11,MATCH(Ext_Corr_Ferritic!AD20,'Tables - Part 2'!$ES$5:$ES$11,0),MATCH(Ext_Corr_Ferritic!O20,'Tables - Part 2'!$ET$4:$EW$4,0))</f>
        <v>#N/A</v>
      </c>
      <c r="AG20" s="271" t="e">
        <f>INDEX('Tables - Part 2'!$ET$5:$EW$11,MATCH(Ext_Corr_Ferritic!AE20,'Tables - Part 2'!$ES$5:$ES$11,0),MATCH(Ext_Corr_Ferritic!O20,'Tables - Part 2'!$ET$4:$EW$4,0))</f>
        <v>#N/A</v>
      </c>
      <c r="AH20" s="271" t="e">
        <f>IF(E20&gt;'Tables - Part 2'!$ES$11,0,IF(AE20-AD20=0,INDEX('Tables - Part 2'!$ET$5:$EW$11,MATCH(Ext_Corr_Ferritic!E20,'Tables - Part 2'!$ES$5:$ES$11,0),MATCH(Ext_Corr_Ferritic!O20,'Tables - Part 2'!$ET$4:$EW$4,0)),((E20-AD20)*(AG20-AF20)/(AE20-AD20))+AF20))</f>
        <v>#N/A</v>
      </c>
      <c r="AI20" s="271" t="e">
        <f t="shared" si="5"/>
        <v>#N/A</v>
      </c>
      <c r="AJ20" s="271">
        <f t="shared" si="6"/>
        <v>10</v>
      </c>
      <c r="AK20" s="273">
        <f t="shared" si="7"/>
        <v>5.4757015742642025E-3</v>
      </c>
      <c r="AL20" s="211">
        <f t="shared" si="8"/>
        <v>120.0082135523614</v>
      </c>
      <c r="AM20" s="211">
        <f t="shared" si="9"/>
        <v>0</v>
      </c>
      <c r="AN20" s="211">
        <f t="shared" si="10"/>
        <v>0</v>
      </c>
      <c r="AO20" s="211">
        <f t="shared" si="11"/>
        <v>0</v>
      </c>
      <c r="AP20" s="211">
        <f t="shared" si="12"/>
        <v>5.4757015742642025E-3</v>
      </c>
      <c r="AQ20" s="271" t="e">
        <f t="shared" si="13"/>
        <v>#N/A</v>
      </c>
      <c r="AR20" s="271">
        <f t="shared" si="14"/>
        <v>16.5</v>
      </c>
      <c r="AS20" s="271">
        <f>IF(OR(S20="",S20=0),(Thinning!AL21*Thinning!AM21)/(Thinning!AN21*Ext_Corr_Ferritic!AR20*Ext_Corr_Ferritic!AJ20),(T20*U20*MAX(R20,S20))/(AR20*AJ20))</f>
        <v>0</v>
      </c>
      <c r="AT20" s="215" t="e">
        <f>INDEX('Tables - Part 2'!$K$4:$M$4,,MATCH(AB20,'Tables - Part 2'!$K$3:$M$3,0))</f>
        <v>#N/A</v>
      </c>
      <c r="AU20" s="215" t="e">
        <f>INDEX('Tables - Part 2'!$K$5:$M$5,,MATCH(AB20,'Tables - Part 2'!$K$3:$M$3,0))</f>
        <v>#N/A</v>
      </c>
      <c r="AV20" s="215" t="e">
        <f>INDEX('Tables - Part 2'!$K$6:$M$6,,MATCH(AB20,'Tables - Part 2'!$K$3:$M$3,0))</f>
        <v>#N/A</v>
      </c>
      <c r="AW20" s="215">
        <v>0.9</v>
      </c>
      <c r="AX20" s="215">
        <v>0.7</v>
      </c>
      <c r="AY20" s="215">
        <v>0.5</v>
      </c>
      <c r="AZ20" s="215">
        <v>0.4</v>
      </c>
      <c r="BA20" s="215">
        <v>0.09</v>
      </c>
      <c r="BB20" s="215">
        <v>0.2</v>
      </c>
      <c r="BC20" s="215">
        <v>0.3</v>
      </c>
      <c r="BD20" s="215">
        <v>0.33</v>
      </c>
      <c r="BE20" s="215">
        <v>0.01</v>
      </c>
      <c r="BF20" s="215">
        <v>0.1</v>
      </c>
      <c r="BG20" s="215">
        <v>0.2</v>
      </c>
      <c r="BH20" s="215">
        <v>0.27</v>
      </c>
      <c r="BI20" s="215" t="e">
        <f t="shared" si="15"/>
        <v>#N/A</v>
      </c>
      <c r="BJ20" s="215" t="e">
        <f t="shared" si="16"/>
        <v>#N/A</v>
      </c>
      <c r="BK20" s="215" t="e">
        <f t="shared" si="17"/>
        <v>#N/A</v>
      </c>
      <c r="BL20" s="215" t="e">
        <f t="shared" si="18"/>
        <v>#N/A</v>
      </c>
      <c r="BM20" s="215" t="e">
        <f t="shared" si="19"/>
        <v>#N/A</v>
      </c>
      <c r="BN20" s="215" t="e">
        <f t="shared" si="20"/>
        <v>#N/A</v>
      </c>
      <c r="BO20" s="215" t="e">
        <f t="shared" si="21"/>
        <v>#N/A</v>
      </c>
      <c r="BP20" s="215" t="e">
        <f t="shared" si="22"/>
        <v>#N/A</v>
      </c>
      <c r="BQ20" s="215" t="e">
        <f t="shared" si="23"/>
        <v>#N/A</v>
      </c>
      <c r="BR20" s="215" t="e">
        <f t="shared" si="2"/>
        <v>#N/A</v>
      </c>
    </row>
    <row r="21" spans="2:70" x14ac:dyDescent="0.35">
      <c r="B21" s="161" t="str">
        <f>'Tratamento de Dados'!B29</f>
        <v>V-9</v>
      </c>
      <c r="C21" s="161" t="str">
        <f>'Tratamento de Dados'!D29</f>
        <v>Casco</v>
      </c>
      <c r="D21" s="161">
        <f>'Tratamento de Dados'!BW29</f>
        <v>0</v>
      </c>
      <c r="E21" s="285">
        <f>'Tratamento de Dados'!S29</f>
        <v>2</v>
      </c>
      <c r="F21" s="246" t="str">
        <f t="shared" si="3"/>
        <v>OK</v>
      </c>
      <c r="G21" s="161">
        <f>'Tratamento de Dados'!BX29</f>
        <v>0</v>
      </c>
      <c r="H21" s="209">
        <f>Thinning!E22</f>
        <v>10</v>
      </c>
      <c r="I21" s="210">
        <f>Thinning!F22</f>
        <v>43831</v>
      </c>
      <c r="J21" s="210">
        <f>Thinning!G22</f>
        <v>43833</v>
      </c>
      <c r="K21" s="210">
        <f>'Tratamento de Dados'!BZ29</f>
        <v>0</v>
      </c>
      <c r="L21" s="209">
        <f>'Tratamento de Dados'!CB29</f>
        <v>0</v>
      </c>
      <c r="M21" s="210">
        <f>'Tratamento de Dados'!CC29</f>
        <v>0</v>
      </c>
      <c r="N21" s="209">
        <f>'Tratamento de Dados'!CD29</f>
        <v>0</v>
      </c>
      <c r="O21" s="209">
        <f>'Tratamento de Dados'!CE29</f>
        <v>0</v>
      </c>
      <c r="P21" s="209">
        <f>'Tratamento de Dados'!CF29</f>
        <v>0</v>
      </c>
      <c r="Q21" s="209">
        <f>'Tratamento de Dados'!CG29</f>
        <v>0</v>
      </c>
      <c r="R21" s="209">
        <f>Thinning!N22</f>
        <v>2</v>
      </c>
      <c r="S21" s="218">
        <f>Thinning!O22</f>
        <v>0</v>
      </c>
      <c r="T21" s="218">
        <f>Thinning!T22</f>
        <v>0</v>
      </c>
      <c r="U21" s="209">
        <f>Thinning!R22</f>
        <v>1</v>
      </c>
      <c r="V21" s="209">
        <f>Thinning!P22</f>
        <v>10</v>
      </c>
      <c r="W21" s="209">
        <f>Thinning!Q22</f>
        <v>20</v>
      </c>
      <c r="X21" s="219">
        <f>'Tratamento de Dados'!CH29</f>
        <v>0</v>
      </c>
      <c r="Y21" s="219">
        <f>'Tratamento de Dados'!CI29</f>
        <v>0</v>
      </c>
      <c r="Z21" s="219">
        <f>'Tratamento de Dados'!CJ29</f>
        <v>0</v>
      </c>
      <c r="AA21" s="219">
        <f>'Tratamento de Dados'!CK29</f>
        <v>0</v>
      </c>
      <c r="AB21" s="225">
        <f>'Tratamento de Dados'!CM29</f>
        <v>0</v>
      </c>
      <c r="AC21" s="211">
        <f t="shared" si="4"/>
        <v>5.4757015742642025E-3</v>
      </c>
      <c r="AD21" s="211">
        <f>IF(E21&gt;='Tables - Part 2'!$ES$11,'Tables - Part 2'!$ES$11,LOOKUP(E21,'Tables - Part 2'!$ES$5:$ES$11))</f>
        <v>-8</v>
      </c>
      <c r="AE21" s="211">
        <f>IF(E21&lt;='Tables - Part 2'!$ES$5,'Tables - Part 2'!$ES$5,IF(Ext_Corr_Ferritic!E21&lt;='Tables - Part 2'!$ES$6,'Tables - Part 2'!$ES$6,IF(Ext_Corr_Ferritic!E21&lt;='Tables - Part 2'!$ES$7,'Tables - Part 2'!$ES$7,IF(Ext_Corr_Ferritic!E21&lt;='Tables - Part 2'!$ES$8,'Tables - Part 2'!$ES$8,IF(Ext_Corr_Ferritic!E21&lt;='Tables - Part 2'!$ES$9,'Tables - Part 2'!$ES$9,IF(Ext_Corr_Ferritic!E21&lt;='Tables - Part 2'!$ES$10,'Tables - Part 2'!$ES$10,IF(Ext_Corr_Ferritic!E21&lt;='Tables - Part 2'!$ES$11,'Tables - Part 2'!$ES$11,IF(Ext_Corr_Ferritic!E21&gt;='Tables - Part 2'!$ES$11,'Tables - Part 2'!$ES$11))))))))</f>
        <v>6</v>
      </c>
      <c r="AF21" s="271" t="e">
        <f>INDEX('Tables - Part 2'!$ET$5:$EW$11,MATCH(Ext_Corr_Ferritic!AD21,'Tables - Part 2'!$ES$5:$ES$11,0),MATCH(Ext_Corr_Ferritic!O21,'Tables - Part 2'!$ET$4:$EW$4,0))</f>
        <v>#N/A</v>
      </c>
      <c r="AG21" s="271" t="e">
        <f>INDEX('Tables - Part 2'!$ET$5:$EW$11,MATCH(Ext_Corr_Ferritic!AE21,'Tables - Part 2'!$ES$5:$ES$11,0),MATCH(Ext_Corr_Ferritic!O21,'Tables - Part 2'!$ET$4:$EW$4,0))</f>
        <v>#N/A</v>
      </c>
      <c r="AH21" s="271" t="e">
        <f>IF(E21&gt;'Tables - Part 2'!$ES$11,0,IF(AE21-AD21=0,INDEX('Tables - Part 2'!$ET$5:$EW$11,MATCH(Ext_Corr_Ferritic!E21,'Tables - Part 2'!$ES$5:$ES$11,0),MATCH(Ext_Corr_Ferritic!O21,'Tables - Part 2'!$ET$4:$EW$4,0)),((E21-AD21)*(AG21-AF21)/(AE21-AD21))+AF21))</f>
        <v>#N/A</v>
      </c>
      <c r="AI21" s="271" t="e">
        <f t="shared" si="5"/>
        <v>#N/A</v>
      </c>
      <c r="AJ21" s="271">
        <f t="shared" si="6"/>
        <v>10</v>
      </c>
      <c r="AK21" s="273">
        <f t="shared" si="7"/>
        <v>5.4757015742642025E-3</v>
      </c>
      <c r="AL21" s="211">
        <f t="shared" si="8"/>
        <v>120.0082135523614</v>
      </c>
      <c r="AM21" s="211">
        <f t="shared" si="9"/>
        <v>0</v>
      </c>
      <c r="AN21" s="211">
        <f t="shared" si="10"/>
        <v>0</v>
      </c>
      <c r="AO21" s="211">
        <f t="shared" si="11"/>
        <v>0</v>
      </c>
      <c r="AP21" s="211">
        <f t="shared" si="12"/>
        <v>5.4757015742642025E-3</v>
      </c>
      <c r="AQ21" s="271" t="e">
        <f t="shared" si="13"/>
        <v>#N/A</v>
      </c>
      <c r="AR21" s="271">
        <f t="shared" si="14"/>
        <v>16.5</v>
      </c>
      <c r="AS21" s="271">
        <f>IF(OR(S21="",S21=0),(Thinning!AL22*Thinning!AM22)/(Thinning!AN22*Ext_Corr_Ferritic!AR21*Ext_Corr_Ferritic!AJ21),(T21*U21*MAX(R21,S21))/(AR21*AJ21))</f>
        <v>0</v>
      </c>
      <c r="AT21" s="215" t="e">
        <f>INDEX('Tables - Part 2'!$K$4:$M$4,,MATCH(AB21,'Tables - Part 2'!$K$3:$M$3,0))</f>
        <v>#N/A</v>
      </c>
      <c r="AU21" s="215" t="e">
        <f>INDEX('Tables - Part 2'!$K$5:$M$5,,MATCH(AB21,'Tables - Part 2'!$K$3:$M$3,0))</f>
        <v>#N/A</v>
      </c>
      <c r="AV21" s="215" t="e">
        <f>INDEX('Tables - Part 2'!$K$6:$M$6,,MATCH(AB21,'Tables - Part 2'!$K$3:$M$3,0))</f>
        <v>#N/A</v>
      </c>
      <c r="AW21" s="215">
        <v>0.9</v>
      </c>
      <c r="AX21" s="215">
        <v>0.7</v>
      </c>
      <c r="AY21" s="215">
        <v>0.5</v>
      </c>
      <c r="AZ21" s="215">
        <v>0.4</v>
      </c>
      <c r="BA21" s="215">
        <v>0.09</v>
      </c>
      <c r="BB21" s="215">
        <v>0.2</v>
      </c>
      <c r="BC21" s="215">
        <v>0.3</v>
      </c>
      <c r="BD21" s="215">
        <v>0.33</v>
      </c>
      <c r="BE21" s="215">
        <v>0.01</v>
      </c>
      <c r="BF21" s="215">
        <v>0.1</v>
      </c>
      <c r="BG21" s="215">
        <v>0.2</v>
      </c>
      <c r="BH21" s="215">
        <v>0.27</v>
      </c>
      <c r="BI21" s="215" t="e">
        <f t="shared" si="15"/>
        <v>#N/A</v>
      </c>
      <c r="BJ21" s="215" t="e">
        <f t="shared" si="16"/>
        <v>#N/A</v>
      </c>
      <c r="BK21" s="215" t="e">
        <f t="shared" si="17"/>
        <v>#N/A</v>
      </c>
      <c r="BL21" s="215" t="e">
        <f t="shared" si="18"/>
        <v>#N/A</v>
      </c>
      <c r="BM21" s="215" t="e">
        <f t="shared" si="19"/>
        <v>#N/A</v>
      </c>
      <c r="BN21" s="215" t="e">
        <f t="shared" si="20"/>
        <v>#N/A</v>
      </c>
      <c r="BO21" s="215" t="e">
        <f t="shared" si="21"/>
        <v>#N/A</v>
      </c>
      <c r="BP21" s="215" t="e">
        <f t="shared" si="22"/>
        <v>#N/A</v>
      </c>
      <c r="BQ21" s="215" t="e">
        <f t="shared" si="23"/>
        <v>#N/A</v>
      </c>
      <c r="BR21" s="215" t="e">
        <f t="shared" si="2"/>
        <v>#N/A</v>
      </c>
    </row>
  </sheetData>
  <mergeCells count="13">
    <mergeCell ref="D2:E2"/>
    <mergeCell ref="AT2:BK2"/>
    <mergeCell ref="BL2:BN2"/>
    <mergeCell ref="BO2:BQ2"/>
    <mergeCell ref="H2:J2"/>
    <mergeCell ref="R2:U2"/>
    <mergeCell ref="V2:W2"/>
    <mergeCell ref="AD2:AI2"/>
    <mergeCell ref="P2:Q2"/>
    <mergeCell ref="K2:L2"/>
    <mergeCell ref="AJ2:AK2"/>
    <mergeCell ref="AM2:AO2"/>
    <mergeCell ref="X2:AA2"/>
  </mergeCell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0000000}">
          <x14:formula1>
            <xm:f>'Tables - Part 2'!$K$3:$M$3</xm:f>
          </x14:formula1>
          <xm:sqref>AB4:AB21</xm:sqref>
        </x14:dataValidation>
        <x14:dataValidation type="list" allowBlank="1" showInputMessage="1" showErrorMessage="1" xr:uid="{00000000-0002-0000-1800-000001000000}">
          <x14:formula1>
            <xm:f>POF!$BC$2:$BC$3</xm:f>
          </x14:formula1>
          <xm:sqref>G4:G21</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28">
    <tabColor rgb="FFFFFF00"/>
  </sheetPr>
  <dimension ref="B1:CP21"/>
  <sheetViews>
    <sheetView topLeftCell="C1" zoomScale="85" zoomScaleNormal="85" workbookViewId="0">
      <selection activeCell="D9" sqref="D9"/>
    </sheetView>
  </sheetViews>
  <sheetFormatPr defaultRowHeight="14.5" x14ac:dyDescent="0.35"/>
  <cols>
    <col min="1" max="1" width="1.26953125" customWidth="1"/>
    <col min="2" max="3" width="15.453125" customWidth="1"/>
    <col min="4" max="4" width="22" customWidth="1"/>
    <col min="5" max="5" width="15.453125" customWidth="1"/>
    <col min="6" max="6" width="30" customWidth="1"/>
    <col min="8" max="8" width="19" customWidth="1"/>
    <col min="9" max="9" width="10.81640625" customWidth="1"/>
    <col min="10" max="10" width="20.26953125" customWidth="1"/>
    <col min="11" max="11" width="10.81640625" customWidth="1"/>
    <col min="12" max="12" width="22.7265625" customWidth="1"/>
    <col min="13" max="13" width="33.26953125" customWidth="1"/>
    <col min="14" max="16" width="14.7265625" customWidth="1"/>
    <col min="17" max="18" width="10.81640625" customWidth="1"/>
    <col min="19" max="19" width="11" customWidth="1"/>
    <col min="20" max="20" width="7.81640625" customWidth="1"/>
    <col min="21" max="21" width="23.26953125" customWidth="1"/>
    <col min="22" max="22" width="14.7265625" customWidth="1"/>
    <col min="23" max="23" width="18.81640625" customWidth="1"/>
    <col min="24" max="24" width="21" customWidth="1"/>
    <col min="25" max="25" width="10.81640625" customWidth="1"/>
    <col min="26" max="26" width="12.54296875" customWidth="1"/>
    <col min="27" max="27" width="12.1796875" customWidth="1"/>
    <col min="28" max="28" width="12.81640625" customWidth="1"/>
    <col min="29" max="29" width="21.26953125" customWidth="1"/>
    <col min="30" max="32" width="10.81640625" style="2" customWidth="1"/>
    <col min="33" max="34" width="15" style="2" customWidth="1"/>
    <col min="35" max="35" width="9.1796875" style="2" customWidth="1"/>
    <col min="36" max="36" width="10.1796875" style="2" customWidth="1"/>
    <col min="37" max="37" width="14.7265625" customWidth="1"/>
    <col min="38" max="42" width="15" style="2" customWidth="1"/>
    <col min="43" max="44" width="9.1796875" style="2"/>
    <col min="45" max="45" width="11.26953125" style="2" customWidth="1"/>
    <col min="46" max="47" width="13.7265625" style="2" customWidth="1"/>
    <col min="48" max="50" width="14.54296875" style="2" customWidth="1"/>
    <col min="51" max="51" width="16.26953125" style="2" customWidth="1"/>
    <col min="52" max="53" width="16.1796875" style="2" customWidth="1"/>
    <col min="54" max="55" width="16.26953125" style="2" customWidth="1"/>
    <col min="56" max="57" width="16.1796875" style="2" customWidth="1"/>
    <col min="58" max="59" width="16.26953125" style="2" customWidth="1"/>
    <col min="60" max="61" width="16.1796875" style="2" customWidth="1"/>
    <col min="62" max="62" width="16.26953125" style="2" customWidth="1"/>
    <col min="63" max="65" width="12" style="2" customWidth="1"/>
    <col min="66" max="68" width="15" style="2" customWidth="1"/>
    <col min="69" max="70" width="11.54296875" style="2" customWidth="1"/>
    <col min="71" max="71" width="12" style="2" customWidth="1"/>
    <col min="72" max="72" width="19.26953125" style="2" customWidth="1"/>
    <col min="92" max="92" width="14.54296875" bestFit="1" customWidth="1"/>
    <col min="93" max="93" width="11.1796875" bestFit="1" customWidth="1"/>
    <col min="94" max="94" width="10" bestFit="1" customWidth="1"/>
  </cols>
  <sheetData>
    <row r="1" spans="2:94" ht="6" customHeight="1" x14ac:dyDescent="0.35"/>
    <row r="2" spans="2:94" x14ac:dyDescent="0.35">
      <c r="F2" s="489"/>
      <c r="G2" s="696" t="s">
        <v>901</v>
      </c>
      <c r="H2" s="696"/>
      <c r="I2" s="696"/>
      <c r="J2" s="697" t="s">
        <v>866</v>
      </c>
      <c r="K2" s="699"/>
      <c r="L2" s="487"/>
      <c r="M2" s="487"/>
      <c r="N2" s="486" t="s">
        <v>856</v>
      </c>
      <c r="O2" s="494" t="s">
        <v>862</v>
      </c>
      <c r="P2" s="497"/>
      <c r="Q2" s="497"/>
      <c r="R2" s="495"/>
      <c r="S2" s="697" t="s">
        <v>883</v>
      </c>
      <c r="T2" s="698"/>
      <c r="U2" s="698"/>
      <c r="V2" s="699"/>
      <c r="W2" s="697" t="s">
        <v>809</v>
      </c>
      <c r="X2" s="699"/>
      <c r="Y2" s="697" t="s">
        <v>813</v>
      </c>
      <c r="Z2" s="698"/>
      <c r="AA2" s="698"/>
      <c r="AB2" s="699"/>
      <c r="AC2" s="487" t="s">
        <v>1041</v>
      </c>
      <c r="AD2" s="486" t="s">
        <v>1219</v>
      </c>
      <c r="AE2" s="697" t="s">
        <v>857</v>
      </c>
      <c r="AF2" s="698"/>
      <c r="AG2" s="698"/>
      <c r="AH2" s="698"/>
      <c r="AI2" s="698"/>
      <c r="AJ2" s="699"/>
      <c r="AK2" s="486" t="s">
        <v>764</v>
      </c>
      <c r="AL2" s="696" t="s">
        <v>769</v>
      </c>
      <c r="AM2" s="696"/>
      <c r="AN2" s="486" t="s">
        <v>771</v>
      </c>
      <c r="AO2" s="697" t="s">
        <v>773</v>
      </c>
      <c r="AP2" s="698"/>
      <c r="AQ2" s="699"/>
      <c r="AR2" s="486" t="s">
        <v>928</v>
      </c>
      <c r="AS2" s="486" t="s">
        <v>791</v>
      </c>
      <c r="AT2" s="486" t="s">
        <v>931</v>
      </c>
      <c r="AU2" s="486" t="s">
        <v>812</v>
      </c>
      <c r="AV2" s="696" t="s">
        <v>932</v>
      </c>
      <c r="AW2" s="696"/>
      <c r="AX2" s="696"/>
      <c r="AY2" s="696"/>
      <c r="AZ2" s="696"/>
      <c r="BA2" s="696"/>
      <c r="BB2" s="696"/>
      <c r="BC2" s="696"/>
      <c r="BD2" s="696"/>
      <c r="BE2" s="696"/>
      <c r="BF2" s="696"/>
      <c r="BG2" s="696"/>
      <c r="BH2" s="696"/>
      <c r="BI2" s="696"/>
      <c r="BJ2" s="696"/>
      <c r="BK2" s="696"/>
      <c r="BL2" s="696"/>
      <c r="BM2" s="696"/>
      <c r="BN2" s="696" t="s">
        <v>814</v>
      </c>
      <c r="BO2" s="696"/>
      <c r="BP2" s="696"/>
      <c r="BQ2" s="696" t="s">
        <v>815</v>
      </c>
      <c r="BR2" s="696"/>
      <c r="BS2" s="696"/>
      <c r="BT2" s="486" t="s">
        <v>814</v>
      </c>
      <c r="BZ2">
        <v>1</v>
      </c>
      <c r="CA2" t="s">
        <v>244</v>
      </c>
      <c r="CB2" t="s">
        <v>904</v>
      </c>
      <c r="CG2" s="208" t="s">
        <v>738</v>
      </c>
      <c r="CH2">
        <v>0.2</v>
      </c>
      <c r="CI2" s="208" t="s">
        <v>741</v>
      </c>
      <c r="CJ2" s="208" t="s">
        <v>742</v>
      </c>
      <c r="CK2" s="208" t="s">
        <v>743</v>
      </c>
      <c r="CO2" t="s">
        <v>1227</v>
      </c>
      <c r="CP2" t="s">
        <v>1228</v>
      </c>
    </row>
    <row r="3" spans="2:94" x14ac:dyDescent="0.35">
      <c r="B3" s="346" t="s">
        <v>968</v>
      </c>
      <c r="C3" s="346" t="s">
        <v>969</v>
      </c>
      <c r="D3" s="346" t="s">
        <v>951</v>
      </c>
      <c r="E3" s="346" t="s">
        <v>1229</v>
      </c>
      <c r="F3" s="139" t="s">
        <v>826</v>
      </c>
      <c r="G3" s="346" t="s">
        <v>755</v>
      </c>
      <c r="H3" s="346" t="s">
        <v>920</v>
      </c>
      <c r="I3" s="346" t="s">
        <v>754</v>
      </c>
      <c r="J3" s="346" t="s">
        <v>763</v>
      </c>
      <c r="K3" s="346" t="s">
        <v>919</v>
      </c>
      <c r="L3" s="346" t="s">
        <v>922</v>
      </c>
      <c r="M3" s="346" t="s">
        <v>923</v>
      </c>
      <c r="N3" s="346" t="s">
        <v>903</v>
      </c>
      <c r="O3" s="346" t="s">
        <v>1223</v>
      </c>
      <c r="P3" s="346" t="s">
        <v>1224</v>
      </c>
      <c r="Q3" s="346" t="s">
        <v>916</v>
      </c>
      <c r="R3" s="346" t="s">
        <v>917</v>
      </c>
      <c r="S3" s="346" t="s">
        <v>772</v>
      </c>
      <c r="T3" s="346" t="s">
        <v>786</v>
      </c>
      <c r="U3" s="346" t="s">
        <v>787</v>
      </c>
      <c r="V3" s="346" t="s">
        <v>774</v>
      </c>
      <c r="W3" s="346" t="s">
        <v>775</v>
      </c>
      <c r="X3" s="346" t="s">
        <v>776</v>
      </c>
      <c r="Y3" s="346" t="s">
        <v>713</v>
      </c>
      <c r="Z3" s="346" t="s">
        <v>714</v>
      </c>
      <c r="AA3" s="346" t="s">
        <v>715</v>
      </c>
      <c r="AB3" s="346" t="s">
        <v>716</v>
      </c>
      <c r="AC3" s="346" t="s">
        <v>810</v>
      </c>
      <c r="AD3" s="346" t="s">
        <v>756</v>
      </c>
      <c r="AE3" s="346" t="s">
        <v>911</v>
      </c>
      <c r="AF3" s="346" t="s">
        <v>912</v>
      </c>
      <c r="AG3" s="346" t="s">
        <v>913</v>
      </c>
      <c r="AH3" s="346" t="s">
        <v>914</v>
      </c>
      <c r="AI3" s="346" t="s">
        <v>902</v>
      </c>
      <c r="AJ3" s="346" t="s">
        <v>915</v>
      </c>
      <c r="AK3" s="346" t="s">
        <v>1222</v>
      </c>
      <c r="AL3" s="346" t="s">
        <v>919</v>
      </c>
      <c r="AM3" s="272" t="s">
        <v>918</v>
      </c>
      <c r="AN3" s="346" t="s">
        <v>921</v>
      </c>
      <c r="AO3" s="346" t="s">
        <v>925</v>
      </c>
      <c r="AP3" s="346" t="s">
        <v>926</v>
      </c>
      <c r="AQ3" s="346" t="s">
        <v>927</v>
      </c>
      <c r="AR3" s="346" t="s">
        <v>929</v>
      </c>
      <c r="AS3" s="346" t="s">
        <v>712</v>
      </c>
      <c r="AT3" s="346" t="s">
        <v>1238</v>
      </c>
      <c r="AU3" s="346" t="s">
        <v>1239</v>
      </c>
      <c r="AV3" s="346" t="s">
        <v>1240</v>
      </c>
      <c r="AW3" s="346" t="s">
        <v>1241</v>
      </c>
      <c r="AX3" s="346" t="s">
        <v>1242</v>
      </c>
      <c r="AY3" s="346" t="s">
        <v>1256</v>
      </c>
      <c r="AZ3" s="346" t="s">
        <v>1259</v>
      </c>
      <c r="BA3" s="346" t="s">
        <v>1262</v>
      </c>
      <c r="BB3" s="346" t="s">
        <v>1243</v>
      </c>
      <c r="BC3" s="346" t="s">
        <v>1257</v>
      </c>
      <c r="BD3" s="346" t="s">
        <v>1260</v>
      </c>
      <c r="BE3" s="346" t="s">
        <v>1263</v>
      </c>
      <c r="BF3" s="346" t="s">
        <v>1244</v>
      </c>
      <c r="BG3" s="346" t="s">
        <v>1258</v>
      </c>
      <c r="BH3" s="346" t="s">
        <v>1261</v>
      </c>
      <c r="BI3" s="346" t="s">
        <v>1264</v>
      </c>
      <c r="BJ3" s="346" t="s">
        <v>1245</v>
      </c>
      <c r="BK3" s="346" t="s">
        <v>1246</v>
      </c>
      <c r="BL3" s="346" t="s">
        <v>1247</v>
      </c>
      <c r="BM3" s="346" t="s">
        <v>1248</v>
      </c>
      <c r="BN3" s="346" t="s">
        <v>1249</v>
      </c>
      <c r="BO3" s="346" t="s">
        <v>1250</v>
      </c>
      <c r="BP3" s="346" t="s">
        <v>1251</v>
      </c>
      <c r="BQ3" s="346" t="s">
        <v>1252</v>
      </c>
      <c r="BR3" s="346" t="s">
        <v>1253</v>
      </c>
      <c r="BS3" s="346" t="s">
        <v>1254</v>
      </c>
      <c r="BT3" s="244" t="s">
        <v>1293</v>
      </c>
      <c r="BZ3">
        <v>2</v>
      </c>
      <c r="CA3" t="s">
        <v>245</v>
      </c>
      <c r="CB3" t="s">
        <v>840</v>
      </c>
      <c r="CC3" t="s">
        <v>924</v>
      </c>
      <c r="CG3" t="s">
        <v>739</v>
      </c>
      <c r="CH3">
        <v>0.2</v>
      </c>
      <c r="CI3">
        <v>1</v>
      </c>
      <c r="CJ3">
        <v>2</v>
      </c>
      <c r="CK3">
        <v>4</v>
      </c>
      <c r="CN3" s="208" t="s">
        <v>1225</v>
      </c>
      <c r="CO3">
        <v>0.75</v>
      </c>
      <c r="CP3">
        <v>1.25</v>
      </c>
    </row>
    <row r="4" spans="2:94" x14ac:dyDescent="0.35">
      <c r="B4" s="161" t="str">
        <f>'Tratamento de Dados'!B12</f>
        <v>V-90</v>
      </c>
      <c r="C4" s="161" t="str">
        <f>'Tratamento de Dados'!D12</f>
        <v>Casco</v>
      </c>
      <c r="D4" s="161">
        <f>'Tratamento de Dados'!BX12</f>
        <v>0</v>
      </c>
      <c r="E4" s="161" t="s">
        <v>1237</v>
      </c>
      <c r="F4" s="161">
        <f>'Tratamento de Dados'!S12</f>
        <v>2</v>
      </c>
      <c r="G4" s="209">
        <f>Thinning!E5</f>
        <v>10</v>
      </c>
      <c r="H4" s="210">
        <f>Thinning!F5</f>
        <v>43831</v>
      </c>
      <c r="I4" s="210">
        <f>Thinning!G5</f>
        <v>43833</v>
      </c>
      <c r="J4" s="210">
        <f>'Tratamento de Dados'!BZ12</f>
        <v>0</v>
      </c>
      <c r="K4" s="209">
        <f>'Tratamento de Dados'!CB12</f>
        <v>0</v>
      </c>
      <c r="L4" s="210">
        <f>'Tratamento de Dados'!CC12</f>
        <v>0</v>
      </c>
      <c r="M4" s="209">
        <f>'Tratamento de Dados'!CD12</f>
        <v>0</v>
      </c>
      <c r="N4" s="209">
        <f>'Tratamento de Dados'!CE12</f>
        <v>0</v>
      </c>
      <c r="O4" s="209">
        <v>1</v>
      </c>
      <c r="P4" s="209">
        <v>1</v>
      </c>
      <c r="Q4" s="209">
        <v>1</v>
      </c>
      <c r="R4" s="209">
        <v>1</v>
      </c>
      <c r="S4" s="209">
        <f>Thinning!N5</f>
        <v>2</v>
      </c>
      <c r="T4" s="218">
        <f>Thinning!O5</f>
        <v>0</v>
      </c>
      <c r="U4" s="218">
        <f>Thinning!T5</f>
        <v>0</v>
      </c>
      <c r="V4" s="209">
        <f>Thinning!R5</f>
        <v>1</v>
      </c>
      <c r="W4" s="209">
        <f>Thinning!P5</f>
        <v>10</v>
      </c>
      <c r="X4" s="209">
        <f>Thinning!Q5</f>
        <v>20</v>
      </c>
      <c r="Y4" s="219">
        <v>0</v>
      </c>
      <c r="Z4" s="219">
        <v>5</v>
      </c>
      <c r="AA4" s="219">
        <v>1</v>
      </c>
      <c r="AB4" s="219">
        <v>0</v>
      </c>
      <c r="AC4" s="225" t="s">
        <v>799</v>
      </c>
      <c r="AD4" s="247">
        <f t="shared" ref="AD4:AD21" si="0">(I4-H4)/365.25</f>
        <v>5.4757015742642025E-3</v>
      </c>
      <c r="AE4" s="247">
        <f>IF(F4&gt;='Tables - Part 2'!$EY$13,'Tables - Part 2'!$EY$13,LOOKUP(F4,'Tables - Part 2'!$EY$5:$EY$13))</f>
        <v>-8</v>
      </c>
      <c r="AF4" s="247">
        <f>IF(F4&lt;='Tables - Part 2'!$EY$5,'Tables - Part 2'!$EY$5,IF(CUI_Ferritic!F4&lt;='Tables - Part 2'!$EY$6,'Tables - Part 2'!$EY$6,IF(CUI_Ferritic!F4&lt;='Tables - Part 2'!$EY$7,'Tables - Part 2'!$EY$7,IF(CUI_Ferritic!F4&lt;='Tables - Part 2'!$EY$8,'Tables - Part 2'!$EY$8,IF(CUI_Ferritic!F4&lt;='Tables - Part 2'!$EY$9,'Tables - Part 2'!$EY$9,IF(CUI_Ferritic!F4&lt;='Tables - Part 2'!$EY$10,'Tables - Part 2'!$EY$10,IF(CUI_Ferritic!F4&lt;='Tables - Part 2'!$EY$11,'Tables - Part 2'!$EY$11,IF(CUI_Ferritic!F4&gt;='Tables - Part 2'!$EY$11,'Tables - Part 2'!$EY$11,IF(CUI_Ferritic!F4&gt;='Tables - Part 2'!$EY$12,'Tables - Part 2'!$EY$12,IF(CUI_Ferritic!F4&gt;='Tables - Part 2'!$EY$13,'Tables - Part 2'!$EY$13))))))))))</f>
        <v>6</v>
      </c>
      <c r="AG4" s="256" t="e">
        <f>INDEX('Tables - Part 2'!$EZ$5:$FC$13,MATCH(CUI_Ferritic!AE4,'Tables - Part 2'!$EY$5:$EY$13,0),MATCH(CUI_Ferritic!N4,'Tables - Part 2'!$EZ$4:$FC$4,0))</f>
        <v>#N/A</v>
      </c>
      <c r="AH4" s="256" t="e">
        <f>INDEX('Tables - Part 2'!$EZ$5:$FC$13,MATCH(CUI_Ferritic!AF4,'Tables - Part 2'!$EY$5:$EY$13,0),MATCH(CUI_Ferritic!N4,'Tables - Part 2'!$EZ$4:$FC$4,0))</f>
        <v>#N/A</v>
      </c>
      <c r="AI4" s="256" t="e">
        <f>IF(F4&gt;'Tables - Part 2'!$EY$13,0,IF(AF4-AE4=0,INDEX('Tables - Part 2'!$EZ$5:$FC$13,MATCH(CUI_Ferritic!F4,'Tables - Part 2'!$EY$5:$EY$11,0),MATCH(CUI_Ferritic!N4,'Tables - Part 2'!$EZ$4:$FC$4,0)),((F4-AE4)*(AH4-AG4)/(AF4-AE4))+AG4))</f>
        <v>#N/A</v>
      </c>
      <c r="AJ4" s="256" t="e">
        <f>AI4*AK4*O4*P4*MAX(Q4,R4)</f>
        <v>#N/A</v>
      </c>
      <c r="AK4" s="248">
        <f>INDEX('Tables - Part 2'!$FF$4:$FF$10,MATCH(CUI_Ferritic!E4,'Tables - Part 2'!$FE$4:$FE$10,0))</f>
        <v>1.25</v>
      </c>
      <c r="AL4" s="256">
        <f t="shared" ref="AL4:AL21" si="1">IF(K4=0,G4,K4)</f>
        <v>10</v>
      </c>
      <c r="AM4" s="496">
        <f t="shared" ref="AM4:AM21" si="2">IF(AL4=G4,AD4,(I4-J4)/365.25)</f>
        <v>5.4757015742642025E-3</v>
      </c>
      <c r="AN4" s="247">
        <f>(I4-L4)/365.25</f>
        <v>120.0082135523614</v>
      </c>
      <c r="AO4" s="247">
        <f t="shared" ref="AO4:AO21" si="3">IF(M4=$AO$3,IF(AM4&gt;=AN4,MIN(5,AN4),MIN(5,AN4)-MIN(5,AN4-AM4)),0)</f>
        <v>0</v>
      </c>
      <c r="AP4" s="247">
        <f t="shared" ref="AP4:AP21" si="4">IF(M4=$AP$3,IF(AM4&gt;=AN4,MIN(15,AN4),MIN(15,AN4)-MIN(15,AN4-AM4)),0)</f>
        <v>0</v>
      </c>
      <c r="AQ4" s="247">
        <f>SUM(AO4:AP4)</f>
        <v>0</v>
      </c>
      <c r="AR4" s="247">
        <f>AM4-AQ4</f>
        <v>5.4757015742642025E-3</v>
      </c>
      <c r="AS4" s="256" t="e">
        <f>AJ4*AR4/AL4</f>
        <v>#N/A</v>
      </c>
      <c r="AT4" s="256">
        <f>(W4+X4)*V4*1.1/2</f>
        <v>16.5</v>
      </c>
      <c r="AU4" s="256">
        <f>IF(OR(T4="",T4=0),(Thinning!AL5*Thinning!AM5)/(Thinning!AN5*CUI_Ferritic!AT4*CUI_Ferritic!AL4),(U4*V4*MIN(S4,T4))/(AT4*AL4))</f>
        <v>1.5256958970233307</v>
      </c>
      <c r="AV4" s="238">
        <f>INDEX('Tables - Part 2'!$K$4:$M$4,,MATCH(AC4,'Tables - Part 2'!$K$3:$M$3,0))</f>
        <v>0.8</v>
      </c>
      <c r="AW4" s="238">
        <f>INDEX('Tables - Part 2'!$K$5:$M$5,,MATCH(AC4,'Tables - Part 2'!$K$3:$M$3,0))</f>
        <v>0.15</v>
      </c>
      <c r="AX4" s="238">
        <f>INDEX('Tables - Part 2'!$K$6:$M$6,,MATCH(AC4,'Tables - Part 2'!$K$3:$M$3,0))</f>
        <v>0.05</v>
      </c>
      <c r="AY4" s="238">
        <v>0.9</v>
      </c>
      <c r="AZ4" s="238">
        <v>0.7</v>
      </c>
      <c r="BA4" s="238">
        <v>0.5</v>
      </c>
      <c r="BB4" s="238">
        <v>0.4</v>
      </c>
      <c r="BC4" s="238">
        <v>0.09</v>
      </c>
      <c r="BD4" s="238">
        <v>0.2</v>
      </c>
      <c r="BE4" s="238">
        <v>0.3</v>
      </c>
      <c r="BF4" s="238">
        <v>0.33</v>
      </c>
      <c r="BG4" s="238">
        <v>0.01</v>
      </c>
      <c r="BH4" s="238">
        <v>0.1</v>
      </c>
      <c r="BI4" s="238">
        <v>0.2</v>
      </c>
      <c r="BJ4" s="238">
        <v>0.27</v>
      </c>
      <c r="BK4" s="238">
        <f>AV4*POWER(AY4,$Y4)*POWER(AZ4,$Z4)*POWER(BA4,$AA4)*POWER(BB4,$AB4)</f>
        <v>6.7227999999999982E-2</v>
      </c>
      <c r="BL4" s="238">
        <f>AW4*POWER(BC4,$Y4)*POWER(BD4,$Z4)*POWER(BE4,$AA4)*POWER(BF4,$AB4)</f>
        <v>1.4400000000000008E-5</v>
      </c>
      <c r="BM4" s="238">
        <f>AX4*POWER(BG4,$Y4)*POWER(BH4,$Z4)*POWER(BI4,$AA4)*POWER(BJ4,$AB4)</f>
        <v>1.0000000000000006E-7</v>
      </c>
      <c r="BN4" s="238">
        <f>BK4/($BK4+$BL4+$BM4)</f>
        <v>0.99978436256831615</v>
      </c>
      <c r="BO4" s="238">
        <f t="shared" ref="BO4:BP19" si="5">BL4/($BK4+$BL4+$BM4)</f>
        <v>2.1415027698256327E-4</v>
      </c>
      <c r="BP4" s="238">
        <f t="shared" si="5"/>
        <v>1.4871547012678007E-6</v>
      </c>
      <c r="BQ4" s="238" t="e">
        <f>(1-CI$3*$AS4-$AU4)/SQRT(POWER(CI$3*$AS4*$CH$2,2)+POWER(1-CI$3*$AS4,2)*POWER($CH$3,2)+POWER($AU4*$CH$4,2))</f>
        <v>#N/A</v>
      </c>
      <c r="BR4" s="238" t="e">
        <f t="shared" ref="BR4:BS19" si="6">(1-CJ$3*$AS4-$AU4)/SQRT(POWER(CJ$3*$AS4*$CH$2,2)+POWER(1-CJ$3*$AS4,2)*POWER($CH$3,2)+POWER($AU4*$CH$4,2))</f>
        <v>#N/A</v>
      </c>
      <c r="BS4" s="238" t="e">
        <f t="shared" si="6"/>
        <v>#N/A</v>
      </c>
      <c r="BT4" s="238" t="e">
        <f t="shared" ref="BT4:BT21" si="7">IF(B4=0,0,(BN4*NORMSDIST(-BQ4)+BO4*NORMSDIST(-BR4)+BP4*NORMSDIST(-BS4))/0.000156)</f>
        <v>#N/A</v>
      </c>
      <c r="CB4" t="s">
        <v>905</v>
      </c>
      <c r="CC4" t="s">
        <v>925</v>
      </c>
      <c r="CG4" t="s">
        <v>740</v>
      </c>
      <c r="CH4">
        <v>0.05</v>
      </c>
      <c r="CN4" t="s">
        <v>1081</v>
      </c>
      <c r="CO4">
        <v>1</v>
      </c>
      <c r="CP4">
        <v>1</v>
      </c>
    </row>
    <row r="5" spans="2:94" x14ac:dyDescent="0.35">
      <c r="B5" s="161" t="str">
        <f>'Tratamento de Dados'!B13</f>
        <v>V-07</v>
      </c>
      <c r="C5" s="161" t="str">
        <f>'Tratamento de Dados'!D13</f>
        <v>Tampo_Sul</v>
      </c>
      <c r="D5" s="161" t="str">
        <f>'Tratamento de Dados'!BX13</f>
        <v>Generalizada</v>
      </c>
      <c r="E5" s="161" t="s">
        <v>1237</v>
      </c>
      <c r="F5" s="161">
        <f>'Tratamento de Dados'!S13</f>
        <v>49</v>
      </c>
      <c r="G5" s="209">
        <f>Thinning!E6</f>
        <v>12.5</v>
      </c>
      <c r="H5" s="210">
        <f>Thinning!F6</f>
        <v>35234</v>
      </c>
      <c r="I5" s="210">
        <f>Thinning!G6</f>
        <v>43983</v>
      </c>
      <c r="J5" s="210">
        <f>'Tratamento de Dados'!BZ13</f>
        <v>43350</v>
      </c>
      <c r="K5" s="209">
        <f>'Tratamento de Dados'!CB13</f>
        <v>11.2</v>
      </c>
      <c r="L5" s="210">
        <f>'Tratamento de Dados'!CC13</f>
        <v>41127</v>
      </c>
      <c r="M5" s="209" t="str">
        <f>'Tratamento de Dados'!CD13</f>
        <v>High Coating Quality</v>
      </c>
      <c r="N5" s="209" t="str">
        <f>'Tratamento de Dados'!CE13</f>
        <v>Mild</v>
      </c>
      <c r="O5" s="209">
        <v>1</v>
      </c>
      <c r="P5" s="209">
        <v>1</v>
      </c>
      <c r="Q5" s="209">
        <v>1</v>
      </c>
      <c r="R5" s="209">
        <v>1</v>
      </c>
      <c r="S5" s="209">
        <f>Thinning!N6</f>
        <v>6.5</v>
      </c>
      <c r="T5" s="218">
        <f>Thinning!O6</f>
        <v>0</v>
      </c>
      <c r="U5" s="218">
        <f>Thinning!T6</f>
        <v>0</v>
      </c>
      <c r="V5" s="209">
        <f>Thinning!R6</f>
        <v>1</v>
      </c>
      <c r="W5" s="209">
        <f>Thinning!P6</f>
        <v>31.908300000000001</v>
      </c>
      <c r="X5" s="209">
        <f>Thinning!Q6</f>
        <v>60.1907</v>
      </c>
      <c r="Y5" s="219">
        <v>0</v>
      </c>
      <c r="Z5" s="219">
        <v>5</v>
      </c>
      <c r="AA5" s="219">
        <v>1</v>
      </c>
      <c r="AB5" s="219">
        <v>0</v>
      </c>
      <c r="AC5" s="225" t="s">
        <v>799</v>
      </c>
      <c r="AD5" s="247">
        <f t="shared" si="0"/>
        <v>23.953456536618756</v>
      </c>
      <c r="AE5" s="247">
        <f>IF(F5&gt;='Tables - Part 2'!$EY$13,'Tables - Part 2'!$EY$13,LOOKUP(F5,'Tables - Part 2'!$EY$5:$EY$13))</f>
        <v>32</v>
      </c>
      <c r="AF5" s="247">
        <f>IF(F5&lt;='Tables - Part 2'!$EY$5,'Tables - Part 2'!$EY$5,IF(CUI_Ferritic!F5&lt;='Tables - Part 2'!$EY$6,'Tables - Part 2'!$EY$6,IF(CUI_Ferritic!F5&lt;='Tables - Part 2'!$EY$7,'Tables - Part 2'!$EY$7,IF(CUI_Ferritic!F5&lt;='Tables - Part 2'!$EY$8,'Tables - Part 2'!$EY$8,IF(CUI_Ferritic!F5&lt;='Tables - Part 2'!$EY$9,'Tables - Part 2'!$EY$9,IF(CUI_Ferritic!F5&lt;='Tables - Part 2'!$EY$10,'Tables - Part 2'!$EY$10,IF(CUI_Ferritic!F5&lt;='Tables - Part 2'!$EY$11,'Tables - Part 2'!$EY$11,IF(CUI_Ferritic!F5&gt;='Tables - Part 2'!$EY$11,'Tables - Part 2'!$EY$11,IF(CUI_Ferritic!F5&gt;='Tables - Part 2'!$EY$12,'Tables - Part 2'!$EY$12,IF(CUI_Ferritic!F5&gt;='Tables - Part 2'!$EY$13,'Tables - Part 2'!$EY$13))))))))))</f>
        <v>71</v>
      </c>
      <c r="AG5" s="256">
        <f>INDEX('Tables - Part 2'!$EZ$5:$FC$13,MATCH(CUI_Ferritic!AE5,'Tables - Part 2'!$EY$5:$EY$13,0),MATCH(CUI_Ferritic!N5,'Tables - Part 2'!$EZ$4:$FC$4,0))</f>
        <v>7.5999999999999998E-2</v>
      </c>
      <c r="AH5" s="256">
        <f>INDEX('Tables - Part 2'!$EZ$5:$FC$13,MATCH(CUI_Ferritic!AF5,'Tables - Part 2'!$EY$5:$EY$13,0),MATCH(CUI_Ferritic!N5,'Tables - Part 2'!$EZ$4:$FC$4,0))</f>
        <v>0.127</v>
      </c>
      <c r="AI5" s="256">
        <f>IF(F5&gt;'Tables - Part 2'!$EY$13,0,IF(AF5-AE5=0,INDEX('Tables - Part 2'!$EZ$5:$FC$13,MATCH(CUI_Ferritic!F5,'Tables - Part 2'!$EY$5:$EY$11,0),MATCH(CUI_Ferritic!N5,'Tables - Part 2'!$EZ$4:$FC$4,0)),((F5-AE5)*(AH5-AG5)/(AF5-AE5))+AG5))</f>
        <v>9.8230769230769233E-2</v>
      </c>
      <c r="AJ5" s="256">
        <f t="shared" ref="AJ5:AJ21" si="8">AI5*AK5*O5*P5*MAX(Q5,R5)</f>
        <v>0.12278846153846154</v>
      </c>
      <c r="AK5" s="248">
        <f>INDEX('Tables - Part 2'!$FF$4:$FF$10,MATCH(CUI_Ferritic!E5,'Tables - Part 2'!$FE$4:$FE$10,0))</f>
        <v>1.25</v>
      </c>
      <c r="AL5" s="256">
        <f t="shared" si="1"/>
        <v>11.2</v>
      </c>
      <c r="AM5" s="496">
        <f t="shared" si="2"/>
        <v>1.7330595482546201</v>
      </c>
      <c r="AN5" s="247">
        <f t="shared" ref="AN5:AN21" si="9">(I5-L5)/365.25</f>
        <v>7.8193018480492817</v>
      </c>
      <c r="AO5" s="247">
        <f t="shared" si="3"/>
        <v>0</v>
      </c>
      <c r="AP5" s="247">
        <f t="shared" si="4"/>
        <v>1.7330595482546203</v>
      </c>
      <c r="AQ5" s="247">
        <f t="shared" ref="AQ5:AQ21" si="10">SUM(AO5:AP5)</f>
        <v>1.7330595482546203</v>
      </c>
      <c r="AR5" s="247">
        <f t="shared" ref="AR5:AR21" si="11">AM5-AQ5</f>
        <v>0</v>
      </c>
      <c r="AS5" s="256">
        <f t="shared" ref="AS5:AS21" si="12">AJ5*AR5/AL5</f>
        <v>0</v>
      </c>
      <c r="AT5" s="256">
        <f t="shared" ref="AT5:AT21" si="13">(W5+X5)*V5*1.1/2</f>
        <v>50.654450000000004</v>
      </c>
      <c r="AU5" s="256">
        <f>IF(OR(T5="",T5=0),(Thinning!AL6*Thinning!AM6)/(Thinning!AN6*CUI_Ferritic!AT5*CUI_Ferritic!AL5),(U5*V5*MIN(S5,T5))/(AT5*AL5))</f>
        <v>0.443727449641728</v>
      </c>
      <c r="AV5" s="238">
        <f>INDEX('Tables - Part 2'!$K$4:$M$4,,MATCH(AC5,'Tables - Part 2'!$K$3:$M$3,0))</f>
        <v>0.8</v>
      </c>
      <c r="AW5" s="238">
        <f>INDEX('Tables - Part 2'!$K$5:$M$5,,MATCH(AC5,'Tables - Part 2'!$K$3:$M$3,0))</f>
        <v>0.15</v>
      </c>
      <c r="AX5" s="238">
        <f>INDEX('Tables - Part 2'!$K$6:$M$6,,MATCH(AC5,'Tables - Part 2'!$K$3:$M$3,0))</f>
        <v>0.05</v>
      </c>
      <c r="AY5" s="238">
        <v>0.9</v>
      </c>
      <c r="AZ5" s="238">
        <v>0.7</v>
      </c>
      <c r="BA5" s="238">
        <v>0.5</v>
      </c>
      <c r="BB5" s="238">
        <v>0.4</v>
      </c>
      <c r="BC5" s="238">
        <v>0.09</v>
      </c>
      <c r="BD5" s="238">
        <v>0.2</v>
      </c>
      <c r="BE5" s="238">
        <v>0.3</v>
      </c>
      <c r="BF5" s="238">
        <v>0.33</v>
      </c>
      <c r="BG5" s="238">
        <v>0.01</v>
      </c>
      <c r="BH5" s="238">
        <v>0.1</v>
      </c>
      <c r="BI5" s="238">
        <v>0.2</v>
      </c>
      <c r="BJ5" s="238">
        <v>0.27</v>
      </c>
      <c r="BK5" s="238">
        <f t="shared" ref="BK5:BK21" si="14">AV5*POWER(AY5,$Y5)*POWER(AZ5,$Z5)*POWER(BA5,$AA5)*POWER(BB5,$AB5)</f>
        <v>6.7227999999999982E-2</v>
      </c>
      <c r="BL5" s="238">
        <f t="shared" ref="BL5:BL21" si="15">AW5*POWER(BC5,$Y5)*POWER(BD5,$Z5)*POWER(BE5,$AA5)*POWER(BF5,$AB5)</f>
        <v>1.4400000000000008E-5</v>
      </c>
      <c r="BM5" s="238">
        <f t="shared" ref="BM5:BM21" si="16">AX5*POWER(BG5,$Y5)*POWER(BH5,$Z5)*POWER(BI5,$AA5)*POWER(BJ5,$AB5)</f>
        <v>1.0000000000000006E-7</v>
      </c>
      <c r="BN5" s="238">
        <f t="shared" ref="BN5:BP21" si="17">BK5/($BK5+$BL5+$BM5)</f>
        <v>0.99978436256831615</v>
      </c>
      <c r="BO5" s="238">
        <f t="shared" si="5"/>
        <v>2.1415027698256327E-4</v>
      </c>
      <c r="BP5" s="238">
        <f t="shared" si="5"/>
        <v>1.4871547012678007E-6</v>
      </c>
      <c r="BQ5" s="238">
        <f t="shared" ref="BQ5:BS21" si="18">(1-CI$3*$AS5-$AU5)/SQRT(POWER(CI$3*$AS5*$CH$2,2)+POWER(1-CI$3*$AS5,2)*POWER($CH$3,2)+POWER($AU5*$CH$4,2))</f>
        <v>2.7644055418114841</v>
      </c>
      <c r="BR5" s="238">
        <f t="shared" si="6"/>
        <v>2.7644055418114841</v>
      </c>
      <c r="BS5" s="238">
        <f t="shared" si="6"/>
        <v>2.7644055418114841</v>
      </c>
      <c r="BT5" s="238">
        <f t="shared" si="7"/>
        <v>18.277761305526749</v>
      </c>
      <c r="CB5" t="s">
        <v>906</v>
      </c>
      <c r="CC5" t="s">
        <v>926</v>
      </c>
      <c r="CN5" t="s">
        <v>1226</v>
      </c>
      <c r="CO5">
        <v>1.25</v>
      </c>
      <c r="CP5">
        <v>0.75</v>
      </c>
    </row>
    <row r="6" spans="2:94" x14ac:dyDescent="0.35">
      <c r="B6" s="161" t="str">
        <f>'Tratamento de Dados'!B14</f>
        <v>V-10</v>
      </c>
      <c r="C6" s="161" t="str">
        <f>'Tratamento de Dados'!D14</f>
        <v>Casco</v>
      </c>
      <c r="D6" s="161">
        <f>'Tratamento de Dados'!BX14</f>
        <v>0</v>
      </c>
      <c r="E6" s="161" t="s">
        <v>1237</v>
      </c>
      <c r="F6" s="161">
        <f>'Tratamento de Dados'!S14</f>
        <v>2</v>
      </c>
      <c r="G6" s="209">
        <f>Thinning!E7</f>
        <v>10</v>
      </c>
      <c r="H6" s="210">
        <f>Thinning!F7</f>
        <v>43831</v>
      </c>
      <c r="I6" s="210">
        <f>Thinning!G7</f>
        <v>43833</v>
      </c>
      <c r="J6" s="210">
        <f>'Tratamento de Dados'!BZ14</f>
        <v>0</v>
      </c>
      <c r="K6" s="209">
        <f>'Tratamento de Dados'!CB14</f>
        <v>0</v>
      </c>
      <c r="L6" s="210">
        <f>'Tratamento de Dados'!CC14</f>
        <v>0</v>
      </c>
      <c r="M6" s="209">
        <f>'Tratamento de Dados'!CD14</f>
        <v>0</v>
      </c>
      <c r="N6" s="209">
        <f>'Tratamento de Dados'!CE14</f>
        <v>0</v>
      </c>
      <c r="O6" s="209">
        <v>1</v>
      </c>
      <c r="P6" s="209">
        <v>1</v>
      </c>
      <c r="Q6" s="209">
        <v>1</v>
      </c>
      <c r="R6" s="209">
        <v>1</v>
      </c>
      <c r="S6" s="209">
        <f>Thinning!N7</f>
        <v>2</v>
      </c>
      <c r="T6" s="218">
        <f>Thinning!O7</f>
        <v>0</v>
      </c>
      <c r="U6" s="218">
        <f>Thinning!T7</f>
        <v>0</v>
      </c>
      <c r="V6" s="209">
        <f>Thinning!R7</f>
        <v>1</v>
      </c>
      <c r="W6" s="209">
        <f>Thinning!P7</f>
        <v>10</v>
      </c>
      <c r="X6" s="209">
        <f>Thinning!Q7</f>
        <v>20</v>
      </c>
      <c r="Y6" s="219">
        <v>0</v>
      </c>
      <c r="Z6" s="219">
        <v>5</v>
      </c>
      <c r="AA6" s="219">
        <v>1</v>
      </c>
      <c r="AB6" s="219">
        <v>0</v>
      </c>
      <c r="AC6" s="225" t="s">
        <v>799</v>
      </c>
      <c r="AD6" s="247">
        <f t="shared" si="0"/>
        <v>5.4757015742642025E-3</v>
      </c>
      <c r="AE6" s="247">
        <f>IF(F6&gt;='Tables - Part 2'!$EY$13,'Tables - Part 2'!$EY$13,LOOKUP(F6,'Tables - Part 2'!$EY$5:$EY$13))</f>
        <v>-8</v>
      </c>
      <c r="AF6" s="247">
        <f>IF(F6&lt;='Tables - Part 2'!$EY$5,'Tables - Part 2'!$EY$5,IF(CUI_Ferritic!F6&lt;='Tables - Part 2'!$EY$6,'Tables - Part 2'!$EY$6,IF(CUI_Ferritic!F6&lt;='Tables - Part 2'!$EY$7,'Tables - Part 2'!$EY$7,IF(CUI_Ferritic!F6&lt;='Tables - Part 2'!$EY$8,'Tables - Part 2'!$EY$8,IF(CUI_Ferritic!F6&lt;='Tables - Part 2'!$EY$9,'Tables - Part 2'!$EY$9,IF(CUI_Ferritic!F6&lt;='Tables - Part 2'!$EY$10,'Tables - Part 2'!$EY$10,IF(CUI_Ferritic!F6&lt;='Tables - Part 2'!$EY$11,'Tables - Part 2'!$EY$11,IF(CUI_Ferritic!F6&gt;='Tables - Part 2'!$EY$11,'Tables - Part 2'!$EY$11,IF(CUI_Ferritic!F6&gt;='Tables - Part 2'!$EY$12,'Tables - Part 2'!$EY$12,IF(CUI_Ferritic!F6&gt;='Tables - Part 2'!$EY$13,'Tables - Part 2'!$EY$13))))))))))</f>
        <v>6</v>
      </c>
      <c r="AG6" s="256" t="e">
        <f>INDEX('Tables - Part 2'!$EZ$5:$FC$13,MATCH(CUI_Ferritic!AE6,'Tables - Part 2'!$EY$5:$EY$13,0),MATCH(CUI_Ferritic!N6,'Tables - Part 2'!$EZ$4:$FC$4,0))</f>
        <v>#N/A</v>
      </c>
      <c r="AH6" s="256" t="e">
        <f>INDEX('Tables - Part 2'!$EZ$5:$FC$13,MATCH(CUI_Ferritic!AF6,'Tables - Part 2'!$EY$5:$EY$13,0),MATCH(CUI_Ferritic!N6,'Tables - Part 2'!$EZ$4:$FC$4,0))</f>
        <v>#N/A</v>
      </c>
      <c r="AI6" s="256" t="e">
        <f>IF(F6&gt;'Tables - Part 2'!$EY$13,0,IF(AF6-AE6=0,INDEX('Tables - Part 2'!$EZ$5:$FC$13,MATCH(CUI_Ferritic!F6,'Tables - Part 2'!$EY$5:$EY$11,0),MATCH(CUI_Ferritic!N6,'Tables - Part 2'!$EZ$4:$FC$4,0)),((F6-AE6)*(AH6-AG6)/(AF6-AE6))+AG6))</f>
        <v>#N/A</v>
      </c>
      <c r="AJ6" s="256" t="e">
        <f t="shared" si="8"/>
        <v>#N/A</v>
      </c>
      <c r="AK6" s="248">
        <f>INDEX('Tables - Part 2'!$FF$4:$FF$10,MATCH(CUI_Ferritic!E6,'Tables - Part 2'!$FE$4:$FE$10,0))</f>
        <v>1.25</v>
      </c>
      <c r="AL6" s="256">
        <f t="shared" si="1"/>
        <v>10</v>
      </c>
      <c r="AM6" s="496">
        <f t="shared" si="2"/>
        <v>5.4757015742642025E-3</v>
      </c>
      <c r="AN6" s="247">
        <f t="shared" si="9"/>
        <v>120.0082135523614</v>
      </c>
      <c r="AO6" s="247">
        <f t="shared" si="3"/>
        <v>0</v>
      </c>
      <c r="AP6" s="247">
        <f t="shared" si="4"/>
        <v>0</v>
      </c>
      <c r="AQ6" s="247">
        <f t="shared" si="10"/>
        <v>0</v>
      </c>
      <c r="AR6" s="247">
        <f t="shared" si="11"/>
        <v>5.4757015742642025E-3</v>
      </c>
      <c r="AS6" s="256" t="e">
        <f t="shared" si="12"/>
        <v>#N/A</v>
      </c>
      <c r="AT6" s="256">
        <f t="shared" si="13"/>
        <v>16.5</v>
      </c>
      <c r="AU6" s="256">
        <f>IF(OR(T6="",T6=0),(Thinning!AL7*Thinning!AM7)/(Thinning!AN7*CUI_Ferritic!AT6*CUI_Ferritic!AL6),(U6*V6*MIN(S6,T6))/(AT6*AL6))</f>
        <v>0</v>
      </c>
      <c r="AV6" s="238">
        <f>INDEX('Tables - Part 2'!$K$4:$M$4,,MATCH(AC6,'Tables - Part 2'!$K$3:$M$3,0))</f>
        <v>0.8</v>
      </c>
      <c r="AW6" s="238">
        <f>INDEX('Tables - Part 2'!$K$5:$M$5,,MATCH(AC6,'Tables - Part 2'!$K$3:$M$3,0))</f>
        <v>0.15</v>
      </c>
      <c r="AX6" s="238">
        <f>INDEX('Tables - Part 2'!$K$6:$M$6,,MATCH(AC6,'Tables - Part 2'!$K$3:$M$3,0))</f>
        <v>0.05</v>
      </c>
      <c r="AY6" s="238">
        <v>0.9</v>
      </c>
      <c r="AZ6" s="238">
        <v>0.7</v>
      </c>
      <c r="BA6" s="238">
        <v>0.5</v>
      </c>
      <c r="BB6" s="238">
        <v>0.4</v>
      </c>
      <c r="BC6" s="238">
        <v>0.09</v>
      </c>
      <c r="BD6" s="238">
        <v>0.2</v>
      </c>
      <c r="BE6" s="238">
        <v>0.3</v>
      </c>
      <c r="BF6" s="238">
        <v>0.33</v>
      </c>
      <c r="BG6" s="238">
        <v>0.01</v>
      </c>
      <c r="BH6" s="238">
        <v>0.1</v>
      </c>
      <c r="BI6" s="238">
        <v>0.2</v>
      </c>
      <c r="BJ6" s="238">
        <v>0.27</v>
      </c>
      <c r="BK6" s="238">
        <f t="shared" si="14"/>
        <v>6.7227999999999982E-2</v>
      </c>
      <c r="BL6" s="238">
        <f t="shared" si="15"/>
        <v>1.4400000000000008E-5</v>
      </c>
      <c r="BM6" s="238">
        <f t="shared" si="16"/>
        <v>1.0000000000000006E-7</v>
      </c>
      <c r="BN6" s="238">
        <f t="shared" si="17"/>
        <v>0.99978436256831615</v>
      </c>
      <c r="BO6" s="238">
        <f t="shared" si="5"/>
        <v>2.1415027698256327E-4</v>
      </c>
      <c r="BP6" s="238">
        <f t="shared" si="5"/>
        <v>1.4871547012678007E-6</v>
      </c>
      <c r="BQ6" s="238" t="e">
        <f t="shared" si="18"/>
        <v>#N/A</v>
      </c>
      <c r="BR6" s="238" t="e">
        <f t="shared" si="6"/>
        <v>#N/A</v>
      </c>
      <c r="BS6" s="238" t="e">
        <f t="shared" si="6"/>
        <v>#N/A</v>
      </c>
      <c r="BT6" s="238" t="e">
        <f t="shared" si="7"/>
        <v>#N/A</v>
      </c>
    </row>
    <row r="7" spans="2:94" x14ac:dyDescent="0.35">
      <c r="B7" s="161" t="str">
        <f>'Tratamento de Dados'!B15</f>
        <v>V-11</v>
      </c>
      <c r="C7" s="161" t="str">
        <f>'Tratamento de Dados'!D15</f>
        <v>Casco</v>
      </c>
      <c r="D7" s="161">
        <f>'Tratamento de Dados'!BX15</f>
        <v>0</v>
      </c>
      <c r="E7" s="161" t="s">
        <v>1237</v>
      </c>
      <c r="F7" s="161">
        <f>'Tratamento de Dados'!S15</f>
        <v>2</v>
      </c>
      <c r="G7" s="209">
        <f>Thinning!E8</f>
        <v>10</v>
      </c>
      <c r="H7" s="210">
        <f>Thinning!F8</f>
        <v>43831</v>
      </c>
      <c r="I7" s="210">
        <f>Thinning!G8</f>
        <v>43833</v>
      </c>
      <c r="J7" s="210">
        <f>'Tratamento de Dados'!BZ15</f>
        <v>0</v>
      </c>
      <c r="K7" s="209">
        <f>'Tratamento de Dados'!CB15</f>
        <v>0</v>
      </c>
      <c r="L7" s="210">
        <f>'Tratamento de Dados'!CC15</f>
        <v>0</v>
      </c>
      <c r="M7" s="209">
        <f>'Tratamento de Dados'!CD15</f>
        <v>0</v>
      </c>
      <c r="N7" s="209">
        <f>'Tratamento de Dados'!CE15</f>
        <v>0</v>
      </c>
      <c r="O7" s="209">
        <v>1</v>
      </c>
      <c r="P7" s="209">
        <v>1</v>
      </c>
      <c r="Q7" s="209">
        <v>1</v>
      </c>
      <c r="R7" s="209">
        <v>1</v>
      </c>
      <c r="S7" s="209">
        <f>Thinning!N8</f>
        <v>2</v>
      </c>
      <c r="T7" s="218">
        <f>Thinning!O8</f>
        <v>0</v>
      </c>
      <c r="U7" s="218">
        <f>Thinning!T8</f>
        <v>0</v>
      </c>
      <c r="V7" s="209">
        <f>Thinning!R8</f>
        <v>1</v>
      </c>
      <c r="W7" s="209">
        <f>Thinning!P8</f>
        <v>10</v>
      </c>
      <c r="X7" s="209">
        <f>Thinning!Q8</f>
        <v>20</v>
      </c>
      <c r="Y7" s="219">
        <v>0</v>
      </c>
      <c r="Z7" s="219">
        <v>5</v>
      </c>
      <c r="AA7" s="219">
        <v>1</v>
      </c>
      <c r="AB7" s="219">
        <v>0</v>
      </c>
      <c r="AC7" s="225" t="s">
        <v>799</v>
      </c>
      <c r="AD7" s="247">
        <f t="shared" si="0"/>
        <v>5.4757015742642025E-3</v>
      </c>
      <c r="AE7" s="247">
        <f>IF(F7&gt;='Tables - Part 2'!$EY$13,'Tables - Part 2'!$EY$13,LOOKUP(F7,'Tables - Part 2'!$EY$5:$EY$13))</f>
        <v>-8</v>
      </c>
      <c r="AF7" s="247">
        <f>IF(F7&lt;='Tables - Part 2'!$EY$5,'Tables - Part 2'!$EY$5,IF(CUI_Ferritic!F7&lt;='Tables - Part 2'!$EY$6,'Tables - Part 2'!$EY$6,IF(CUI_Ferritic!F7&lt;='Tables - Part 2'!$EY$7,'Tables - Part 2'!$EY$7,IF(CUI_Ferritic!F7&lt;='Tables - Part 2'!$EY$8,'Tables - Part 2'!$EY$8,IF(CUI_Ferritic!F7&lt;='Tables - Part 2'!$EY$9,'Tables - Part 2'!$EY$9,IF(CUI_Ferritic!F7&lt;='Tables - Part 2'!$EY$10,'Tables - Part 2'!$EY$10,IF(CUI_Ferritic!F7&lt;='Tables - Part 2'!$EY$11,'Tables - Part 2'!$EY$11,IF(CUI_Ferritic!F7&gt;='Tables - Part 2'!$EY$11,'Tables - Part 2'!$EY$11,IF(CUI_Ferritic!F7&gt;='Tables - Part 2'!$EY$12,'Tables - Part 2'!$EY$12,IF(CUI_Ferritic!F7&gt;='Tables - Part 2'!$EY$13,'Tables - Part 2'!$EY$13))))))))))</f>
        <v>6</v>
      </c>
      <c r="AG7" s="256" t="e">
        <f>INDEX('Tables - Part 2'!$EZ$5:$FC$13,MATCH(CUI_Ferritic!AE7,'Tables - Part 2'!$EY$5:$EY$13,0),MATCH(CUI_Ferritic!N7,'Tables - Part 2'!$EZ$4:$FC$4,0))</f>
        <v>#N/A</v>
      </c>
      <c r="AH7" s="256" t="e">
        <f>INDEX('Tables - Part 2'!$EZ$5:$FC$13,MATCH(CUI_Ferritic!AF7,'Tables - Part 2'!$EY$5:$EY$13,0),MATCH(CUI_Ferritic!N7,'Tables - Part 2'!$EZ$4:$FC$4,0))</f>
        <v>#N/A</v>
      </c>
      <c r="AI7" s="256" t="e">
        <f>IF(F7&gt;'Tables - Part 2'!$EY$13,0,IF(AF7-AE7=0,INDEX('Tables - Part 2'!$EZ$5:$FC$13,MATCH(CUI_Ferritic!F7,'Tables - Part 2'!$EY$5:$EY$11,0),MATCH(CUI_Ferritic!N7,'Tables - Part 2'!$EZ$4:$FC$4,0)),((F7-AE7)*(AH7-AG7)/(AF7-AE7))+AG7))</f>
        <v>#N/A</v>
      </c>
      <c r="AJ7" s="256" t="e">
        <f t="shared" si="8"/>
        <v>#N/A</v>
      </c>
      <c r="AK7" s="248">
        <f>INDEX('Tables - Part 2'!$FF$4:$FF$10,MATCH(CUI_Ferritic!E7,'Tables - Part 2'!$FE$4:$FE$10,0))</f>
        <v>1.25</v>
      </c>
      <c r="AL7" s="256">
        <f t="shared" si="1"/>
        <v>10</v>
      </c>
      <c r="AM7" s="496">
        <f t="shared" si="2"/>
        <v>5.4757015742642025E-3</v>
      </c>
      <c r="AN7" s="247">
        <f t="shared" si="9"/>
        <v>120.0082135523614</v>
      </c>
      <c r="AO7" s="247">
        <f t="shared" si="3"/>
        <v>0</v>
      </c>
      <c r="AP7" s="247">
        <f t="shared" si="4"/>
        <v>0</v>
      </c>
      <c r="AQ7" s="247">
        <f t="shared" si="10"/>
        <v>0</v>
      </c>
      <c r="AR7" s="247">
        <f t="shared" si="11"/>
        <v>5.4757015742642025E-3</v>
      </c>
      <c r="AS7" s="256" t="e">
        <f t="shared" si="12"/>
        <v>#N/A</v>
      </c>
      <c r="AT7" s="256">
        <f t="shared" si="13"/>
        <v>16.5</v>
      </c>
      <c r="AU7" s="256">
        <f>IF(OR(T7="",T7=0),(Thinning!AL8*Thinning!AM8)/(Thinning!AN8*CUI_Ferritic!AT7*CUI_Ferritic!AL7),(U7*V7*MIN(S7,T7))/(AT7*AL7))</f>
        <v>0</v>
      </c>
      <c r="AV7" s="238">
        <f>INDEX('Tables - Part 2'!$K$4:$M$4,,MATCH(AC7,'Tables - Part 2'!$K$3:$M$3,0))</f>
        <v>0.8</v>
      </c>
      <c r="AW7" s="238">
        <f>INDEX('Tables - Part 2'!$K$5:$M$5,,MATCH(AC7,'Tables - Part 2'!$K$3:$M$3,0))</f>
        <v>0.15</v>
      </c>
      <c r="AX7" s="238">
        <f>INDEX('Tables - Part 2'!$K$6:$M$6,,MATCH(AC7,'Tables - Part 2'!$K$3:$M$3,0))</f>
        <v>0.05</v>
      </c>
      <c r="AY7" s="238">
        <v>0.9</v>
      </c>
      <c r="AZ7" s="238">
        <v>0.7</v>
      </c>
      <c r="BA7" s="238">
        <v>0.5</v>
      </c>
      <c r="BB7" s="238">
        <v>0.4</v>
      </c>
      <c r="BC7" s="238">
        <v>0.09</v>
      </c>
      <c r="BD7" s="238">
        <v>0.2</v>
      </c>
      <c r="BE7" s="238">
        <v>0.3</v>
      </c>
      <c r="BF7" s="238">
        <v>0.33</v>
      </c>
      <c r="BG7" s="238">
        <v>0.01</v>
      </c>
      <c r="BH7" s="238">
        <v>0.1</v>
      </c>
      <c r="BI7" s="238">
        <v>0.2</v>
      </c>
      <c r="BJ7" s="238">
        <v>0.27</v>
      </c>
      <c r="BK7" s="238">
        <f t="shared" si="14"/>
        <v>6.7227999999999982E-2</v>
      </c>
      <c r="BL7" s="238">
        <f t="shared" si="15"/>
        <v>1.4400000000000008E-5</v>
      </c>
      <c r="BM7" s="238">
        <f t="shared" si="16"/>
        <v>1.0000000000000006E-7</v>
      </c>
      <c r="BN7" s="238">
        <f t="shared" si="17"/>
        <v>0.99978436256831615</v>
      </c>
      <c r="BO7" s="238">
        <f t="shared" si="5"/>
        <v>2.1415027698256327E-4</v>
      </c>
      <c r="BP7" s="238">
        <f t="shared" si="5"/>
        <v>1.4871547012678007E-6</v>
      </c>
      <c r="BQ7" s="238" t="e">
        <f t="shared" si="18"/>
        <v>#N/A</v>
      </c>
      <c r="BR7" s="238" t="e">
        <f t="shared" si="6"/>
        <v>#N/A</v>
      </c>
      <c r="BS7" s="238" t="e">
        <f t="shared" si="6"/>
        <v>#N/A</v>
      </c>
      <c r="BT7" s="238" t="e">
        <f t="shared" si="7"/>
        <v>#N/A</v>
      </c>
    </row>
    <row r="8" spans="2:94" x14ac:dyDescent="0.35">
      <c r="B8" s="161" t="str">
        <f>'Tratamento de Dados'!B16</f>
        <v>V-13</v>
      </c>
      <c r="C8" s="161" t="str">
        <f>'Tratamento de Dados'!D16</f>
        <v>Casco</v>
      </c>
      <c r="D8" s="161">
        <f>'Tratamento de Dados'!BX16</f>
        <v>0</v>
      </c>
      <c r="E8" s="161" t="s">
        <v>1237</v>
      </c>
      <c r="F8" s="161">
        <f>'Tratamento de Dados'!S16</f>
        <v>2</v>
      </c>
      <c r="G8" s="209">
        <f>Thinning!E9</f>
        <v>10</v>
      </c>
      <c r="H8" s="210">
        <f>Thinning!F9</f>
        <v>43831</v>
      </c>
      <c r="I8" s="210">
        <f>Thinning!G9</f>
        <v>43833</v>
      </c>
      <c r="J8" s="210">
        <f>'Tratamento de Dados'!BZ16</f>
        <v>0</v>
      </c>
      <c r="K8" s="209">
        <f>'Tratamento de Dados'!CB16</f>
        <v>0</v>
      </c>
      <c r="L8" s="210">
        <f>'Tratamento de Dados'!CC16</f>
        <v>0</v>
      </c>
      <c r="M8" s="209">
        <f>'Tratamento de Dados'!CD16</f>
        <v>0</v>
      </c>
      <c r="N8" s="209">
        <f>'Tratamento de Dados'!CE16</f>
        <v>0</v>
      </c>
      <c r="O8" s="209">
        <v>1</v>
      </c>
      <c r="P8" s="209">
        <v>1</v>
      </c>
      <c r="Q8" s="209">
        <v>1</v>
      </c>
      <c r="R8" s="209">
        <v>1</v>
      </c>
      <c r="S8" s="209">
        <f>Thinning!N9</f>
        <v>2</v>
      </c>
      <c r="T8" s="218">
        <f>Thinning!O9</f>
        <v>0</v>
      </c>
      <c r="U8" s="218">
        <f>Thinning!T9</f>
        <v>0</v>
      </c>
      <c r="V8" s="209">
        <f>Thinning!R9</f>
        <v>1</v>
      </c>
      <c r="W8" s="209">
        <f>Thinning!P9</f>
        <v>10</v>
      </c>
      <c r="X8" s="209">
        <f>Thinning!Q9</f>
        <v>20</v>
      </c>
      <c r="Y8" s="219">
        <v>0</v>
      </c>
      <c r="Z8" s="219">
        <v>5</v>
      </c>
      <c r="AA8" s="219">
        <v>1</v>
      </c>
      <c r="AB8" s="219">
        <v>0</v>
      </c>
      <c r="AC8" s="225" t="s">
        <v>799</v>
      </c>
      <c r="AD8" s="247">
        <f t="shared" si="0"/>
        <v>5.4757015742642025E-3</v>
      </c>
      <c r="AE8" s="247">
        <f>IF(F8&gt;='Tables - Part 2'!$EY$13,'Tables - Part 2'!$EY$13,LOOKUP(F8,'Tables - Part 2'!$EY$5:$EY$13))</f>
        <v>-8</v>
      </c>
      <c r="AF8" s="247">
        <f>IF(F8&lt;='Tables - Part 2'!$EY$5,'Tables - Part 2'!$EY$5,IF(CUI_Ferritic!F8&lt;='Tables - Part 2'!$EY$6,'Tables - Part 2'!$EY$6,IF(CUI_Ferritic!F8&lt;='Tables - Part 2'!$EY$7,'Tables - Part 2'!$EY$7,IF(CUI_Ferritic!F8&lt;='Tables - Part 2'!$EY$8,'Tables - Part 2'!$EY$8,IF(CUI_Ferritic!F8&lt;='Tables - Part 2'!$EY$9,'Tables - Part 2'!$EY$9,IF(CUI_Ferritic!F8&lt;='Tables - Part 2'!$EY$10,'Tables - Part 2'!$EY$10,IF(CUI_Ferritic!F8&lt;='Tables - Part 2'!$EY$11,'Tables - Part 2'!$EY$11,IF(CUI_Ferritic!F8&gt;='Tables - Part 2'!$EY$11,'Tables - Part 2'!$EY$11,IF(CUI_Ferritic!F8&gt;='Tables - Part 2'!$EY$12,'Tables - Part 2'!$EY$12,IF(CUI_Ferritic!F8&gt;='Tables - Part 2'!$EY$13,'Tables - Part 2'!$EY$13))))))))))</f>
        <v>6</v>
      </c>
      <c r="AG8" s="256" t="e">
        <f>INDEX('Tables - Part 2'!$EZ$5:$FC$13,MATCH(CUI_Ferritic!AE8,'Tables - Part 2'!$EY$5:$EY$13,0),MATCH(CUI_Ferritic!N8,'Tables - Part 2'!$EZ$4:$FC$4,0))</f>
        <v>#N/A</v>
      </c>
      <c r="AH8" s="256" t="e">
        <f>INDEX('Tables - Part 2'!$EZ$5:$FC$13,MATCH(CUI_Ferritic!AF8,'Tables - Part 2'!$EY$5:$EY$13,0),MATCH(CUI_Ferritic!N8,'Tables - Part 2'!$EZ$4:$FC$4,0))</f>
        <v>#N/A</v>
      </c>
      <c r="AI8" s="256" t="e">
        <f>IF(F8&gt;'Tables - Part 2'!$EY$13,0,IF(AF8-AE8=0,INDEX('Tables - Part 2'!$EZ$5:$FC$13,MATCH(CUI_Ferritic!F8,'Tables - Part 2'!$EY$5:$EY$11,0),MATCH(CUI_Ferritic!N8,'Tables - Part 2'!$EZ$4:$FC$4,0)),((F8-AE8)*(AH8-AG8)/(AF8-AE8))+AG8))</f>
        <v>#N/A</v>
      </c>
      <c r="AJ8" s="256" t="e">
        <f t="shared" si="8"/>
        <v>#N/A</v>
      </c>
      <c r="AK8" s="248">
        <f>INDEX('Tables - Part 2'!$FF$4:$FF$10,MATCH(CUI_Ferritic!E8,'Tables - Part 2'!$FE$4:$FE$10,0))</f>
        <v>1.25</v>
      </c>
      <c r="AL8" s="256">
        <f t="shared" si="1"/>
        <v>10</v>
      </c>
      <c r="AM8" s="496">
        <f t="shared" si="2"/>
        <v>5.4757015742642025E-3</v>
      </c>
      <c r="AN8" s="247">
        <f t="shared" si="9"/>
        <v>120.0082135523614</v>
      </c>
      <c r="AO8" s="247">
        <f t="shared" si="3"/>
        <v>0</v>
      </c>
      <c r="AP8" s="247">
        <f t="shared" si="4"/>
        <v>0</v>
      </c>
      <c r="AQ8" s="247">
        <f t="shared" si="10"/>
        <v>0</v>
      </c>
      <c r="AR8" s="247">
        <f t="shared" si="11"/>
        <v>5.4757015742642025E-3</v>
      </c>
      <c r="AS8" s="256" t="e">
        <f t="shared" si="12"/>
        <v>#N/A</v>
      </c>
      <c r="AT8" s="256">
        <f t="shared" si="13"/>
        <v>16.5</v>
      </c>
      <c r="AU8" s="256">
        <f>IF(OR(T8="",T8=0),(Thinning!AL9*Thinning!AM9)/(Thinning!AN9*CUI_Ferritic!AT8*CUI_Ferritic!AL8),(U8*V8*MIN(S8,T8))/(AT8*AL8))</f>
        <v>0</v>
      </c>
      <c r="AV8" s="238">
        <f>INDEX('Tables - Part 2'!$K$4:$M$4,,MATCH(AC8,'Tables - Part 2'!$K$3:$M$3,0))</f>
        <v>0.8</v>
      </c>
      <c r="AW8" s="238">
        <f>INDEX('Tables - Part 2'!$K$5:$M$5,,MATCH(AC8,'Tables - Part 2'!$K$3:$M$3,0))</f>
        <v>0.15</v>
      </c>
      <c r="AX8" s="238">
        <f>INDEX('Tables - Part 2'!$K$6:$M$6,,MATCH(AC8,'Tables - Part 2'!$K$3:$M$3,0))</f>
        <v>0.05</v>
      </c>
      <c r="AY8" s="238">
        <v>0.9</v>
      </c>
      <c r="AZ8" s="238">
        <v>0.7</v>
      </c>
      <c r="BA8" s="238">
        <v>0.5</v>
      </c>
      <c r="BB8" s="238">
        <v>0.4</v>
      </c>
      <c r="BC8" s="238">
        <v>0.09</v>
      </c>
      <c r="BD8" s="238">
        <v>0.2</v>
      </c>
      <c r="BE8" s="238">
        <v>0.3</v>
      </c>
      <c r="BF8" s="238">
        <v>0.33</v>
      </c>
      <c r="BG8" s="238">
        <v>0.01</v>
      </c>
      <c r="BH8" s="238">
        <v>0.1</v>
      </c>
      <c r="BI8" s="238">
        <v>0.2</v>
      </c>
      <c r="BJ8" s="238">
        <v>0.27</v>
      </c>
      <c r="BK8" s="238">
        <f t="shared" si="14"/>
        <v>6.7227999999999982E-2</v>
      </c>
      <c r="BL8" s="238">
        <f t="shared" si="15"/>
        <v>1.4400000000000008E-5</v>
      </c>
      <c r="BM8" s="238">
        <f t="shared" si="16"/>
        <v>1.0000000000000006E-7</v>
      </c>
      <c r="BN8" s="238">
        <f t="shared" si="17"/>
        <v>0.99978436256831615</v>
      </c>
      <c r="BO8" s="238">
        <f t="shared" si="5"/>
        <v>2.1415027698256327E-4</v>
      </c>
      <c r="BP8" s="238">
        <f t="shared" si="5"/>
        <v>1.4871547012678007E-6</v>
      </c>
      <c r="BQ8" s="238" t="e">
        <f t="shared" si="18"/>
        <v>#N/A</v>
      </c>
      <c r="BR8" s="238" t="e">
        <f t="shared" si="6"/>
        <v>#N/A</v>
      </c>
      <c r="BS8" s="238" t="e">
        <f t="shared" si="6"/>
        <v>#N/A</v>
      </c>
      <c r="BT8" s="238" t="e">
        <f t="shared" si="7"/>
        <v>#N/A</v>
      </c>
    </row>
    <row r="9" spans="2:94" x14ac:dyDescent="0.35">
      <c r="B9" s="161" t="str">
        <f>'Tratamento de Dados'!B17</f>
        <v>V-14</v>
      </c>
      <c r="C9" s="161" t="str">
        <f>'Tratamento de Dados'!D17</f>
        <v>Casco</v>
      </c>
      <c r="D9" s="161">
        <f>'Tratamento de Dados'!BX17</f>
        <v>0</v>
      </c>
      <c r="E9" s="161"/>
      <c r="F9" s="161">
        <f>'Tratamento de Dados'!S17</f>
        <v>2</v>
      </c>
      <c r="G9" s="209">
        <f>Thinning!E10</f>
        <v>10</v>
      </c>
      <c r="H9" s="210">
        <f>Thinning!F10</f>
        <v>43831</v>
      </c>
      <c r="I9" s="210">
        <f>Thinning!G10</f>
        <v>43833</v>
      </c>
      <c r="J9" s="210">
        <f>'Tratamento de Dados'!BZ17</f>
        <v>0</v>
      </c>
      <c r="K9" s="209">
        <f>'Tratamento de Dados'!CB17</f>
        <v>0</v>
      </c>
      <c r="L9" s="210">
        <f>'Tratamento de Dados'!CC17</f>
        <v>0</v>
      </c>
      <c r="M9" s="209">
        <f>'Tratamento de Dados'!CD17</f>
        <v>0</v>
      </c>
      <c r="N9" s="209">
        <f>'Tratamento de Dados'!CE17</f>
        <v>0</v>
      </c>
      <c r="O9" s="209"/>
      <c r="P9" s="209"/>
      <c r="Q9" s="209"/>
      <c r="R9" s="209"/>
      <c r="S9" s="209">
        <f>Thinning!N10</f>
        <v>2</v>
      </c>
      <c r="T9" s="218">
        <f>Thinning!O10</f>
        <v>0</v>
      </c>
      <c r="U9" s="218">
        <f>Thinning!T10</f>
        <v>0</v>
      </c>
      <c r="V9" s="209">
        <f>Thinning!R10</f>
        <v>1</v>
      </c>
      <c r="W9" s="209">
        <f>Thinning!P10</f>
        <v>10</v>
      </c>
      <c r="X9" s="209">
        <f>Thinning!Q10</f>
        <v>20</v>
      </c>
      <c r="Y9" s="219">
        <v>0</v>
      </c>
      <c r="Z9" s="219">
        <v>0</v>
      </c>
      <c r="AA9" s="219">
        <v>0</v>
      </c>
      <c r="AB9" s="219">
        <v>0</v>
      </c>
      <c r="AC9" s="225"/>
      <c r="AD9" s="247">
        <f t="shared" si="0"/>
        <v>5.4757015742642025E-3</v>
      </c>
      <c r="AE9" s="247">
        <f>IF(F9&gt;='Tables - Part 2'!$EY$13,'Tables - Part 2'!$EY$13,LOOKUP(F9,'Tables - Part 2'!$EY$5:$EY$13))</f>
        <v>-8</v>
      </c>
      <c r="AF9" s="247">
        <f>IF(F9&lt;='Tables - Part 2'!$EY$5,'Tables - Part 2'!$EY$5,IF(CUI_Ferritic!F9&lt;='Tables - Part 2'!$EY$6,'Tables - Part 2'!$EY$6,IF(CUI_Ferritic!F9&lt;='Tables - Part 2'!$EY$7,'Tables - Part 2'!$EY$7,IF(CUI_Ferritic!F9&lt;='Tables - Part 2'!$EY$8,'Tables - Part 2'!$EY$8,IF(CUI_Ferritic!F9&lt;='Tables - Part 2'!$EY$9,'Tables - Part 2'!$EY$9,IF(CUI_Ferritic!F9&lt;='Tables - Part 2'!$EY$10,'Tables - Part 2'!$EY$10,IF(CUI_Ferritic!F9&lt;='Tables - Part 2'!$EY$11,'Tables - Part 2'!$EY$11,IF(CUI_Ferritic!F9&gt;='Tables - Part 2'!$EY$11,'Tables - Part 2'!$EY$11,IF(CUI_Ferritic!F9&gt;='Tables - Part 2'!$EY$12,'Tables - Part 2'!$EY$12,IF(CUI_Ferritic!F9&gt;='Tables - Part 2'!$EY$13,'Tables - Part 2'!$EY$13))))))))))</f>
        <v>6</v>
      </c>
      <c r="AG9" s="256" t="e">
        <f>INDEX('Tables - Part 2'!$EZ$5:$FC$13,MATCH(CUI_Ferritic!AE9,'Tables - Part 2'!$EY$5:$EY$13,0),MATCH(CUI_Ferritic!N9,'Tables - Part 2'!$EZ$4:$FC$4,0))</f>
        <v>#N/A</v>
      </c>
      <c r="AH9" s="256" t="e">
        <f>INDEX('Tables - Part 2'!$EZ$5:$FC$13,MATCH(CUI_Ferritic!AF9,'Tables - Part 2'!$EY$5:$EY$13,0),MATCH(CUI_Ferritic!N9,'Tables - Part 2'!$EZ$4:$FC$4,0))</f>
        <v>#N/A</v>
      </c>
      <c r="AI9" s="256" t="e">
        <f>IF(F9&gt;'Tables - Part 2'!$EY$13,0,IF(AF9-AE9=0,INDEX('Tables - Part 2'!$EZ$5:$FC$13,MATCH(CUI_Ferritic!F9,'Tables - Part 2'!$EY$5:$EY$11,0),MATCH(CUI_Ferritic!N9,'Tables - Part 2'!$EZ$4:$FC$4,0)),((F9-AE9)*(AH9-AG9)/(AF9-AE9))+AG9))</f>
        <v>#N/A</v>
      </c>
      <c r="AJ9" s="256" t="e">
        <f t="shared" si="8"/>
        <v>#N/A</v>
      </c>
      <c r="AK9" s="248" t="e">
        <f>INDEX('Tables - Part 2'!$FF$4:$FF$10,MATCH(CUI_Ferritic!E9,'Tables - Part 2'!$FE$4:$FE$10,0))</f>
        <v>#N/A</v>
      </c>
      <c r="AL9" s="256">
        <f t="shared" si="1"/>
        <v>10</v>
      </c>
      <c r="AM9" s="496">
        <f t="shared" si="2"/>
        <v>5.4757015742642025E-3</v>
      </c>
      <c r="AN9" s="247">
        <f t="shared" si="9"/>
        <v>120.0082135523614</v>
      </c>
      <c r="AO9" s="247">
        <f t="shared" si="3"/>
        <v>0</v>
      </c>
      <c r="AP9" s="247">
        <f t="shared" si="4"/>
        <v>0</v>
      </c>
      <c r="AQ9" s="247">
        <f t="shared" si="10"/>
        <v>0</v>
      </c>
      <c r="AR9" s="247">
        <f t="shared" si="11"/>
        <v>5.4757015742642025E-3</v>
      </c>
      <c r="AS9" s="256" t="e">
        <f t="shared" si="12"/>
        <v>#N/A</v>
      </c>
      <c r="AT9" s="256">
        <f t="shared" si="13"/>
        <v>16.5</v>
      </c>
      <c r="AU9" s="256">
        <f>IF(OR(T9="",T9=0),(Thinning!AL10*Thinning!AM10)/(Thinning!AN10*CUI_Ferritic!AT9*CUI_Ferritic!AL9),(U9*V9*MIN(S9,T9))/(AT9*AL9))</f>
        <v>0</v>
      </c>
      <c r="AV9" s="238" t="e">
        <f>INDEX('Tables - Part 2'!$K$4:$M$4,,MATCH(AC9,'Tables - Part 2'!$K$3:$M$3,0))</f>
        <v>#N/A</v>
      </c>
      <c r="AW9" s="238" t="e">
        <f>INDEX('Tables - Part 2'!$K$5:$M$5,,MATCH(AC9,'Tables - Part 2'!$K$3:$M$3,0))</f>
        <v>#N/A</v>
      </c>
      <c r="AX9" s="238" t="e">
        <f>INDEX('Tables - Part 2'!$K$6:$M$6,,MATCH(AC9,'Tables - Part 2'!$K$3:$M$3,0))</f>
        <v>#N/A</v>
      </c>
      <c r="AY9" s="238">
        <v>0.9</v>
      </c>
      <c r="AZ9" s="238">
        <v>0.7</v>
      </c>
      <c r="BA9" s="238">
        <v>0.5</v>
      </c>
      <c r="BB9" s="238">
        <v>0.4</v>
      </c>
      <c r="BC9" s="238">
        <v>0.09</v>
      </c>
      <c r="BD9" s="238">
        <v>0.2</v>
      </c>
      <c r="BE9" s="238">
        <v>0.3</v>
      </c>
      <c r="BF9" s="238">
        <v>0.33</v>
      </c>
      <c r="BG9" s="238">
        <v>0.01</v>
      </c>
      <c r="BH9" s="238">
        <v>0.1</v>
      </c>
      <c r="BI9" s="238">
        <v>0.2</v>
      </c>
      <c r="BJ9" s="238">
        <v>0.27</v>
      </c>
      <c r="BK9" s="238" t="e">
        <f t="shared" si="14"/>
        <v>#N/A</v>
      </c>
      <c r="BL9" s="238" t="e">
        <f t="shared" si="15"/>
        <v>#N/A</v>
      </c>
      <c r="BM9" s="238" t="e">
        <f t="shared" si="16"/>
        <v>#N/A</v>
      </c>
      <c r="BN9" s="238" t="e">
        <f t="shared" si="17"/>
        <v>#N/A</v>
      </c>
      <c r="BO9" s="238" t="e">
        <f t="shared" si="5"/>
        <v>#N/A</v>
      </c>
      <c r="BP9" s="238" t="e">
        <f t="shared" si="5"/>
        <v>#N/A</v>
      </c>
      <c r="BQ9" s="238" t="e">
        <f t="shared" si="18"/>
        <v>#N/A</v>
      </c>
      <c r="BR9" s="238" t="e">
        <f t="shared" si="6"/>
        <v>#N/A</v>
      </c>
      <c r="BS9" s="238" t="e">
        <f t="shared" si="6"/>
        <v>#N/A</v>
      </c>
      <c r="BT9" s="238" t="e">
        <f t="shared" si="7"/>
        <v>#N/A</v>
      </c>
    </row>
    <row r="10" spans="2:94" x14ac:dyDescent="0.35">
      <c r="B10" s="161" t="str">
        <f>'Tratamento de Dados'!B18</f>
        <v>V-1</v>
      </c>
      <c r="C10" s="161" t="str">
        <f>'Tratamento de Dados'!D18</f>
        <v>Casco</v>
      </c>
      <c r="D10" s="161">
        <f>'Tratamento de Dados'!BX18</f>
        <v>0</v>
      </c>
      <c r="E10" s="161"/>
      <c r="F10" s="161">
        <f>'Tratamento de Dados'!S18</f>
        <v>2</v>
      </c>
      <c r="G10" s="209">
        <f>Thinning!E11</f>
        <v>10</v>
      </c>
      <c r="H10" s="210">
        <f>Thinning!F11</f>
        <v>43831</v>
      </c>
      <c r="I10" s="210">
        <f>Thinning!G11</f>
        <v>43833</v>
      </c>
      <c r="J10" s="210">
        <f>'Tratamento de Dados'!BZ18</f>
        <v>0</v>
      </c>
      <c r="K10" s="209">
        <f>'Tratamento de Dados'!CB18</f>
        <v>0</v>
      </c>
      <c r="L10" s="210">
        <f>'Tratamento de Dados'!CC18</f>
        <v>0</v>
      </c>
      <c r="M10" s="209">
        <f>'Tratamento de Dados'!CD18</f>
        <v>0</v>
      </c>
      <c r="N10" s="209">
        <f>'Tratamento de Dados'!CE18</f>
        <v>0</v>
      </c>
      <c r="O10" s="209"/>
      <c r="P10" s="209"/>
      <c r="Q10" s="209"/>
      <c r="R10" s="209"/>
      <c r="S10" s="209">
        <f>Thinning!N11</f>
        <v>2</v>
      </c>
      <c r="T10" s="218">
        <f>Thinning!O11</f>
        <v>0</v>
      </c>
      <c r="U10" s="218">
        <f>Thinning!T11</f>
        <v>0</v>
      </c>
      <c r="V10" s="209">
        <f>Thinning!R11</f>
        <v>1</v>
      </c>
      <c r="W10" s="209">
        <f>Thinning!P11</f>
        <v>10</v>
      </c>
      <c r="X10" s="209">
        <f>Thinning!Q11</f>
        <v>20</v>
      </c>
      <c r="Y10" s="219">
        <v>0</v>
      </c>
      <c r="Z10" s="219">
        <v>0</v>
      </c>
      <c r="AA10" s="219">
        <v>0</v>
      </c>
      <c r="AB10" s="219">
        <v>0</v>
      </c>
      <c r="AC10" s="225"/>
      <c r="AD10" s="247">
        <f t="shared" si="0"/>
        <v>5.4757015742642025E-3</v>
      </c>
      <c r="AE10" s="247">
        <f>IF(F10&gt;='Tables - Part 2'!$EY$13,'Tables - Part 2'!$EY$13,LOOKUP(F10,'Tables - Part 2'!$EY$5:$EY$13))</f>
        <v>-8</v>
      </c>
      <c r="AF10" s="247">
        <f>IF(F10&lt;='Tables - Part 2'!$EY$5,'Tables - Part 2'!$EY$5,IF(CUI_Ferritic!F10&lt;='Tables - Part 2'!$EY$6,'Tables - Part 2'!$EY$6,IF(CUI_Ferritic!F10&lt;='Tables - Part 2'!$EY$7,'Tables - Part 2'!$EY$7,IF(CUI_Ferritic!F10&lt;='Tables - Part 2'!$EY$8,'Tables - Part 2'!$EY$8,IF(CUI_Ferritic!F10&lt;='Tables - Part 2'!$EY$9,'Tables - Part 2'!$EY$9,IF(CUI_Ferritic!F10&lt;='Tables - Part 2'!$EY$10,'Tables - Part 2'!$EY$10,IF(CUI_Ferritic!F10&lt;='Tables - Part 2'!$EY$11,'Tables - Part 2'!$EY$11,IF(CUI_Ferritic!F10&gt;='Tables - Part 2'!$EY$11,'Tables - Part 2'!$EY$11,IF(CUI_Ferritic!F10&gt;='Tables - Part 2'!$EY$12,'Tables - Part 2'!$EY$12,IF(CUI_Ferritic!F10&gt;='Tables - Part 2'!$EY$13,'Tables - Part 2'!$EY$13))))))))))</f>
        <v>6</v>
      </c>
      <c r="AG10" s="256" t="e">
        <f>INDEX('Tables - Part 2'!$EZ$5:$FC$13,MATCH(CUI_Ferritic!AE10,'Tables - Part 2'!$EY$5:$EY$13,0),MATCH(CUI_Ferritic!N10,'Tables - Part 2'!$EZ$4:$FC$4,0))</f>
        <v>#N/A</v>
      </c>
      <c r="AH10" s="256" t="e">
        <f>INDEX('Tables - Part 2'!$EZ$5:$FC$13,MATCH(CUI_Ferritic!AF10,'Tables - Part 2'!$EY$5:$EY$13,0),MATCH(CUI_Ferritic!N10,'Tables - Part 2'!$EZ$4:$FC$4,0))</f>
        <v>#N/A</v>
      </c>
      <c r="AI10" s="256" t="e">
        <f>IF(F10&gt;'Tables - Part 2'!$EY$13,0,IF(AF10-AE10=0,INDEX('Tables - Part 2'!$EZ$5:$FC$13,MATCH(CUI_Ferritic!F10,'Tables - Part 2'!$EY$5:$EY$11,0),MATCH(CUI_Ferritic!N10,'Tables - Part 2'!$EZ$4:$FC$4,0)),((F10-AE10)*(AH10-AG10)/(AF10-AE10))+AG10))</f>
        <v>#N/A</v>
      </c>
      <c r="AJ10" s="256" t="e">
        <f t="shared" si="8"/>
        <v>#N/A</v>
      </c>
      <c r="AK10" s="248" t="e">
        <f>INDEX('Tables - Part 2'!$FF$4:$FF$10,MATCH(CUI_Ferritic!E10,'Tables - Part 2'!$FE$4:$FE$10,0))</f>
        <v>#N/A</v>
      </c>
      <c r="AL10" s="256">
        <f t="shared" si="1"/>
        <v>10</v>
      </c>
      <c r="AM10" s="496">
        <f t="shared" si="2"/>
        <v>5.4757015742642025E-3</v>
      </c>
      <c r="AN10" s="247">
        <f t="shared" si="9"/>
        <v>120.0082135523614</v>
      </c>
      <c r="AO10" s="247">
        <f t="shared" si="3"/>
        <v>0</v>
      </c>
      <c r="AP10" s="247">
        <f t="shared" si="4"/>
        <v>0</v>
      </c>
      <c r="AQ10" s="247">
        <f t="shared" si="10"/>
        <v>0</v>
      </c>
      <c r="AR10" s="247">
        <f t="shared" si="11"/>
        <v>5.4757015742642025E-3</v>
      </c>
      <c r="AS10" s="256" t="e">
        <f t="shared" si="12"/>
        <v>#N/A</v>
      </c>
      <c r="AT10" s="256">
        <f t="shared" si="13"/>
        <v>16.5</v>
      </c>
      <c r="AU10" s="256">
        <f>IF(OR(T10="",T10=0),(Thinning!AL11*Thinning!AM11)/(Thinning!AN11*CUI_Ferritic!AT10*CUI_Ferritic!AL10),(U10*V10*MIN(S10,T10))/(AT10*AL10))</f>
        <v>0</v>
      </c>
      <c r="AV10" s="238" t="e">
        <f>INDEX('Tables - Part 2'!$K$4:$M$4,,MATCH(AC10,'Tables - Part 2'!$K$3:$M$3,0))</f>
        <v>#N/A</v>
      </c>
      <c r="AW10" s="238" t="e">
        <f>INDEX('Tables - Part 2'!$K$5:$M$5,,MATCH(AC10,'Tables - Part 2'!$K$3:$M$3,0))</f>
        <v>#N/A</v>
      </c>
      <c r="AX10" s="238" t="e">
        <f>INDEX('Tables - Part 2'!$K$6:$M$6,,MATCH(AC10,'Tables - Part 2'!$K$3:$M$3,0))</f>
        <v>#N/A</v>
      </c>
      <c r="AY10" s="238">
        <v>0.9</v>
      </c>
      <c r="AZ10" s="238">
        <v>0.7</v>
      </c>
      <c r="BA10" s="238">
        <v>0.5</v>
      </c>
      <c r="BB10" s="238">
        <v>0.4</v>
      </c>
      <c r="BC10" s="238">
        <v>0.09</v>
      </c>
      <c r="BD10" s="238">
        <v>0.2</v>
      </c>
      <c r="BE10" s="238">
        <v>0.3</v>
      </c>
      <c r="BF10" s="238">
        <v>0.33</v>
      </c>
      <c r="BG10" s="238">
        <v>0.01</v>
      </c>
      <c r="BH10" s="238">
        <v>0.1</v>
      </c>
      <c r="BI10" s="238">
        <v>0.2</v>
      </c>
      <c r="BJ10" s="238">
        <v>0.27</v>
      </c>
      <c r="BK10" s="238" t="e">
        <f t="shared" si="14"/>
        <v>#N/A</v>
      </c>
      <c r="BL10" s="238" t="e">
        <f t="shared" si="15"/>
        <v>#N/A</v>
      </c>
      <c r="BM10" s="238" t="e">
        <f t="shared" si="16"/>
        <v>#N/A</v>
      </c>
      <c r="BN10" s="238" t="e">
        <f t="shared" si="17"/>
        <v>#N/A</v>
      </c>
      <c r="BO10" s="238" t="e">
        <f t="shared" si="5"/>
        <v>#N/A</v>
      </c>
      <c r="BP10" s="238" t="e">
        <f t="shared" si="5"/>
        <v>#N/A</v>
      </c>
      <c r="BQ10" s="238" t="e">
        <f t="shared" si="18"/>
        <v>#N/A</v>
      </c>
      <c r="BR10" s="238" t="e">
        <f t="shared" si="6"/>
        <v>#N/A</v>
      </c>
      <c r="BS10" s="238" t="e">
        <f t="shared" si="6"/>
        <v>#N/A</v>
      </c>
      <c r="BT10" s="238" t="e">
        <f t="shared" si="7"/>
        <v>#N/A</v>
      </c>
    </row>
    <row r="11" spans="2:94" x14ac:dyDescent="0.35">
      <c r="B11" s="161" t="str">
        <f>'Tratamento de Dados'!B19</f>
        <v>V-2</v>
      </c>
      <c r="C11" s="161" t="str">
        <f>'Tratamento de Dados'!D19</f>
        <v>Casco</v>
      </c>
      <c r="D11" s="161">
        <f>'Tratamento de Dados'!BX19</f>
        <v>0</v>
      </c>
      <c r="E11" s="161"/>
      <c r="F11" s="161">
        <f>'Tratamento de Dados'!S19</f>
        <v>2</v>
      </c>
      <c r="G11" s="209">
        <f>Thinning!E12</f>
        <v>10</v>
      </c>
      <c r="H11" s="210">
        <f>Thinning!F12</f>
        <v>43831</v>
      </c>
      <c r="I11" s="210">
        <f>Thinning!G12</f>
        <v>43833</v>
      </c>
      <c r="J11" s="210">
        <f>'Tratamento de Dados'!BZ19</f>
        <v>0</v>
      </c>
      <c r="K11" s="209">
        <f>'Tratamento de Dados'!CB19</f>
        <v>0</v>
      </c>
      <c r="L11" s="210">
        <f>'Tratamento de Dados'!CC19</f>
        <v>0</v>
      </c>
      <c r="M11" s="209">
        <f>'Tratamento de Dados'!CD19</f>
        <v>0</v>
      </c>
      <c r="N11" s="209">
        <f>'Tratamento de Dados'!CE19</f>
        <v>0</v>
      </c>
      <c r="O11" s="209"/>
      <c r="P11" s="209"/>
      <c r="Q11" s="209"/>
      <c r="R11" s="209"/>
      <c r="S11" s="209">
        <f>Thinning!N12</f>
        <v>2</v>
      </c>
      <c r="T11" s="218">
        <f>Thinning!O12</f>
        <v>0</v>
      </c>
      <c r="U11" s="218">
        <f>Thinning!T12</f>
        <v>0</v>
      </c>
      <c r="V11" s="209">
        <f>Thinning!R12</f>
        <v>1</v>
      </c>
      <c r="W11" s="209">
        <f>Thinning!P12</f>
        <v>10</v>
      </c>
      <c r="X11" s="209">
        <f>Thinning!Q12</f>
        <v>20</v>
      </c>
      <c r="Y11" s="219">
        <v>0</v>
      </c>
      <c r="Z11" s="219">
        <v>0</v>
      </c>
      <c r="AA11" s="219">
        <v>0</v>
      </c>
      <c r="AB11" s="219">
        <v>0</v>
      </c>
      <c r="AC11" s="225"/>
      <c r="AD11" s="247">
        <f t="shared" si="0"/>
        <v>5.4757015742642025E-3</v>
      </c>
      <c r="AE11" s="247">
        <f>IF(F11&gt;='Tables - Part 2'!$EY$13,'Tables - Part 2'!$EY$13,LOOKUP(F11,'Tables - Part 2'!$EY$5:$EY$13))</f>
        <v>-8</v>
      </c>
      <c r="AF11" s="247">
        <f>IF(F11&lt;='Tables - Part 2'!$EY$5,'Tables - Part 2'!$EY$5,IF(CUI_Ferritic!F11&lt;='Tables - Part 2'!$EY$6,'Tables - Part 2'!$EY$6,IF(CUI_Ferritic!F11&lt;='Tables - Part 2'!$EY$7,'Tables - Part 2'!$EY$7,IF(CUI_Ferritic!F11&lt;='Tables - Part 2'!$EY$8,'Tables - Part 2'!$EY$8,IF(CUI_Ferritic!F11&lt;='Tables - Part 2'!$EY$9,'Tables - Part 2'!$EY$9,IF(CUI_Ferritic!F11&lt;='Tables - Part 2'!$EY$10,'Tables - Part 2'!$EY$10,IF(CUI_Ferritic!F11&lt;='Tables - Part 2'!$EY$11,'Tables - Part 2'!$EY$11,IF(CUI_Ferritic!F11&gt;='Tables - Part 2'!$EY$11,'Tables - Part 2'!$EY$11,IF(CUI_Ferritic!F11&gt;='Tables - Part 2'!$EY$12,'Tables - Part 2'!$EY$12,IF(CUI_Ferritic!F11&gt;='Tables - Part 2'!$EY$13,'Tables - Part 2'!$EY$13))))))))))</f>
        <v>6</v>
      </c>
      <c r="AG11" s="256" t="e">
        <f>INDEX('Tables - Part 2'!$EZ$5:$FC$13,MATCH(CUI_Ferritic!AE11,'Tables - Part 2'!$EY$5:$EY$13,0),MATCH(CUI_Ferritic!N11,'Tables - Part 2'!$EZ$4:$FC$4,0))</f>
        <v>#N/A</v>
      </c>
      <c r="AH11" s="256" t="e">
        <f>INDEX('Tables - Part 2'!$EZ$5:$FC$13,MATCH(CUI_Ferritic!AF11,'Tables - Part 2'!$EY$5:$EY$13,0),MATCH(CUI_Ferritic!N11,'Tables - Part 2'!$EZ$4:$FC$4,0))</f>
        <v>#N/A</v>
      </c>
      <c r="AI11" s="256" t="e">
        <f>IF(F11&gt;'Tables - Part 2'!$EY$13,0,IF(AF11-AE11=0,INDEX('Tables - Part 2'!$EZ$5:$FC$13,MATCH(CUI_Ferritic!F11,'Tables - Part 2'!$EY$5:$EY$11,0),MATCH(CUI_Ferritic!N11,'Tables - Part 2'!$EZ$4:$FC$4,0)),((F11-AE11)*(AH11-AG11)/(AF11-AE11))+AG11))</f>
        <v>#N/A</v>
      </c>
      <c r="AJ11" s="256" t="e">
        <f t="shared" si="8"/>
        <v>#N/A</v>
      </c>
      <c r="AK11" s="248" t="e">
        <f>INDEX('Tables - Part 2'!$FF$4:$FF$10,MATCH(CUI_Ferritic!E11,'Tables - Part 2'!$FE$4:$FE$10,0))</f>
        <v>#N/A</v>
      </c>
      <c r="AL11" s="256">
        <f t="shared" si="1"/>
        <v>10</v>
      </c>
      <c r="AM11" s="496">
        <f t="shared" si="2"/>
        <v>5.4757015742642025E-3</v>
      </c>
      <c r="AN11" s="247">
        <f t="shared" si="9"/>
        <v>120.0082135523614</v>
      </c>
      <c r="AO11" s="247">
        <f t="shared" si="3"/>
        <v>0</v>
      </c>
      <c r="AP11" s="247">
        <f t="shared" si="4"/>
        <v>0</v>
      </c>
      <c r="AQ11" s="247">
        <f t="shared" si="10"/>
        <v>0</v>
      </c>
      <c r="AR11" s="247">
        <f t="shared" si="11"/>
        <v>5.4757015742642025E-3</v>
      </c>
      <c r="AS11" s="256" t="e">
        <f t="shared" si="12"/>
        <v>#N/A</v>
      </c>
      <c r="AT11" s="256">
        <f t="shared" si="13"/>
        <v>16.5</v>
      </c>
      <c r="AU11" s="256">
        <f>IF(OR(T11="",T11=0),(Thinning!AL12*Thinning!AM12)/(Thinning!AN12*CUI_Ferritic!AT11*CUI_Ferritic!AL11),(U11*V11*MIN(S11,T11))/(AT11*AL11))</f>
        <v>0</v>
      </c>
      <c r="AV11" s="238" t="e">
        <f>INDEX('Tables - Part 2'!$K$4:$M$4,,MATCH(AC11,'Tables - Part 2'!$K$3:$M$3,0))</f>
        <v>#N/A</v>
      </c>
      <c r="AW11" s="238" t="e">
        <f>INDEX('Tables - Part 2'!$K$5:$M$5,,MATCH(AC11,'Tables - Part 2'!$K$3:$M$3,0))</f>
        <v>#N/A</v>
      </c>
      <c r="AX11" s="238" t="e">
        <f>INDEX('Tables - Part 2'!$K$6:$M$6,,MATCH(AC11,'Tables - Part 2'!$K$3:$M$3,0))</f>
        <v>#N/A</v>
      </c>
      <c r="AY11" s="238">
        <v>0.9</v>
      </c>
      <c r="AZ11" s="238">
        <v>0.7</v>
      </c>
      <c r="BA11" s="238">
        <v>0.5</v>
      </c>
      <c r="BB11" s="238">
        <v>0.4</v>
      </c>
      <c r="BC11" s="238">
        <v>0.09</v>
      </c>
      <c r="BD11" s="238">
        <v>0.2</v>
      </c>
      <c r="BE11" s="238">
        <v>0.3</v>
      </c>
      <c r="BF11" s="238">
        <v>0.33</v>
      </c>
      <c r="BG11" s="238">
        <v>0.01</v>
      </c>
      <c r="BH11" s="238">
        <v>0.1</v>
      </c>
      <c r="BI11" s="238">
        <v>0.2</v>
      </c>
      <c r="BJ11" s="238">
        <v>0.27</v>
      </c>
      <c r="BK11" s="238" t="e">
        <f t="shared" si="14"/>
        <v>#N/A</v>
      </c>
      <c r="BL11" s="238" t="e">
        <f t="shared" si="15"/>
        <v>#N/A</v>
      </c>
      <c r="BM11" s="238" t="e">
        <f t="shared" si="16"/>
        <v>#N/A</v>
      </c>
      <c r="BN11" s="238" t="e">
        <f t="shared" si="17"/>
        <v>#N/A</v>
      </c>
      <c r="BO11" s="238" t="e">
        <f t="shared" si="5"/>
        <v>#N/A</v>
      </c>
      <c r="BP11" s="238" t="e">
        <f t="shared" si="5"/>
        <v>#N/A</v>
      </c>
      <c r="BQ11" s="238" t="e">
        <f t="shared" si="18"/>
        <v>#N/A</v>
      </c>
      <c r="BR11" s="238" t="e">
        <f t="shared" si="6"/>
        <v>#N/A</v>
      </c>
      <c r="BS11" s="238" t="e">
        <f t="shared" si="6"/>
        <v>#N/A</v>
      </c>
      <c r="BT11" s="238" t="e">
        <f t="shared" si="7"/>
        <v>#N/A</v>
      </c>
    </row>
    <row r="12" spans="2:94" x14ac:dyDescent="0.35">
      <c r="B12" s="161" t="str">
        <f>'Tratamento de Dados'!B20</f>
        <v>V-3</v>
      </c>
      <c r="C12" s="161" t="str">
        <f>'Tratamento de Dados'!D20</f>
        <v>Casco</v>
      </c>
      <c r="D12" s="161">
        <f>'Tratamento de Dados'!BX20</f>
        <v>0</v>
      </c>
      <c r="E12" s="161"/>
      <c r="F12" s="161">
        <f>'Tratamento de Dados'!S20</f>
        <v>2</v>
      </c>
      <c r="G12" s="209">
        <f>Thinning!E13</f>
        <v>10</v>
      </c>
      <c r="H12" s="210">
        <f>Thinning!F13</f>
        <v>43831</v>
      </c>
      <c r="I12" s="210">
        <f>Thinning!G13</f>
        <v>43833</v>
      </c>
      <c r="J12" s="210">
        <f>'Tratamento de Dados'!BZ20</f>
        <v>0</v>
      </c>
      <c r="K12" s="209">
        <f>'Tratamento de Dados'!CB20</f>
        <v>0</v>
      </c>
      <c r="L12" s="210">
        <f>'Tratamento de Dados'!CC20</f>
        <v>0</v>
      </c>
      <c r="M12" s="209">
        <f>'Tratamento de Dados'!CD20</f>
        <v>0</v>
      </c>
      <c r="N12" s="209">
        <f>'Tratamento de Dados'!CE20</f>
        <v>0</v>
      </c>
      <c r="O12" s="209"/>
      <c r="P12" s="209"/>
      <c r="Q12" s="209"/>
      <c r="R12" s="209"/>
      <c r="S12" s="209">
        <f>Thinning!N13</f>
        <v>2</v>
      </c>
      <c r="T12" s="218">
        <f>Thinning!O13</f>
        <v>0</v>
      </c>
      <c r="U12" s="218">
        <f>Thinning!T13</f>
        <v>0</v>
      </c>
      <c r="V12" s="209">
        <f>Thinning!R13</f>
        <v>1</v>
      </c>
      <c r="W12" s="209">
        <f>Thinning!P13</f>
        <v>10</v>
      </c>
      <c r="X12" s="209">
        <f>Thinning!Q13</f>
        <v>20</v>
      </c>
      <c r="Y12" s="219">
        <v>0</v>
      </c>
      <c r="Z12" s="219">
        <v>0</v>
      </c>
      <c r="AA12" s="219">
        <v>0</v>
      </c>
      <c r="AB12" s="219">
        <v>0</v>
      </c>
      <c r="AC12" s="225"/>
      <c r="AD12" s="247">
        <f t="shared" si="0"/>
        <v>5.4757015742642025E-3</v>
      </c>
      <c r="AE12" s="247">
        <f>IF(F12&gt;='Tables - Part 2'!$EY$13,'Tables - Part 2'!$EY$13,LOOKUP(F12,'Tables - Part 2'!$EY$5:$EY$13))</f>
        <v>-8</v>
      </c>
      <c r="AF12" s="247">
        <f>IF(F12&lt;='Tables - Part 2'!$EY$5,'Tables - Part 2'!$EY$5,IF(CUI_Ferritic!F12&lt;='Tables - Part 2'!$EY$6,'Tables - Part 2'!$EY$6,IF(CUI_Ferritic!F12&lt;='Tables - Part 2'!$EY$7,'Tables - Part 2'!$EY$7,IF(CUI_Ferritic!F12&lt;='Tables - Part 2'!$EY$8,'Tables - Part 2'!$EY$8,IF(CUI_Ferritic!F12&lt;='Tables - Part 2'!$EY$9,'Tables - Part 2'!$EY$9,IF(CUI_Ferritic!F12&lt;='Tables - Part 2'!$EY$10,'Tables - Part 2'!$EY$10,IF(CUI_Ferritic!F12&lt;='Tables - Part 2'!$EY$11,'Tables - Part 2'!$EY$11,IF(CUI_Ferritic!F12&gt;='Tables - Part 2'!$EY$11,'Tables - Part 2'!$EY$11,IF(CUI_Ferritic!F12&gt;='Tables - Part 2'!$EY$12,'Tables - Part 2'!$EY$12,IF(CUI_Ferritic!F12&gt;='Tables - Part 2'!$EY$13,'Tables - Part 2'!$EY$13))))))))))</f>
        <v>6</v>
      </c>
      <c r="AG12" s="256" t="e">
        <f>INDEX('Tables - Part 2'!$EZ$5:$FC$13,MATCH(CUI_Ferritic!AE12,'Tables - Part 2'!$EY$5:$EY$13,0),MATCH(CUI_Ferritic!N12,'Tables - Part 2'!$EZ$4:$FC$4,0))</f>
        <v>#N/A</v>
      </c>
      <c r="AH12" s="256" t="e">
        <f>INDEX('Tables - Part 2'!$EZ$5:$FC$13,MATCH(CUI_Ferritic!AF12,'Tables - Part 2'!$EY$5:$EY$13,0),MATCH(CUI_Ferritic!N12,'Tables - Part 2'!$EZ$4:$FC$4,0))</f>
        <v>#N/A</v>
      </c>
      <c r="AI12" s="256" t="e">
        <f>IF(F12&gt;'Tables - Part 2'!$EY$13,0,IF(AF12-AE12=0,INDEX('Tables - Part 2'!$EZ$5:$FC$13,MATCH(CUI_Ferritic!F12,'Tables - Part 2'!$EY$5:$EY$11,0),MATCH(CUI_Ferritic!N12,'Tables - Part 2'!$EZ$4:$FC$4,0)),((F12-AE12)*(AH12-AG12)/(AF12-AE12))+AG12))</f>
        <v>#N/A</v>
      </c>
      <c r="AJ12" s="256" t="e">
        <f t="shared" si="8"/>
        <v>#N/A</v>
      </c>
      <c r="AK12" s="248" t="e">
        <f>INDEX('Tables - Part 2'!$FF$4:$FF$10,MATCH(CUI_Ferritic!E12,'Tables - Part 2'!$FE$4:$FE$10,0))</f>
        <v>#N/A</v>
      </c>
      <c r="AL12" s="256">
        <f t="shared" si="1"/>
        <v>10</v>
      </c>
      <c r="AM12" s="496">
        <f t="shared" si="2"/>
        <v>5.4757015742642025E-3</v>
      </c>
      <c r="AN12" s="247">
        <f t="shared" si="9"/>
        <v>120.0082135523614</v>
      </c>
      <c r="AO12" s="247">
        <f t="shared" si="3"/>
        <v>0</v>
      </c>
      <c r="AP12" s="247">
        <f t="shared" si="4"/>
        <v>0</v>
      </c>
      <c r="AQ12" s="247">
        <f t="shared" si="10"/>
        <v>0</v>
      </c>
      <c r="AR12" s="247">
        <f t="shared" si="11"/>
        <v>5.4757015742642025E-3</v>
      </c>
      <c r="AS12" s="256" t="e">
        <f t="shared" si="12"/>
        <v>#N/A</v>
      </c>
      <c r="AT12" s="256">
        <f t="shared" si="13"/>
        <v>16.5</v>
      </c>
      <c r="AU12" s="256">
        <f>IF(OR(T12="",T12=0),(Thinning!AL13*Thinning!AM13)/(Thinning!AN13*CUI_Ferritic!AT12*CUI_Ferritic!AL12),(U12*V12*MIN(S12,T12))/(AT12*AL12))</f>
        <v>0</v>
      </c>
      <c r="AV12" s="238" t="e">
        <f>INDEX('Tables - Part 2'!$K$4:$M$4,,MATCH(AC12,'Tables - Part 2'!$K$3:$M$3,0))</f>
        <v>#N/A</v>
      </c>
      <c r="AW12" s="238" t="e">
        <f>INDEX('Tables - Part 2'!$K$5:$M$5,,MATCH(AC12,'Tables - Part 2'!$K$3:$M$3,0))</f>
        <v>#N/A</v>
      </c>
      <c r="AX12" s="238" t="e">
        <f>INDEX('Tables - Part 2'!$K$6:$M$6,,MATCH(AC12,'Tables - Part 2'!$K$3:$M$3,0))</f>
        <v>#N/A</v>
      </c>
      <c r="AY12" s="238">
        <v>0.9</v>
      </c>
      <c r="AZ12" s="238">
        <v>0.7</v>
      </c>
      <c r="BA12" s="238">
        <v>0.5</v>
      </c>
      <c r="BB12" s="238">
        <v>0.4</v>
      </c>
      <c r="BC12" s="238">
        <v>0.09</v>
      </c>
      <c r="BD12" s="238">
        <v>0.2</v>
      </c>
      <c r="BE12" s="238">
        <v>0.3</v>
      </c>
      <c r="BF12" s="238">
        <v>0.33</v>
      </c>
      <c r="BG12" s="238">
        <v>0.01</v>
      </c>
      <c r="BH12" s="238">
        <v>0.1</v>
      </c>
      <c r="BI12" s="238">
        <v>0.2</v>
      </c>
      <c r="BJ12" s="238">
        <v>0.27</v>
      </c>
      <c r="BK12" s="238" t="e">
        <f t="shared" si="14"/>
        <v>#N/A</v>
      </c>
      <c r="BL12" s="238" t="e">
        <f t="shared" si="15"/>
        <v>#N/A</v>
      </c>
      <c r="BM12" s="238" t="e">
        <f t="shared" si="16"/>
        <v>#N/A</v>
      </c>
      <c r="BN12" s="238" t="e">
        <f t="shared" si="17"/>
        <v>#N/A</v>
      </c>
      <c r="BO12" s="238" t="e">
        <f t="shared" si="5"/>
        <v>#N/A</v>
      </c>
      <c r="BP12" s="238" t="e">
        <f t="shared" si="5"/>
        <v>#N/A</v>
      </c>
      <c r="BQ12" s="238" t="e">
        <f t="shared" si="18"/>
        <v>#N/A</v>
      </c>
      <c r="BR12" s="238" t="e">
        <f t="shared" si="6"/>
        <v>#N/A</v>
      </c>
      <c r="BS12" s="238" t="e">
        <f t="shared" si="6"/>
        <v>#N/A</v>
      </c>
      <c r="BT12" s="238" t="e">
        <f t="shared" si="7"/>
        <v>#N/A</v>
      </c>
    </row>
    <row r="13" spans="2:94" x14ac:dyDescent="0.35">
      <c r="B13" s="161" t="str">
        <f>'Tratamento de Dados'!B21</f>
        <v>V-4</v>
      </c>
      <c r="C13" s="161" t="str">
        <f>'Tratamento de Dados'!D21</f>
        <v>Casco</v>
      </c>
      <c r="D13" s="161">
        <f>'Tratamento de Dados'!BX21</f>
        <v>0</v>
      </c>
      <c r="E13" s="161"/>
      <c r="F13" s="161">
        <f>'Tratamento de Dados'!S21</f>
        <v>2</v>
      </c>
      <c r="G13" s="209">
        <f>Thinning!E14</f>
        <v>10</v>
      </c>
      <c r="H13" s="210">
        <f>Thinning!F14</f>
        <v>43831</v>
      </c>
      <c r="I13" s="210">
        <f>Thinning!G14</f>
        <v>43833</v>
      </c>
      <c r="J13" s="210">
        <f>'Tratamento de Dados'!BZ21</f>
        <v>0</v>
      </c>
      <c r="K13" s="209">
        <f>'Tratamento de Dados'!CB21</f>
        <v>0</v>
      </c>
      <c r="L13" s="210">
        <f>'Tratamento de Dados'!CC21</f>
        <v>0</v>
      </c>
      <c r="M13" s="209">
        <f>'Tratamento de Dados'!CD21</f>
        <v>0</v>
      </c>
      <c r="N13" s="209">
        <f>'Tratamento de Dados'!CE21</f>
        <v>0</v>
      </c>
      <c r="O13" s="209"/>
      <c r="P13" s="209"/>
      <c r="Q13" s="209"/>
      <c r="R13" s="209"/>
      <c r="S13" s="209">
        <f>Thinning!N14</f>
        <v>2</v>
      </c>
      <c r="T13" s="218">
        <f>Thinning!O14</f>
        <v>0</v>
      </c>
      <c r="U13" s="218">
        <f>Thinning!T14</f>
        <v>0</v>
      </c>
      <c r="V13" s="209">
        <f>Thinning!R14</f>
        <v>1</v>
      </c>
      <c r="W13" s="209">
        <f>Thinning!P14</f>
        <v>10</v>
      </c>
      <c r="X13" s="209">
        <f>Thinning!Q14</f>
        <v>20</v>
      </c>
      <c r="Y13" s="219">
        <v>0</v>
      </c>
      <c r="Z13" s="219">
        <v>0</v>
      </c>
      <c r="AA13" s="219">
        <v>0</v>
      </c>
      <c r="AB13" s="219">
        <v>0</v>
      </c>
      <c r="AC13" s="225"/>
      <c r="AD13" s="247">
        <f t="shared" si="0"/>
        <v>5.4757015742642025E-3</v>
      </c>
      <c r="AE13" s="247">
        <f>IF(F13&gt;='Tables - Part 2'!$EY$13,'Tables - Part 2'!$EY$13,LOOKUP(F13,'Tables - Part 2'!$EY$5:$EY$13))</f>
        <v>-8</v>
      </c>
      <c r="AF13" s="247">
        <f>IF(F13&lt;='Tables - Part 2'!$EY$5,'Tables - Part 2'!$EY$5,IF(CUI_Ferritic!F13&lt;='Tables - Part 2'!$EY$6,'Tables - Part 2'!$EY$6,IF(CUI_Ferritic!F13&lt;='Tables - Part 2'!$EY$7,'Tables - Part 2'!$EY$7,IF(CUI_Ferritic!F13&lt;='Tables - Part 2'!$EY$8,'Tables - Part 2'!$EY$8,IF(CUI_Ferritic!F13&lt;='Tables - Part 2'!$EY$9,'Tables - Part 2'!$EY$9,IF(CUI_Ferritic!F13&lt;='Tables - Part 2'!$EY$10,'Tables - Part 2'!$EY$10,IF(CUI_Ferritic!F13&lt;='Tables - Part 2'!$EY$11,'Tables - Part 2'!$EY$11,IF(CUI_Ferritic!F13&gt;='Tables - Part 2'!$EY$11,'Tables - Part 2'!$EY$11,IF(CUI_Ferritic!F13&gt;='Tables - Part 2'!$EY$12,'Tables - Part 2'!$EY$12,IF(CUI_Ferritic!F13&gt;='Tables - Part 2'!$EY$13,'Tables - Part 2'!$EY$13))))))))))</f>
        <v>6</v>
      </c>
      <c r="AG13" s="256" t="e">
        <f>INDEX('Tables - Part 2'!$EZ$5:$FC$13,MATCH(CUI_Ferritic!AE13,'Tables - Part 2'!$EY$5:$EY$13,0),MATCH(CUI_Ferritic!N13,'Tables - Part 2'!$EZ$4:$FC$4,0))</f>
        <v>#N/A</v>
      </c>
      <c r="AH13" s="256" t="e">
        <f>INDEX('Tables - Part 2'!$EZ$5:$FC$13,MATCH(CUI_Ferritic!AF13,'Tables - Part 2'!$EY$5:$EY$13,0),MATCH(CUI_Ferritic!N13,'Tables - Part 2'!$EZ$4:$FC$4,0))</f>
        <v>#N/A</v>
      </c>
      <c r="AI13" s="256" t="e">
        <f>IF(F13&gt;'Tables - Part 2'!$EY$13,0,IF(AF13-AE13=0,INDEX('Tables - Part 2'!$EZ$5:$FC$13,MATCH(CUI_Ferritic!F13,'Tables - Part 2'!$EY$5:$EY$11,0),MATCH(CUI_Ferritic!N13,'Tables - Part 2'!$EZ$4:$FC$4,0)),((F13-AE13)*(AH13-AG13)/(AF13-AE13))+AG13))</f>
        <v>#N/A</v>
      </c>
      <c r="AJ13" s="256" t="e">
        <f t="shared" si="8"/>
        <v>#N/A</v>
      </c>
      <c r="AK13" s="248" t="e">
        <f>INDEX('Tables - Part 2'!$FF$4:$FF$10,MATCH(CUI_Ferritic!E13,'Tables - Part 2'!$FE$4:$FE$10,0))</f>
        <v>#N/A</v>
      </c>
      <c r="AL13" s="256">
        <f t="shared" si="1"/>
        <v>10</v>
      </c>
      <c r="AM13" s="496">
        <f t="shared" si="2"/>
        <v>5.4757015742642025E-3</v>
      </c>
      <c r="AN13" s="247">
        <f t="shared" si="9"/>
        <v>120.0082135523614</v>
      </c>
      <c r="AO13" s="247">
        <f t="shared" si="3"/>
        <v>0</v>
      </c>
      <c r="AP13" s="247">
        <f t="shared" si="4"/>
        <v>0</v>
      </c>
      <c r="AQ13" s="247">
        <f t="shared" si="10"/>
        <v>0</v>
      </c>
      <c r="AR13" s="247">
        <f t="shared" si="11"/>
        <v>5.4757015742642025E-3</v>
      </c>
      <c r="AS13" s="256" t="e">
        <f t="shared" si="12"/>
        <v>#N/A</v>
      </c>
      <c r="AT13" s="256">
        <f t="shared" si="13"/>
        <v>16.5</v>
      </c>
      <c r="AU13" s="256">
        <f>IF(OR(T13="",T13=0),(Thinning!AL14*Thinning!AM14)/(Thinning!AN14*CUI_Ferritic!AT13*CUI_Ferritic!AL13),(U13*V13*MIN(S13,T13))/(AT13*AL13))</f>
        <v>0</v>
      </c>
      <c r="AV13" s="238" t="e">
        <f>INDEX('Tables - Part 2'!$K$4:$M$4,,MATCH(AC13,'Tables - Part 2'!$K$3:$M$3,0))</f>
        <v>#N/A</v>
      </c>
      <c r="AW13" s="238" t="e">
        <f>INDEX('Tables - Part 2'!$K$5:$M$5,,MATCH(AC13,'Tables - Part 2'!$K$3:$M$3,0))</f>
        <v>#N/A</v>
      </c>
      <c r="AX13" s="238" t="e">
        <f>INDEX('Tables - Part 2'!$K$6:$M$6,,MATCH(AC13,'Tables - Part 2'!$K$3:$M$3,0))</f>
        <v>#N/A</v>
      </c>
      <c r="AY13" s="238">
        <v>0.9</v>
      </c>
      <c r="AZ13" s="238">
        <v>0.7</v>
      </c>
      <c r="BA13" s="238">
        <v>0.5</v>
      </c>
      <c r="BB13" s="238">
        <v>0.4</v>
      </c>
      <c r="BC13" s="238">
        <v>0.09</v>
      </c>
      <c r="BD13" s="238">
        <v>0.2</v>
      </c>
      <c r="BE13" s="238">
        <v>0.3</v>
      </c>
      <c r="BF13" s="238">
        <v>0.33</v>
      </c>
      <c r="BG13" s="238">
        <v>0.01</v>
      </c>
      <c r="BH13" s="238">
        <v>0.1</v>
      </c>
      <c r="BI13" s="238">
        <v>0.2</v>
      </c>
      <c r="BJ13" s="238">
        <v>0.27</v>
      </c>
      <c r="BK13" s="238" t="e">
        <f t="shared" si="14"/>
        <v>#N/A</v>
      </c>
      <c r="BL13" s="238" t="e">
        <f t="shared" si="15"/>
        <v>#N/A</v>
      </c>
      <c r="BM13" s="238" t="e">
        <f t="shared" si="16"/>
        <v>#N/A</v>
      </c>
      <c r="BN13" s="238" t="e">
        <f t="shared" si="17"/>
        <v>#N/A</v>
      </c>
      <c r="BO13" s="238" t="e">
        <f t="shared" si="5"/>
        <v>#N/A</v>
      </c>
      <c r="BP13" s="238" t="e">
        <f t="shared" si="5"/>
        <v>#N/A</v>
      </c>
      <c r="BQ13" s="238" t="e">
        <f t="shared" si="18"/>
        <v>#N/A</v>
      </c>
      <c r="BR13" s="238" t="e">
        <f t="shared" si="6"/>
        <v>#N/A</v>
      </c>
      <c r="BS13" s="238" t="e">
        <f t="shared" si="6"/>
        <v>#N/A</v>
      </c>
      <c r="BT13" s="238" t="e">
        <f t="shared" si="7"/>
        <v>#N/A</v>
      </c>
    </row>
    <row r="14" spans="2:94" x14ac:dyDescent="0.35">
      <c r="B14" s="161" t="str">
        <f>'Tratamento de Dados'!B22</f>
        <v>V-50</v>
      </c>
      <c r="C14" s="161" t="str">
        <f>'Tratamento de Dados'!D22</f>
        <v>Casco</v>
      </c>
      <c r="D14" s="161">
        <f>'Tratamento de Dados'!BX22</f>
        <v>0</v>
      </c>
      <c r="E14" s="161"/>
      <c r="F14" s="161">
        <f>'Tratamento de Dados'!S22</f>
        <v>2</v>
      </c>
      <c r="G14" s="209">
        <f>Thinning!E15</f>
        <v>10</v>
      </c>
      <c r="H14" s="210">
        <f>Thinning!F15</f>
        <v>43831</v>
      </c>
      <c r="I14" s="210">
        <f>Thinning!G15</f>
        <v>43833</v>
      </c>
      <c r="J14" s="210">
        <f>'Tratamento de Dados'!BZ22</f>
        <v>0</v>
      </c>
      <c r="K14" s="209">
        <f>'Tratamento de Dados'!CB22</f>
        <v>0</v>
      </c>
      <c r="L14" s="210">
        <f>'Tratamento de Dados'!CC22</f>
        <v>0</v>
      </c>
      <c r="M14" s="209">
        <f>'Tratamento de Dados'!CD22</f>
        <v>0</v>
      </c>
      <c r="N14" s="209">
        <f>'Tratamento de Dados'!CE22</f>
        <v>0</v>
      </c>
      <c r="O14" s="209"/>
      <c r="P14" s="209"/>
      <c r="Q14" s="209"/>
      <c r="R14" s="209"/>
      <c r="S14" s="209">
        <f>Thinning!N15</f>
        <v>2</v>
      </c>
      <c r="T14" s="218">
        <f>Thinning!O15</f>
        <v>0</v>
      </c>
      <c r="U14" s="218">
        <f>Thinning!T15</f>
        <v>0</v>
      </c>
      <c r="V14" s="209">
        <f>Thinning!R15</f>
        <v>1</v>
      </c>
      <c r="W14" s="209">
        <f>Thinning!P15</f>
        <v>10</v>
      </c>
      <c r="X14" s="209">
        <f>Thinning!Q15</f>
        <v>20</v>
      </c>
      <c r="Y14" s="219">
        <v>0</v>
      </c>
      <c r="Z14" s="219">
        <v>0</v>
      </c>
      <c r="AA14" s="219">
        <v>0</v>
      </c>
      <c r="AB14" s="219">
        <v>0</v>
      </c>
      <c r="AC14" s="225"/>
      <c r="AD14" s="247">
        <f t="shared" si="0"/>
        <v>5.4757015742642025E-3</v>
      </c>
      <c r="AE14" s="247">
        <f>IF(F14&gt;='Tables - Part 2'!$EY$13,'Tables - Part 2'!$EY$13,LOOKUP(F14,'Tables - Part 2'!$EY$5:$EY$13))</f>
        <v>-8</v>
      </c>
      <c r="AF14" s="247">
        <f>IF(F14&lt;='Tables - Part 2'!$EY$5,'Tables - Part 2'!$EY$5,IF(CUI_Ferritic!F14&lt;='Tables - Part 2'!$EY$6,'Tables - Part 2'!$EY$6,IF(CUI_Ferritic!F14&lt;='Tables - Part 2'!$EY$7,'Tables - Part 2'!$EY$7,IF(CUI_Ferritic!F14&lt;='Tables - Part 2'!$EY$8,'Tables - Part 2'!$EY$8,IF(CUI_Ferritic!F14&lt;='Tables - Part 2'!$EY$9,'Tables - Part 2'!$EY$9,IF(CUI_Ferritic!F14&lt;='Tables - Part 2'!$EY$10,'Tables - Part 2'!$EY$10,IF(CUI_Ferritic!F14&lt;='Tables - Part 2'!$EY$11,'Tables - Part 2'!$EY$11,IF(CUI_Ferritic!F14&gt;='Tables - Part 2'!$EY$11,'Tables - Part 2'!$EY$11,IF(CUI_Ferritic!F14&gt;='Tables - Part 2'!$EY$12,'Tables - Part 2'!$EY$12,IF(CUI_Ferritic!F14&gt;='Tables - Part 2'!$EY$13,'Tables - Part 2'!$EY$13))))))))))</f>
        <v>6</v>
      </c>
      <c r="AG14" s="256" t="e">
        <f>INDEX('Tables - Part 2'!$EZ$5:$FC$13,MATCH(CUI_Ferritic!AE14,'Tables - Part 2'!$EY$5:$EY$13,0),MATCH(CUI_Ferritic!N14,'Tables - Part 2'!$EZ$4:$FC$4,0))</f>
        <v>#N/A</v>
      </c>
      <c r="AH14" s="256" t="e">
        <f>INDEX('Tables - Part 2'!$EZ$5:$FC$13,MATCH(CUI_Ferritic!AF14,'Tables - Part 2'!$EY$5:$EY$13,0),MATCH(CUI_Ferritic!N14,'Tables - Part 2'!$EZ$4:$FC$4,0))</f>
        <v>#N/A</v>
      </c>
      <c r="AI14" s="256" t="e">
        <f>IF(F14&gt;'Tables - Part 2'!$EY$13,0,IF(AF14-AE14=0,INDEX('Tables - Part 2'!$EZ$5:$FC$13,MATCH(CUI_Ferritic!F14,'Tables - Part 2'!$EY$5:$EY$11,0),MATCH(CUI_Ferritic!N14,'Tables - Part 2'!$EZ$4:$FC$4,0)),((F14-AE14)*(AH14-AG14)/(AF14-AE14))+AG14))</f>
        <v>#N/A</v>
      </c>
      <c r="AJ14" s="256" t="e">
        <f t="shared" si="8"/>
        <v>#N/A</v>
      </c>
      <c r="AK14" s="248" t="e">
        <f>INDEX('Tables - Part 2'!$FF$4:$FF$10,MATCH(CUI_Ferritic!E14,'Tables - Part 2'!$FE$4:$FE$10,0))</f>
        <v>#N/A</v>
      </c>
      <c r="AL14" s="256">
        <f t="shared" si="1"/>
        <v>10</v>
      </c>
      <c r="AM14" s="496">
        <f t="shared" si="2"/>
        <v>5.4757015742642025E-3</v>
      </c>
      <c r="AN14" s="247">
        <f t="shared" si="9"/>
        <v>120.0082135523614</v>
      </c>
      <c r="AO14" s="247">
        <f t="shared" si="3"/>
        <v>0</v>
      </c>
      <c r="AP14" s="247">
        <f t="shared" si="4"/>
        <v>0</v>
      </c>
      <c r="AQ14" s="247">
        <f t="shared" si="10"/>
        <v>0</v>
      </c>
      <c r="AR14" s="247">
        <f t="shared" si="11"/>
        <v>5.4757015742642025E-3</v>
      </c>
      <c r="AS14" s="256" t="e">
        <f t="shared" si="12"/>
        <v>#N/A</v>
      </c>
      <c r="AT14" s="256">
        <f t="shared" si="13"/>
        <v>16.5</v>
      </c>
      <c r="AU14" s="256">
        <f>IF(OR(T14="",T14=0),(Thinning!AL15*Thinning!AM15)/(Thinning!AN15*CUI_Ferritic!AT14*CUI_Ferritic!AL14),(U14*V14*MIN(S14,T14))/(AT14*AL14))</f>
        <v>0</v>
      </c>
      <c r="AV14" s="238" t="e">
        <f>INDEX('Tables - Part 2'!$K$4:$M$4,,MATCH(AC14,'Tables - Part 2'!$K$3:$M$3,0))</f>
        <v>#N/A</v>
      </c>
      <c r="AW14" s="238" t="e">
        <f>INDEX('Tables - Part 2'!$K$5:$M$5,,MATCH(AC14,'Tables - Part 2'!$K$3:$M$3,0))</f>
        <v>#N/A</v>
      </c>
      <c r="AX14" s="238" t="e">
        <f>INDEX('Tables - Part 2'!$K$6:$M$6,,MATCH(AC14,'Tables - Part 2'!$K$3:$M$3,0))</f>
        <v>#N/A</v>
      </c>
      <c r="AY14" s="238">
        <v>0.9</v>
      </c>
      <c r="AZ14" s="238">
        <v>0.7</v>
      </c>
      <c r="BA14" s="238">
        <v>0.5</v>
      </c>
      <c r="BB14" s="238">
        <v>0.4</v>
      </c>
      <c r="BC14" s="238">
        <v>0.09</v>
      </c>
      <c r="BD14" s="238">
        <v>0.2</v>
      </c>
      <c r="BE14" s="238">
        <v>0.3</v>
      </c>
      <c r="BF14" s="238">
        <v>0.33</v>
      </c>
      <c r="BG14" s="238">
        <v>0.01</v>
      </c>
      <c r="BH14" s="238">
        <v>0.1</v>
      </c>
      <c r="BI14" s="238">
        <v>0.2</v>
      </c>
      <c r="BJ14" s="238">
        <v>0.27</v>
      </c>
      <c r="BK14" s="238" t="e">
        <f t="shared" si="14"/>
        <v>#N/A</v>
      </c>
      <c r="BL14" s="238" t="e">
        <f t="shared" si="15"/>
        <v>#N/A</v>
      </c>
      <c r="BM14" s="238" t="e">
        <f t="shared" si="16"/>
        <v>#N/A</v>
      </c>
      <c r="BN14" s="238" t="e">
        <f t="shared" si="17"/>
        <v>#N/A</v>
      </c>
      <c r="BO14" s="238" t="e">
        <f t="shared" si="5"/>
        <v>#N/A</v>
      </c>
      <c r="BP14" s="238" t="e">
        <f t="shared" si="5"/>
        <v>#N/A</v>
      </c>
      <c r="BQ14" s="238" t="e">
        <f t="shared" si="18"/>
        <v>#N/A</v>
      </c>
      <c r="BR14" s="238" t="e">
        <f t="shared" si="6"/>
        <v>#N/A</v>
      </c>
      <c r="BS14" s="238" t="e">
        <f t="shared" si="6"/>
        <v>#N/A</v>
      </c>
      <c r="BT14" s="238" t="e">
        <f t="shared" si="7"/>
        <v>#N/A</v>
      </c>
    </row>
    <row r="15" spans="2:94" x14ac:dyDescent="0.35">
      <c r="B15" s="161" t="str">
        <f>'Tratamento de Dados'!B23</f>
        <v>V-5</v>
      </c>
      <c r="C15" s="161" t="str">
        <f>'Tratamento de Dados'!D23</f>
        <v>Casco</v>
      </c>
      <c r="D15" s="161">
        <f>'Tratamento de Dados'!BX23</f>
        <v>0</v>
      </c>
      <c r="E15" s="161"/>
      <c r="F15" s="161">
        <f>'Tratamento de Dados'!S23</f>
        <v>2</v>
      </c>
      <c r="G15" s="209">
        <f>Thinning!E16</f>
        <v>10</v>
      </c>
      <c r="H15" s="210">
        <f>Thinning!F16</f>
        <v>43831</v>
      </c>
      <c r="I15" s="210">
        <f>Thinning!G16</f>
        <v>43833</v>
      </c>
      <c r="J15" s="210">
        <f>'Tratamento de Dados'!BZ23</f>
        <v>0</v>
      </c>
      <c r="K15" s="209">
        <f>'Tratamento de Dados'!CB23</f>
        <v>0</v>
      </c>
      <c r="L15" s="210">
        <f>'Tratamento de Dados'!CC23</f>
        <v>0</v>
      </c>
      <c r="M15" s="209">
        <f>'Tratamento de Dados'!CD23</f>
        <v>0</v>
      </c>
      <c r="N15" s="209">
        <f>'Tratamento de Dados'!CE23</f>
        <v>0</v>
      </c>
      <c r="O15" s="209"/>
      <c r="P15" s="209"/>
      <c r="Q15" s="209"/>
      <c r="R15" s="209"/>
      <c r="S15" s="209">
        <f>Thinning!N16</f>
        <v>2</v>
      </c>
      <c r="T15" s="218">
        <f>Thinning!O16</f>
        <v>0</v>
      </c>
      <c r="U15" s="218">
        <f>Thinning!T16</f>
        <v>0</v>
      </c>
      <c r="V15" s="209">
        <f>Thinning!R16</f>
        <v>1</v>
      </c>
      <c r="W15" s="209">
        <f>Thinning!P16</f>
        <v>10</v>
      </c>
      <c r="X15" s="209">
        <f>Thinning!Q16</f>
        <v>20</v>
      </c>
      <c r="Y15" s="219">
        <v>0</v>
      </c>
      <c r="Z15" s="219">
        <v>0</v>
      </c>
      <c r="AA15" s="219">
        <v>0</v>
      </c>
      <c r="AB15" s="219">
        <v>0</v>
      </c>
      <c r="AC15" s="225"/>
      <c r="AD15" s="247">
        <f t="shared" si="0"/>
        <v>5.4757015742642025E-3</v>
      </c>
      <c r="AE15" s="247">
        <f>IF(F15&gt;='Tables - Part 2'!$EY$13,'Tables - Part 2'!$EY$13,LOOKUP(F15,'Tables - Part 2'!$EY$5:$EY$13))</f>
        <v>-8</v>
      </c>
      <c r="AF15" s="247">
        <f>IF(F15&lt;='Tables - Part 2'!$EY$5,'Tables - Part 2'!$EY$5,IF(CUI_Ferritic!F15&lt;='Tables - Part 2'!$EY$6,'Tables - Part 2'!$EY$6,IF(CUI_Ferritic!F15&lt;='Tables - Part 2'!$EY$7,'Tables - Part 2'!$EY$7,IF(CUI_Ferritic!F15&lt;='Tables - Part 2'!$EY$8,'Tables - Part 2'!$EY$8,IF(CUI_Ferritic!F15&lt;='Tables - Part 2'!$EY$9,'Tables - Part 2'!$EY$9,IF(CUI_Ferritic!F15&lt;='Tables - Part 2'!$EY$10,'Tables - Part 2'!$EY$10,IF(CUI_Ferritic!F15&lt;='Tables - Part 2'!$EY$11,'Tables - Part 2'!$EY$11,IF(CUI_Ferritic!F15&gt;='Tables - Part 2'!$EY$11,'Tables - Part 2'!$EY$11,IF(CUI_Ferritic!F15&gt;='Tables - Part 2'!$EY$12,'Tables - Part 2'!$EY$12,IF(CUI_Ferritic!F15&gt;='Tables - Part 2'!$EY$13,'Tables - Part 2'!$EY$13))))))))))</f>
        <v>6</v>
      </c>
      <c r="AG15" s="256" t="e">
        <f>INDEX('Tables - Part 2'!$EZ$5:$FC$13,MATCH(CUI_Ferritic!AE15,'Tables - Part 2'!$EY$5:$EY$13,0),MATCH(CUI_Ferritic!N15,'Tables - Part 2'!$EZ$4:$FC$4,0))</f>
        <v>#N/A</v>
      </c>
      <c r="AH15" s="256" t="e">
        <f>INDEX('Tables - Part 2'!$EZ$5:$FC$13,MATCH(CUI_Ferritic!AF15,'Tables - Part 2'!$EY$5:$EY$13,0),MATCH(CUI_Ferritic!N15,'Tables - Part 2'!$EZ$4:$FC$4,0))</f>
        <v>#N/A</v>
      </c>
      <c r="AI15" s="256" t="e">
        <f>IF(F15&gt;'Tables - Part 2'!$EY$13,0,IF(AF15-AE15=0,INDEX('Tables - Part 2'!$EZ$5:$FC$13,MATCH(CUI_Ferritic!F15,'Tables - Part 2'!$EY$5:$EY$11,0),MATCH(CUI_Ferritic!N15,'Tables - Part 2'!$EZ$4:$FC$4,0)),((F15-AE15)*(AH15-AG15)/(AF15-AE15))+AG15))</f>
        <v>#N/A</v>
      </c>
      <c r="AJ15" s="256" t="e">
        <f t="shared" si="8"/>
        <v>#N/A</v>
      </c>
      <c r="AK15" s="248" t="e">
        <f>INDEX('Tables - Part 2'!$FF$4:$FF$10,MATCH(CUI_Ferritic!E15,'Tables - Part 2'!$FE$4:$FE$10,0))</f>
        <v>#N/A</v>
      </c>
      <c r="AL15" s="256">
        <f t="shared" si="1"/>
        <v>10</v>
      </c>
      <c r="AM15" s="496">
        <f t="shared" si="2"/>
        <v>5.4757015742642025E-3</v>
      </c>
      <c r="AN15" s="247">
        <f t="shared" si="9"/>
        <v>120.0082135523614</v>
      </c>
      <c r="AO15" s="247">
        <f t="shared" si="3"/>
        <v>0</v>
      </c>
      <c r="AP15" s="247">
        <f t="shared" si="4"/>
        <v>0</v>
      </c>
      <c r="AQ15" s="247">
        <f t="shared" si="10"/>
        <v>0</v>
      </c>
      <c r="AR15" s="247">
        <f t="shared" si="11"/>
        <v>5.4757015742642025E-3</v>
      </c>
      <c r="AS15" s="256" t="e">
        <f t="shared" si="12"/>
        <v>#N/A</v>
      </c>
      <c r="AT15" s="256">
        <f t="shared" si="13"/>
        <v>16.5</v>
      </c>
      <c r="AU15" s="256">
        <f>IF(OR(T15="",T15=0),(Thinning!AL16*Thinning!AM16)/(Thinning!AN16*CUI_Ferritic!AT15*CUI_Ferritic!AL15),(U15*V15*MIN(S15,T15))/(AT15*AL15))</f>
        <v>0</v>
      </c>
      <c r="AV15" s="238" t="e">
        <f>INDEX('Tables - Part 2'!$K$4:$M$4,,MATCH(AC15,'Tables - Part 2'!$K$3:$M$3,0))</f>
        <v>#N/A</v>
      </c>
      <c r="AW15" s="238" t="e">
        <f>INDEX('Tables - Part 2'!$K$5:$M$5,,MATCH(AC15,'Tables - Part 2'!$K$3:$M$3,0))</f>
        <v>#N/A</v>
      </c>
      <c r="AX15" s="238" t="e">
        <f>INDEX('Tables - Part 2'!$K$6:$M$6,,MATCH(AC15,'Tables - Part 2'!$K$3:$M$3,0))</f>
        <v>#N/A</v>
      </c>
      <c r="AY15" s="238">
        <v>0.9</v>
      </c>
      <c r="AZ15" s="238">
        <v>0.7</v>
      </c>
      <c r="BA15" s="238">
        <v>0.5</v>
      </c>
      <c r="BB15" s="238">
        <v>0.4</v>
      </c>
      <c r="BC15" s="238">
        <v>0.09</v>
      </c>
      <c r="BD15" s="238">
        <v>0.2</v>
      </c>
      <c r="BE15" s="238">
        <v>0.3</v>
      </c>
      <c r="BF15" s="238">
        <v>0.33</v>
      </c>
      <c r="BG15" s="238">
        <v>0.01</v>
      </c>
      <c r="BH15" s="238">
        <v>0.1</v>
      </c>
      <c r="BI15" s="238">
        <v>0.2</v>
      </c>
      <c r="BJ15" s="238">
        <v>0.27</v>
      </c>
      <c r="BK15" s="238" t="e">
        <f t="shared" si="14"/>
        <v>#N/A</v>
      </c>
      <c r="BL15" s="238" t="e">
        <f t="shared" si="15"/>
        <v>#N/A</v>
      </c>
      <c r="BM15" s="238" t="e">
        <f t="shared" si="16"/>
        <v>#N/A</v>
      </c>
      <c r="BN15" s="238" t="e">
        <f t="shared" si="17"/>
        <v>#N/A</v>
      </c>
      <c r="BO15" s="238" t="e">
        <f t="shared" si="5"/>
        <v>#N/A</v>
      </c>
      <c r="BP15" s="238" t="e">
        <f t="shared" si="5"/>
        <v>#N/A</v>
      </c>
      <c r="BQ15" s="238" t="e">
        <f t="shared" si="18"/>
        <v>#N/A</v>
      </c>
      <c r="BR15" s="238" t="e">
        <f t="shared" si="6"/>
        <v>#N/A</v>
      </c>
      <c r="BS15" s="238" t="e">
        <f t="shared" si="6"/>
        <v>#N/A</v>
      </c>
      <c r="BT15" s="238" t="e">
        <f t="shared" si="7"/>
        <v>#N/A</v>
      </c>
    </row>
    <row r="16" spans="2:94" x14ac:dyDescent="0.35">
      <c r="B16" s="161" t="str">
        <f>'Tratamento de Dados'!B24</f>
        <v>V-6</v>
      </c>
      <c r="C16" s="161" t="str">
        <f>'Tratamento de Dados'!D24</f>
        <v>Casco</v>
      </c>
      <c r="D16" s="161">
        <f>'Tratamento de Dados'!BX24</f>
        <v>0</v>
      </c>
      <c r="E16" s="161"/>
      <c r="F16" s="161">
        <f>'Tratamento de Dados'!S24</f>
        <v>2</v>
      </c>
      <c r="G16" s="209">
        <f>Thinning!E17</f>
        <v>10</v>
      </c>
      <c r="H16" s="210">
        <f>Thinning!F17</f>
        <v>43831</v>
      </c>
      <c r="I16" s="210">
        <f>Thinning!G17</f>
        <v>43833</v>
      </c>
      <c r="J16" s="210">
        <f>'Tratamento de Dados'!BZ24</f>
        <v>0</v>
      </c>
      <c r="K16" s="209">
        <f>'Tratamento de Dados'!CB24</f>
        <v>0</v>
      </c>
      <c r="L16" s="210">
        <f>'Tratamento de Dados'!CC24</f>
        <v>0</v>
      </c>
      <c r="M16" s="209">
        <f>'Tratamento de Dados'!CD24</f>
        <v>0</v>
      </c>
      <c r="N16" s="209">
        <f>'Tratamento de Dados'!CE24</f>
        <v>0</v>
      </c>
      <c r="O16" s="209"/>
      <c r="P16" s="209"/>
      <c r="Q16" s="209"/>
      <c r="R16" s="209"/>
      <c r="S16" s="209">
        <f>Thinning!N17</f>
        <v>2</v>
      </c>
      <c r="T16" s="218">
        <f>Thinning!O17</f>
        <v>0</v>
      </c>
      <c r="U16" s="218">
        <f>Thinning!T17</f>
        <v>0</v>
      </c>
      <c r="V16" s="209">
        <f>Thinning!R17</f>
        <v>1</v>
      </c>
      <c r="W16" s="209">
        <f>Thinning!P17</f>
        <v>10</v>
      </c>
      <c r="X16" s="209">
        <f>Thinning!Q17</f>
        <v>20</v>
      </c>
      <c r="Y16" s="219">
        <v>0</v>
      </c>
      <c r="Z16" s="219">
        <v>0</v>
      </c>
      <c r="AA16" s="219">
        <v>0</v>
      </c>
      <c r="AB16" s="219">
        <v>0</v>
      </c>
      <c r="AC16" s="225"/>
      <c r="AD16" s="247">
        <f t="shared" si="0"/>
        <v>5.4757015742642025E-3</v>
      </c>
      <c r="AE16" s="247">
        <f>IF(F16&gt;='Tables - Part 2'!$EY$13,'Tables - Part 2'!$EY$13,LOOKUP(F16,'Tables - Part 2'!$EY$5:$EY$13))</f>
        <v>-8</v>
      </c>
      <c r="AF16" s="247">
        <f>IF(F16&lt;='Tables - Part 2'!$EY$5,'Tables - Part 2'!$EY$5,IF(CUI_Ferritic!F16&lt;='Tables - Part 2'!$EY$6,'Tables - Part 2'!$EY$6,IF(CUI_Ferritic!F16&lt;='Tables - Part 2'!$EY$7,'Tables - Part 2'!$EY$7,IF(CUI_Ferritic!F16&lt;='Tables - Part 2'!$EY$8,'Tables - Part 2'!$EY$8,IF(CUI_Ferritic!F16&lt;='Tables - Part 2'!$EY$9,'Tables - Part 2'!$EY$9,IF(CUI_Ferritic!F16&lt;='Tables - Part 2'!$EY$10,'Tables - Part 2'!$EY$10,IF(CUI_Ferritic!F16&lt;='Tables - Part 2'!$EY$11,'Tables - Part 2'!$EY$11,IF(CUI_Ferritic!F16&gt;='Tables - Part 2'!$EY$11,'Tables - Part 2'!$EY$11,IF(CUI_Ferritic!F16&gt;='Tables - Part 2'!$EY$12,'Tables - Part 2'!$EY$12,IF(CUI_Ferritic!F16&gt;='Tables - Part 2'!$EY$13,'Tables - Part 2'!$EY$13))))))))))</f>
        <v>6</v>
      </c>
      <c r="AG16" s="256" t="e">
        <f>INDEX('Tables - Part 2'!$EZ$5:$FC$13,MATCH(CUI_Ferritic!AE16,'Tables - Part 2'!$EY$5:$EY$13,0),MATCH(CUI_Ferritic!N16,'Tables - Part 2'!$EZ$4:$FC$4,0))</f>
        <v>#N/A</v>
      </c>
      <c r="AH16" s="256" t="e">
        <f>INDEX('Tables - Part 2'!$EZ$5:$FC$13,MATCH(CUI_Ferritic!AF16,'Tables - Part 2'!$EY$5:$EY$13,0),MATCH(CUI_Ferritic!N16,'Tables - Part 2'!$EZ$4:$FC$4,0))</f>
        <v>#N/A</v>
      </c>
      <c r="AI16" s="256" t="e">
        <f>IF(F16&gt;'Tables - Part 2'!$EY$13,0,IF(AF16-AE16=0,INDEX('Tables - Part 2'!$EZ$5:$FC$13,MATCH(CUI_Ferritic!F16,'Tables - Part 2'!$EY$5:$EY$11,0),MATCH(CUI_Ferritic!N16,'Tables - Part 2'!$EZ$4:$FC$4,0)),((F16-AE16)*(AH16-AG16)/(AF16-AE16))+AG16))</f>
        <v>#N/A</v>
      </c>
      <c r="AJ16" s="256" t="e">
        <f t="shared" si="8"/>
        <v>#N/A</v>
      </c>
      <c r="AK16" s="248" t="e">
        <f>INDEX('Tables - Part 2'!$FF$4:$FF$10,MATCH(CUI_Ferritic!E16,'Tables - Part 2'!$FE$4:$FE$10,0))</f>
        <v>#N/A</v>
      </c>
      <c r="AL16" s="256">
        <f t="shared" si="1"/>
        <v>10</v>
      </c>
      <c r="AM16" s="496">
        <f t="shared" si="2"/>
        <v>5.4757015742642025E-3</v>
      </c>
      <c r="AN16" s="247">
        <f t="shared" si="9"/>
        <v>120.0082135523614</v>
      </c>
      <c r="AO16" s="247">
        <f t="shared" si="3"/>
        <v>0</v>
      </c>
      <c r="AP16" s="247">
        <f t="shared" si="4"/>
        <v>0</v>
      </c>
      <c r="AQ16" s="247">
        <f t="shared" si="10"/>
        <v>0</v>
      </c>
      <c r="AR16" s="247">
        <f t="shared" si="11"/>
        <v>5.4757015742642025E-3</v>
      </c>
      <c r="AS16" s="256" t="e">
        <f t="shared" si="12"/>
        <v>#N/A</v>
      </c>
      <c r="AT16" s="256">
        <f t="shared" si="13"/>
        <v>16.5</v>
      </c>
      <c r="AU16" s="256">
        <f>IF(OR(T16="",T16=0),(Thinning!AL17*Thinning!AM17)/(Thinning!AN17*CUI_Ferritic!AT16*CUI_Ferritic!AL16),(U16*V16*MIN(S16,T16))/(AT16*AL16))</f>
        <v>0</v>
      </c>
      <c r="AV16" s="238" t="e">
        <f>INDEX('Tables - Part 2'!$K$4:$M$4,,MATCH(AC16,'Tables - Part 2'!$K$3:$M$3,0))</f>
        <v>#N/A</v>
      </c>
      <c r="AW16" s="238" t="e">
        <f>INDEX('Tables - Part 2'!$K$5:$M$5,,MATCH(AC16,'Tables - Part 2'!$K$3:$M$3,0))</f>
        <v>#N/A</v>
      </c>
      <c r="AX16" s="238" t="e">
        <f>INDEX('Tables - Part 2'!$K$6:$M$6,,MATCH(AC16,'Tables - Part 2'!$K$3:$M$3,0))</f>
        <v>#N/A</v>
      </c>
      <c r="AY16" s="238">
        <v>0.9</v>
      </c>
      <c r="AZ16" s="238">
        <v>0.7</v>
      </c>
      <c r="BA16" s="238">
        <v>0.5</v>
      </c>
      <c r="BB16" s="238">
        <v>0.4</v>
      </c>
      <c r="BC16" s="238">
        <v>0.09</v>
      </c>
      <c r="BD16" s="238">
        <v>0.2</v>
      </c>
      <c r="BE16" s="238">
        <v>0.3</v>
      </c>
      <c r="BF16" s="238">
        <v>0.33</v>
      </c>
      <c r="BG16" s="238">
        <v>0.01</v>
      </c>
      <c r="BH16" s="238">
        <v>0.1</v>
      </c>
      <c r="BI16" s="238">
        <v>0.2</v>
      </c>
      <c r="BJ16" s="238">
        <v>0.27</v>
      </c>
      <c r="BK16" s="238" t="e">
        <f t="shared" si="14"/>
        <v>#N/A</v>
      </c>
      <c r="BL16" s="238" t="e">
        <f t="shared" si="15"/>
        <v>#N/A</v>
      </c>
      <c r="BM16" s="238" t="e">
        <f t="shared" si="16"/>
        <v>#N/A</v>
      </c>
      <c r="BN16" s="238" t="e">
        <f t="shared" si="17"/>
        <v>#N/A</v>
      </c>
      <c r="BO16" s="238" t="e">
        <f t="shared" si="5"/>
        <v>#N/A</v>
      </c>
      <c r="BP16" s="238" t="e">
        <f t="shared" si="5"/>
        <v>#N/A</v>
      </c>
      <c r="BQ16" s="238" t="e">
        <f t="shared" si="18"/>
        <v>#N/A</v>
      </c>
      <c r="BR16" s="238" t="e">
        <f t="shared" si="6"/>
        <v>#N/A</v>
      </c>
      <c r="BS16" s="238" t="e">
        <f t="shared" si="6"/>
        <v>#N/A</v>
      </c>
      <c r="BT16" s="238" t="e">
        <f t="shared" si="7"/>
        <v>#N/A</v>
      </c>
    </row>
    <row r="17" spans="2:72" x14ac:dyDescent="0.35">
      <c r="B17" s="161" t="str">
        <f>'Tratamento de Dados'!B25</f>
        <v>V-7</v>
      </c>
      <c r="C17" s="161" t="str">
        <f>'Tratamento de Dados'!D25</f>
        <v>Casco</v>
      </c>
      <c r="D17" s="161">
        <f>'Tratamento de Dados'!BX25</f>
        <v>0</v>
      </c>
      <c r="E17" s="161"/>
      <c r="F17" s="161">
        <f>'Tratamento de Dados'!S25</f>
        <v>2</v>
      </c>
      <c r="G17" s="209">
        <f>Thinning!E18</f>
        <v>10</v>
      </c>
      <c r="H17" s="210">
        <f>Thinning!F18</f>
        <v>43831</v>
      </c>
      <c r="I17" s="210">
        <f>Thinning!G18</f>
        <v>43833</v>
      </c>
      <c r="J17" s="210">
        <f>'Tratamento de Dados'!BZ25</f>
        <v>0</v>
      </c>
      <c r="K17" s="209">
        <f>'Tratamento de Dados'!CB25</f>
        <v>0</v>
      </c>
      <c r="L17" s="210">
        <f>'Tratamento de Dados'!CC25</f>
        <v>0</v>
      </c>
      <c r="M17" s="209">
        <f>'Tratamento de Dados'!CD25</f>
        <v>0</v>
      </c>
      <c r="N17" s="209">
        <f>'Tratamento de Dados'!CE25</f>
        <v>0</v>
      </c>
      <c r="O17" s="209"/>
      <c r="P17" s="209"/>
      <c r="Q17" s="209"/>
      <c r="R17" s="209"/>
      <c r="S17" s="209">
        <f>Thinning!N18</f>
        <v>2</v>
      </c>
      <c r="T17" s="218">
        <f>Thinning!O18</f>
        <v>0</v>
      </c>
      <c r="U17" s="218">
        <f>Thinning!T18</f>
        <v>0</v>
      </c>
      <c r="V17" s="209">
        <f>Thinning!R18</f>
        <v>1</v>
      </c>
      <c r="W17" s="209">
        <f>Thinning!P18</f>
        <v>10</v>
      </c>
      <c r="X17" s="209">
        <f>Thinning!Q18</f>
        <v>20</v>
      </c>
      <c r="Y17" s="219">
        <v>0</v>
      </c>
      <c r="Z17" s="219">
        <v>0</v>
      </c>
      <c r="AA17" s="219">
        <v>0</v>
      </c>
      <c r="AB17" s="219">
        <v>0</v>
      </c>
      <c r="AC17" s="225"/>
      <c r="AD17" s="247">
        <f t="shared" si="0"/>
        <v>5.4757015742642025E-3</v>
      </c>
      <c r="AE17" s="247">
        <f>IF(F17&gt;='Tables - Part 2'!$EY$13,'Tables - Part 2'!$EY$13,LOOKUP(F17,'Tables - Part 2'!$EY$5:$EY$13))</f>
        <v>-8</v>
      </c>
      <c r="AF17" s="247">
        <f>IF(F17&lt;='Tables - Part 2'!$EY$5,'Tables - Part 2'!$EY$5,IF(CUI_Ferritic!F17&lt;='Tables - Part 2'!$EY$6,'Tables - Part 2'!$EY$6,IF(CUI_Ferritic!F17&lt;='Tables - Part 2'!$EY$7,'Tables - Part 2'!$EY$7,IF(CUI_Ferritic!F17&lt;='Tables - Part 2'!$EY$8,'Tables - Part 2'!$EY$8,IF(CUI_Ferritic!F17&lt;='Tables - Part 2'!$EY$9,'Tables - Part 2'!$EY$9,IF(CUI_Ferritic!F17&lt;='Tables - Part 2'!$EY$10,'Tables - Part 2'!$EY$10,IF(CUI_Ferritic!F17&lt;='Tables - Part 2'!$EY$11,'Tables - Part 2'!$EY$11,IF(CUI_Ferritic!F17&gt;='Tables - Part 2'!$EY$11,'Tables - Part 2'!$EY$11,IF(CUI_Ferritic!F17&gt;='Tables - Part 2'!$EY$12,'Tables - Part 2'!$EY$12,IF(CUI_Ferritic!F17&gt;='Tables - Part 2'!$EY$13,'Tables - Part 2'!$EY$13))))))))))</f>
        <v>6</v>
      </c>
      <c r="AG17" s="256" t="e">
        <f>INDEX('Tables - Part 2'!$EZ$5:$FC$13,MATCH(CUI_Ferritic!AE17,'Tables - Part 2'!$EY$5:$EY$13,0),MATCH(CUI_Ferritic!N17,'Tables - Part 2'!$EZ$4:$FC$4,0))</f>
        <v>#N/A</v>
      </c>
      <c r="AH17" s="256" t="e">
        <f>INDEX('Tables - Part 2'!$EZ$5:$FC$13,MATCH(CUI_Ferritic!AF17,'Tables - Part 2'!$EY$5:$EY$13,0),MATCH(CUI_Ferritic!N17,'Tables - Part 2'!$EZ$4:$FC$4,0))</f>
        <v>#N/A</v>
      </c>
      <c r="AI17" s="256" t="e">
        <f>IF(F17&gt;'Tables - Part 2'!$EY$13,0,IF(AF17-AE17=0,INDEX('Tables - Part 2'!$EZ$5:$FC$13,MATCH(CUI_Ferritic!F17,'Tables - Part 2'!$EY$5:$EY$11,0),MATCH(CUI_Ferritic!N17,'Tables - Part 2'!$EZ$4:$FC$4,0)),((F17-AE17)*(AH17-AG17)/(AF17-AE17))+AG17))</f>
        <v>#N/A</v>
      </c>
      <c r="AJ17" s="256" t="e">
        <f t="shared" si="8"/>
        <v>#N/A</v>
      </c>
      <c r="AK17" s="248" t="e">
        <f>INDEX('Tables - Part 2'!$FF$4:$FF$10,MATCH(CUI_Ferritic!E17,'Tables - Part 2'!$FE$4:$FE$10,0))</f>
        <v>#N/A</v>
      </c>
      <c r="AL17" s="256">
        <f t="shared" si="1"/>
        <v>10</v>
      </c>
      <c r="AM17" s="496">
        <f t="shared" si="2"/>
        <v>5.4757015742642025E-3</v>
      </c>
      <c r="AN17" s="247">
        <f t="shared" si="9"/>
        <v>120.0082135523614</v>
      </c>
      <c r="AO17" s="247">
        <f t="shared" si="3"/>
        <v>0</v>
      </c>
      <c r="AP17" s="247">
        <f t="shared" si="4"/>
        <v>0</v>
      </c>
      <c r="AQ17" s="247">
        <f t="shared" si="10"/>
        <v>0</v>
      </c>
      <c r="AR17" s="247">
        <f t="shared" si="11"/>
        <v>5.4757015742642025E-3</v>
      </c>
      <c r="AS17" s="256" t="e">
        <f t="shared" si="12"/>
        <v>#N/A</v>
      </c>
      <c r="AT17" s="256">
        <f t="shared" si="13"/>
        <v>16.5</v>
      </c>
      <c r="AU17" s="256">
        <f>IF(OR(T17="",T17=0),(Thinning!AL18*Thinning!AM18)/(Thinning!AN18*CUI_Ferritic!AT17*CUI_Ferritic!AL17),(U17*V17*MIN(S17,T17))/(AT17*AL17))</f>
        <v>0</v>
      </c>
      <c r="AV17" s="238" t="e">
        <f>INDEX('Tables - Part 2'!$K$4:$M$4,,MATCH(AC17,'Tables - Part 2'!$K$3:$M$3,0))</f>
        <v>#N/A</v>
      </c>
      <c r="AW17" s="238" t="e">
        <f>INDEX('Tables - Part 2'!$K$5:$M$5,,MATCH(AC17,'Tables - Part 2'!$K$3:$M$3,0))</f>
        <v>#N/A</v>
      </c>
      <c r="AX17" s="238" t="e">
        <f>INDEX('Tables - Part 2'!$K$6:$M$6,,MATCH(AC17,'Tables - Part 2'!$K$3:$M$3,0))</f>
        <v>#N/A</v>
      </c>
      <c r="AY17" s="238">
        <v>0.9</v>
      </c>
      <c r="AZ17" s="238">
        <v>0.7</v>
      </c>
      <c r="BA17" s="238">
        <v>0.5</v>
      </c>
      <c r="BB17" s="238">
        <v>0.4</v>
      </c>
      <c r="BC17" s="238">
        <v>0.09</v>
      </c>
      <c r="BD17" s="238">
        <v>0.2</v>
      </c>
      <c r="BE17" s="238">
        <v>0.3</v>
      </c>
      <c r="BF17" s="238">
        <v>0.33</v>
      </c>
      <c r="BG17" s="238">
        <v>0.01</v>
      </c>
      <c r="BH17" s="238">
        <v>0.1</v>
      </c>
      <c r="BI17" s="238">
        <v>0.2</v>
      </c>
      <c r="BJ17" s="238">
        <v>0.27</v>
      </c>
      <c r="BK17" s="238" t="e">
        <f t="shared" si="14"/>
        <v>#N/A</v>
      </c>
      <c r="BL17" s="238" t="e">
        <f t="shared" si="15"/>
        <v>#N/A</v>
      </c>
      <c r="BM17" s="238" t="e">
        <f t="shared" si="16"/>
        <v>#N/A</v>
      </c>
      <c r="BN17" s="238" t="e">
        <f t="shared" si="17"/>
        <v>#N/A</v>
      </c>
      <c r="BO17" s="238" t="e">
        <f t="shared" si="5"/>
        <v>#N/A</v>
      </c>
      <c r="BP17" s="238" t="e">
        <f t="shared" si="5"/>
        <v>#N/A</v>
      </c>
      <c r="BQ17" s="238" t="e">
        <f t="shared" si="18"/>
        <v>#N/A</v>
      </c>
      <c r="BR17" s="238" t="e">
        <f t="shared" si="6"/>
        <v>#N/A</v>
      </c>
      <c r="BS17" s="238" t="e">
        <f t="shared" si="6"/>
        <v>#N/A</v>
      </c>
      <c r="BT17" s="238" t="e">
        <f t="shared" si="7"/>
        <v>#N/A</v>
      </c>
    </row>
    <row r="18" spans="2:72" x14ac:dyDescent="0.35">
      <c r="B18" s="161" t="str">
        <f>'Tratamento de Dados'!B26</f>
        <v>V-80</v>
      </c>
      <c r="C18" s="161" t="str">
        <f>'Tratamento de Dados'!D26</f>
        <v>Casco</v>
      </c>
      <c r="D18" s="161">
        <f>'Tratamento de Dados'!BX26</f>
        <v>0</v>
      </c>
      <c r="E18" s="161"/>
      <c r="F18" s="161">
        <f>'Tratamento de Dados'!S26</f>
        <v>2</v>
      </c>
      <c r="G18" s="209">
        <f>Thinning!E19</f>
        <v>10</v>
      </c>
      <c r="H18" s="210">
        <f>Thinning!F19</f>
        <v>43831</v>
      </c>
      <c r="I18" s="210">
        <f>Thinning!G19</f>
        <v>43833</v>
      </c>
      <c r="J18" s="210">
        <f>'Tratamento de Dados'!BZ26</f>
        <v>0</v>
      </c>
      <c r="K18" s="209">
        <f>'Tratamento de Dados'!CB26</f>
        <v>0</v>
      </c>
      <c r="L18" s="210">
        <f>'Tratamento de Dados'!CC26</f>
        <v>0</v>
      </c>
      <c r="M18" s="209">
        <f>'Tratamento de Dados'!CD26</f>
        <v>0</v>
      </c>
      <c r="N18" s="209">
        <f>'Tratamento de Dados'!CE26</f>
        <v>0</v>
      </c>
      <c r="O18" s="209"/>
      <c r="P18" s="209"/>
      <c r="Q18" s="209"/>
      <c r="R18" s="209"/>
      <c r="S18" s="209">
        <f>Thinning!N19</f>
        <v>2</v>
      </c>
      <c r="T18" s="218">
        <f>Thinning!O19</f>
        <v>0</v>
      </c>
      <c r="U18" s="218">
        <f>Thinning!T19</f>
        <v>0</v>
      </c>
      <c r="V18" s="209">
        <f>Thinning!R19</f>
        <v>1</v>
      </c>
      <c r="W18" s="209">
        <f>Thinning!P19</f>
        <v>10</v>
      </c>
      <c r="X18" s="209">
        <f>Thinning!Q19</f>
        <v>20</v>
      </c>
      <c r="Y18" s="219">
        <v>0</v>
      </c>
      <c r="Z18" s="219">
        <v>0</v>
      </c>
      <c r="AA18" s="219">
        <v>0</v>
      </c>
      <c r="AB18" s="219">
        <v>0</v>
      </c>
      <c r="AC18" s="225"/>
      <c r="AD18" s="247">
        <f t="shared" si="0"/>
        <v>5.4757015742642025E-3</v>
      </c>
      <c r="AE18" s="247">
        <f>IF(F18&gt;='Tables - Part 2'!$EY$13,'Tables - Part 2'!$EY$13,LOOKUP(F18,'Tables - Part 2'!$EY$5:$EY$13))</f>
        <v>-8</v>
      </c>
      <c r="AF18" s="247">
        <f>IF(F18&lt;='Tables - Part 2'!$EY$5,'Tables - Part 2'!$EY$5,IF(CUI_Ferritic!F18&lt;='Tables - Part 2'!$EY$6,'Tables - Part 2'!$EY$6,IF(CUI_Ferritic!F18&lt;='Tables - Part 2'!$EY$7,'Tables - Part 2'!$EY$7,IF(CUI_Ferritic!F18&lt;='Tables - Part 2'!$EY$8,'Tables - Part 2'!$EY$8,IF(CUI_Ferritic!F18&lt;='Tables - Part 2'!$EY$9,'Tables - Part 2'!$EY$9,IF(CUI_Ferritic!F18&lt;='Tables - Part 2'!$EY$10,'Tables - Part 2'!$EY$10,IF(CUI_Ferritic!F18&lt;='Tables - Part 2'!$EY$11,'Tables - Part 2'!$EY$11,IF(CUI_Ferritic!F18&gt;='Tables - Part 2'!$EY$11,'Tables - Part 2'!$EY$11,IF(CUI_Ferritic!F18&gt;='Tables - Part 2'!$EY$12,'Tables - Part 2'!$EY$12,IF(CUI_Ferritic!F18&gt;='Tables - Part 2'!$EY$13,'Tables - Part 2'!$EY$13))))))))))</f>
        <v>6</v>
      </c>
      <c r="AG18" s="256" t="e">
        <f>INDEX('Tables - Part 2'!$EZ$5:$FC$13,MATCH(CUI_Ferritic!AE18,'Tables - Part 2'!$EY$5:$EY$13,0),MATCH(CUI_Ferritic!N18,'Tables - Part 2'!$EZ$4:$FC$4,0))</f>
        <v>#N/A</v>
      </c>
      <c r="AH18" s="256" t="e">
        <f>INDEX('Tables - Part 2'!$EZ$5:$FC$13,MATCH(CUI_Ferritic!AF18,'Tables - Part 2'!$EY$5:$EY$13,0),MATCH(CUI_Ferritic!N18,'Tables - Part 2'!$EZ$4:$FC$4,0))</f>
        <v>#N/A</v>
      </c>
      <c r="AI18" s="256" t="e">
        <f>IF(F18&gt;'Tables - Part 2'!$EY$13,0,IF(AF18-AE18=0,INDEX('Tables - Part 2'!$EZ$5:$FC$13,MATCH(CUI_Ferritic!F18,'Tables - Part 2'!$EY$5:$EY$11,0),MATCH(CUI_Ferritic!N18,'Tables - Part 2'!$EZ$4:$FC$4,0)),((F18-AE18)*(AH18-AG18)/(AF18-AE18))+AG18))</f>
        <v>#N/A</v>
      </c>
      <c r="AJ18" s="256" t="e">
        <f t="shared" si="8"/>
        <v>#N/A</v>
      </c>
      <c r="AK18" s="248" t="e">
        <f>INDEX('Tables - Part 2'!$FF$4:$FF$10,MATCH(CUI_Ferritic!E18,'Tables - Part 2'!$FE$4:$FE$10,0))</f>
        <v>#N/A</v>
      </c>
      <c r="AL18" s="256">
        <f t="shared" si="1"/>
        <v>10</v>
      </c>
      <c r="AM18" s="496">
        <f t="shared" si="2"/>
        <v>5.4757015742642025E-3</v>
      </c>
      <c r="AN18" s="247">
        <f t="shared" si="9"/>
        <v>120.0082135523614</v>
      </c>
      <c r="AO18" s="247">
        <f t="shared" si="3"/>
        <v>0</v>
      </c>
      <c r="AP18" s="247">
        <f t="shared" si="4"/>
        <v>0</v>
      </c>
      <c r="AQ18" s="247">
        <f t="shared" si="10"/>
        <v>0</v>
      </c>
      <c r="AR18" s="247">
        <f t="shared" si="11"/>
        <v>5.4757015742642025E-3</v>
      </c>
      <c r="AS18" s="256" t="e">
        <f t="shared" si="12"/>
        <v>#N/A</v>
      </c>
      <c r="AT18" s="256">
        <f t="shared" si="13"/>
        <v>16.5</v>
      </c>
      <c r="AU18" s="256">
        <f>IF(OR(T18="",T18=0),(Thinning!AL19*Thinning!AM19)/(Thinning!AN19*CUI_Ferritic!AT18*CUI_Ferritic!AL18),(U18*V18*MIN(S18,T18))/(AT18*AL18))</f>
        <v>0</v>
      </c>
      <c r="AV18" s="238" t="e">
        <f>INDEX('Tables - Part 2'!$K$4:$M$4,,MATCH(AC18,'Tables - Part 2'!$K$3:$M$3,0))</f>
        <v>#N/A</v>
      </c>
      <c r="AW18" s="238" t="e">
        <f>INDEX('Tables - Part 2'!$K$5:$M$5,,MATCH(AC18,'Tables - Part 2'!$K$3:$M$3,0))</f>
        <v>#N/A</v>
      </c>
      <c r="AX18" s="238" t="e">
        <f>INDEX('Tables - Part 2'!$K$6:$M$6,,MATCH(AC18,'Tables - Part 2'!$K$3:$M$3,0))</f>
        <v>#N/A</v>
      </c>
      <c r="AY18" s="238">
        <v>0.9</v>
      </c>
      <c r="AZ18" s="238">
        <v>0.7</v>
      </c>
      <c r="BA18" s="238">
        <v>0.5</v>
      </c>
      <c r="BB18" s="238">
        <v>0.4</v>
      </c>
      <c r="BC18" s="238">
        <v>0.09</v>
      </c>
      <c r="BD18" s="238">
        <v>0.2</v>
      </c>
      <c r="BE18" s="238">
        <v>0.3</v>
      </c>
      <c r="BF18" s="238">
        <v>0.33</v>
      </c>
      <c r="BG18" s="238">
        <v>0.01</v>
      </c>
      <c r="BH18" s="238">
        <v>0.1</v>
      </c>
      <c r="BI18" s="238">
        <v>0.2</v>
      </c>
      <c r="BJ18" s="238">
        <v>0.27</v>
      </c>
      <c r="BK18" s="238" t="e">
        <f t="shared" si="14"/>
        <v>#N/A</v>
      </c>
      <c r="BL18" s="238" t="e">
        <f t="shared" si="15"/>
        <v>#N/A</v>
      </c>
      <c r="BM18" s="238" t="e">
        <f t="shared" si="16"/>
        <v>#N/A</v>
      </c>
      <c r="BN18" s="238" t="e">
        <f t="shared" si="17"/>
        <v>#N/A</v>
      </c>
      <c r="BO18" s="238" t="e">
        <f t="shared" si="5"/>
        <v>#N/A</v>
      </c>
      <c r="BP18" s="238" t="e">
        <f t="shared" si="5"/>
        <v>#N/A</v>
      </c>
      <c r="BQ18" s="238" t="e">
        <f t="shared" si="18"/>
        <v>#N/A</v>
      </c>
      <c r="BR18" s="238" t="e">
        <f t="shared" si="6"/>
        <v>#N/A</v>
      </c>
      <c r="BS18" s="238" t="e">
        <f t="shared" si="6"/>
        <v>#N/A</v>
      </c>
      <c r="BT18" s="238" t="e">
        <f t="shared" si="7"/>
        <v>#N/A</v>
      </c>
    </row>
    <row r="19" spans="2:72" x14ac:dyDescent="0.35">
      <c r="B19" s="161" t="str">
        <f>'Tratamento de Dados'!B27</f>
        <v>V-8</v>
      </c>
      <c r="C19" s="161" t="str">
        <f>'Tratamento de Dados'!D27</f>
        <v>Casco</v>
      </c>
      <c r="D19" s="161">
        <f>'Tratamento de Dados'!BX27</f>
        <v>0</v>
      </c>
      <c r="E19" s="161"/>
      <c r="F19" s="161">
        <f>'Tratamento de Dados'!S27</f>
        <v>2</v>
      </c>
      <c r="G19" s="209">
        <f>Thinning!E20</f>
        <v>10</v>
      </c>
      <c r="H19" s="210">
        <f>Thinning!F20</f>
        <v>43831</v>
      </c>
      <c r="I19" s="210">
        <f>Thinning!G20</f>
        <v>43833</v>
      </c>
      <c r="J19" s="210">
        <f>'Tratamento de Dados'!BZ27</f>
        <v>0</v>
      </c>
      <c r="K19" s="209">
        <f>'Tratamento de Dados'!CB27</f>
        <v>0</v>
      </c>
      <c r="L19" s="210">
        <f>'Tratamento de Dados'!CC27</f>
        <v>0</v>
      </c>
      <c r="M19" s="209">
        <f>'Tratamento de Dados'!CD27</f>
        <v>0</v>
      </c>
      <c r="N19" s="209">
        <f>'Tratamento de Dados'!CE27</f>
        <v>0</v>
      </c>
      <c r="O19" s="209"/>
      <c r="P19" s="209"/>
      <c r="Q19" s="209"/>
      <c r="R19" s="209"/>
      <c r="S19" s="209">
        <f>Thinning!N20</f>
        <v>2</v>
      </c>
      <c r="T19" s="218">
        <f>Thinning!O20</f>
        <v>0</v>
      </c>
      <c r="U19" s="218">
        <f>Thinning!T20</f>
        <v>0</v>
      </c>
      <c r="V19" s="209">
        <f>Thinning!R20</f>
        <v>1</v>
      </c>
      <c r="W19" s="209">
        <f>Thinning!P20</f>
        <v>10</v>
      </c>
      <c r="X19" s="209">
        <f>Thinning!Q20</f>
        <v>20</v>
      </c>
      <c r="Y19" s="219">
        <v>0</v>
      </c>
      <c r="Z19" s="219">
        <v>0</v>
      </c>
      <c r="AA19" s="219">
        <v>0</v>
      </c>
      <c r="AB19" s="219">
        <v>0</v>
      </c>
      <c r="AC19" s="225"/>
      <c r="AD19" s="247">
        <f t="shared" si="0"/>
        <v>5.4757015742642025E-3</v>
      </c>
      <c r="AE19" s="247">
        <f>IF(F19&gt;='Tables - Part 2'!$EY$13,'Tables - Part 2'!$EY$13,LOOKUP(F19,'Tables - Part 2'!$EY$5:$EY$13))</f>
        <v>-8</v>
      </c>
      <c r="AF19" s="247">
        <f>IF(F19&lt;='Tables - Part 2'!$EY$5,'Tables - Part 2'!$EY$5,IF(CUI_Ferritic!F19&lt;='Tables - Part 2'!$EY$6,'Tables - Part 2'!$EY$6,IF(CUI_Ferritic!F19&lt;='Tables - Part 2'!$EY$7,'Tables - Part 2'!$EY$7,IF(CUI_Ferritic!F19&lt;='Tables - Part 2'!$EY$8,'Tables - Part 2'!$EY$8,IF(CUI_Ferritic!F19&lt;='Tables - Part 2'!$EY$9,'Tables - Part 2'!$EY$9,IF(CUI_Ferritic!F19&lt;='Tables - Part 2'!$EY$10,'Tables - Part 2'!$EY$10,IF(CUI_Ferritic!F19&lt;='Tables - Part 2'!$EY$11,'Tables - Part 2'!$EY$11,IF(CUI_Ferritic!F19&gt;='Tables - Part 2'!$EY$11,'Tables - Part 2'!$EY$11,IF(CUI_Ferritic!F19&gt;='Tables - Part 2'!$EY$12,'Tables - Part 2'!$EY$12,IF(CUI_Ferritic!F19&gt;='Tables - Part 2'!$EY$13,'Tables - Part 2'!$EY$13))))))))))</f>
        <v>6</v>
      </c>
      <c r="AG19" s="256" t="e">
        <f>INDEX('Tables - Part 2'!$EZ$5:$FC$13,MATCH(CUI_Ferritic!AE19,'Tables - Part 2'!$EY$5:$EY$13,0),MATCH(CUI_Ferritic!N19,'Tables - Part 2'!$EZ$4:$FC$4,0))</f>
        <v>#N/A</v>
      </c>
      <c r="AH19" s="256" t="e">
        <f>INDEX('Tables - Part 2'!$EZ$5:$FC$13,MATCH(CUI_Ferritic!AF19,'Tables - Part 2'!$EY$5:$EY$13,0),MATCH(CUI_Ferritic!N19,'Tables - Part 2'!$EZ$4:$FC$4,0))</f>
        <v>#N/A</v>
      </c>
      <c r="AI19" s="256" t="e">
        <f>IF(F19&gt;'Tables - Part 2'!$EY$13,0,IF(AF19-AE19=0,INDEX('Tables - Part 2'!$EZ$5:$FC$13,MATCH(CUI_Ferritic!F19,'Tables - Part 2'!$EY$5:$EY$11,0),MATCH(CUI_Ferritic!N19,'Tables - Part 2'!$EZ$4:$FC$4,0)),((F19-AE19)*(AH19-AG19)/(AF19-AE19))+AG19))</f>
        <v>#N/A</v>
      </c>
      <c r="AJ19" s="256" t="e">
        <f t="shared" si="8"/>
        <v>#N/A</v>
      </c>
      <c r="AK19" s="248" t="e">
        <f>INDEX('Tables - Part 2'!$FF$4:$FF$10,MATCH(CUI_Ferritic!E19,'Tables - Part 2'!$FE$4:$FE$10,0))</f>
        <v>#N/A</v>
      </c>
      <c r="AL19" s="256">
        <f t="shared" si="1"/>
        <v>10</v>
      </c>
      <c r="AM19" s="496">
        <f t="shared" si="2"/>
        <v>5.4757015742642025E-3</v>
      </c>
      <c r="AN19" s="247">
        <f t="shared" si="9"/>
        <v>120.0082135523614</v>
      </c>
      <c r="AO19" s="247">
        <f t="shared" si="3"/>
        <v>0</v>
      </c>
      <c r="AP19" s="247">
        <f t="shared" si="4"/>
        <v>0</v>
      </c>
      <c r="AQ19" s="247">
        <f t="shared" si="10"/>
        <v>0</v>
      </c>
      <c r="AR19" s="247">
        <f t="shared" si="11"/>
        <v>5.4757015742642025E-3</v>
      </c>
      <c r="AS19" s="256" t="e">
        <f t="shared" si="12"/>
        <v>#N/A</v>
      </c>
      <c r="AT19" s="256">
        <f t="shared" si="13"/>
        <v>16.5</v>
      </c>
      <c r="AU19" s="256">
        <f>IF(OR(T19="",T19=0),(Thinning!AL20*Thinning!AM20)/(Thinning!AN20*CUI_Ferritic!AT19*CUI_Ferritic!AL19),(U19*V19*MIN(S19,T19))/(AT19*AL19))</f>
        <v>0</v>
      </c>
      <c r="AV19" s="238" t="e">
        <f>INDEX('Tables - Part 2'!$K$4:$M$4,,MATCH(AC19,'Tables - Part 2'!$K$3:$M$3,0))</f>
        <v>#N/A</v>
      </c>
      <c r="AW19" s="238" t="e">
        <f>INDEX('Tables - Part 2'!$K$5:$M$5,,MATCH(AC19,'Tables - Part 2'!$K$3:$M$3,0))</f>
        <v>#N/A</v>
      </c>
      <c r="AX19" s="238" t="e">
        <f>INDEX('Tables - Part 2'!$K$6:$M$6,,MATCH(AC19,'Tables - Part 2'!$K$3:$M$3,0))</f>
        <v>#N/A</v>
      </c>
      <c r="AY19" s="238">
        <v>0.9</v>
      </c>
      <c r="AZ19" s="238">
        <v>0.7</v>
      </c>
      <c r="BA19" s="238">
        <v>0.5</v>
      </c>
      <c r="BB19" s="238">
        <v>0.4</v>
      </c>
      <c r="BC19" s="238">
        <v>0.09</v>
      </c>
      <c r="BD19" s="238">
        <v>0.2</v>
      </c>
      <c r="BE19" s="238">
        <v>0.3</v>
      </c>
      <c r="BF19" s="238">
        <v>0.33</v>
      </c>
      <c r="BG19" s="238">
        <v>0.01</v>
      </c>
      <c r="BH19" s="238">
        <v>0.1</v>
      </c>
      <c r="BI19" s="238">
        <v>0.2</v>
      </c>
      <c r="BJ19" s="238">
        <v>0.27</v>
      </c>
      <c r="BK19" s="238" t="e">
        <f t="shared" si="14"/>
        <v>#N/A</v>
      </c>
      <c r="BL19" s="238" t="e">
        <f t="shared" si="15"/>
        <v>#N/A</v>
      </c>
      <c r="BM19" s="238" t="e">
        <f t="shared" si="16"/>
        <v>#N/A</v>
      </c>
      <c r="BN19" s="238" t="e">
        <f t="shared" si="17"/>
        <v>#N/A</v>
      </c>
      <c r="BO19" s="238" t="e">
        <f t="shared" si="5"/>
        <v>#N/A</v>
      </c>
      <c r="BP19" s="238" t="e">
        <f t="shared" si="5"/>
        <v>#N/A</v>
      </c>
      <c r="BQ19" s="238" t="e">
        <f t="shared" si="18"/>
        <v>#N/A</v>
      </c>
      <c r="BR19" s="238" t="e">
        <f t="shared" si="6"/>
        <v>#N/A</v>
      </c>
      <c r="BS19" s="238" t="e">
        <f t="shared" si="6"/>
        <v>#N/A</v>
      </c>
      <c r="BT19" s="238" t="e">
        <f t="shared" si="7"/>
        <v>#N/A</v>
      </c>
    </row>
    <row r="20" spans="2:72" x14ac:dyDescent="0.35">
      <c r="B20" s="161" t="str">
        <f>'Tratamento de Dados'!B28</f>
        <v>V-90</v>
      </c>
      <c r="C20" s="161" t="str">
        <f>'Tratamento de Dados'!D28</f>
        <v>Casco</v>
      </c>
      <c r="D20" s="161">
        <f>'Tratamento de Dados'!BX28</f>
        <v>0</v>
      </c>
      <c r="E20" s="161"/>
      <c r="F20" s="161">
        <f>'Tratamento de Dados'!S28</f>
        <v>2</v>
      </c>
      <c r="G20" s="209">
        <f>Thinning!E21</f>
        <v>10</v>
      </c>
      <c r="H20" s="210">
        <f>Thinning!F21</f>
        <v>43831</v>
      </c>
      <c r="I20" s="210">
        <f>Thinning!G21</f>
        <v>43833</v>
      </c>
      <c r="J20" s="210">
        <f>'Tratamento de Dados'!BZ28</f>
        <v>0</v>
      </c>
      <c r="K20" s="209">
        <f>'Tratamento de Dados'!CB28</f>
        <v>0</v>
      </c>
      <c r="L20" s="210">
        <f>'Tratamento de Dados'!CC28</f>
        <v>0</v>
      </c>
      <c r="M20" s="209">
        <f>'Tratamento de Dados'!CD28</f>
        <v>0</v>
      </c>
      <c r="N20" s="209">
        <f>'Tratamento de Dados'!CE28</f>
        <v>0</v>
      </c>
      <c r="O20" s="209"/>
      <c r="P20" s="209"/>
      <c r="Q20" s="209"/>
      <c r="R20" s="209"/>
      <c r="S20" s="209">
        <f>Thinning!N21</f>
        <v>2</v>
      </c>
      <c r="T20" s="218">
        <f>Thinning!O21</f>
        <v>0</v>
      </c>
      <c r="U20" s="218">
        <f>Thinning!T21</f>
        <v>0</v>
      </c>
      <c r="V20" s="209">
        <f>Thinning!R21</f>
        <v>1</v>
      </c>
      <c r="W20" s="209">
        <f>Thinning!P21</f>
        <v>10</v>
      </c>
      <c r="X20" s="209">
        <f>Thinning!Q21</f>
        <v>20</v>
      </c>
      <c r="Y20" s="219">
        <v>0</v>
      </c>
      <c r="Z20" s="219">
        <v>0</v>
      </c>
      <c r="AA20" s="219">
        <v>0</v>
      </c>
      <c r="AB20" s="219">
        <v>0</v>
      </c>
      <c r="AC20" s="225"/>
      <c r="AD20" s="247">
        <f t="shared" si="0"/>
        <v>5.4757015742642025E-3</v>
      </c>
      <c r="AE20" s="247">
        <f>IF(F20&gt;='Tables - Part 2'!$EY$13,'Tables - Part 2'!$EY$13,LOOKUP(F20,'Tables - Part 2'!$EY$5:$EY$13))</f>
        <v>-8</v>
      </c>
      <c r="AF20" s="247">
        <f>IF(F20&lt;='Tables - Part 2'!$EY$5,'Tables - Part 2'!$EY$5,IF(CUI_Ferritic!F20&lt;='Tables - Part 2'!$EY$6,'Tables - Part 2'!$EY$6,IF(CUI_Ferritic!F20&lt;='Tables - Part 2'!$EY$7,'Tables - Part 2'!$EY$7,IF(CUI_Ferritic!F20&lt;='Tables - Part 2'!$EY$8,'Tables - Part 2'!$EY$8,IF(CUI_Ferritic!F20&lt;='Tables - Part 2'!$EY$9,'Tables - Part 2'!$EY$9,IF(CUI_Ferritic!F20&lt;='Tables - Part 2'!$EY$10,'Tables - Part 2'!$EY$10,IF(CUI_Ferritic!F20&lt;='Tables - Part 2'!$EY$11,'Tables - Part 2'!$EY$11,IF(CUI_Ferritic!F20&gt;='Tables - Part 2'!$EY$11,'Tables - Part 2'!$EY$11,IF(CUI_Ferritic!F20&gt;='Tables - Part 2'!$EY$12,'Tables - Part 2'!$EY$12,IF(CUI_Ferritic!F20&gt;='Tables - Part 2'!$EY$13,'Tables - Part 2'!$EY$13))))))))))</f>
        <v>6</v>
      </c>
      <c r="AG20" s="256" t="e">
        <f>INDEX('Tables - Part 2'!$EZ$5:$FC$13,MATCH(CUI_Ferritic!AE20,'Tables - Part 2'!$EY$5:$EY$13,0),MATCH(CUI_Ferritic!N20,'Tables - Part 2'!$EZ$4:$FC$4,0))</f>
        <v>#N/A</v>
      </c>
      <c r="AH20" s="256" t="e">
        <f>INDEX('Tables - Part 2'!$EZ$5:$FC$13,MATCH(CUI_Ferritic!AF20,'Tables - Part 2'!$EY$5:$EY$13,0),MATCH(CUI_Ferritic!N20,'Tables - Part 2'!$EZ$4:$FC$4,0))</f>
        <v>#N/A</v>
      </c>
      <c r="AI20" s="256" t="e">
        <f>IF(F20&gt;'Tables - Part 2'!$EY$13,0,IF(AF20-AE20=0,INDEX('Tables - Part 2'!$EZ$5:$FC$13,MATCH(CUI_Ferritic!F20,'Tables - Part 2'!$EY$5:$EY$11,0),MATCH(CUI_Ferritic!N20,'Tables - Part 2'!$EZ$4:$FC$4,0)),((F20-AE20)*(AH20-AG20)/(AF20-AE20))+AG20))</f>
        <v>#N/A</v>
      </c>
      <c r="AJ20" s="256" t="e">
        <f t="shared" si="8"/>
        <v>#N/A</v>
      </c>
      <c r="AK20" s="248" t="e">
        <f>INDEX('Tables - Part 2'!$FF$4:$FF$10,MATCH(CUI_Ferritic!E20,'Tables - Part 2'!$FE$4:$FE$10,0))</f>
        <v>#N/A</v>
      </c>
      <c r="AL20" s="256">
        <f t="shared" si="1"/>
        <v>10</v>
      </c>
      <c r="AM20" s="496">
        <f t="shared" si="2"/>
        <v>5.4757015742642025E-3</v>
      </c>
      <c r="AN20" s="247">
        <f t="shared" si="9"/>
        <v>120.0082135523614</v>
      </c>
      <c r="AO20" s="247">
        <f t="shared" si="3"/>
        <v>0</v>
      </c>
      <c r="AP20" s="247">
        <f t="shared" si="4"/>
        <v>0</v>
      </c>
      <c r="AQ20" s="247">
        <f t="shared" si="10"/>
        <v>0</v>
      </c>
      <c r="AR20" s="247">
        <f t="shared" si="11"/>
        <v>5.4757015742642025E-3</v>
      </c>
      <c r="AS20" s="256" t="e">
        <f t="shared" si="12"/>
        <v>#N/A</v>
      </c>
      <c r="AT20" s="256">
        <f t="shared" si="13"/>
        <v>16.5</v>
      </c>
      <c r="AU20" s="256">
        <f>IF(OR(T20="",T20=0),(Thinning!AL21*Thinning!AM21)/(Thinning!AN21*CUI_Ferritic!AT20*CUI_Ferritic!AL20),(U20*V20*MIN(S20,T20))/(AT20*AL20))</f>
        <v>0</v>
      </c>
      <c r="AV20" s="238" t="e">
        <f>INDEX('Tables - Part 2'!$K$4:$M$4,,MATCH(AC20,'Tables - Part 2'!$K$3:$M$3,0))</f>
        <v>#N/A</v>
      </c>
      <c r="AW20" s="238" t="e">
        <f>INDEX('Tables - Part 2'!$K$5:$M$5,,MATCH(AC20,'Tables - Part 2'!$K$3:$M$3,0))</f>
        <v>#N/A</v>
      </c>
      <c r="AX20" s="238" t="e">
        <f>INDEX('Tables - Part 2'!$K$6:$M$6,,MATCH(AC20,'Tables - Part 2'!$K$3:$M$3,0))</f>
        <v>#N/A</v>
      </c>
      <c r="AY20" s="238">
        <v>0.9</v>
      </c>
      <c r="AZ20" s="238">
        <v>0.7</v>
      </c>
      <c r="BA20" s="238">
        <v>0.5</v>
      </c>
      <c r="BB20" s="238">
        <v>0.4</v>
      </c>
      <c r="BC20" s="238">
        <v>0.09</v>
      </c>
      <c r="BD20" s="238">
        <v>0.2</v>
      </c>
      <c r="BE20" s="238">
        <v>0.3</v>
      </c>
      <c r="BF20" s="238">
        <v>0.33</v>
      </c>
      <c r="BG20" s="238">
        <v>0.01</v>
      </c>
      <c r="BH20" s="238">
        <v>0.1</v>
      </c>
      <c r="BI20" s="238">
        <v>0.2</v>
      </c>
      <c r="BJ20" s="238">
        <v>0.27</v>
      </c>
      <c r="BK20" s="238" t="e">
        <f t="shared" si="14"/>
        <v>#N/A</v>
      </c>
      <c r="BL20" s="238" t="e">
        <f t="shared" si="15"/>
        <v>#N/A</v>
      </c>
      <c r="BM20" s="238" t="e">
        <f t="shared" si="16"/>
        <v>#N/A</v>
      </c>
      <c r="BN20" s="238" t="e">
        <f t="shared" si="17"/>
        <v>#N/A</v>
      </c>
      <c r="BO20" s="238" t="e">
        <f t="shared" si="17"/>
        <v>#N/A</v>
      </c>
      <c r="BP20" s="238" t="e">
        <f t="shared" si="17"/>
        <v>#N/A</v>
      </c>
      <c r="BQ20" s="238" t="e">
        <f t="shared" si="18"/>
        <v>#N/A</v>
      </c>
      <c r="BR20" s="238" t="e">
        <f t="shared" si="18"/>
        <v>#N/A</v>
      </c>
      <c r="BS20" s="238" t="e">
        <f t="shared" si="18"/>
        <v>#N/A</v>
      </c>
      <c r="BT20" s="238" t="e">
        <f t="shared" si="7"/>
        <v>#N/A</v>
      </c>
    </row>
    <row r="21" spans="2:72" x14ac:dyDescent="0.35">
      <c r="B21" s="161" t="str">
        <f>'Tratamento de Dados'!B29</f>
        <v>V-9</v>
      </c>
      <c r="C21" s="161" t="str">
        <f>'Tratamento de Dados'!D29</f>
        <v>Casco</v>
      </c>
      <c r="D21" s="161">
        <f>'Tratamento de Dados'!BX29</f>
        <v>0</v>
      </c>
      <c r="E21" s="161"/>
      <c r="F21" s="161">
        <f>'Tratamento de Dados'!S29</f>
        <v>2</v>
      </c>
      <c r="G21" s="209">
        <f>Thinning!E22</f>
        <v>10</v>
      </c>
      <c r="H21" s="210">
        <f>Thinning!F22</f>
        <v>43831</v>
      </c>
      <c r="I21" s="210">
        <f>Thinning!G22</f>
        <v>43833</v>
      </c>
      <c r="J21" s="210">
        <f>'Tratamento de Dados'!BZ29</f>
        <v>0</v>
      </c>
      <c r="K21" s="209">
        <f>'Tratamento de Dados'!CB29</f>
        <v>0</v>
      </c>
      <c r="L21" s="210">
        <f>'Tratamento de Dados'!CC29</f>
        <v>0</v>
      </c>
      <c r="M21" s="209">
        <f>'Tratamento de Dados'!CD29</f>
        <v>0</v>
      </c>
      <c r="N21" s="209">
        <f>'Tratamento de Dados'!CE29</f>
        <v>0</v>
      </c>
      <c r="O21" s="209"/>
      <c r="P21" s="209"/>
      <c r="Q21" s="209"/>
      <c r="R21" s="209"/>
      <c r="S21" s="209">
        <f>Thinning!N22</f>
        <v>2</v>
      </c>
      <c r="T21" s="218">
        <f>Thinning!O22</f>
        <v>0</v>
      </c>
      <c r="U21" s="218">
        <f>Thinning!T22</f>
        <v>0</v>
      </c>
      <c r="V21" s="209">
        <f>Thinning!R22</f>
        <v>1</v>
      </c>
      <c r="W21" s="209">
        <f>Thinning!P22</f>
        <v>10</v>
      </c>
      <c r="X21" s="209">
        <f>Thinning!Q22</f>
        <v>20</v>
      </c>
      <c r="Y21" s="219">
        <v>0</v>
      </c>
      <c r="Z21" s="219">
        <v>0</v>
      </c>
      <c r="AA21" s="219">
        <v>0</v>
      </c>
      <c r="AB21" s="219">
        <v>0</v>
      </c>
      <c r="AC21" s="225"/>
      <c r="AD21" s="247">
        <f t="shared" si="0"/>
        <v>5.4757015742642025E-3</v>
      </c>
      <c r="AE21" s="247">
        <f>IF(F21&gt;='Tables - Part 2'!$EY$13,'Tables - Part 2'!$EY$13,LOOKUP(F21,'Tables - Part 2'!$EY$5:$EY$13))</f>
        <v>-8</v>
      </c>
      <c r="AF21" s="247">
        <f>IF(F21&lt;='Tables - Part 2'!$EY$5,'Tables - Part 2'!$EY$5,IF(CUI_Ferritic!F21&lt;='Tables - Part 2'!$EY$6,'Tables - Part 2'!$EY$6,IF(CUI_Ferritic!F21&lt;='Tables - Part 2'!$EY$7,'Tables - Part 2'!$EY$7,IF(CUI_Ferritic!F21&lt;='Tables - Part 2'!$EY$8,'Tables - Part 2'!$EY$8,IF(CUI_Ferritic!F21&lt;='Tables - Part 2'!$EY$9,'Tables - Part 2'!$EY$9,IF(CUI_Ferritic!F21&lt;='Tables - Part 2'!$EY$10,'Tables - Part 2'!$EY$10,IF(CUI_Ferritic!F21&lt;='Tables - Part 2'!$EY$11,'Tables - Part 2'!$EY$11,IF(CUI_Ferritic!F21&gt;='Tables - Part 2'!$EY$11,'Tables - Part 2'!$EY$11,IF(CUI_Ferritic!F21&gt;='Tables - Part 2'!$EY$12,'Tables - Part 2'!$EY$12,IF(CUI_Ferritic!F21&gt;='Tables - Part 2'!$EY$13,'Tables - Part 2'!$EY$13))))))))))</f>
        <v>6</v>
      </c>
      <c r="AG21" s="256" t="e">
        <f>INDEX('Tables - Part 2'!$EZ$5:$FC$13,MATCH(CUI_Ferritic!AE21,'Tables - Part 2'!$EY$5:$EY$13,0),MATCH(CUI_Ferritic!N21,'Tables - Part 2'!$EZ$4:$FC$4,0))</f>
        <v>#N/A</v>
      </c>
      <c r="AH21" s="256" t="e">
        <f>INDEX('Tables - Part 2'!$EZ$5:$FC$13,MATCH(CUI_Ferritic!AF21,'Tables - Part 2'!$EY$5:$EY$13,0),MATCH(CUI_Ferritic!N21,'Tables - Part 2'!$EZ$4:$FC$4,0))</f>
        <v>#N/A</v>
      </c>
      <c r="AI21" s="256" t="e">
        <f>IF(F21&gt;'Tables - Part 2'!$EY$13,0,IF(AF21-AE21=0,INDEX('Tables - Part 2'!$EZ$5:$FC$13,MATCH(CUI_Ferritic!F21,'Tables - Part 2'!$EY$5:$EY$11,0),MATCH(CUI_Ferritic!N21,'Tables - Part 2'!$EZ$4:$FC$4,0)),((F21-AE21)*(AH21-AG21)/(AF21-AE21))+AG21))</f>
        <v>#N/A</v>
      </c>
      <c r="AJ21" s="256" t="e">
        <f t="shared" si="8"/>
        <v>#N/A</v>
      </c>
      <c r="AK21" s="248" t="e">
        <f>INDEX('Tables - Part 2'!$FF$4:$FF$10,MATCH(CUI_Ferritic!E21,'Tables - Part 2'!$FE$4:$FE$10,0))</f>
        <v>#N/A</v>
      </c>
      <c r="AL21" s="256">
        <f t="shared" si="1"/>
        <v>10</v>
      </c>
      <c r="AM21" s="496">
        <f t="shared" si="2"/>
        <v>5.4757015742642025E-3</v>
      </c>
      <c r="AN21" s="247">
        <f t="shared" si="9"/>
        <v>120.0082135523614</v>
      </c>
      <c r="AO21" s="247">
        <f t="shared" si="3"/>
        <v>0</v>
      </c>
      <c r="AP21" s="247">
        <f t="shared" si="4"/>
        <v>0</v>
      </c>
      <c r="AQ21" s="247">
        <f t="shared" si="10"/>
        <v>0</v>
      </c>
      <c r="AR21" s="247">
        <f t="shared" si="11"/>
        <v>5.4757015742642025E-3</v>
      </c>
      <c r="AS21" s="256" t="e">
        <f t="shared" si="12"/>
        <v>#N/A</v>
      </c>
      <c r="AT21" s="256">
        <f t="shared" si="13"/>
        <v>16.5</v>
      </c>
      <c r="AU21" s="256">
        <f>IF(OR(T21="",T21=0),(Thinning!AL22*Thinning!AM22)/(Thinning!AN22*CUI_Ferritic!AT21*CUI_Ferritic!AL21),(U21*V21*MIN(S21,T21))/(AT21*AL21))</f>
        <v>0</v>
      </c>
      <c r="AV21" s="238" t="e">
        <f>INDEX('Tables - Part 2'!$K$4:$M$4,,MATCH(AC21,'Tables - Part 2'!$K$3:$M$3,0))</f>
        <v>#N/A</v>
      </c>
      <c r="AW21" s="238" t="e">
        <f>INDEX('Tables - Part 2'!$K$5:$M$5,,MATCH(AC21,'Tables - Part 2'!$K$3:$M$3,0))</f>
        <v>#N/A</v>
      </c>
      <c r="AX21" s="238" t="e">
        <f>INDEX('Tables - Part 2'!$K$6:$M$6,,MATCH(AC21,'Tables - Part 2'!$K$3:$M$3,0))</f>
        <v>#N/A</v>
      </c>
      <c r="AY21" s="238">
        <v>0.9</v>
      </c>
      <c r="AZ21" s="238">
        <v>0.7</v>
      </c>
      <c r="BA21" s="238">
        <v>0.5</v>
      </c>
      <c r="BB21" s="238">
        <v>0.4</v>
      </c>
      <c r="BC21" s="238">
        <v>0.09</v>
      </c>
      <c r="BD21" s="238">
        <v>0.2</v>
      </c>
      <c r="BE21" s="238">
        <v>0.3</v>
      </c>
      <c r="BF21" s="238">
        <v>0.33</v>
      </c>
      <c r="BG21" s="238">
        <v>0.01</v>
      </c>
      <c r="BH21" s="238">
        <v>0.1</v>
      </c>
      <c r="BI21" s="238">
        <v>0.2</v>
      </c>
      <c r="BJ21" s="238">
        <v>0.27</v>
      </c>
      <c r="BK21" s="238" t="e">
        <f t="shared" si="14"/>
        <v>#N/A</v>
      </c>
      <c r="BL21" s="238" t="e">
        <f t="shared" si="15"/>
        <v>#N/A</v>
      </c>
      <c r="BM21" s="238" t="e">
        <f t="shared" si="16"/>
        <v>#N/A</v>
      </c>
      <c r="BN21" s="238" t="e">
        <f t="shared" si="17"/>
        <v>#N/A</v>
      </c>
      <c r="BO21" s="238" t="e">
        <f t="shared" si="17"/>
        <v>#N/A</v>
      </c>
      <c r="BP21" s="238" t="e">
        <f t="shared" si="17"/>
        <v>#N/A</v>
      </c>
      <c r="BQ21" s="238" t="e">
        <f t="shared" si="18"/>
        <v>#N/A</v>
      </c>
      <c r="BR21" s="238" t="e">
        <f t="shared" si="18"/>
        <v>#N/A</v>
      </c>
      <c r="BS21" s="238" t="e">
        <f t="shared" si="18"/>
        <v>#N/A</v>
      </c>
      <c r="BT21" s="238" t="e">
        <f t="shared" si="7"/>
        <v>#N/A</v>
      </c>
    </row>
  </sheetData>
  <mergeCells count="11">
    <mergeCell ref="G2:I2"/>
    <mergeCell ref="J2:K2"/>
    <mergeCell ref="S2:V2"/>
    <mergeCell ref="W2:X2"/>
    <mergeCell ref="BQ2:BS2"/>
    <mergeCell ref="Y2:AB2"/>
    <mergeCell ref="AE2:AJ2"/>
    <mergeCell ref="AL2:AM2"/>
    <mergeCell ref="AO2:AQ2"/>
    <mergeCell ref="AV2:BM2"/>
    <mergeCell ref="BN2:BP2"/>
  </mergeCells>
  <dataValidations count="3">
    <dataValidation type="list" allowBlank="1" showInputMessage="1" showErrorMessage="1" sqref="Q4:R21" xr:uid="{00000000-0002-0000-1900-000000000000}">
      <formula1>$BZ$2:$BZ$3</formula1>
    </dataValidation>
    <dataValidation type="list" allowBlank="1" showInputMessage="1" showErrorMessage="1" sqref="P4:P21" xr:uid="{00000000-0002-0000-1900-000001000000}">
      <formula1>$CP$3:$CP$5</formula1>
    </dataValidation>
    <dataValidation type="list" allowBlank="1" showInputMessage="1" showErrorMessage="1" sqref="O4:O21" xr:uid="{00000000-0002-0000-1900-000002000000}">
      <formula1>$CO$3:$CO$5</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900-000003000000}">
          <x14:formula1>
            <xm:f>'Tables - Part 2'!$K$3:$M$3</xm:f>
          </x14:formula1>
          <xm:sqref>AC4:AC21</xm:sqref>
        </x14:dataValidation>
        <x14:dataValidation type="list" allowBlank="1" showInputMessage="1" showErrorMessage="1" xr:uid="{00000000-0002-0000-1900-000004000000}">
          <x14:formula1>
            <xm:f>'Tables - Part 2'!$FE$4:$FE$10</xm:f>
          </x14:formula1>
          <xm:sqref>E4:E21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30">
    <tabColor rgb="FFFFFF00"/>
  </sheetPr>
  <dimension ref="B1:CI21"/>
  <sheetViews>
    <sheetView zoomScale="70" zoomScaleNormal="70" workbookViewId="0">
      <selection activeCell="G4" sqref="G4"/>
    </sheetView>
  </sheetViews>
  <sheetFormatPr defaultRowHeight="14.5" x14ac:dyDescent="0.35"/>
  <cols>
    <col min="1" max="1" width="1.26953125" customWidth="1"/>
    <col min="2" max="3" width="18.26953125" customWidth="1"/>
    <col min="4" max="4" width="21.26953125" customWidth="1"/>
    <col min="5" max="5" width="10.453125" customWidth="1"/>
    <col min="6" max="9" width="21.7265625" customWidth="1"/>
    <col min="10" max="10" width="23.54296875" customWidth="1"/>
    <col min="11" max="11" width="22.7265625" customWidth="1"/>
    <col min="12" max="12" width="33.26953125" customWidth="1"/>
    <col min="13" max="13" width="14.7265625" customWidth="1"/>
    <col min="14" max="14" width="13.453125" customWidth="1"/>
    <col min="15" max="17" width="12.81640625" customWidth="1"/>
    <col min="18" max="18" width="16.1796875" customWidth="1"/>
    <col min="19" max="19" width="12.81640625" customWidth="1"/>
    <col min="20" max="20" width="16.453125" customWidth="1"/>
    <col min="21" max="22" width="12.1796875" customWidth="1"/>
    <col min="23" max="23" width="25.81640625" bestFit="1" customWidth="1"/>
    <col min="24" max="24" width="11" customWidth="1"/>
    <col min="25" max="34" width="19.81640625" customWidth="1"/>
    <col min="35" max="35" width="5.7265625" bestFit="1" customWidth="1"/>
    <col min="36" max="36" width="6" customWidth="1"/>
    <col min="37" max="37" width="5.54296875" customWidth="1"/>
    <col min="38" max="38" width="6.7265625" customWidth="1"/>
    <col min="39" max="39" width="6" customWidth="1"/>
    <col min="40" max="40" width="6.7265625" customWidth="1"/>
    <col min="41" max="41" width="5.54296875" customWidth="1"/>
    <col min="42" max="42" width="6" customWidth="1"/>
    <col min="43" max="43" width="5.7265625" bestFit="1" customWidth="1"/>
    <col min="44" max="44" width="6.7265625" customWidth="1"/>
    <col min="45" max="45" width="6" customWidth="1"/>
    <col min="46" max="46" width="6.7265625" customWidth="1"/>
    <col min="47" max="47" width="6" bestFit="1" customWidth="1"/>
    <col min="48" max="48" width="6" customWidth="1"/>
    <col min="49" max="49" width="5.54296875" customWidth="1"/>
    <col min="50" max="50" width="6.7265625" customWidth="1"/>
    <col min="51" max="51" width="6" customWidth="1"/>
    <col min="52" max="52" width="6.7265625" customWidth="1"/>
    <col min="53" max="55" width="6" customWidth="1"/>
    <col min="56" max="56" width="6.7265625" customWidth="1"/>
    <col min="57" max="57" width="6" customWidth="1"/>
    <col min="58" max="58" width="6.7265625" customWidth="1"/>
    <col min="59" max="61" width="6" customWidth="1"/>
    <col min="62" max="62" width="6.7265625" customWidth="1"/>
    <col min="63" max="63" width="6" customWidth="1"/>
    <col min="64" max="64" width="6.7265625" customWidth="1"/>
    <col min="65" max="67" width="6" customWidth="1"/>
    <col min="68" max="68" width="6.7265625" customWidth="1"/>
    <col min="69" max="69" width="6" customWidth="1"/>
    <col min="70" max="70" width="6.7265625" customWidth="1"/>
    <col min="71" max="71" width="4.81640625" customWidth="1"/>
    <col min="72" max="72" width="6" customWidth="1"/>
    <col min="73" max="73" width="5.54296875" customWidth="1"/>
    <col min="74" max="74" width="6.7265625" customWidth="1"/>
    <col min="75" max="76" width="4.81640625" customWidth="1"/>
    <col min="77" max="77" width="24.81640625" bestFit="1" customWidth="1"/>
    <col min="78" max="78" width="23" bestFit="1" customWidth="1"/>
    <col min="79" max="80" width="9.1796875" customWidth="1"/>
    <col min="81" max="81" width="26.81640625" customWidth="1"/>
    <col min="82" max="82" width="23.54296875" customWidth="1"/>
    <col min="83" max="83" width="35.54296875" customWidth="1"/>
  </cols>
  <sheetData>
    <row r="1" spans="2:87" ht="3.75" customHeight="1" x14ac:dyDescent="0.35"/>
    <row r="2" spans="2:87" x14ac:dyDescent="0.35">
      <c r="Z2" s="702" t="s">
        <v>897</v>
      </c>
      <c r="AA2" s="702"/>
      <c r="AB2" s="702"/>
      <c r="AC2" s="702"/>
      <c r="AD2" s="498"/>
      <c r="AE2" s="498"/>
      <c r="AF2" s="498"/>
      <c r="AG2" s="498"/>
      <c r="AH2" s="498"/>
      <c r="AI2" s="449"/>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0"/>
      <c r="BS2" s="450"/>
      <c r="BT2" s="450"/>
      <c r="BU2" s="450"/>
      <c r="BV2" s="450"/>
      <c r="BW2" s="450"/>
      <c r="BX2" s="450"/>
      <c r="BY2" s="451"/>
      <c r="CC2" s="438" t="s">
        <v>898</v>
      </c>
      <c r="CE2" s="158" t="s">
        <v>244</v>
      </c>
      <c r="CF2" s="208"/>
      <c r="CG2" s="208"/>
      <c r="CI2" s="208"/>
    </row>
    <row r="3" spans="2:87" ht="29.25" customHeight="1" x14ac:dyDescent="0.35">
      <c r="B3" s="346" t="s">
        <v>968</v>
      </c>
      <c r="C3" s="346" t="s">
        <v>969</v>
      </c>
      <c r="D3" s="139" t="s">
        <v>843</v>
      </c>
      <c r="E3" s="139" t="s">
        <v>860</v>
      </c>
      <c r="F3" s="139" t="s">
        <v>1152</v>
      </c>
      <c r="G3" s="346" t="s">
        <v>951</v>
      </c>
      <c r="H3" s="346" t="s">
        <v>920</v>
      </c>
      <c r="I3" s="346" t="s">
        <v>754</v>
      </c>
      <c r="J3" s="139" t="s">
        <v>867</v>
      </c>
      <c r="K3" s="346" t="s">
        <v>922</v>
      </c>
      <c r="L3" s="346" t="s">
        <v>923</v>
      </c>
      <c r="M3" s="346" t="s">
        <v>903</v>
      </c>
      <c r="N3" s="139" t="s">
        <v>893</v>
      </c>
      <c r="O3" s="139" t="s">
        <v>894</v>
      </c>
      <c r="P3" s="139" t="s">
        <v>895</v>
      </c>
      <c r="Q3" s="139" t="s">
        <v>896</v>
      </c>
      <c r="R3" s="139" t="s">
        <v>882</v>
      </c>
      <c r="S3" s="139" t="s">
        <v>880</v>
      </c>
      <c r="T3" s="139" t="s">
        <v>882</v>
      </c>
      <c r="U3" s="139" t="s">
        <v>880</v>
      </c>
      <c r="V3" s="139" t="s">
        <v>1306</v>
      </c>
      <c r="W3" s="346" t="s">
        <v>1095</v>
      </c>
      <c r="X3" s="244" t="s">
        <v>861</v>
      </c>
      <c r="Y3" s="346" t="s">
        <v>1300</v>
      </c>
      <c r="Z3" s="346" t="s">
        <v>278</v>
      </c>
      <c r="AA3" s="346" t="s">
        <v>279</v>
      </c>
      <c r="AB3" s="346" t="s">
        <v>280</v>
      </c>
      <c r="AC3" s="346" t="s">
        <v>274</v>
      </c>
      <c r="AD3" s="346" t="s">
        <v>921</v>
      </c>
      <c r="AE3" s="346" t="s">
        <v>925</v>
      </c>
      <c r="AF3" s="346" t="s">
        <v>926</v>
      </c>
      <c r="AG3" s="346" t="s">
        <v>927</v>
      </c>
      <c r="AH3" s="346" t="s">
        <v>756</v>
      </c>
      <c r="AI3" s="346">
        <v>1</v>
      </c>
      <c r="AJ3" s="252">
        <v>1.125</v>
      </c>
      <c r="AK3" s="346">
        <v>1.25</v>
      </c>
      <c r="AL3" s="346">
        <v>1.375</v>
      </c>
      <c r="AM3" s="254">
        <v>1.5</v>
      </c>
      <c r="AN3" s="346">
        <v>1.625</v>
      </c>
      <c r="AO3" s="346">
        <v>1.75</v>
      </c>
      <c r="AP3" s="252">
        <v>1.875</v>
      </c>
      <c r="AQ3" s="346">
        <v>2</v>
      </c>
      <c r="AR3" s="346">
        <v>2.125</v>
      </c>
      <c r="AS3" s="252">
        <v>2.25</v>
      </c>
      <c r="AT3" s="346">
        <v>2.375</v>
      </c>
      <c r="AU3" s="346">
        <v>2.5</v>
      </c>
      <c r="AV3" s="252">
        <v>2.625</v>
      </c>
      <c r="AW3" s="346">
        <v>2.75</v>
      </c>
      <c r="AX3" s="346">
        <v>2.875</v>
      </c>
      <c r="AY3" s="255">
        <v>3</v>
      </c>
      <c r="AZ3" s="346">
        <v>3.125</v>
      </c>
      <c r="BA3" s="346">
        <v>3.25</v>
      </c>
      <c r="BB3" s="252">
        <v>3.375</v>
      </c>
      <c r="BC3" s="346">
        <v>3.5</v>
      </c>
      <c r="BD3" s="346">
        <v>3.625</v>
      </c>
      <c r="BE3" s="252">
        <v>3.75</v>
      </c>
      <c r="BF3" s="346">
        <v>3.875</v>
      </c>
      <c r="BG3" s="346">
        <v>4</v>
      </c>
      <c r="BH3" s="252">
        <v>4.125</v>
      </c>
      <c r="BI3" s="346">
        <v>4.25</v>
      </c>
      <c r="BJ3" s="346">
        <v>4.375</v>
      </c>
      <c r="BK3" s="254">
        <v>4.5</v>
      </c>
      <c r="BL3" s="346">
        <v>4.625</v>
      </c>
      <c r="BM3" s="346">
        <v>4.75</v>
      </c>
      <c r="BN3" s="252">
        <v>4.875</v>
      </c>
      <c r="BO3" s="346">
        <v>5</v>
      </c>
      <c r="BP3" s="346">
        <v>5.125</v>
      </c>
      <c r="BQ3" s="252">
        <v>5.25</v>
      </c>
      <c r="BR3" s="346">
        <v>5.375</v>
      </c>
      <c r="BS3" s="346">
        <v>5.5</v>
      </c>
      <c r="BT3" s="252">
        <v>5.625</v>
      </c>
      <c r="BU3" s="346">
        <v>5.75</v>
      </c>
      <c r="BV3" s="346">
        <v>5.875</v>
      </c>
      <c r="BW3" s="346">
        <v>6</v>
      </c>
      <c r="BX3" s="346" t="s">
        <v>281</v>
      </c>
      <c r="BY3" s="346" t="s">
        <v>1301</v>
      </c>
      <c r="BZ3" s="141" t="s">
        <v>1302</v>
      </c>
      <c r="CC3" s="237" t="s">
        <v>839</v>
      </c>
      <c r="CE3" s="158" t="s">
        <v>245</v>
      </c>
    </row>
    <row r="4" spans="2:87" x14ac:dyDescent="0.35">
      <c r="B4" s="161" t="str">
        <f>'Tratamento de Dados'!B12</f>
        <v>V-90</v>
      </c>
      <c r="C4" s="161" t="str">
        <f>'Tratamento de Dados'!D12</f>
        <v>Casco</v>
      </c>
      <c r="D4" s="209" t="s">
        <v>245</v>
      </c>
      <c r="E4" s="209" t="s">
        <v>61</v>
      </c>
      <c r="F4" s="247">
        <f>'Tratamento de Dados'!S12</f>
        <v>2</v>
      </c>
      <c r="G4" s="209" t="s">
        <v>953</v>
      </c>
      <c r="H4" s="210">
        <v>35234</v>
      </c>
      <c r="I4" s="210">
        <v>43983</v>
      </c>
      <c r="J4" s="210">
        <v>39092</v>
      </c>
      <c r="K4" s="210">
        <f>'Tratamento de Dados'!CC12</f>
        <v>0</v>
      </c>
      <c r="L4" s="209">
        <f>'Tratamento de Dados'!CD12</f>
        <v>0</v>
      </c>
      <c r="M4" s="209" t="s">
        <v>840</v>
      </c>
      <c r="N4" s="209">
        <v>0</v>
      </c>
      <c r="O4" s="209">
        <v>1</v>
      </c>
      <c r="P4" s="209">
        <v>1</v>
      </c>
      <c r="Q4" s="209">
        <v>4</v>
      </c>
      <c r="R4" s="253">
        <f>'Tratamento de Dados'!DA12</f>
        <v>0</v>
      </c>
      <c r="S4" s="253">
        <f>'Tratamento de Dados'!DB12</f>
        <v>0</v>
      </c>
      <c r="T4" s="256">
        <f t="shared" ref="T4:T21" si="0">IF(R4=0,IF(Z4&gt;=1,Z4,IF(AA4&gt;=1,AA4,IF(AB4&gt;=1,AB4,IF(AC4&gt;=1,AC4,0)))),R4)</f>
        <v>2.5</v>
      </c>
      <c r="U4" s="246" t="str">
        <f t="shared" ref="U4:U21" si="1">IF(S4=0,IF(Z4&gt;=1,$Z$3,IF(AA4&gt;=1,$AA$3,IF(AB4&gt;=1,$AB$3,IF(AC4&gt;=1,$AC$3,"E")))),S4)</f>
        <v>B</v>
      </c>
      <c r="V4" s="246" t="str">
        <f>IF(F4&lt;49,'Tables - Part 2'!$FH$5,IF(F4&lt;=93,'Tables - Part 2'!$FH$6,IF(F4&lt;=149,'Tables - Part 2'!$FH$7,'Tables - Part 2'!$FH$8)))</f>
        <v>&lt;49</v>
      </c>
      <c r="W4" s="467" t="str">
        <f>IF(D4=$CE$2,$CC$5,INDEX('Tables - Part 2'!$FI$5:$FL$8,MATCH(Ext_SCC_Chloride!V4,'Tables - Part 2'!$FH$5:$FH$8,0),MATCH(Ext_SCC_Chloride!M4,'Tables - Part 2'!$FI$4:$FL$4,0)))</f>
        <v>None</v>
      </c>
      <c r="X4" s="238">
        <f>IF(AND(D4=$CE$2,E4&lt;&gt;$CE$2),"Fitness-For-Service",INDEX('Tables - Part 2'!$FO$4:$FO$7,MATCH(Ext_SCC_Chloride!W4,'Tables - Part 2'!$FN$4:$FN$7,0),))</f>
        <v>0</v>
      </c>
      <c r="Y4" s="238">
        <f>IF(J4=0,(Thinning!G5-Thinning!F5)/365.25,(Thinning!G5-J4)/365.25)</f>
        <v>12.980150581793293</v>
      </c>
      <c r="Z4" s="248">
        <f t="shared" ref="Z4:Z21" si="2">IF(N4=0,0,_xlfn.FLOOR.MATH((AA4/2)+N4,0.25))</f>
        <v>0</v>
      </c>
      <c r="AA4" s="248">
        <f t="shared" ref="AA4:AA21" si="3">IF(AND(N4=0,O4=0),0,_xlfn.FLOOR.MATH((AB4/2)+O4,0.25))</f>
        <v>2.5</v>
      </c>
      <c r="AB4" s="248">
        <f>_xlfn.FLOOR.MATH((AC4/2)+P4,0.25)</f>
        <v>3</v>
      </c>
      <c r="AC4" s="247">
        <f t="shared" ref="AC4:AC21" si="4">Q4</f>
        <v>4</v>
      </c>
      <c r="AD4" s="247">
        <f>(I4-K4)/365.25</f>
        <v>120.41889117043121</v>
      </c>
      <c r="AE4" s="247">
        <f>IF(L4=$AE$3,IF(Y4&gt;=AD4,MIN(5,AD4),MIN(5,AD4)-MIN(5,AD4-Y4)),0)</f>
        <v>0</v>
      </c>
      <c r="AF4" s="247">
        <f>IF(L4=$AF$3,IF(Y4&gt;=AD4,MIN(15,AD4),MIN(15,AD4)-MIN(15,AD4-Y4)),0)</f>
        <v>0</v>
      </c>
      <c r="AG4" s="247">
        <f>SUM(AE4:AF4)</f>
        <v>0</v>
      </c>
      <c r="AH4" s="247">
        <f>Y4-AG4</f>
        <v>12.980150581793293</v>
      </c>
      <c r="AI4" s="248">
        <f>IF($T4=$AI$3,INDEX('Tables - Part 2'!$AX$6:$BA$13,MATCH(Ext_SCC_Chloride!X4,'Tables - Part 2'!$AV$6:$AV$13,0),MATCH(Ext_SCC_Chloride!U4,'Tables - Part 2'!$AX$5:$BA$5,0)),0)</f>
        <v>0</v>
      </c>
      <c r="AJ4" s="248">
        <f>IF($T4=$AJ$3,(INDEX('Tables - Part 2'!$AX$6:$BA$13,MATCH(Ext_SCC_Chloride!X4,'Tables - Part 2'!$AV$6:$AV$13,0),MATCH(Ext_SCC_Chloride!U4,'Tables - Part 2'!$AX$5:$BA$5,0))+(INDEX('Tables - Part 2'!$AX$6:$BA$13,MATCH(Ext_SCC_Chloride!X4,'Tables - Part 2'!$AV$6:$AV$13,0),MATCH(Ext_SCC_Chloride!U4,'Tables - Part 2'!$AX$5:$BA$5,0))+((INDEX('Tables - Part 2'!$AX$6:$BA$13,MATCH(Ext_SCC_Chloride!X4,'Tables - Part 2'!$AV$6:$AV$13,0),MATCH(Ext_SCC_Chloride!U4,'Tables - Part 2'!$AX$5:$BA$5,0))+INDEX('Tables - Part 2'!$BB$6:$BE$13,MATCH(Ext_SCC_Chloride!$X4,'Tables - Part 2'!$AV$6:$AV$13,0),MATCH(Ext_SCC_Chloride!$U4,'Tables - Part 2'!$AX$5:$BA$5,0)))/2))/2)/2,0)</f>
        <v>0</v>
      </c>
      <c r="AK4" s="248">
        <f>IF($T4=$AK$3,(INDEX('Tables - Part 2'!$AX$6:$BA$13,MATCH(Ext_SCC_Chloride!X4,'Tables - Part 2'!$AV$6:$AV$13,0),MATCH(Ext_SCC_Chloride!U4,'Tables - Part 2'!$AX$5:$BA$5,0))+((INDEX('Tables - Part 2'!$AX$6:$BA$13,MATCH(Ext_SCC_Chloride!X4,'Tables - Part 2'!$AV$6:$AV$13,0),MATCH(Ext_SCC_Chloride!U4,'Tables - Part 2'!$AX$5:$BA$5,0))+INDEX('Tables - Part 2'!$BB$6:$BE$13,MATCH(Ext_SCC_Chloride!$X4,'Tables - Part 2'!$AV$6:$AV$13,0),MATCH(Ext_SCC_Chloride!$U4,'Tables - Part 2'!$AX$5:$BA$5,0)))/2))/2,0)</f>
        <v>0</v>
      </c>
      <c r="AL4" s="248">
        <f>IF($T4=$AL$3,(((INDEX('Tables - Part 2'!$AX$6:$BA$13,MATCH(Ext_SCC_Chloride!X4,'Tables - Part 2'!$AV$6:$AV$13,0),MATCH(Ext_SCC_Chloride!U4,'Tables - Part 2'!$AX$5:$BA$5,0))+((INDEX('Tables - Part 2'!$AX$6:$BA$13,MATCH(Ext_SCC_Chloride!X4,'Tables - Part 2'!$AV$6:$AV$13,0),MATCH(Ext_SCC_Chloride!U4,'Tables - Part 2'!$AX$5:$BA$5,0))+INDEX('Tables - Part 2'!$BB$6:$BE$13,MATCH(Ext_SCC_Chloride!$X4,'Tables - Part 2'!$AV$6:$AV$13,0),MATCH(Ext_SCC_Chloride!$U4,'Tables - Part 2'!$AX$5:$BA$5,0)))/2))/2)+(INDEX('Tables - Part 2'!$AX$6:$BA$13,MATCH(Ext_SCC_Chloride!X4,'Tables - Part 2'!$AV$6:$AV$13,0),MATCH(Ext_SCC_Chloride!U4,'Tables - Part 2'!$AX$5:$BA$5,0))+INDEX('Tables - Part 2'!$BB$6:$BE$13,MATCH(Ext_SCC_Chloride!$X4,'Tables - Part 2'!$AV$6:$AV$13,0),MATCH(Ext_SCC_Chloride!$U4,'Tables - Part 2'!$AX$5:$BA$5,0)))/2)/2,0)</f>
        <v>0</v>
      </c>
      <c r="AM4" s="248">
        <f>IF($T4=$AM$3,(INDEX('Tables - Part 2'!$AX$6:$BA$13,MATCH(Ext_SCC_Chloride!X4,'Tables - Part 2'!$AV$6:$AV$13,0),MATCH(Ext_SCC_Chloride!U4,'Tables - Part 2'!$AX$5:$BA$5,0))+INDEX('Tables - Part 2'!$BB$6:$BE$13,MATCH(Ext_SCC_Chloride!$X4,'Tables - Part 2'!$AV$6:$AV$13,0),MATCH(Ext_SCC_Chloride!$U4,'Tables - Part 2'!$AX$5:$BA$5,0)))/2,0)</f>
        <v>0</v>
      </c>
      <c r="AN4" s="248">
        <f>IF($T4=$AN$3,(((INDEX('Tables - Part 2'!$AX$6:$BA$13,MATCH(Ext_SCC_Chloride!X4,'Tables - Part 2'!$AV$6:$AV$13,0),MATCH(Ext_SCC_Chloride!U4,'Tables - Part 2'!$AX$5:$BA$5,0))+INDEX('Tables - Part 2'!$BB$6:$BE$13,MATCH(Ext_SCC_Chloride!$X4,'Tables - Part 2'!$AV$6:$AV$13,0),MATCH(Ext_SCC_Chloride!$U4,'Tables - Part 2'!$AX$5:$BA$5,0)))/2)+(((INDEX('Tables - Part 2'!$AX$6:$BA$13,MATCH(Ext_SCC_Chloride!X4,'Tables - Part 2'!$AV$6:$AV$13,0),MATCH(Ext_SCC_Chloride!U4,'Tables - Part 2'!$AX$5:$BA$5,0))+INDEX('Tables - Part 2'!$BB$6:$BE$13,MATCH(Ext_SCC_Chloride!$X4,'Tables - Part 2'!$AV$6:$AV$13,0),MATCH(Ext_SCC_Chloride!$U4,'Tables - Part 2'!$AX$5:$BA$5,0)))/2)+INDEX('Tables - Part 2'!$BB$6:$BE$13,MATCH(Ext_SCC_Chloride!$X4,'Tables - Part 2'!$AV$6:$AV$13,0),MATCH(Ext_SCC_Chloride!$U4,'Tables - Part 2'!$AX$5:$BA$5,0)))/2)/2,0)</f>
        <v>0</v>
      </c>
      <c r="AO4" s="248">
        <f>IF($T4=$AO$3,(((INDEX('Tables - Part 2'!$AX$6:$BA$13,MATCH(Ext_SCC_Chloride!X4,'Tables - Part 2'!$AV$6:$AV$13,0),MATCH(Ext_SCC_Chloride!U4,'Tables - Part 2'!$AX$5:$BA$5,0))+INDEX('Tables - Part 2'!$BB$6:$BE$13,MATCH(Ext_SCC_Chloride!$X4,'Tables - Part 2'!$AV$6:$AV$13,0),MATCH(Ext_SCC_Chloride!$U4,'Tables - Part 2'!$AX$5:$BA$5,0)))/2)+INDEX('Tables - Part 2'!$BB$6:$BE$13,MATCH(Ext_SCC_Chloride!$X4,'Tables - Part 2'!$AV$6:$AV$13,0),MATCH(Ext_SCC_Chloride!$U4,'Tables - Part 2'!$AX$5:$BA$5,0)))/2,0)</f>
        <v>0</v>
      </c>
      <c r="AP4" s="248">
        <f>IF($T4=$AP$3,(((((INDEX('Tables - Part 2'!$AX$6:$BA$13,MATCH(Ext_SCC_Chloride!X4,'Tables - Part 2'!$AV$6:$AV$13,0),MATCH(Ext_SCC_Chloride!U4,'Tables - Part 2'!$AX$5:$BA$5,0))+INDEX('Tables - Part 2'!$BB$6:$BE$13,MATCH(Ext_SCC_Chloride!$X4,'Tables - Part 2'!$AV$6:$AV$13,0),MATCH(Ext_SCC_Chloride!$U4,'Tables - Part 2'!$AX$5:$BA$5,0)))/2)+INDEX('Tables - Part 2'!$BB$6:$BE$13,MATCH(Ext_SCC_Chloride!$X4,'Tables - Part 2'!$AV$6:$AV$13,0),MATCH(Ext_SCC_Chloride!$U4,'Tables - Part 2'!$AX$5:$BA$5,0)))/2)+INDEX('Tables - Part 2'!$BB$6:$BE$13,MATCH(Ext_SCC_Chloride!$X4,'Tables - Part 2'!$AV$6:$AV$13,0),MATCH(Ext_SCC_Chloride!$U4,'Tables - Part 2'!$AX$5:$BA$5,0)))/2,0)</f>
        <v>0</v>
      </c>
      <c r="AQ4" s="248">
        <f>IF($T4=$AQ$3,INDEX('Tables - Part 2'!$BB$6:$BE$13,MATCH(Ext_SCC_Chloride!$X4,'Tables - Part 2'!$AV$6:$AV$13,0),MATCH(Ext_SCC_Chloride!$U4,'Tables - Part 2'!$AX$5:$BA$5,0)),0)</f>
        <v>0</v>
      </c>
      <c r="AR4" s="248">
        <f>IF($T4=$AR$3,((INDEX('Tables - Part 2'!$BB$6:$BE$13,MATCH(Ext_SCC_Chloride!$X4,'Tables - Part 2'!$AV$6:$AV$13,0),MATCH(Ext_SCC_Chloride!$U4,'Tables - Part 2'!$AX$5:$BA$5,0)))+(INDEX('Tables - Part 2'!$BB$6:$BE$13,MATCH(Ext_SCC_Chloride!$X4,'Tables - Part 2'!$AV$6:$AV$13,0),MATCH(Ext_SCC_Chloride!$U4,'Tables - Part 2'!$AX$5:$BA$5,0))+(INDEX('Tables - Part 2'!$BB$6:$BE$13,MATCH(Ext_SCC_Chloride!$X4,'Tables - Part 2'!$AV$6:$AV$13,0),MATCH(Ext_SCC_Chloride!$U4,'Tables - Part 2'!$AX$5:$BA$5,0))+INDEX('Tables - Part 2'!$BF$6:$BI$13,MATCH(Ext_SCC_Chloride!$X4,'Tables - Part 2'!$AV$6:$AV$13,0),MATCH(Ext_SCC_Chloride!$U4,'Tables - Part 2'!$AX$5:$BA$5,0)))/2)/2)/2,0)</f>
        <v>0</v>
      </c>
      <c r="AS4" s="248">
        <f>IF($T4=$AS$3,(INDEX('Tables - Part 2'!$BB$6:$BE$13,MATCH(Ext_SCC_Chloride!$X4,'Tables - Part 2'!$AV$6:$AV$13,0),MATCH(Ext_SCC_Chloride!$U4,'Tables - Part 2'!$AX$5:$BA$5,0))+(INDEX('Tables - Part 2'!$BB$6:$BE$13,MATCH(Ext_SCC_Chloride!$X4,'Tables - Part 2'!$AV$6:$AV$13,0),MATCH(Ext_SCC_Chloride!$U4,'Tables - Part 2'!$AX$5:$BA$5,0))+INDEX('Tables - Part 2'!$BF$6:$BI$13,MATCH(Ext_SCC_Chloride!$X4,'Tables - Part 2'!$AV$6:$AV$13,0),MATCH(Ext_SCC_Chloride!$U4,'Tables - Part 2'!$AX$5:$BA$5,0)))/2)/2,0)</f>
        <v>0</v>
      </c>
      <c r="AT4" s="248">
        <f>IF($T4=$AT$3,(((INDEX('Tables - Part 2'!$BB$6:$BE$13,MATCH(Ext_SCC_Chloride!$X4,'Tables - Part 2'!$AV$6:$AV$13,0),MATCH(Ext_SCC_Chloride!$U4,'Tables - Part 2'!$AX$5:$BA$5,0))+(INDEX('Tables - Part 2'!$BB$6:$BE$13,MATCH(Ext_SCC_Chloride!$X4,'Tables - Part 2'!$AV$6:$AV$13,0),MATCH(Ext_SCC_Chloride!$U4,'Tables - Part 2'!$AX$5:$BA$5,0))+INDEX('Tables - Part 2'!$BF$6:$BI$13,MATCH(Ext_SCC_Chloride!$X4,'Tables - Part 2'!$AV$6:$AV$13,0),MATCH(Ext_SCC_Chloride!$U4,'Tables - Part 2'!$AX$5:$BA$5,0)))/2)/2)+((INDEX('Tables - Part 2'!$BB$6:$BE$13,MATCH(Ext_SCC_Chloride!$X4,'Tables - Part 2'!$AV$6:$AV$13,0),MATCH(Ext_SCC_Chloride!$U4,'Tables - Part 2'!$AX$5:$BA$5,0))+INDEX('Tables - Part 2'!$BF$6:$BI$13,MATCH(Ext_SCC_Chloride!$X4,'Tables - Part 2'!$AV$6:$AV$13,0),MATCH(Ext_SCC_Chloride!$U4,'Tables - Part 2'!$AX$5:$BA$5,0)))/2))/2,0)</f>
        <v>0</v>
      </c>
      <c r="AU4" s="248">
        <f>IF($T4=$AU$3,(INDEX('Tables - Part 2'!$BB$6:$BE$13,MATCH(Ext_SCC_Chloride!$X4,'Tables - Part 2'!$AV$6:$AV$13,0),MATCH(Ext_SCC_Chloride!$U4,'Tables - Part 2'!$AX$5:$BA$5,0))+INDEX('Tables - Part 2'!$BF$6:$BI$13,MATCH(Ext_SCC_Chloride!$X4,'Tables - Part 2'!$AV$6:$AV$13,0),MATCH(Ext_SCC_Chloride!$U4,'Tables - Part 2'!$AX$5:$BA$5,0)))/2,0)</f>
        <v>0</v>
      </c>
      <c r="AV4" s="248">
        <f>IF($T4=$AV$3,(((INDEX('Tables - Part 2'!$BB$6:$BE$13,MATCH(Ext_SCC_Chloride!$X4,'Tables - Part 2'!$AV$6:$AV$13,0),MATCH(Ext_SCC_Chloride!$U4,'Tables - Part 2'!$AX$5:$BA$5,0))+INDEX('Tables - Part 2'!$BF$6:$BI$13,MATCH(Ext_SCC_Chloride!$X4,'Tables - Part 2'!$AV$6:$AV$13,0),MATCH(Ext_SCC_Chloride!$U4,'Tables - Part 2'!$AX$5:$BA$5,0)))/2)+((((INDEX('Tables - Part 2'!$BB$6:$BE$13,MATCH(Ext_SCC_Chloride!$X4,'Tables - Part 2'!$AV$6:$AV$13,0),MATCH(Ext_SCC_Chloride!$U4,'Tables - Part 2'!$AX$5:$BA$5,0))+INDEX('Tables - Part 2'!$BF$6:$BI$13,MATCH(Ext_SCC_Chloride!$X4,'Tables - Part 2'!$AV$6:$AV$13,0),MATCH(Ext_SCC_Chloride!$U4,'Tables - Part 2'!$AX$5:$BA$5,0)))/2)+INDEX('Tables - Part 2'!$BF$6:$BI$13,MATCH(Ext_SCC_Chloride!$X4,'Tables - Part 2'!$AV$6:$AV$13,0),MATCH(Ext_SCC_Chloride!$U4,'Tables - Part 2'!$AX$5:$BA$5,0)))/2))/2,0)</f>
        <v>0</v>
      </c>
      <c r="AW4" s="248">
        <f>IF($T4=$AW$3,(((INDEX('Tables - Part 2'!$BB$6:$BE$13,MATCH(Ext_SCC_Chloride!$X4,'Tables - Part 2'!$AV$6:$AV$13,0),MATCH(Ext_SCC_Chloride!$U4,'Tables - Part 2'!$AX$5:$BA$5,0))+INDEX('Tables - Part 2'!$BF$6:$BI$13,MATCH(Ext_SCC_Chloride!$X4,'Tables - Part 2'!$AV$6:$AV$13,0),MATCH(Ext_SCC_Chloride!$U4,'Tables - Part 2'!$AX$5:$BA$5,0)))/2)+INDEX('Tables - Part 2'!$BF$6:$BI$13,MATCH(Ext_SCC_Chloride!$X4,'Tables - Part 2'!$AV$6:$AV$13,0),MATCH(Ext_SCC_Chloride!$U4,'Tables - Part 2'!$AX$5:$BA$5,0)))/2,0)</f>
        <v>0</v>
      </c>
      <c r="AX4" s="248">
        <f>IF($T4=$AX$3,(((((INDEX('Tables - Part 2'!$BB$6:$BE$13,MATCH(Ext_SCC_Chloride!$X4,'Tables - Part 2'!$AV$6:$AV$13,0),MATCH(Ext_SCC_Chloride!$U4,'Tables - Part 2'!$AX$5:$BA$5,0))+INDEX('Tables - Part 2'!$BF$6:$BI$13,MATCH(Ext_SCC_Chloride!$X4,'Tables - Part 2'!$AV$6:$AV$13,0),MATCH(Ext_SCC_Chloride!$U4,'Tables - Part 2'!$AX$5:$BA$5,0)))/2)+INDEX('Tables - Part 2'!$BF$6:$BI$13,MATCH(Ext_SCC_Chloride!$X4,'Tables - Part 2'!$AV$6:$AV$13,0),MATCH(Ext_SCC_Chloride!$U4,'Tables - Part 2'!$AX$5:$BA$5,0)))/2)+INDEX('Tables - Part 2'!$BF$6:$BI$13,MATCH(Ext_SCC_Chloride!$X4,'Tables - Part 2'!$AV$6:$AV$13,0),MATCH(Ext_SCC_Chloride!$U4,'Tables - Part 2'!$AX$5:$BA$5,0)))/2,0)</f>
        <v>0</v>
      </c>
      <c r="AY4" s="248">
        <f>IF($T4=$AY$3,INDEX('Tables - Part 2'!$BF$6:$BI$13,MATCH(Ext_SCC_Chloride!$X4,'Tables - Part 2'!$AV$6:$AV$13,0),MATCH(Ext_SCC_Chloride!$U4,'Tables - Part 2'!$AX$5:$BA$5,0)),0)</f>
        <v>0</v>
      </c>
      <c r="AZ4" s="248">
        <f>IF($T4=$AZ$3,(INDEX('Tables - Part 2'!$BF$6:$BI$13,MATCH(Ext_SCC_Chloride!$X4,'Tables - Part 2'!$AV$6:$AV$13,0),MATCH(Ext_SCC_Chloride!$U4,'Tables - Part 2'!$AX$5:$BA$5,0))+((INDEX('Tables - Part 2'!$BF$6:$BI$13,MATCH(Ext_SCC_Chloride!$X4,'Tables - Part 2'!$AV$6:$AV$13,0),MATCH(Ext_SCC_Chloride!$U4,'Tables - Part 2'!$AX$5:$BA$5,0))+(INDEX('Tables - Part 2'!$BF$6:$BI$13,MATCH(Ext_SCC_Chloride!$X4,'Tables - Part 2'!$AV$6:$AV$13,0),MATCH(Ext_SCC_Chloride!$U4,'Tables - Part 2'!$AX$5:$BA$5,0))+INDEX('Tables - Part 2'!$AX$17:$BA$24,MATCH(Ext_SCC_Chloride!$X4,'Tables - Part 2'!$AV$6:$AV$13,0),MATCH(Ext_SCC_Chloride!$U4,'Tables - Part 2'!$AX$5:$BA$5,0)))/2)/2))/2,0)</f>
        <v>0</v>
      </c>
      <c r="BA4" s="248">
        <f>IF($T4=$BA$3,(INDEX('Tables - Part 2'!$BF$6:$BI$13,MATCH(Ext_SCC_Chloride!$X4,'Tables - Part 2'!$AV$6:$AV$13,0),MATCH(Ext_SCC_Chloride!$U4,'Tables - Part 2'!$AX$5:$BA$5,0))+(INDEX('Tables - Part 2'!$BF$6:$BI$13,MATCH(Ext_SCC_Chloride!$X4,'Tables - Part 2'!$AV$6:$AV$13,0),MATCH(Ext_SCC_Chloride!$U4,'Tables - Part 2'!$AX$5:$BA$5,0))+INDEX('Tables - Part 2'!$AX$17:$BA$24,MATCH(Ext_SCC_Chloride!$X4,'Tables - Part 2'!$AV$6:$AV$13,0),MATCH(Ext_SCC_Chloride!$U4,'Tables - Part 2'!$AX$5:$BA$5,0)))/2)/2,0)</f>
        <v>0</v>
      </c>
      <c r="BB4" s="248">
        <f>IF($T4=$BB$3,(((INDEX('Tables - Part 2'!$BF$6:$BI$13,MATCH(Ext_SCC_Chloride!$X4,'Tables - Part 2'!$AV$6:$AV$13,0),MATCH(Ext_SCC_Chloride!$U4,'Tables - Part 2'!$AX$5:$BA$5,0))+(INDEX('Tables - Part 2'!$BF$6:$BI$13,MATCH(Ext_SCC_Chloride!$X4,'Tables - Part 2'!$AV$6:$AV$13,0),MATCH(Ext_SCC_Chloride!$U4,'Tables - Part 2'!$AX$5:$BA$5,0))+INDEX('Tables - Part 2'!$AX$17:$BA$24,MATCH(Ext_SCC_Chloride!$X4,'Tables - Part 2'!$AV$6:$AV$13,0),MATCH(Ext_SCC_Chloride!$U4,'Tables - Part 2'!$AX$5:$BA$5,0)))/2)/2)+((INDEX('Tables - Part 2'!$BF$6:$BI$13,MATCH(Ext_SCC_Chloride!$X4,'Tables - Part 2'!$AV$6:$AV$13,0),MATCH(Ext_SCC_Chloride!$U4,'Tables - Part 2'!$AX$5:$BA$5,0))+INDEX('Tables - Part 2'!$AX$17:$BA$24,MATCH(Ext_SCC_Chloride!$X4,'Tables - Part 2'!$AV$6:$AV$13,0),MATCH(Ext_SCC_Chloride!$U4,'Tables - Part 2'!$AX$5:$BA$5,0)))/2))/2,0)</f>
        <v>0</v>
      </c>
      <c r="BC4" s="248">
        <f>IF($T4=$BC$3,(INDEX('Tables - Part 2'!$BF$6:$BI$13,MATCH(Ext_SCC_Chloride!$X4,'Tables - Part 2'!$AV$6:$AV$13,0),MATCH(Ext_SCC_Chloride!$U4,'Tables - Part 2'!$AX$5:$BA$5,0))+INDEX('Tables - Part 2'!$AX$17:$BA$24,MATCH(Ext_SCC_Chloride!$X4,'Tables - Part 2'!$AV$6:$AV$13,0),MATCH(Ext_SCC_Chloride!$U4,'Tables - Part 2'!$AX$5:$BA$5,0)))/2,0)</f>
        <v>0</v>
      </c>
      <c r="BD4" s="248">
        <f>IF($T4=$BD$3,(((INDEX('Tables - Part 2'!$BF$6:$BI$13,MATCH(Ext_SCC_Chloride!$X4,'Tables - Part 2'!$AV$6:$AV$13,0),MATCH(Ext_SCC_Chloride!$U4,'Tables - Part 2'!$AX$5:$BA$5,0))+INDEX('Tables - Part 2'!$AX$17:$BA$24,MATCH(Ext_SCC_Chloride!$X4,'Tables - Part 2'!$AV$6:$AV$13,0),MATCH(Ext_SCC_Chloride!$U4,'Tables - Part 2'!$AX$5:$BA$5,0)))/2)+((((INDEX('Tables - Part 2'!$BF$6:$BI$13,MATCH(Ext_SCC_Chloride!$X4,'Tables - Part 2'!$AV$6:$AV$13,0),MATCH(Ext_SCC_Chloride!$U4,'Tables - Part 2'!$AX$5:$BA$5,0))+INDEX('Tables - Part 2'!$AX$17:$BA$24,MATCH(Ext_SCC_Chloride!$X4,'Tables - Part 2'!$AV$6:$AV$13,0),MATCH(Ext_SCC_Chloride!$U4,'Tables - Part 2'!$AX$5:$BA$5,0)))/2)+INDEX('Tables - Part 2'!$AX$17:$BA$24,MATCH(Ext_SCC_Chloride!$X4,'Tables - Part 2'!$AV$6:$AV$13,0),MATCH(Ext_SCC_Chloride!$U4,'Tables - Part 2'!$AX$5:$BA$5,0)))/2))/2,0)</f>
        <v>0</v>
      </c>
      <c r="BE4" s="248">
        <f>IF($T4=$BE$3,(((INDEX('Tables - Part 2'!$BF$6:$BI$13,MATCH(Ext_SCC_Chloride!$X4,'Tables - Part 2'!$AV$6:$AV$13,0),MATCH(Ext_SCC_Chloride!$U4,'Tables - Part 2'!$AX$5:$BA$5,0))+INDEX('Tables - Part 2'!$AX$17:$BA$24,MATCH(Ext_SCC_Chloride!$X4,'Tables - Part 2'!$AV$6:$AV$13,0),MATCH(Ext_SCC_Chloride!$U4,'Tables - Part 2'!$AX$5:$BA$5,0)))/2)+INDEX('Tables - Part 2'!$AX$17:$BA$24,MATCH(Ext_SCC_Chloride!$X4,'Tables - Part 2'!$AV$6:$AV$13,0),MATCH(Ext_SCC_Chloride!$U4,'Tables - Part 2'!$AX$5:$BA$5,0)))/2,0)</f>
        <v>0</v>
      </c>
      <c r="BF4" s="248">
        <f>IF($T4=$BF$3,(((((INDEX('Tables - Part 2'!$BF$6:$BI$13,MATCH(Ext_SCC_Chloride!$X4,'Tables - Part 2'!$AV$6:$AV$13,0),MATCH(Ext_SCC_Chloride!$U4,'Tables - Part 2'!$AX$5:$BA$5,0))+INDEX('Tables - Part 2'!$AX$17:$BA$24,MATCH(Ext_SCC_Chloride!$X4,'Tables - Part 2'!$AV$6:$AV$13,0),MATCH(Ext_SCC_Chloride!$U4,'Tables - Part 2'!$AX$5:$BA$5,0)))/2)+INDEX('Tables - Part 2'!$AX$17:$BA$24,MATCH(Ext_SCC_Chloride!$X4,'Tables - Part 2'!$AV$6:$AV$13,0),MATCH(Ext_SCC_Chloride!$U4,'Tables - Part 2'!$AX$5:$BA$5,0)))/2)+(INDEX('Tables - Part 2'!$AX$17:$BA$24,MATCH(Ext_SCC_Chloride!$X4,'Tables - Part 2'!$AV$6:$AV$13,0),MATCH(Ext_SCC_Chloride!$U4,'Tables - Part 2'!$AX$5:$BA$5,0))))/2,0)</f>
        <v>0</v>
      </c>
      <c r="BG4" s="248">
        <f>IF($T4=$BG$3,INDEX('Tables - Part 2'!$AX$17:$BA$24,MATCH(Ext_SCC_Chloride!$X4,'Tables - Part 2'!$AV$6:$AV$13,0),MATCH(Ext_SCC_Chloride!$U4,'Tables - Part 2'!$AX$5:$BA$5,0)),0)</f>
        <v>0</v>
      </c>
      <c r="BH4" s="248">
        <f>IF($T4=$BH$3,((INDEX('Tables - Part 2'!$AX$17:$BA$24,MATCH(Ext_SCC_Chloride!$X4,'Tables - Part 2'!$AV$6:$AV$13,0),MATCH(Ext_SCC_Chloride!$U4,'Tables - Part 2'!$AX$5:$BA$5,0)))+(((INDEX('Tables - Part 2'!$AX$17:$BA$24,MATCH(Ext_SCC_Chloride!$X4,'Tables - Part 2'!$AV$6:$AV$13,0),MATCH(Ext_SCC_Chloride!$U4,'Tables - Part 2'!$AX$5:$BA$5,0)))+(INDEX('Tables - Part 2'!$AX$17:$BA$24,MATCH(Ext_SCC_Chloride!$X4,'Tables - Part 2'!$AV$6:$AV$13,0),MATCH(Ext_SCC_Chloride!$U4,'Tables - Part 2'!$AX$5:$BA$5,0))+INDEX('Tables - Part 2'!$BB$17:$BE$24,MATCH(Ext_SCC_Chloride!$X4,'Tables - Part 2'!$AV$6:$AV$13,0),MATCH(Ext_SCC_Chloride!$U4,'Tables - Part 2'!$AX$5:$BA$5,0)))/2)/2))/2,0)</f>
        <v>0</v>
      </c>
      <c r="BI4" s="248">
        <f>IF($T4=$BI$3,((INDEX('Tables - Part 2'!$AX$17:$BA$24,MATCH(Ext_SCC_Chloride!$X4,'Tables - Part 2'!$AV$6:$AV$13,0),MATCH(Ext_SCC_Chloride!$U4,'Tables - Part 2'!$AX$5:$BA$5,0)))+(INDEX('Tables - Part 2'!$AX$17:$BA$24,MATCH(Ext_SCC_Chloride!$X4,'Tables - Part 2'!$AV$6:$AV$13,0),MATCH(Ext_SCC_Chloride!$U4,'Tables - Part 2'!$AX$5:$BA$5,0))+INDEX('Tables - Part 2'!$BB$17:$BE$24,MATCH(Ext_SCC_Chloride!$X4,'Tables - Part 2'!$AV$6:$AV$13,0),MATCH(Ext_SCC_Chloride!$U4,'Tables - Part 2'!$AX$5:$BA$5,0)))/2)/2,0)</f>
        <v>0</v>
      </c>
      <c r="BJ4" s="248">
        <f>IF($T4=$BJ$3,((((INDEX('Tables - Part 2'!$AX$17:$BA$24,MATCH(Ext_SCC_Chloride!$X4,'Tables - Part 2'!$AV$6:$AV$13,0),MATCH(Ext_SCC_Chloride!$U4,'Tables - Part 2'!$AX$5:$BA$5,0)))+(INDEX('Tables - Part 2'!$AX$17:$BA$24,MATCH(Ext_SCC_Chloride!$X4,'Tables - Part 2'!$AV$6:$AV$13,0),MATCH(Ext_SCC_Chloride!$U4,'Tables - Part 2'!$AX$5:$BA$5,0))+INDEX('Tables - Part 2'!$BB$17:$BE$24,MATCH(Ext_SCC_Chloride!$X4,'Tables - Part 2'!$AV$6:$AV$13,0),MATCH(Ext_SCC_Chloride!$U4,'Tables - Part 2'!$AX$5:$BA$5,0)))/2)/2)+((INDEX('Tables - Part 2'!$AX$17:$BA$24,MATCH(Ext_SCC_Chloride!$X4,'Tables - Part 2'!$AV$6:$AV$13,0),MATCH(Ext_SCC_Chloride!$U4,'Tables - Part 2'!$AX$5:$BA$5,0))+INDEX('Tables - Part 2'!$BB$17:$BE$24,MATCH(Ext_SCC_Chloride!$X4,'Tables - Part 2'!$AV$6:$AV$13,0),MATCH(Ext_SCC_Chloride!$U4,'Tables - Part 2'!$AX$5:$BA$5,0)))/2))/2,0)</f>
        <v>0</v>
      </c>
      <c r="BK4" s="248">
        <f>IF($T4=$BK$3,(INDEX('Tables - Part 2'!$AX$17:$BA$24,MATCH(Ext_SCC_Chloride!$X4,'Tables - Part 2'!$AV$6:$AV$13,0),MATCH(Ext_SCC_Chloride!$U4,'Tables - Part 2'!$AX$5:$BA$5,0))+INDEX('Tables - Part 2'!$BB$17:$BE$24,MATCH(Ext_SCC_Chloride!$X4,'Tables - Part 2'!$AV$6:$AV$13,0),MATCH(Ext_SCC_Chloride!$U4,'Tables - Part 2'!$AX$5:$BA$5,0)))/2,0)</f>
        <v>0</v>
      </c>
      <c r="BL4" s="248">
        <f>IF($T4=$BL$3,(((INDEX('Tables - Part 2'!$AX$17:$BA$24,MATCH(Ext_SCC_Chloride!$X4,'Tables - Part 2'!$AV$6:$AV$13,0),MATCH(Ext_SCC_Chloride!$U4,'Tables - Part 2'!$AX$5:$BA$5,0))+INDEX('Tables - Part 2'!$BB$17:$BE$24,MATCH(Ext_SCC_Chloride!$X4,'Tables - Part 2'!$AV$6:$AV$13,0),MATCH(Ext_SCC_Chloride!$U4,'Tables - Part 2'!$AX$5:$BA$5,0)))/2)+((((INDEX('Tables - Part 2'!$AX$17:$BA$24,MATCH(Ext_SCC_Chloride!$X4,'Tables - Part 2'!$AV$6:$AV$13,0),MATCH(Ext_SCC_Chloride!$U4,'Tables - Part 2'!$AX$5:$BA$5,0))+INDEX('Tables - Part 2'!$BB$17:$BE$24,MATCH(Ext_SCC_Chloride!$X4,'Tables - Part 2'!$AV$6:$AV$13,0),MATCH(Ext_SCC_Chloride!$U4,'Tables - Part 2'!$AX$5:$BA$5,0)))/2)+INDEX('Tables - Part 2'!$BB$17:$BE$24,MATCH(Ext_SCC_Chloride!$X4,'Tables - Part 2'!$AV$6:$AV$13,0),MATCH(Ext_SCC_Chloride!$U4,'Tables - Part 2'!$AX$5:$BA$5,0)))/2))/2,0)</f>
        <v>0</v>
      </c>
      <c r="BM4" s="248">
        <f>IF($T4=$BM$3,(((INDEX('Tables - Part 2'!$AX$17:$BA$24,MATCH(Ext_SCC_Chloride!$X4,'Tables - Part 2'!$AV$6:$AV$13,0),MATCH(Ext_SCC_Chloride!$U4,'Tables - Part 2'!$AX$5:$BA$5,0))+INDEX('Tables - Part 2'!$BB$17:$BE$24,MATCH(Ext_SCC_Chloride!$X4,'Tables - Part 2'!$AV$6:$AV$13,0),MATCH(Ext_SCC_Chloride!$U4,'Tables - Part 2'!$AX$5:$BA$5,0)))/2)+INDEX('Tables - Part 2'!$BB$17:$BE$24,MATCH(Ext_SCC_Chloride!$X4,'Tables - Part 2'!$AV$6:$AV$13,0),MATCH(Ext_SCC_Chloride!$U4,'Tables - Part 2'!$AX$5:$BA$5,0)))/2,0)</f>
        <v>0</v>
      </c>
      <c r="BN4" s="248">
        <f>IF($T4=$BN$3,(((((INDEX('Tables - Part 2'!$AX$17:$BA$24,MATCH(Ext_SCC_Chloride!$X4,'Tables - Part 2'!$AV$6:$AV$13,0),MATCH(Ext_SCC_Chloride!$U4,'Tables - Part 2'!$AX$5:$BA$5,0))+INDEX('Tables - Part 2'!$BB$17:$BE$24,MATCH(Ext_SCC_Chloride!$X4,'Tables - Part 2'!$AV$6:$AV$13,0),MATCH(Ext_SCC_Chloride!$U4,'Tables - Part 2'!$AX$5:$BA$5,0)))/2)+INDEX('Tables - Part 2'!$BB$17:$BE$24,MATCH(Ext_SCC_Chloride!$X4,'Tables - Part 2'!$AV$6:$AV$13,0),MATCH(Ext_SCC_Chloride!$U4,'Tables - Part 2'!$AX$5:$BA$5,0)))/2)+(INDEX('Tables - Part 2'!$BB$17:$BE$24,MATCH(Ext_SCC_Chloride!$X4,'Tables - Part 2'!$AV$6:$AV$13,0),MATCH(Ext_SCC_Chloride!$U4,'Tables - Part 2'!$AX$5:$BA$5,0))))/2,0)</f>
        <v>0</v>
      </c>
      <c r="BO4" s="248">
        <f>IF($T4=$BO$3,INDEX('Tables - Part 2'!$BB$17:$BE$24,MATCH(Ext_SCC_Chloride!$X4,'Tables - Part 2'!$AV$6:$AV$13,0),MATCH(Ext_SCC_Chloride!$U4,'Tables - Part 2'!$AX$5:$BA$5,0)),0)</f>
        <v>0</v>
      </c>
      <c r="BP4" s="248">
        <f>IF($T4=$BP$3,((INDEX('Tables - Part 2'!$BB$17:$BE$24,MATCH(Ext_SCC_Chloride!$X4,'Tables - Part 2'!$AV$6:$AV$13,0),MATCH(Ext_SCC_Chloride!$U4,'Tables - Part 2'!$AX$5:$BA$5,0)))+(((INDEX('Tables - Part 2'!$BB$17:$BE$24,MATCH(Ext_SCC_Chloride!$X4,'Tables - Part 2'!$AV$6:$AV$13,0),MATCH(Ext_SCC_Chloride!$U4,'Tables - Part 2'!$AX$5:$BA$5,0)))+(INDEX('Tables - Part 2'!$BB$17:$BE$24,MATCH(Ext_SCC_Chloride!$X4,'Tables - Part 2'!$AV$6:$AV$13,0),MATCH(Ext_SCC_Chloride!$U4,'Tables - Part 2'!$AX$5:$BA$5,0))+INDEX('Tables - Part 2'!$BF$17:$BI$24,MATCH(Ext_SCC_Chloride!$X4,'Tables - Part 2'!$AV$6:$AV$13,0),MATCH(Ext_SCC_Chloride!$U4,'Tables - Part 2'!$AX$5:$BA$5,0)))/2)/2))/2,0)</f>
        <v>0</v>
      </c>
      <c r="BQ4" s="248">
        <f>IF($T4=$BQ$3,((INDEX('Tables - Part 2'!$BB$17:$BE$24,MATCH(Ext_SCC_Chloride!$X4,'Tables - Part 2'!$AV$6:$AV$13,0),MATCH(Ext_SCC_Chloride!$U4,'Tables - Part 2'!$AX$5:$BA$5,0)))+(INDEX('Tables - Part 2'!$BB$17:$BE$24,MATCH(Ext_SCC_Chloride!$X4,'Tables - Part 2'!$AV$6:$AV$13,0),MATCH(Ext_SCC_Chloride!$U4,'Tables - Part 2'!$AX$5:$BA$5,0))+INDEX('Tables - Part 2'!$BF$17:$BI$24,MATCH(Ext_SCC_Chloride!$X4,'Tables - Part 2'!$AV$6:$AV$13,0),MATCH(Ext_SCC_Chloride!$U4,'Tables - Part 2'!$AX$5:$BA$5,0)))/2)/2,0)</f>
        <v>0</v>
      </c>
      <c r="BR4" s="248">
        <f>IF($T4=$BR$3,((((INDEX('Tables - Part 2'!$BB$17:$BE$24,MATCH(Ext_SCC_Chloride!$X4,'Tables - Part 2'!$AV$6:$AV$13,0),MATCH(Ext_SCC_Chloride!$U4,'Tables - Part 2'!$AX$5:$BA$5,0)))+(INDEX('Tables - Part 2'!$BB$17:$BE$24,MATCH(Ext_SCC_Chloride!$X4,'Tables - Part 2'!$AV$6:$AV$13,0),MATCH(Ext_SCC_Chloride!$U4,'Tables - Part 2'!$AX$5:$BA$5,0))+INDEX('Tables - Part 2'!$BF$17:$BI$24,MATCH(Ext_SCC_Chloride!$X4,'Tables - Part 2'!$AV$6:$AV$13,0),MATCH(Ext_SCC_Chloride!$U4,'Tables - Part 2'!$AX$5:$BA$5,0)))/2)/2)+((INDEX('Tables - Part 2'!$BB$17:$BE$24,MATCH(Ext_SCC_Chloride!$X4,'Tables - Part 2'!$AV$6:$AV$13,0),MATCH(Ext_SCC_Chloride!$U4,'Tables - Part 2'!$AX$5:$BA$5,0))+INDEX('Tables - Part 2'!$BF$17:$BI$24,MATCH(Ext_SCC_Chloride!$X4,'Tables - Part 2'!$AV$6:$AV$13,0),MATCH(Ext_SCC_Chloride!$U4,'Tables - Part 2'!$AX$5:$BA$5,0)))/2))/2,0)</f>
        <v>0</v>
      </c>
      <c r="BS4" s="248">
        <f>IF($T4=$BS$3,(INDEX('Tables - Part 2'!$BB$17:$BE$24,MATCH(Ext_SCC_Chloride!$X4,'Tables - Part 2'!$AV$6:$AV$13,0),MATCH(Ext_SCC_Chloride!$U4,'Tables - Part 2'!$AX$5:$BA$5,0))+INDEX('Tables - Part 2'!$BF$17:$BI$24,MATCH(Ext_SCC_Chloride!$X4,'Tables - Part 2'!$AV$6:$AV$13,0),MATCH(Ext_SCC_Chloride!$U4,'Tables - Part 2'!$AX$5:$BA$5,0)))/2,0)</f>
        <v>0</v>
      </c>
      <c r="BT4" s="248">
        <f>IF($T4=$BT$3,(((INDEX('Tables - Part 2'!$BB$17:$BE$24,MATCH(Ext_SCC_Chloride!$X4,'Tables - Part 2'!$AV$6:$AV$13,0),MATCH(Ext_SCC_Chloride!$U4,'Tables - Part 2'!$AX$5:$BA$5,0))+INDEX('Tables - Part 2'!$BF$17:$BI$24,MATCH(Ext_SCC_Chloride!$X4,'Tables - Part 2'!$AV$6:$AV$13,0),MATCH(Ext_SCC_Chloride!$U4,'Tables - Part 2'!$AX$5:$BA$5,0)))/2)+((((INDEX('Tables - Part 2'!$BB$17:$BE$24,MATCH(Ext_SCC_Chloride!$X4,'Tables - Part 2'!$AV$6:$AV$13,0),MATCH(Ext_SCC_Chloride!$U4,'Tables - Part 2'!$AX$5:$BA$5,0))+INDEX('Tables - Part 2'!$BF$17:$BI$24,MATCH(Ext_SCC_Chloride!$X4,'Tables - Part 2'!$AV$6:$AV$13,0),MATCH(Ext_SCC_Chloride!$U4,'Tables - Part 2'!$AX$5:$BA$5,0)))/2)+INDEX('Tables - Part 2'!$BF$17:$BI$24,MATCH(Ext_SCC_Chloride!$X4,'Tables - Part 2'!$AV$6:$AV$13,0),MATCH(Ext_SCC_Chloride!$U4,'Tables - Part 2'!$AX$5:$BA$5,0)))/2))/2,0)</f>
        <v>0</v>
      </c>
      <c r="BU4" s="248">
        <f>IF($T4=$BU$3,(((INDEX('Tables - Part 2'!$BB$17:$BE$24,MATCH(Ext_SCC_Chloride!$X4,'Tables - Part 2'!$AV$6:$AV$13,0),MATCH(Ext_SCC_Chloride!$U4,'Tables - Part 2'!$AX$5:$BA$5,0))+INDEX('Tables - Part 2'!$BF$17:$BI$24,MATCH(Ext_SCC_Chloride!$X4,'Tables - Part 2'!$AV$6:$AV$13,0),MATCH(Ext_SCC_Chloride!$U4,'Tables - Part 2'!$AX$5:$BA$5,0)))/2)+INDEX('Tables - Part 2'!$BF$17:$BI$24,MATCH(Ext_SCC_Chloride!$X4,'Tables - Part 2'!$AV$6:$AV$13,0),MATCH(Ext_SCC_Chloride!$U4,'Tables - Part 2'!$AX$5:$BA$5,0)))/2,0)</f>
        <v>0</v>
      </c>
      <c r="BV4" s="248">
        <f>IF($T4=$BV$3,(((((INDEX('Tables - Part 2'!$BB$17:$BE$24,MATCH(Ext_SCC_Chloride!$X4,'Tables - Part 2'!$AV$6:$AV$13,0),MATCH(Ext_SCC_Chloride!$U4,'Tables - Part 2'!$AX$5:$BA$5,0))+INDEX('Tables - Part 2'!$BF$17:$BI$24,MATCH(Ext_SCC_Chloride!$X4,'Tables - Part 2'!$AV$6:$AV$13,0),MATCH(Ext_SCC_Chloride!$U4,'Tables - Part 2'!$AX$5:$BA$5,0)))/2)+INDEX('Tables - Part 2'!$BF$17:$BI$24,MATCH(Ext_SCC_Chloride!$X4,'Tables - Part 2'!$AV$6:$AV$13,0),MATCH(Ext_SCC_Chloride!$U4,'Tables - Part 2'!$AX$5:$BA$5,0)))/2)+(INDEX('Tables - Part 2'!$BF$17:$BI$24,MATCH(Ext_SCC_Chloride!$X4,'Tables - Part 2'!$AV$6:$AV$13,0),MATCH(Ext_SCC_Chloride!$U4,'Tables - Part 2'!$AX$5:$BA$5,0))))/2,0)</f>
        <v>0</v>
      </c>
      <c r="BW4" s="248">
        <f>IF($T4=$BW$3,INDEX('Tables - Part 2'!$BF$17:$BI$24,MATCH(Ext_SCC_Chloride!$X4,'Tables - Part 2'!$AV$6:$AV$13,0),MATCH(Ext_SCC_Chloride!$U4,'Tables - Part 2'!$AX$5:$BA$5,0)),0)</f>
        <v>0</v>
      </c>
      <c r="BX4" s="248">
        <f t="shared" ref="BX4:BX21" si="5">IF(T4=0,X4,0)</f>
        <v>0</v>
      </c>
      <c r="BY4" s="238">
        <f>SUM(AI4:BX4)</f>
        <v>0</v>
      </c>
      <c r="BZ4" s="238">
        <f>IF(B4="",0,MIN(BY4*POWER(MAX(AH4,1),1.1),5000))</f>
        <v>0</v>
      </c>
      <c r="CC4" s="237" t="s">
        <v>111</v>
      </c>
      <c r="CE4" t="s">
        <v>61</v>
      </c>
    </row>
    <row r="5" spans="2:87" x14ac:dyDescent="0.35">
      <c r="B5" s="161" t="str">
        <f>'Tratamento de Dados'!B13</f>
        <v>V-07</v>
      </c>
      <c r="C5" s="161" t="str">
        <f>'Tratamento de Dados'!D13</f>
        <v>Tampo_Sul</v>
      </c>
      <c r="D5" s="209" t="s">
        <v>245</v>
      </c>
      <c r="E5" s="209" t="s">
        <v>61</v>
      </c>
      <c r="F5" s="247">
        <f>'Tratamento de Dados'!S13</f>
        <v>49</v>
      </c>
      <c r="G5" s="209" t="s">
        <v>953</v>
      </c>
      <c r="H5" s="210">
        <v>35234</v>
      </c>
      <c r="I5" s="210">
        <v>43983</v>
      </c>
      <c r="J5" s="210">
        <v>39092</v>
      </c>
      <c r="K5" s="210">
        <f>'Tratamento de Dados'!CC13</f>
        <v>41127</v>
      </c>
      <c r="L5" s="209" t="str">
        <f>'Tratamento de Dados'!CD13</f>
        <v>High Coating Quality</v>
      </c>
      <c r="M5" s="209" t="s">
        <v>840</v>
      </c>
      <c r="N5" s="209">
        <v>0</v>
      </c>
      <c r="O5" s="209">
        <v>1</v>
      </c>
      <c r="P5" s="209">
        <v>1</v>
      </c>
      <c r="Q5" s="209">
        <v>4</v>
      </c>
      <c r="R5" s="253">
        <f>'Tratamento de Dados'!DA13</f>
        <v>0</v>
      </c>
      <c r="S5" s="253">
        <f>'Tratamento de Dados'!DB13</f>
        <v>0</v>
      </c>
      <c r="T5" s="256">
        <f t="shared" si="0"/>
        <v>2.5</v>
      </c>
      <c r="U5" s="246" t="str">
        <f t="shared" si="1"/>
        <v>B</v>
      </c>
      <c r="V5" s="246" t="str">
        <f>IF(F5&lt;49,'Tables - Part 2'!$FH$5,IF(F5&lt;=93,'Tables - Part 2'!$FH$6,IF(F5&lt;=149,'Tables - Part 2'!$FH$7,'Tables - Part 2'!$FH$8)))</f>
        <v>49 to 93</v>
      </c>
      <c r="W5" s="467" t="str">
        <f>IF(D5=$CE$2,$CC$5,INDEX('Tables - Part 2'!$FI$5:$FL$8,MATCH(Ext_SCC_Chloride!V5,'Tables - Part 2'!$FH$5:$FH$8,0),MATCH(Ext_SCC_Chloride!M5,'Tables - Part 2'!$FI$4:$FL$4,0)))</f>
        <v>Medium</v>
      </c>
      <c r="X5" s="238">
        <f>IF(AND(D5=$CE$2,E5&lt;&gt;$CE$2),"Fitness-For-Service",INDEX('Tables - Part 2'!$FO$4:$FO$7,MATCH(Ext_SCC_Chloride!W5,'Tables - Part 2'!$FN$4:$FN$7,0),))</f>
        <v>10</v>
      </c>
      <c r="Y5" s="238">
        <f>IF(J5=0,(Thinning!G6-Thinning!F6)/365.25,(Thinning!G6-J5)/365.25)</f>
        <v>13.390828199863108</v>
      </c>
      <c r="Z5" s="248">
        <f t="shared" si="2"/>
        <v>0</v>
      </c>
      <c r="AA5" s="248">
        <f t="shared" si="3"/>
        <v>2.5</v>
      </c>
      <c r="AB5" s="247">
        <f t="shared" ref="AB5:AB21" si="6">_xlfn.FLOOR.MATH((AC5/2)+P5,0.5)</f>
        <v>3</v>
      </c>
      <c r="AC5" s="247">
        <f t="shared" si="4"/>
        <v>4</v>
      </c>
      <c r="AD5" s="247">
        <f t="shared" ref="AD5:AD21" si="7">(I5-K5)/365.25</f>
        <v>7.8193018480492817</v>
      </c>
      <c r="AE5" s="247">
        <f t="shared" ref="AE5:AE21" si="8">IF(L5=$AE$3,IF(Y5&gt;=AD5,MIN(5,AD5),MIN(5,AD5)-MIN(5,AD5-Y5)),0)</f>
        <v>0</v>
      </c>
      <c r="AF5" s="247">
        <f t="shared" ref="AF5:AF21" si="9">IF(L5=$AF$3,IF(Y5&gt;=AD5,MIN(15,AD5),MIN(15,AD5)-MIN(15,AD5-Y5)),0)</f>
        <v>7.8193018480492817</v>
      </c>
      <c r="AG5" s="247">
        <f t="shared" ref="AG5:AG21" si="10">SUM(AE5:AF5)</f>
        <v>7.8193018480492817</v>
      </c>
      <c r="AH5" s="247">
        <f t="shared" ref="AH5:AH21" si="11">Y5-AG5</f>
        <v>5.5715263518138265</v>
      </c>
      <c r="AI5" s="248">
        <f>IF($T5=$AI$3,INDEX('Tables - Part 2'!$AX$6:$BA$13,MATCH(Ext_SCC_Chloride!X5,'Tables - Part 2'!$AV$6:$AV$13,0),MATCH(Ext_SCC_Chloride!U5,'Tables - Part 2'!$AX$5:$BA$5,0)),0)</f>
        <v>0</v>
      </c>
      <c r="AJ5" s="248">
        <f>IF($T5=$AJ$3,(INDEX('Tables - Part 2'!$AX$6:$BA$13,MATCH(Ext_SCC_Chloride!X5,'Tables - Part 2'!$AV$6:$AV$13,0),MATCH(Ext_SCC_Chloride!U5,'Tables - Part 2'!$AX$5:$BA$5,0))+(INDEX('Tables - Part 2'!$AX$6:$BA$13,MATCH(Ext_SCC_Chloride!X5,'Tables - Part 2'!$AV$6:$AV$13,0),MATCH(Ext_SCC_Chloride!U5,'Tables - Part 2'!$AX$5:$BA$5,0))+((INDEX('Tables - Part 2'!$AX$6:$BA$13,MATCH(Ext_SCC_Chloride!X5,'Tables - Part 2'!$AV$6:$AV$13,0),MATCH(Ext_SCC_Chloride!U5,'Tables - Part 2'!$AX$5:$BA$5,0))+INDEX('Tables - Part 2'!$BB$6:$BE$13,MATCH(Ext_SCC_Chloride!$X5,'Tables - Part 2'!$AV$6:$AV$13,0),MATCH(Ext_SCC_Chloride!$U5,'Tables - Part 2'!$AX$5:$BA$5,0)))/2))/2)/2,0)</f>
        <v>0</v>
      </c>
      <c r="AK5" s="248">
        <f>IF($T5=$AK$3,(INDEX('Tables - Part 2'!$AX$6:$BA$13,MATCH(Ext_SCC_Chloride!X5,'Tables - Part 2'!$AV$6:$AV$13,0),MATCH(Ext_SCC_Chloride!U5,'Tables - Part 2'!$AX$5:$BA$5,0))+((INDEX('Tables - Part 2'!$AX$6:$BA$13,MATCH(Ext_SCC_Chloride!X5,'Tables - Part 2'!$AV$6:$AV$13,0),MATCH(Ext_SCC_Chloride!U5,'Tables - Part 2'!$AX$5:$BA$5,0))+INDEX('Tables - Part 2'!$BB$6:$BE$13,MATCH(Ext_SCC_Chloride!$X5,'Tables - Part 2'!$AV$6:$AV$13,0),MATCH(Ext_SCC_Chloride!$U5,'Tables - Part 2'!$AX$5:$BA$5,0)))/2))/2,0)</f>
        <v>0</v>
      </c>
      <c r="AL5" s="248">
        <f>IF($T5=$AL$3,(((INDEX('Tables - Part 2'!$AX$6:$BA$13,MATCH(Ext_SCC_Chloride!X5,'Tables - Part 2'!$AV$6:$AV$13,0),MATCH(Ext_SCC_Chloride!U5,'Tables - Part 2'!$AX$5:$BA$5,0))+((INDEX('Tables - Part 2'!$AX$6:$BA$13,MATCH(Ext_SCC_Chloride!X5,'Tables - Part 2'!$AV$6:$AV$13,0),MATCH(Ext_SCC_Chloride!U5,'Tables - Part 2'!$AX$5:$BA$5,0))+INDEX('Tables - Part 2'!$BB$6:$BE$13,MATCH(Ext_SCC_Chloride!$X5,'Tables - Part 2'!$AV$6:$AV$13,0),MATCH(Ext_SCC_Chloride!$U5,'Tables - Part 2'!$AX$5:$BA$5,0)))/2))/2)+(INDEX('Tables - Part 2'!$AX$6:$BA$13,MATCH(Ext_SCC_Chloride!X5,'Tables - Part 2'!$AV$6:$AV$13,0),MATCH(Ext_SCC_Chloride!U5,'Tables - Part 2'!$AX$5:$BA$5,0))+INDEX('Tables - Part 2'!$BB$6:$BE$13,MATCH(Ext_SCC_Chloride!$X5,'Tables - Part 2'!$AV$6:$AV$13,0),MATCH(Ext_SCC_Chloride!$U5,'Tables - Part 2'!$AX$5:$BA$5,0)))/2)/2,0)</f>
        <v>0</v>
      </c>
      <c r="AM5" s="248">
        <f>IF($T5=$AM$3,(INDEX('Tables - Part 2'!$AX$6:$BA$13,MATCH(Ext_SCC_Chloride!X5,'Tables - Part 2'!$AV$6:$AV$13,0),MATCH(Ext_SCC_Chloride!U5,'Tables - Part 2'!$AX$5:$BA$5,0))+INDEX('Tables - Part 2'!$BB$6:$BE$13,MATCH(Ext_SCC_Chloride!$X5,'Tables - Part 2'!$AV$6:$AV$13,0),MATCH(Ext_SCC_Chloride!$U5,'Tables - Part 2'!$AX$5:$BA$5,0)))/2,0)</f>
        <v>0</v>
      </c>
      <c r="AN5" s="248">
        <f>IF($T5=$AN$3,(((INDEX('Tables - Part 2'!$AX$6:$BA$13,MATCH(Ext_SCC_Chloride!X5,'Tables - Part 2'!$AV$6:$AV$13,0),MATCH(Ext_SCC_Chloride!U5,'Tables - Part 2'!$AX$5:$BA$5,0))+INDEX('Tables - Part 2'!$BB$6:$BE$13,MATCH(Ext_SCC_Chloride!$X5,'Tables - Part 2'!$AV$6:$AV$13,0),MATCH(Ext_SCC_Chloride!$U5,'Tables - Part 2'!$AX$5:$BA$5,0)))/2)+(((INDEX('Tables - Part 2'!$AX$6:$BA$13,MATCH(Ext_SCC_Chloride!X5,'Tables - Part 2'!$AV$6:$AV$13,0),MATCH(Ext_SCC_Chloride!U5,'Tables - Part 2'!$AX$5:$BA$5,0))+INDEX('Tables - Part 2'!$BB$6:$BE$13,MATCH(Ext_SCC_Chloride!$X5,'Tables - Part 2'!$AV$6:$AV$13,0),MATCH(Ext_SCC_Chloride!$U5,'Tables - Part 2'!$AX$5:$BA$5,0)))/2)+INDEX('Tables - Part 2'!$BB$6:$BE$13,MATCH(Ext_SCC_Chloride!$X5,'Tables - Part 2'!$AV$6:$AV$13,0),MATCH(Ext_SCC_Chloride!$U5,'Tables - Part 2'!$AX$5:$BA$5,0)))/2)/2,0)</f>
        <v>0</v>
      </c>
      <c r="AO5" s="248">
        <f>IF($T5=$AO$3,(((INDEX('Tables - Part 2'!$AX$6:$BA$13,MATCH(Ext_SCC_Chloride!X5,'Tables - Part 2'!$AV$6:$AV$13,0),MATCH(Ext_SCC_Chloride!U5,'Tables - Part 2'!$AX$5:$BA$5,0))+INDEX('Tables - Part 2'!$BB$6:$BE$13,MATCH(Ext_SCC_Chloride!$X5,'Tables - Part 2'!$AV$6:$AV$13,0),MATCH(Ext_SCC_Chloride!$U5,'Tables - Part 2'!$AX$5:$BA$5,0)))/2)+INDEX('Tables - Part 2'!$BB$6:$BE$13,MATCH(Ext_SCC_Chloride!$X5,'Tables - Part 2'!$AV$6:$AV$13,0),MATCH(Ext_SCC_Chloride!$U5,'Tables - Part 2'!$AX$5:$BA$5,0)))/2,0)</f>
        <v>0</v>
      </c>
      <c r="AP5" s="248">
        <f>IF($T5=$AP$3,(((((INDEX('Tables - Part 2'!$AX$6:$BA$13,MATCH(Ext_SCC_Chloride!X5,'Tables - Part 2'!$AV$6:$AV$13,0),MATCH(Ext_SCC_Chloride!U5,'Tables - Part 2'!$AX$5:$BA$5,0))+INDEX('Tables - Part 2'!$BB$6:$BE$13,MATCH(Ext_SCC_Chloride!$X5,'Tables - Part 2'!$AV$6:$AV$13,0),MATCH(Ext_SCC_Chloride!$U5,'Tables - Part 2'!$AX$5:$BA$5,0)))/2)+INDEX('Tables - Part 2'!$BB$6:$BE$13,MATCH(Ext_SCC_Chloride!$X5,'Tables - Part 2'!$AV$6:$AV$13,0),MATCH(Ext_SCC_Chloride!$U5,'Tables - Part 2'!$AX$5:$BA$5,0)))/2)+INDEX('Tables - Part 2'!$BB$6:$BE$13,MATCH(Ext_SCC_Chloride!$X5,'Tables - Part 2'!$AV$6:$AV$13,0),MATCH(Ext_SCC_Chloride!$U5,'Tables - Part 2'!$AX$5:$BA$5,0)))/2,0)</f>
        <v>0</v>
      </c>
      <c r="AQ5" s="248">
        <f>IF($T5=$AQ$3,INDEX('Tables - Part 2'!$BB$6:$BE$13,MATCH(Ext_SCC_Chloride!$X5,'Tables - Part 2'!$AV$6:$AV$13,0),MATCH(Ext_SCC_Chloride!$U5,'Tables - Part 2'!$AX$5:$BA$5,0)),0)</f>
        <v>0</v>
      </c>
      <c r="AR5" s="248">
        <f>IF($T5=$AR$3,((INDEX('Tables - Part 2'!$BB$6:$BE$13,MATCH(Ext_SCC_Chloride!$X5,'Tables - Part 2'!$AV$6:$AV$13,0),MATCH(Ext_SCC_Chloride!$U5,'Tables - Part 2'!$AX$5:$BA$5,0)))+(INDEX('Tables - Part 2'!$BB$6:$BE$13,MATCH(Ext_SCC_Chloride!$X5,'Tables - Part 2'!$AV$6:$AV$13,0),MATCH(Ext_SCC_Chloride!$U5,'Tables - Part 2'!$AX$5:$BA$5,0))+(INDEX('Tables - Part 2'!$BB$6:$BE$13,MATCH(Ext_SCC_Chloride!$X5,'Tables - Part 2'!$AV$6:$AV$13,0),MATCH(Ext_SCC_Chloride!$U5,'Tables - Part 2'!$AX$5:$BA$5,0))+INDEX('Tables - Part 2'!$BF$6:$BI$13,MATCH(Ext_SCC_Chloride!$X5,'Tables - Part 2'!$AV$6:$AV$13,0),MATCH(Ext_SCC_Chloride!$U5,'Tables - Part 2'!$AX$5:$BA$5,0)))/2)/2)/2,0)</f>
        <v>0</v>
      </c>
      <c r="AS5" s="248">
        <f>IF($T5=$AS$3,(INDEX('Tables - Part 2'!$BB$6:$BE$13,MATCH(Ext_SCC_Chloride!$X5,'Tables - Part 2'!$AV$6:$AV$13,0),MATCH(Ext_SCC_Chloride!$U5,'Tables - Part 2'!$AX$5:$BA$5,0))+(INDEX('Tables - Part 2'!$BB$6:$BE$13,MATCH(Ext_SCC_Chloride!$X5,'Tables - Part 2'!$AV$6:$AV$13,0),MATCH(Ext_SCC_Chloride!$U5,'Tables - Part 2'!$AX$5:$BA$5,0))+INDEX('Tables - Part 2'!$BF$6:$BI$13,MATCH(Ext_SCC_Chloride!$X5,'Tables - Part 2'!$AV$6:$AV$13,0),MATCH(Ext_SCC_Chloride!$U5,'Tables - Part 2'!$AX$5:$BA$5,0)))/2)/2,0)</f>
        <v>0</v>
      </c>
      <c r="AT5" s="248">
        <f>IF($T5=$AT$3,(((INDEX('Tables - Part 2'!$BB$6:$BE$13,MATCH(Ext_SCC_Chloride!$X5,'Tables - Part 2'!$AV$6:$AV$13,0),MATCH(Ext_SCC_Chloride!$U5,'Tables - Part 2'!$AX$5:$BA$5,0))+(INDEX('Tables - Part 2'!$BB$6:$BE$13,MATCH(Ext_SCC_Chloride!$X5,'Tables - Part 2'!$AV$6:$AV$13,0),MATCH(Ext_SCC_Chloride!$U5,'Tables - Part 2'!$AX$5:$BA$5,0))+INDEX('Tables - Part 2'!$BF$6:$BI$13,MATCH(Ext_SCC_Chloride!$X5,'Tables - Part 2'!$AV$6:$AV$13,0),MATCH(Ext_SCC_Chloride!$U5,'Tables - Part 2'!$AX$5:$BA$5,0)))/2)/2)+((INDEX('Tables - Part 2'!$BB$6:$BE$13,MATCH(Ext_SCC_Chloride!$X5,'Tables - Part 2'!$AV$6:$AV$13,0),MATCH(Ext_SCC_Chloride!$U5,'Tables - Part 2'!$AX$5:$BA$5,0))+INDEX('Tables - Part 2'!$BF$6:$BI$13,MATCH(Ext_SCC_Chloride!$X5,'Tables - Part 2'!$AV$6:$AV$13,0),MATCH(Ext_SCC_Chloride!$U5,'Tables - Part 2'!$AX$5:$BA$5,0)))/2))/2,0)</f>
        <v>0</v>
      </c>
      <c r="AU5" s="248">
        <f>IF($T5=$AU$3,(INDEX('Tables - Part 2'!$BB$6:$BE$13,MATCH(Ext_SCC_Chloride!$X5,'Tables - Part 2'!$AV$6:$AV$13,0),MATCH(Ext_SCC_Chloride!$U5,'Tables - Part 2'!$AX$5:$BA$5,0))+INDEX('Tables - Part 2'!$BF$6:$BI$13,MATCH(Ext_SCC_Chloride!$X5,'Tables - Part 2'!$AV$6:$AV$13,0),MATCH(Ext_SCC_Chloride!$U5,'Tables - Part 2'!$AX$5:$BA$5,0)))/2,0)</f>
        <v>1</v>
      </c>
      <c r="AV5" s="248">
        <f>IF($T5=$AV$3,(((INDEX('Tables - Part 2'!$BB$6:$BE$13,MATCH(Ext_SCC_Chloride!$X5,'Tables - Part 2'!$AV$6:$AV$13,0),MATCH(Ext_SCC_Chloride!$U5,'Tables - Part 2'!$AX$5:$BA$5,0))+INDEX('Tables - Part 2'!$BF$6:$BI$13,MATCH(Ext_SCC_Chloride!$X5,'Tables - Part 2'!$AV$6:$AV$13,0),MATCH(Ext_SCC_Chloride!$U5,'Tables - Part 2'!$AX$5:$BA$5,0)))/2)+((((INDEX('Tables - Part 2'!$BB$6:$BE$13,MATCH(Ext_SCC_Chloride!$X5,'Tables - Part 2'!$AV$6:$AV$13,0),MATCH(Ext_SCC_Chloride!$U5,'Tables - Part 2'!$AX$5:$BA$5,0))+INDEX('Tables - Part 2'!$BF$6:$BI$13,MATCH(Ext_SCC_Chloride!$X5,'Tables - Part 2'!$AV$6:$AV$13,0),MATCH(Ext_SCC_Chloride!$U5,'Tables - Part 2'!$AX$5:$BA$5,0)))/2)+INDEX('Tables - Part 2'!$BF$6:$BI$13,MATCH(Ext_SCC_Chloride!$X5,'Tables - Part 2'!$AV$6:$AV$13,0),MATCH(Ext_SCC_Chloride!$U5,'Tables - Part 2'!$AX$5:$BA$5,0)))/2))/2,0)</f>
        <v>0</v>
      </c>
      <c r="AW5" s="248">
        <f>IF($T5=$AW$3,(((INDEX('Tables - Part 2'!$BB$6:$BE$13,MATCH(Ext_SCC_Chloride!$X5,'Tables - Part 2'!$AV$6:$AV$13,0),MATCH(Ext_SCC_Chloride!$U5,'Tables - Part 2'!$AX$5:$BA$5,0))+INDEX('Tables - Part 2'!$BF$6:$BI$13,MATCH(Ext_SCC_Chloride!$X5,'Tables - Part 2'!$AV$6:$AV$13,0),MATCH(Ext_SCC_Chloride!$U5,'Tables - Part 2'!$AX$5:$BA$5,0)))/2)+INDEX('Tables - Part 2'!$BF$6:$BI$13,MATCH(Ext_SCC_Chloride!$X5,'Tables - Part 2'!$AV$6:$AV$13,0),MATCH(Ext_SCC_Chloride!$U5,'Tables - Part 2'!$AX$5:$BA$5,0)))/2,0)</f>
        <v>0</v>
      </c>
      <c r="AX5" s="248">
        <f>IF($T5=$AX$3,(((((INDEX('Tables - Part 2'!$BB$6:$BE$13,MATCH(Ext_SCC_Chloride!$X5,'Tables - Part 2'!$AV$6:$AV$13,0),MATCH(Ext_SCC_Chloride!$U5,'Tables - Part 2'!$AX$5:$BA$5,0))+INDEX('Tables - Part 2'!$BF$6:$BI$13,MATCH(Ext_SCC_Chloride!$X5,'Tables - Part 2'!$AV$6:$AV$13,0),MATCH(Ext_SCC_Chloride!$U5,'Tables - Part 2'!$AX$5:$BA$5,0)))/2)+INDEX('Tables - Part 2'!$BF$6:$BI$13,MATCH(Ext_SCC_Chloride!$X5,'Tables - Part 2'!$AV$6:$AV$13,0),MATCH(Ext_SCC_Chloride!$U5,'Tables - Part 2'!$AX$5:$BA$5,0)))/2)+INDEX('Tables - Part 2'!$BF$6:$BI$13,MATCH(Ext_SCC_Chloride!$X5,'Tables - Part 2'!$AV$6:$AV$13,0),MATCH(Ext_SCC_Chloride!$U5,'Tables - Part 2'!$AX$5:$BA$5,0)))/2,0)</f>
        <v>0</v>
      </c>
      <c r="AY5" s="248">
        <f>IF($T5=$AY$3,INDEX('Tables - Part 2'!$BF$6:$BI$13,MATCH(Ext_SCC_Chloride!$X5,'Tables - Part 2'!$AV$6:$AV$13,0),MATCH(Ext_SCC_Chloride!$U5,'Tables - Part 2'!$AX$5:$BA$5,0)),0)</f>
        <v>0</v>
      </c>
      <c r="AZ5" s="248">
        <f>IF($T5=$AZ$3,(INDEX('Tables - Part 2'!$BF$6:$BI$13,MATCH(Ext_SCC_Chloride!$X5,'Tables - Part 2'!$AV$6:$AV$13,0),MATCH(Ext_SCC_Chloride!$U5,'Tables - Part 2'!$AX$5:$BA$5,0))+((INDEX('Tables - Part 2'!$BF$6:$BI$13,MATCH(Ext_SCC_Chloride!$X5,'Tables - Part 2'!$AV$6:$AV$13,0),MATCH(Ext_SCC_Chloride!$U5,'Tables - Part 2'!$AX$5:$BA$5,0))+(INDEX('Tables - Part 2'!$BF$6:$BI$13,MATCH(Ext_SCC_Chloride!$X5,'Tables - Part 2'!$AV$6:$AV$13,0),MATCH(Ext_SCC_Chloride!$U5,'Tables - Part 2'!$AX$5:$BA$5,0))+INDEX('Tables - Part 2'!$AX$17:$BA$24,MATCH(Ext_SCC_Chloride!$X5,'Tables - Part 2'!$AV$6:$AV$13,0),MATCH(Ext_SCC_Chloride!$U5,'Tables - Part 2'!$AX$5:$BA$5,0)))/2)/2))/2,0)</f>
        <v>0</v>
      </c>
      <c r="BA5" s="248">
        <f>IF($T5=$BA$3,(INDEX('Tables - Part 2'!$BF$6:$BI$13,MATCH(Ext_SCC_Chloride!$X5,'Tables - Part 2'!$AV$6:$AV$13,0),MATCH(Ext_SCC_Chloride!$U5,'Tables - Part 2'!$AX$5:$BA$5,0))+(INDEX('Tables - Part 2'!$BF$6:$BI$13,MATCH(Ext_SCC_Chloride!$X5,'Tables - Part 2'!$AV$6:$AV$13,0),MATCH(Ext_SCC_Chloride!$U5,'Tables - Part 2'!$AX$5:$BA$5,0))+INDEX('Tables - Part 2'!$AX$17:$BA$24,MATCH(Ext_SCC_Chloride!$X5,'Tables - Part 2'!$AV$6:$AV$13,0),MATCH(Ext_SCC_Chloride!$U5,'Tables - Part 2'!$AX$5:$BA$5,0)))/2)/2,0)</f>
        <v>0</v>
      </c>
      <c r="BB5" s="248">
        <f>IF($T5=$BB$3,(((INDEX('Tables - Part 2'!$BF$6:$BI$13,MATCH(Ext_SCC_Chloride!$X5,'Tables - Part 2'!$AV$6:$AV$13,0),MATCH(Ext_SCC_Chloride!$U5,'Tables - Part 2'!$AX$5:$BA$5,0))+(INDEX('Tables - Part 2'!$BF$6:$BI$13,MATCH(Ext_SCC_Chloride!$X5,'Tables - Part 2'!$AV$6:$AV$13,0),MATCH(Ext_SCC_Chloride!$U5,'Tables - Part 2'!$AX$5:$BA$5,0))+INDEX('Tables - Part 2'!$AX$17:$BA$24,MATCH(Ext_SCC_Chloride!$X5,'Tables - Part 2'!$AV$6:$AV$13,0),MATCH(Ext_SCC_Chloride!$U5,'Tables - Part 2'!$AX$5:$BA$5,0)))/2)/2)+((INDEX('Tables - Part 2'!$BF$6:$BI$13,MATCH(Ext_SCC_Chloride!$X5,'Tables - Part 2'!$AV$6:$AV$13,0),MATCH(Ext_SCC_Chloride!$U5,'Tables - Part 2'!$AX$5:$BA$5,0))+INDEX('Tables - Part 2'!$AX$17:$BA$24,MATCH(Ext_SCC_Chloride!$X5,'Tables - Part 2'!$AV$6:$AV$13,0),MATCH(Ext_SCC_Chloride!$U5,'Tables - Part 2'!$AX$5:$BA$5,0)))/2))/2,0)</f>
        <v>0</v>
      </c>
      <c r="BC5" s="248">
        <f>IF($T5=$BC$3,(INDEX('Tables - Part 2'!$BF$6:$BI$13,MATCH(Ext_SCC_Chloride!$X5,'Tables - Part 2'!$AV$6:$AV$13,0),MATCH(Ext_SCC_Chloride!$U5,'Tables - Part 2'!$AX$5:$BA$5,0))+INDEX('Tables - Part 2'!$AX$17:$BA$24,MATCH(Ext_SCC_Chloride!$X5,'Tables - Part 2'!$AV$6:$AV$13,0),MATCH(Ext_SCC_Chloride!$U5,'Tables - Part 2'!$AX$5:$BA$5,0)))/2,0)</f>
        <v>0</v>
      </c>
      <c r="BD5" s="248">
        <f>IF($T5=$BD$3,(((INDEX('Tables - Part 2'!$BF$6:$BI$13,MATCH(Ext_SCC_Chloride!$X5,'Tables - Part 2'!$AV$6:$AV$13,0),MATCH(Ext_SCC_Chloride!$U5,'Tables - Part 2'!$AX$5:$BA$5,0))+INDEX('Tables - Part 2'!$AX$17:$BA$24,MATCH(Ext_SCC_Chloride!$X5,'Tables - Part 2'!$AV$6:$AV$13,0),MATCH(Ext_SCC_Chloride!$U5,'Tables - Part 2'!$AX$5:$BA$5,0)))/2)+((((INDEX('Tables - Part 2'!$BF$6:$BI$13,MATCH(Ext_SCC_Chloride!$X5,'Tables - Part 2'!$AV$6:$AV$13,0),MATCH(Ext_SCC_Chloride!$U5,'Tables - Part 2'!$AX$5:$BA$5,0))+INDEX('Tables - Part 2'!$AX$17:$BA$24,MATCH(Ext_SCC_Chloride!$X5,'Tables - Part 2'!$AV$6:$AV$13,0),MATCH(Ext_SCC_Chloride!$U5,'Tables - Part 2'!$AX$5:$BA$5,0)))/2)+INDEX('Tables - Part 2'!$AX$17:$BA$24,MATCH(Ext_SCC_Chloride!$X5,'Tables - Part 2'!$AV$6:$AV$13,0),MATCH(Ext_SCC_Chloride!$U5,'Tables - Part 2'!$AX$5:$BA$5,0)))/2))/2,0)</f>
        <v>0</v>
      </c>
      <c r="BE5" s="248">
        <f>IF($T5=$BE$3,(((INDEX('Tables - Part 2'!$BF$6:$BI$13,MATCH(Ext_SCC_Chloride!$X5,'Tables - Part 2'!$AV$6:$AV$13,0),MATCH(Ext_SCC_Chloride!$U5,'Tables - Part 2'!$AX$5:$BA$5,0))+INDEX('Tables - Part 2'!$AX$17:$BA$24,MATCH(Ext_SCC_Chloride!$X5,'Tables - Part 2'!$AV$6:$AV$13,0),MATCH(Ext_SCC_Chloride!$U5,'Tables - Part 2'!$AX$5:$BA$5,0)))/2)+INDEX('Tables - Part 2'!$AX$17:$BA$24,MATCH(Ext_SCC_Chloride!$X5,'Tables - Part 2'!$AV$6:$AV$13,0),MATCH(Ext_SCC_Chloride!$U5,'Tables - Part 2'!$AX$5:$BA$5,0)))/2,0)</f>
        <v>0</v>
      </c>
      <c r="BF5" s="248">
        <f>IF($T5=$BF$3,(((((INDEX('Tables - Part 2'!$BF$6:$BI$13,MATCH(Ext_SCC_Chloride!$X5,'Tables - Part 2'!$AV$6:$AV$13,0),MATCH(Ext_SCC_Chloride!$U5,'Tables - Part 2'!$AX$5:$BA$5,0))+INDEX('Tables - Part 2'!$AX$17:$BA$24,MATCH(Ext_SCC_Chloride!$X5,'Tables - Part 2'!$AV$6:$AV$13,0),MATCH(Ext_SCC_Chloride!$U5,'Tables - Part 2'!$AX$5:$BA$5,0)))/2)+INDEX('Tables - Part 2'!$AX$17:$BA$24,MATCH(Ext_SCC_Chloride!$X5,'Tables - Part 2'!$AV$6:$AV$13,0),MATCH(Ext_SCC_Chloride!$U5,'Tables - Part 2'!$AX$5:$BA$5,0)))/2)+(INDEX('Tables - Part 2'!$AX$17:$BA$24,MATCH(Ext_SCC_Chloride!$X5,'Tables - Part 2'!$AV$6:$AV$13,0),MATCH(Ext_SCC_Chloride!$U5,'Tables - Part 2'!$AX$5:$BA$5,0))))/2,0)</f>
        <v>0</v>
      </c>
      <c r="BG5" s="248">
        <f>IF($T5=$BG$3,INDEX('Tables - Part 2'!$AX$17:$BA$24,MATCH(Ext_SCC_Chloride!$X5,'Tables - Part 2'!$AV$6:$AV$13,0),MATCH(Ext_SCC_Chloride!$U5,'Tables - Part 2'!$AX$5:$BA$5,0)),0)</f>
        <v>0</v>
      </c>
      <c r="BH5" s="248">
        <f>IF($T5=$BH$3,((INDEX('Tables - Part 2'!$AX$17:$BA$24,MATCH(Ext_SCC_Chloride!$X5,'Tables - Part 2'!$AV$6:$AV$13,0),MATCH(Ext_SCC_Chloride!$U5,'Tables - Part 2'!$AX$5:$BA$5,0)))+(((INDEX('Tables - Part 2'!$AX$17:$BA$24,MATCH(Ext_SCC_Chloride!$X5,'Tables - Part 2'!$AV$6:$AV$13,0),MATCH(Ext_SCC_Chloride!$U5,'Tables - Part 2'!$AX$5:$BA$5,0)))+(INDEX('Tables - Part 2'!$AX$17:$BA$24,MATCH(Ext_SCC_Chloride!$X5,'Tables - Part 2'!$AV$6:$AV$13,0),MATCH(Ext_SCC_Chloride!$U5,'Tables - Part 2'!$AX$5:$BA$5,0))+INDEX('Tables - Part 2'!$BB$17:$BE$24,MATCH(Ext_SCC_Chloride!$X5,'Tables - Part 2'!$AV$6:$AV$13,0),MATCH(Ext_SCC_Chloride!$U5,'Tables - Part 2'!$AX$5:$BA$5,0)))/2)/2))/2,0)</f>
        <v>0</v>
      </c>
      <c r="BI5" s="248">
        <f>IF($T5=$BI$3,((INDEX('Tables - Part 2'!$AX$17:$BA$24,MATCH(Ext_SCC_Chloride!$X5,'Tables - Part 2'!$AV$6:$AV$13,0),MATCH(Ext_SCC_Chloride!$U5,'Tables - Part 2'!$AX$5:$BA$5,0)))+(INDEX('Tables - Part 2'!$AX$17:$BA$24,MATCH(Ext_SCC_Chloride!$X5,'Tables - Part 2'!$AV$6:$AV$13,0),MATCH(Ext_SCC_Chloride!$U5,'Tables - Part 2'!$AX$5:$BA$5,0))+INDEX('Tables - Part 2'!$BB$17:$BE$24,MATCH(Ext_SCC_Chloride!$X5,'Tables - Part 2'!$AV$6:$AV$13,0),MATCH(Ext_SCC_Chloride!$U5,'Tables - Part 2'!$AX$5:$BA$5,0)))/2)/2,0)</f>
        <v>0</v>
      </c>
      <c r="BJ5" s="248">
        <f>IF($T5=$BJ$3,((((INDEX('Tables - Part 2'!$AX$17:$BA$24,MATCH(Ext_SCC_Chloride!$X5,'Tables - Part 2'!$AV$6:$AV$13,0),MATCH(Ext_SCC_Chloride!$U5,'Tables - Part 2'!$AX$5:$BA$5,0)))+(INDEX('Tables - Part 2'!$AX$17:$BA$24,MATCH(Ext_SCC_Chloride!$X5,'Tables - Part 2'!$AV$6:$AV$13,0),MATCH(Ext_SCC_Chloride!$U5,'Tables - Part 2'!$AX$5:$BA$5,0))+INDEX('Tables - Part 2'!$BB$17:$BE$24,MATCH(Ext_SCC_Chloride!$X5,'Tables - Part 2'!$AV$6:$AV$13,0),MATCH(Ext_SCC_Chloride!$U5,'Tables - Part 2'!$AX$5:$BA$5,0)))/2)/2)+((INDEX('Tables - Part 2'!$AX$17:$BA$24,MATCH(Ext_SCC_Chloride!$X5,'Tables - Part 2'!$AV$6:$AV$13,0),MATCH(Ext_SCC_Chloride!$U5,'Tables - Part 2'!$AX$5:$BA$5,0))+INDEX('Tables - Part 2'!$BB$17:$BE$24,MATCH(Ext_SCC_Chloride!$X5,'Tables - Part 2'!$AV$6:$AV$13,0),MATCH(Ext_SCC_Chloride!$U5,'Tables - Part 2'!$AX$5:$BA$5,0)))/2))/2,0)</f>
        <v>0</v>
      </c>
      <c r="BK5" s="248">
        <f>IF($T5=$BK$3,(INDEX('Tables - Part 2'!$AX$17:$BA$24,MATCH(Ext_SCC_Chloride!$X5,'Tables - Part 2'!$AV$6:$AV$13,0),MATCH(Ext_SCC_Chloride!$U5,'Tables - Part 2'!$AX$5:$BA$5,0))+INDEX('Tables - Part 2'!$BB$17:$BE$24,MATCH(Ext_SCC_Chloride!$X5,'Tables - Part 2'!$AV$6:$AV$13,0),MATCH(Ext_SCC_Chloride!$U5,'Tables - Part 2'!$AX$5:$BA$5,0)))/2,0)</f>
        <v>0</v>
      </c>
      <c r="BL5" s="248">
        <f>IF($T5=$BL$3,(((INDEX('Tables - Part 2'!$AX$17:$BA$24,MATCH(Ext_SCC_Chloride!$X5,'Tables - Part 2'!$AV$6:$AV$13,0),MATCH(Ext_SCC_Chloride!$U5,'Tables - Part 2'!$AX$5:$BA$5,0))+INDEX('Tables - Part 2'!$BB$17:$BE$24,MATCH(Ext_SCC_Chloride!$X5,'Tables - Part 2'!$AV$6:$AV$13,0),MATCH(Ext_SCC_Chloride!$U5,'Tables - Part 2'!$AX$5:$BA$5,0)))/2)+((((INDEX('Tables - Part 2'!$AX$17:$BA$24,MATCH(Ext_SCC_Chloride!$X5,'Tables - Part 2'!$AV$6:$AV$13,0),MATCH(Ext_SCC_Chloride!$U5,'Tables - Part 2'!$AX$5:$BA$5,0))+INDEX('Tables - Part 2'!$BB$17:$BE$24,MATCH(Ext_SCC_Chloride!$X5,'Tables - Part 2'!$AV$6:$AV$13,0),MATCH(Ext_SCC_Chloride!$U5,'Tables - Part 2'!$AX$5:$BA$5,0)))/2)+INDEX('Tables - Part 2'!$BB$17:$BE$24,MATCH(Ext_SCC_Chloride!$X5,'Tables - Part 2'!$AV$6:$AV$13,0),MATCH(Ext_SCC_Chloride!$U5,'Tables - Part 2'!$AX$5:$BA$5,0)))/2))/2,0)</f>
        <v>0</v>
      </c>
      <c r="BM5" s="248">
        <f>IF($T5=$BM$3,(((INDEX('Tables - Part 2'!$AX$17:$BA$24,MATCH(Ext_SCC_Chloride!$X5,'Tables - Part 2'!$AV$6:$AV$13,0),MATCH(Ext_SCC_Chloride!$U5,'Tables - Part 2'!$AX$5:$BA$5,0))+INDEX('Tables - Part 2'!$BB$17:$BE$24,MATCH(Ext_SCC_Chloride!$X5,'Tables - Part 2'!$AV$6:$AV$13,0),MATCH(Ext_SCC_Chloride!$U5,'Tables - Part 2'!$AX$5:$BA$5,0)))/2)+INDEX('Tables - Part 2'!$BB$17:$BE$24,MATCH(Ext_SCC_Chloride!$X5,'Tables - Part 2'!$AV$6:$AV$13,0),MATCH(Ext_SCC_Chloride!$U5,'Tables - Part 2'!$AX$5:$BA$5,0)))/2,0)</f>
        <v>0</v>
      </c>
      <c r="BN5" s="248">
        <f>IF($T5=$BN$3,(((((INDEX('Tables - Part 2'!$AX$17:$BA$24,MATCH(Ext_SCC_Chloride!$X5,'Tables - Part 2'!$AV$6:$AV$13,0),MATCH(Ext_SCC_Chloride!$U5,'Tables - Part 2'!$AX$5:$BA$5,0))+INDEX('Tables - Part 2'!$BB$17:$BE$24,MATCH(Ext_SCC_Chloride!$X5,'Tables - Part 2'!$AV$6:$AV$13,0),MATCH(Ext_SCC_Chloride!$U5,'Tables - Part 2'!$AX$5:$BA$5,0)))/2)+INDEX('Tables - Part 2'!$BB$17:$BE$24,MATCH(Ext_SCC_Chloride!$X5,'Tables - Part 2'!$AV$6:$AV$13,0),MATCH(Ext_SCC_Chloride!$U5,'Tables - Part 2'!$AX$5:$BA$5,0)))/2)+(INDEX('Tables - Part 2'!$BB$17:$BE$24,MATCH(Ext_SCC_Chloride!$X5,'Tables - Part 2'!$AV$6:$AV$13,0),MATCH(Ext_SCC_Chloride!$U5,'Tables - Part 2'!$AX$5:$BA$5,0))))/2,0)</f>
        <v>0</v>
      </c>
      <c r="BO5" s="248">
        <f>IF($T5=$BO$3,INDEX('Tables - Part 2'!$BB$17:$BE$24,MATCH(Ext_SCC_Chloride!$X5,'Tables - Part 2'!$AV$6:$AV$13,0),MATCH(Ext_SCC_Chloride!$U5,'Tables - Part 2'!$AX$5:$BA$5,0)),0)</f>
        <v>0</v>
      </c>
      <c r="BP5" s="248">
        <f>IF($T5=$BP$3,((INDEX('Tables - Part 2'!$BB$17:$BE$24,MATCH(Ext_SCC_Chloride!$X5,'Tables - Part 2'!$AV$6:$AV$13,0),MATCH(Ext_SCC_Chloride!$U5,'Tables - Part 2'!$AX$5:$BA$5,0)))+(((INDEX('Tables - Part 2'!$BB$17:$BE$24,MATCH(Ext_SCC_Chloride!$X5,'Tables - Part 2'!$AV$6:$AV$13,0),MATCH(Ext_SCC_Chloride!$U5,'Tables - Part 2'!$AX$5:$BA$5,0)))+(INDEX('Tables - Part 2'!$BB$17:$BE$24,MATCH(Ext_SCC_Chloride!$X5,'Tables - Part 2'!$AV$6:$AV$13,0),MATCH(Ext_SCC_Chloride!$U5,'Tables - Part 2'!$AX$5:$BA$5,0))+INDEX('Tables - Part 2'!$BF$17:$BI$24,MATCH(Ext_SCC_Chloride!$X5,'Tables - Part 2'!$AV$6:$AV$13,0),MATCH(Ext_SCC_Chloride!$U5,'Tables - Part 2'!$AX$5:$BA$5,0)))/2)/2))/2,0)</f>
        <v>0</v>
      </c>
      <c r="BQ5" s="248">
        <f>IF($T5=$BQ$3,((INDEX('Tables - Part 2'!$BB$17:$BE$24,MATCH(Ext_SCC_Chloride!$X5,'Tables - Part 2'!$AV$6:$AV$13,0),MATCH(Ext_SCC_Chloride!$U5,'Tables - Part 2'!$AX$5:$BA$5,0)))+(INDEX('Tables - Part 2'!$BB$17:$BE$24,MATCH(Ext_SCC_Chloride!$X5,'Tables - Part 2'!$AV$6:$AV$13,0),MATCH(Ext_SCC_Chloride!$U5,'Tables - Part 2'!$AX$5:$BA$5,0))+INDEX('Tables - Part 2'!$BF$17:$BI$24,MATCH(Ext_SCC_Chloride!$X5,'Tables - Part 2'!$AV$6:$AV$13,0),MATCH(Ext_SCC_Chloride!$U5,'Tables - Part 2'!$AX$5:$BA$5,0)))/2)/2,0)</f>
        <v>0</v>
      </c>
      <c r="BR5" s="248">
        <f>IF($T5=$BR$3,((((INDEX('Tables - Part 2'!$BB$17:$BE$24,MATCH(Ext_SCC_Chloride!$X5,'Tables - Part 2'!$AV$6:$AV$13,0),MATCH(Ext_SCC_Chloride!$U5,'Tables - Part 2'!$AX$5:$BA$5,0)))+(INDEX('Tables - Part 2'!$BB$17:$BE$24,MATCH(Ext_SCC_Chloride!$X5,'Tables - Part 2'!$AV$6:$AV$13,0),MATCH(Ext_SCC_Chloride!$U5,'Tables - Part 2'!$AX$5:$BA$5,0))+INDEX('Tables - Part 2'!$BF$17:$BI$24,MATCH(Ext_SCC_Chloride!$X5,'Tables - Part 2'!$AV$6:$AV$13,0),MATCH(Ext_SCC_Chloride!$U5,'Tables - Part 2'!$AX$5:$BA$5,0)))/2)/2)+((INDEX('Tables - Part 2'!$BB$17:$BE$24,MATCH(Ext_SCC_Chloride!$X5,'Tables - Part 2'!$AV$6:$AV$13,0),MATCH(Ext_SCC_Chloride!$U5,'Tables - Part 2'!$AX$5:$BA$5,0))+INDEX('Tables - Part 2'!$BF$17:$BI$24,MATCH(Ext_SCC_Chloride!$X5,'Tables - Part 2'!$AV$6:$AV$13,0),MATCH(Ext_SCC_Chloride!$U5,'Tables - Part 2'!$AX$5:$BA$5,0)))/2))/2,0)</f>
        <v>0</v>
      </c>
      <c r="BS5" s="248">
        <f>IF($T5=$BS$3,(INDEX('Tables - Part 2'!$BB$17:$BE$24,MATCH(Ext_SCC_Chloride!$X5,'Tables - Part 2'!$AV$6:$AV$13,0),MATCH(Ext_SCC_Chloride!$U5,'Tables - Part 2'!$AX$5:$BA$5,0))+INDEX('Tables - Part 2'!$BF$17:$BI$24,MATCH(Ext_SCC_Chloride!$X5,'Tables - Part 2'!$AV$6:$AV$13,0),MATCH(Ext_SCC_Chloride!$U5,'Tables - Part 2'!$AX$5:$BA$5,0)))/2,0)</f>
        <v>0</v>
      </c>
      <c r="BT5" s="248">
        <f>IF($T5=$BT$3,(((INDEX('Tables - Part 2'!$BB$17:$BE$24,MATCH(Ext_SCC_Chloride!$X5,'Tables - Part 2'!$AV$6:$AV$13,0),MATCH(Ext_SCC_Chloride!$U5,'Tables - Part 2'!$AX$5:$BA$5,0))+INDEX('Tables - Part 2'!$BF$17:$BI$24,MATCH(Ext_SCC_Chloride!$X5,'Tables - Part 2'!$AV$6:$AV$13,0),MATCH(Ext_SCC_Chloride!$U5,'Tables - Part 2'!$AX$5:$BA$5,0)))/2)+((((INDEX('Tables - Part 2'!$BB$17:$BE$24,MATCH(Ext_SCC_Chloride!$X5,'Tables - Part 2'!$AV$6:$AV$13,0),MATCH(Ext_SCC_Chloride!$U5,'Tables - Part 2'!$AX$5:$BA$5,0))+INDEX('Tables - Part 2'!$BF$17:$BI$24,MATCH(Ext_SCC_Chloride!$X5,'Tables - Part 2'!$AV$6:$AV$13,0),MATCH(Ext_SCC_Chloride!$U5,'Tables - Part 2'!$AX$5:$BA$5,0)))/2)+INDEX('Tables - Part 2'!$BF$17:$BI$24,MATCH(Ext_SCC_Chloride!$X5,'Tables - Part 2'!$AV$6:$AV$13,0),MATCH(Ext_SCC_Chloride!$U5,'Tables - Part 2'!$AX$5:$BA$5,0)))/2))/2,0)</f>
        <v>0</v>
      </c>
      <c r="BU5" s="248">
        <f>IF($T5=$BU$3,(((INDEX('Tables - Part 2'!$BB$17:$BE$24,MATCH(Ext_SCC_Chloride!$X5,'Tables - Part 2'!$AV$6:$AV$13,0),MATCH(Ext_SCC_Chloride!$U5,'Tables - Part 2'!$AX$5:$BA$5,0))+INDEX('Tables - Part 2'!$BF$17:$BI$24,MATCH(Ext_SCC_Chloride!$X5,'Tables - Part 2'!$AV$6:$AV$13,0),MATCH(Ext_SCC_Chloride!$U5,'Tables - Part 2'!$AX$5:$BA$5,0)))/2)+INDEX('Tables - Part 2'!$BF$17:$BI$24,MATCH(Ext_SCC_Chloride!$X5,'Tables - Part 2'!$AV$6:$AV$13,0),MATCH(Ext_SCC_Chloride!$U5,'Tables - Part 2'!$AX$5:$BA$5,0)))/2,0)</f>
        <v>0</v>
      </c>
      <c r="BV5" s="248">
        <f>IF($T5=$BV$3,(((((INDEX('Tables - Part 2'!$BB$17:$BE$24,MATCH(Ext_SCC_Chloride!$X5,'Tables - Part 2'!$AV$6:$AV$13,0),MATCH(Ext_SCC_Chloride!$U5,'Tables - Part 2'!$AX$5:$BA$5,0))+INDEX('Tables - Part 2'!$BF$17:$BI$24,MATCH(Ext_SCC_Chloride!$X5,'Tables - Part 2'!$AV$6:$AV$13,0),MATCH(Ext_SCC_Chloride!$U5,'Tables - Part 2'!$AX$5:$BA$5,0)))/2)+INDEX('Tables - Part 2'!$BF$17:$BI$24,MATCH(Ext_SCC_Chloride!$X5,'Tables - Part 2'!$AV$6:$AV$13,0),MATCH(Ext_SCC_Chloride!$U5,'Tables - Part 2'!$AX$5:$BA$5,0)))/2)+(INDEX('Tables - Part 2'!$BF$17:$BI$24,MATCH(Ext_SCC_Chloride!$X5,'Tables - Part 2'!$AV$6:$AV$13,0),MATCH(Ext_SCC_Chloride!$U5,'Tables - Part 2'!$AX$5:$BA$5,0))))/2,0)</f>
        <v>0</v>
      </c>
      <c r="BW5" s="248">
        <f>IF($T5=$BW$3,INDEX('Tables - Part 2'!$BF$17:$BI$24,MATCH(Ext_SCC_Chloride!$X5,'Tables - Part 2'!$AV$6:$AV$13,0),MATCH(Ext_SCC_Chloride!$U5,'Tables - Part 2'!$AX$5:$BA$5,0)),0)</f>
        <v>0</v>
      </c>
      <c r="BX5" s="248">
        <f t="shared" si="5"/>
        <v>0</v>
      </c>
      <c r="BY5" s="238">
        <f t="shared" ref="BY5:BY21" si="12">SUM(AI5:BX5)</f>
        <v>1</v>
      </c>
      <c r="BZ5" s="238">
        <f t="shared" ref="BZ5:BZ21" si="13">IF(B5="",0,MIN(BY5*POWER(MAX(AH5,1),1.1),5000))</f>
        <v>6.6156360919605577</v>
      </c>
      <c r="CC5" s="237" t="s">
        <v>841</v>
      </c>
    </row>
    <row r="6" spans="2:87" x14ac:dyDescent="0.35">
      <c r="B6" s="161" t="str">
        <f>'Tratamento de Dados'!B14</f>
        <v>V-10</v>
      </c>
      <c r="C6" s="161" t="str">
        <f>'Tratamento de Dados'!D14</f>
        <v>Casco</v>
      </c>
      <c r="D6" s="209" t="s">
        <v>245</v>
      </c>
      <c r="E6" s="209" t="s">
        <v>61</v>
      </c>
      <c r="F6" s="247">
        <f>'Tratamento de Dados'!S14</f>
        <v>2</v>
      </c>
      <c r="G6" s="209" t="s">
        <v>953</v>
      </c>
      <c r="H6" s="210">
        <v>35234</v>
      </c>
      <c r="I6" s="210">
        <v>43983</v>
      </c>
      <c r="J6" s="210">
        <v>39092</v>
      </c>
      <c r="K6" s="210">
        <f>'Tratamento de Dados'!CC14</f>
        <v>0</v>
      </c>
      <c r="L6" s="209">
        <f>'Tratamento de Dados'!CD14</f>
        <v>0</v>
      </c>
      <c r="M6" s="209" t="s">
        <v>840</v>
      </c>
      <c r="N6" s="209">
        <v>0</v>
      </c>
      <c r="O6" s="209">
        <v>1</v>
      </c>
      <c r="P6" s="209">
        <v>1</v>
      </c>
      <c r="Q6" s="209">
        <v>4</v>
      </c>
      <c r="R6" s="253">
        <f>'Tratamento de Dados'!DA14</f>
        <v>0</v>
      </c>
      <c r="S6" s="253">
        <f>'Tratamento de Dados'!DB14</f>
        <v>0</v>
      </c>
      <c r="T6" s="256">
        <f t="shared" si="0"/>
        <v>2.5</v>
      </c>
      <c r="U6" s="246" t="str">
        <f t="shared" si="1"/>
        <v>B</v>
      </c>
      <c r="V6" s="246" t="str">
        <f>IF(F6&lt;49,'Tables - Part 2'!$FH$5,IF(F6&lt;=93,'Tables - Part 2'!$FH$6,IF(F6&lt;=149,'Tables - Part 2'!$FH$7,'Tables - Part 2'!$FH$8)))</f>
        <v>&lt;49</v>
      </c>
      <c r="W6" s="467" t="str">
        <f>IF(D6=$CE$2,$CC$5,INDEX('Tables - Part 2'!$FI$5:$FL$8,MATCH(Ext_SCC_Chloride!V6,'Tables - Part 2'!$FH$5:$FH$8,0),MATCH(Ext_SCC_Chloride!M6,'Tables - Part 2'!$FI$4:$FL$4,0)))</f>
        <v>None</v>
      </c>
      <c r="X6" s="238">
        <f>IF(AND(D6=$CE$2,E6&lt;&gt;$CE$2),"Fitness-For-Service",INDEX('Tables - Part 2'!$FO$4:$FO$7,MATCH(Ext_SCC_Chloride!W6,'Tables - Part 2'!$FN$4:$FN$7,0),))</f>
        <v>0</v>
      </c>
      <c r="Y6" s="238">
        <f>IF(J6=0,(Thinning!G7-Thinning!F7)/365.25,(Thinning!G7-J6)/365.25)</f>
        <v>12.980150581793293</v>
      </c>
      <c r="Z6" s="248">
        <f t="shared" si="2"/>
        <v>0</v>
      </c>
      <c r="AA6" s="248">
        <f t="shared" si="3"/>
        <v>2.5</v>
      </c>
      <c r="AB6" s="247">
        <f t="shared" si="6"/>
        <v>3</v>
      </c>
      <c r="AC6" s="247">
        <f t="shared" si="4"/>
        <v>4</v>
      </c>
      <c r="AD6" s="247">
        <f t="shared" si="7"/>
        <v>120.41889117043121</v>
      </c>
      <c r="AE6" s="247">
        <f t="shared" si="8"/>
        <v>0</v>
      </c>
      <c r="AF6" s="247">
        <f t="shared" si="9"/>
        <v>0</v>
      </c>
      <c r="AG6" s="247">
        <f t="shared" si="10"/>
        <v>0</v>
      </c>
      <c r="AH6" s="247">
        <f t="shared" si="11"/>
        <v>12.980150581793293</v>
      </c>
      <c r="AI6" s="248">
        <f>IF($T6=$AI$3,INDEX('Tables - Part 2'!$AX$6:$BA$13,MATCH(Ext_SCC_Chloride!X6,'Tables - Part 2'!$AV$6:$AV$13,0),MATCH(Ext_SCC_Chloride!U6,'Tables - Part 2'!$AX$5:$BA$5,0)),0)</f>
        <v>0</v>
      </c>
      <c r="AJ6" s="248">
        <f>IF($T6=$AJ$3,(INDEX('Tables - Part 2'!$AX$6:$BA$13,MATCH(Ext_SCC_Chloride!X6,'Tables - Part 2'!$AV$6:$AV$13,0),MATCH(Ext_SCC_Chloride!U6,'Tables - Part 2'!$AX$5:$BA$5,0))+(INDEX('Tables - Part 2'!$AX$6:$BA$13,MATCH(Ext_SCC_Chloride!X6,'Tables - Part 2'!$AV$6:$AV$13,0),MATCH(Ext_SCC_Chloride!U6,'Tables - Part 2'!$AX$5:$BA$5,0))+((INDEX('Tables - Part 2'!$AX$6:$BA$13,MATCH(Ext_SCC_Chloride!X6,'Tables - Part 2'!$AV$6:$AV$13,0),MATCH(Ext_SCC_Chloride!U6,'Tables - Part 2'!$AX$5:$BA$5,0))+INDEX('Tables - Part 2'!$BB$6:$BE$13,MATCH(Ext_SCC_Chloride!$X6,'Tables - Part 2'!$AV$6:$AV$13,0),MATCH(Ext_SCC_Chloride!$U6,'Tables - Part 2'!$AX$5:$BA$5,0)))/2))/2)/2,0)</f>
        <v>0</v>
      </c>
      <c r="AK6" s="248">
        <f>IF($T6=$AK$3,(INDEX('Tables - Part 2'!$AX$6:$BA$13,MATCH(Ext_SCC_Chloride!X6,'Tables - Part 2'!$AV$6:$AV$13,0),MATCH(Ext_SCC_Chloride!U6,'Tables - Part 2'!$AX$5:$BA$5,0))+((INDEX('Tables - Part 2'!$AX$6:$BA$13,MATCH(Ext_SCC_Chloride!X6,'Tables - Part 2'!$AV$6:$AV$13,0),MATCH(Ext_SCC_Chloride!U6,'Tables - Part 2'!$AX$5:$BA$5,0))+INDEX('Tables - Part 2'!$BB$6:$BE$13,MATCH(Ext_SCC_Chloride!$X6,'Tables - Part 2'!$AV$6:$AV$13,0),MATCH(Ext_SCC_Chloride!$U6,'Tables - Part 2'!$AX$5:$BA$5,0)))/2))/2,0)</f>
        <v>0</v>
      </c>
      <c r="AL6" s="248">
        <f>IF($T6=$AL$3,(((INDEX('Tables - Part 2'!$AX$6:$BA$13,MATCH(Ext_SCC_Chloride!X6,'Tables - Part 2'!$AV$6:$AV$13,0),MATCH(Ext_SCC_Chloride!U6,'Tables - Part 2'!$AX$5:$BA$5,0))+((INDEX('Tables - Part 2'!$AX$6:$BA$13,MATCH(Ext_SCC_Chloride!X6,'Tables - Part 2'!$AV$6:$AV$13,0),MATCH(Ext_SCC_Chloride!U6,'Tables - Part 2'!$AX$5:$BA$5,0))+INDEX('Tables - Part 2'!$BB$6:$BE$13,MATCH(Ext_SCC_Chloride!$X6,'Tables - Part 2'!$AV$6:$AV$13,0),MATCH(Ext_SCC_Chloride!$U6,'Tables - Part 2'!$AX$5:$BA$5,0)))/2))/2)+(INDEX('Tables - Part 2'!$AX$6:$BA$13,MATCH(Ext_SCC_Chloride!X6,'Tables - Part 2'!$AV$6:$AV$13,0),MATCH(Ext_SCC_Chloride!U6,'Tables - Part 2'!$AX$5:$BA$5,0))+INDEX('Tables - Part 2'!$BB$6:$BE$13,MATCH(Ext_SCC_Chloride!$X6,'Tables - Part 2'!$AV$6:$AV$13,0),MATCH(Ext_SCC_Chloride!$U6,'Tables - Part 2'!$AX$5:$BA$5,0)))/2)/2,0)</f>
        <v>0</v>
      </c>
      <c r="AM6" s="248">
        <f>IF($T6=$AM$3,(INDEX('Tables - Part 2'!$AX$6:$BA$13,MATCH(Ext_SCC_Chloride!X6,'Tables - Part 2'!$AV$6:$AV$13,0),MATCH(Ext_SCC_Chloride!U6,'Tables - Part 2'!$AX$5:$BA$5,0))+INDEX('Tables - Part 2'!$BB$6:$BE$13,MATCH(Ext_SCC_Chloride!$X6,'Tables - Part 2'!$AV$6:$AV$13,0),MATCH(Ext_SCC_Chloride!$U6,'Tables - Part 2'!$AX$5:$BA$5,0)))/2,0)</f>
        <v>0</v>
      </c>
      <c r="AN6" s="248">
        <f>IF($T6=$AN$3,(((INDEX('Tables - Part 2'!$AX$6:$BA$13,MATCH(Ext_SCC_Chloride!X6,'Tables - Part 2'!$AV$6:$AV$13,0),MATCH(Ext_SCC_Chloride!U6,'Tables - Part 2'!$AX$5:$BA$5,0))+INDEX('Tables - Part 2'!$BB$6:$BE$13,MATCH(Ext_SCC_Chloride!$X6,'Tables - Part 2'!$AV$6:$AV$13,0),MATCH(Ext_SCC_Chloride!$U6,'Tables - Part 2'!$AX$5:$BA$5,0)))/2)+(((INDEX('Tables - Part 2'!$AX$6:$BA$13,MATCH(Ext_SCC_Chloride!X6,'Tables - Part 2'!$AV$6:$AV$13,0),MATCH(Ext_SCC_Chloride!U6,'Tables - Part 2'!$AX$5:$BA$5,0))+INDEX('Tables - Part 2'!$BB$6:$BE$13,MATCH(Ext_SCC_Chloride!$X6,'Tables - Part 2'!$AV$6:$AV$13,0),MATCH(Ext_SCC_Chloride!$U6,'Tables - Part 2'!$AX$5:$BA$5,0)))/2)+INDEX('Tables - Part 2'!$BB$6:$BE$13,MATCH(Ext_SCC_Chloride!$X6,'Tables - Part 2'!$AV$6:$AV$13,0),MATCH(Ext_SCC_Chloride!$U6,'Tables - Part 2'!$AX$5:$BA$5,0)))/2)/2,0)</f>
        <v>0</v>
      </c>
      <c r="AO6" s="248">
        <f>IF($T6=$AO$3,(((INDEX('Tables - Part 2'!$AX$6:$BA$13,MATCH(Ext_SCC_Chloride!X6,'Tables - Part 2'!$AV$6:$AV$13,0),MATCH(Ext_SCC_Chloride!U6,'Tables - Part 2'!$AX$5:$BA$5,0))+INDEX('Tables - Part 2'!$BB$6:$BE$13,MATCH(Ext_SCC_Chloride!$X6,'Tables - Part 2'!$AV$6:$AV$13,0),MATCH(Ext_SCC_Chloride!$U6,'Tables - Part 2'!$AX$5:$BA$5,0)))/2)+INDEX('Tables - Part 2'!$BB$6:$BE$13,MATCH(Ext_SCC_Chloride!$X6,'Tables - Part 2'!$AV$6:$AV$13,0),MATCH(Ext_SCC_Chloride!$U6,'Tables - Part 2'!$AX$5:$BA$5,0)))/2,0)</f>
        <v>0</v>
      </c>
      <c r="AP6" s="248">
        <f>IF($T6=$AP$3,(((((INDEX('Tables - Part 2'!$AX$6:$BA$13,MATCH(Ext_SCC_Chloride!X6,'Tables - Part 2'!$AV$6:$AV$13,0),MATCH(Ext_SCC_Chloride!U6,'Tables - Part 2'!$AX$5:$BA$5,0))+INDEX('Tables - Part 2'!$BB$6:$BE$13,MATCH(Ext_SCC_Chloride!$X6,'Tables - Part 2'!$AV$6:$AV$13,0),MATCH(Ext_SCC_Chloride!$U6,'Tables - Part 2'!$AX$5:$BA$5,0)))/2)+INDEX('Tables - Part 2'!$BB$6:$BE$13,MATCH(Ext_SCC_Chloride!$X6,'Tables - Part 2'!$AV$6:$AV$13,0),MATCH(Ext_SCC_Chloride!$U6,'Tables - Part 2'!$AX$5:$BA$5,0)))/2)+INDEX('Tables - Part 2'!$BB$6:$BE$13,MATCH(Ext_SCC_Chloride!$X6,'Tables - Part 2'!$AV$6:$AV$13,0),MATCH(Ext_SCC_Chloride!$U6,'Tables - Part 2'!$AX$5:$BA$5,0)))/2,0)</f>
        <v>0</v>
      </c>
      <c r="AQ6" s="248">
        <f>IF($T6=$AQ$3,INDEX('Tables - Part 2'!$BB$6:$BE$13,MATCH(Ext_SCC_Chloride!$X6,'Tables - Part 2'!$AV$6:$AV$13,0),MATCH(Ext_SCC_Chloride!$U6,'Tables - Part 2'!$AX$5:$BA$5,0)),0)</f>
        <v>0</v>
      </c>
      <c r="AR6" s="248">
        <f>IF($T6=$AR$3,((INDEX('Tables - Part 2'!$BB$6:$BE$13,MATCH(Ext_SCC_Chloride!$X6,'Tables - Part 2'!$AV$6:$AV$13,0),MATCH(Ext_SCC_Chloride!$U6,'Tables - Part 2'!$AX$5:$BA$5,0)))+(INDEX('Tables - Part 2'!$BB$6:$BE$13,MATCH(Ext_SCC_Chloride!$X6,'Tables - Part 2'!$AV$6:$AV$13,0),MATCH(Ext_SCC_Chloride!$U6,'Tables - Part 2'!$AX$5:$BA$5,0))+(INDEX('Tables - Part 2'!$BB$6:$BE$13,MATCH(Ext_SCC_Chloride!$X6,'Tables - Part 2'!$AV$6:$AV$13,0),MATCH(Ext_SCC_Chloride!$U6,'Tables - Part 2'!$AX$5:$BA$5,0))+INDEX('Tables - Part 2'!$BF$6:$BI$13,MATCH(Ext_SCC_Chloride!$X6,'Tables - Part 2'!$AV$6:$AV$13,0),MATCH(Ext_SCC_Chloride!$U6,'Tables - Part 2'!$AX$5:$BA$5,0)))/2)/2)/2,0)</f>
        <v>0</v>
      </c>
      <c r="AS6" s="248">
        <f>IF($T6=$AS$3,(INDEX('Tables - Part 2'!$BB$6:$BE$13,MATCH(Ext_SCC_Chloride!$X6,'Tables - Part 2'!$AV$6:$AV$13,0),MATCH(Ext_SCC_Chloride!$U6,'Tables - Part 2'!$AX$5:$BA$5,0))+(INDEX('Tables - Part 2'!$BB$6:$BE$13,MATCH(Ext_SCC_Chloride!$X6,'Tables - Part 2'!$AV$6:$AV$13,0),MATCH(Ext_SCC_Chloride!$U6,'Tables - Part 2'!$AX$5:$BA$5,0))+INDEX('Tables - Part 2'!$BF$6:$BI$13,MATCH(Ext_SCC_Chloride!$X6,'Tables - Part 2'!$AV$6:$AV$13,0),MATCH(Ext_SCC_Chloride!$U6,'Tables - Part 2'!$AX$5:$BA$5,0)))/2)/2,0)</f>
        <v>0</v>
      </c>
      <c r="AT6" s="248">
        <f>IF($T6=$AT$3,(((INDEX('Tables - Part 2'!$BB$6:$BE$13,MATCH(Ext_SCC_Chloride!$X6,'Tables - Part 2'!$AV$6:$AV$13,0),MATCH(Ext_SCC_Chloride!$U6,'Tables - Part 2'!$AX$5:$BA$5,0))+(INDEX('Tables - Part 2'!$BB$6:$BE$13,MATCH(Ext_SCC_Chloride!$X6,'Tables - Part 2'!$AV$6:$AV$13,0),MATCH(Ext_SCC_Chloride!$U6,'Tables - Part 2'!$AX$5:$BA$5,0))+INDEX('Tables - Part 2'!$BF$6:$BI$13,MATCH(Ext_SCC_Chloride!$X6,'Tables - Part 2'!$AV$6:$AV$13,0),MATCH(Ext_SCC_Chloride!$U6,'Tables - Part 2'!$AX$5:$BA$5,0)))/2)/2)+((INDEX('Tables - Part 2'!$BB$6:$BE$13,MATCH(Ext_SCC_Chloride!$X6,'Tables - Part 2'!$AV$6:$AV$13,0),MATCH(Ext_SCC_Chloride!$U6,'Tables - Part 2'!$AX$5:$BA$5,0))+INDEX('Tables - Part 2'!$BF$6:$BI$13,MATCH(Ext_SCC_Chloride!$X6,'Tables - Part 2'!$AV$6:$AV$13,0),MATCH(Ext_SCC_Chloride!$U6,'Tables - Part 2'!$AX$5:$BA$5,0)))/2))/2,0)</f>
        <v>0</v>
      </c>
      <c r="AU6" s="248">
        <f>IF($T6=$AU$3,(INDEX('Tables - Part 2'!$BB$6:$BE$13,MATCH(Ext_SCC_Chloride!$X6,'Tables - Part 2'!$AV$6:$AV$13,0),MATCH(Ext_SCC_Chloride!$U6,'Tables - Part 2'!$AX$5:$BA$5,0))+INDEX('Tables - Part 2'!$BF$6:$BI$13,MATCH(Ext_SCC_Chloride!$X6,'Tables - Part 2'!$AV$6:$AV$13,0),MATCH(Ext_SCC_Chloride!$U6,'Tables - Part 2'!$AX$5:$BA$5,0)))/2,0)</f>
        <v>0</v>
      </c>
      <c r="AV6" s="248">
        <f>IF($T6=$AV$3,(((INDEX('Tables - Part 2'!$BB$6:$BE$13,MATCH(Ext_SCC_Chloride!$X6,'Tables - Part 2'!$AV$6:$AV$13,0),MATCH(Ext_SCC_Chloride!$U6,'Tables - Part 2'!$AX$5:$BA$5,0))+INDEX('Tables - Part 2'!$BF$6:$BI$13,MATCH(Ext_SCC_Chloride!$X6,'Tables - Part 2'!$AV$6:$AV$13,0),MATCH(Ext_SCC_Chloride!$U6,'Tables - Part 2'!$AX$5:$BA$5,0)))/2)+((((INDEX('Tables - Part 2'!$BB$6:$BE$13,MATCH(Ext_SCC_Chloride!$X6,'Tables - Part 2'!$AV$6:$AV$13,0),MATCH(Ext_SCC_Chloride!$U6,'Tables - Part 2'!$AX$5:$BA$5,0))+INDEX('Tables - Part 2'!$BF$6:$BI$13,MATCH(Ext_SCC_Chloride!$X6,'Tables - Part 2'!$AV$6:$AV$13,0),MATCH(Ext_SCC_Chloride!$U6,'Tables - Part 2'!$AX$5:$BA$5,0)))/2)+INDEX('Tables - Part 2'!$BF$6:$BI$13,MATCH(Ext_SCC_Chloride!$X6,'Tables - Part 2'!$AV$6:$AV$13,0),MATCH(Ext_SCC_Chloride!$U6,'Tables - Part 2'!$AX$5:$BA$5,0)))/2))/2,0)</f>
        <v>0</v>
      </c>
      <c r="AW6" s="248">
        <f>IF($T6=$AW$3,(((INDEX('Tables - Part 2'!$BB$6:$BE$13,MATCH(Ext_SCC_Chloride!$X6,'Tables - Part 2'!$AV$6:$AV$13,0),MATCH(Ext_SCC_Chloride!$U6,'Tables - Part 2'!$AX$5:$BA$5,0))+INDEX('Tables - Part 2'!$BF$6:$BI$13,MATCH(Ext_SCC_Chloride!$X6,'Tables - Part 2'!$AV$6:$AV$13,0),MATCH(Ext_SCC_Chloride!$U6,'Tables - Part 2'!$AX$5:$BA$5,0)))/2)+INDEX('Tables - Part 2'!$BF$6:$BI$13,MATCH(Ext_SCC_Chloride!$X6,'Tables - Part 2'!$AV$6:$AV$13,0),MATCH(Ext_SCC_Chloride!$U6,'Tables - Part 2'!$AX$5:$BA$5,0)))/2,0)</f>
        <v>0</v>
      </c>
      <c r="AX6" s="248">
        <f>IF($T6=$AX$3,(((((INDEX('Tables - Part 2'!$BB$6:$BE$13,MATCH(Ext_SCC_Chloride!$X6,'Tables - Part 2'!$AV$6:$AV$13,0),MATCH(Ext_SCC_Chloride!$U6,'Tables - Part 2'!$AX$5:$BA$5,0))+INDEX('Tables - Part 2'!$BF$6:$BI$13,MATCH(Ext_SCC_Chloride!$X6,'Tables - Part 2'!$AV$6:$AV$13,0),MATCH(Ext_SCC_Chloride!$U6,'Tables - Part 2'!$AX$5:$BA$5,0)))/2)+INDEX('Tables - Part 2'!$BF$6:$BI$13,MATCH(Ext_SCC_Chloride!$X6,'Tables - Part 2'!$AV$6:$AV$13,0),MATCH(Ext_SCC_Chloride!$U6,'Tables - Part 2'!$AX$5:$BA$5,0)))/2)+INDEX('Tables - Part 2'!$BF$6:$BI$13,MATCH(Ext_SCC_Chloride!$X6,'Tables - Part 2'!$AV$6:$AV$13,0),MATCH(Ext_SCC_Chloride!$U6,'Tables - Part 2'!$AX$5:$BA$5,0)))/2,0)</f>
        <v>0</v>
      </c>
      <c r="AY6" s="248">
        <f>IF($T6=$AY$3,INDEX('Tables - Part 2'!$BF$6:$BI$13,MATCH(Ext_SCC_Chloride!$X6,'Tables - Part 2'!$AV$6:$AV$13,0),MATCH(Ext_SCC_Chloride!$U6,'Tables - Part 2'!$AX$5:$BA$5,0)),0)</f>
        <v>0</v>
      </c>
      <c r="AZ6" s="248">
        <f>IF($T6=$AZ$3,(INDEX('Tables - Part 2'!$BF$6:$BI$13,MATCH(Ext_SCC_Chloride!$X6,'Tables - Part 2'!$AV$6:$AV$13,0),MATCH(Ext_SCC_Chloride!$U6,'Tables - Part 2'!$AX$5:$BA$5,0))+((INDEX('Tables - Part 2'!$BF$6:$BI$13,MATCH(Ext_SCC_Chloride!$X6,'Tables - Part 2'!$AV$6:$AV$13,0),MATCH(Ext_SCC_Chloride!$U6,'Tables - Part 2'!$AX$5:$BA$5,0))+(INDEX('Tables - Part 2'!$BF$6:$BI$13,MATCH(Ext_SCC_Chloride!$X6,'Tables - Part 2'!$AV$6:$AV$13,0),MATCH(Ext_SCC_Chloride!$U6,'Tables - Part 2'!$AX$5:$BA$5,0))+INDEX('Tables - Part 2'!$AX$17:$BA$24,MATCH(Ext_SCC_Chloride!$X6,'Tables - Part 2'!$AV$6:$AV$13,0),MATCH(Ext_SCC_Chloride!$U6,'Tables - Part 2'!$AX$5:$BA$5,0)))/2)/2))/2,0)</f>
        <v>0</v>
      </c>
      <c r="BA6" s="248">
        <f>IF($T6=$BA$3,(INDEX('Tables - Part 2'!$BF$6:$BI$13,MATCH(Ext_SCC_Chloride!$X6,'Tables - Part 2'!$AV$6:$AV$13,0),MATCH(Ext_SCC_Chloride!$U6,'Tables - Part 2'!$AX$5:$BA$5,0))+(INDEX('Tables - Part 2'!$BF$6:$BI$13,MATCH(Ext_SCC_Chloride!$X6,'Tables - Part 2'!$AV$6:$AV$13,0),MATCH(Ext_SCC_Chloride!$U6,'Tables - Part 2'!$AX$5:$BA$5,0))+INDEX('Tables - Part 2'!$AX$17:$BA$24,MATCH(Ext_SCC_Chloride!$X6,'Tables - Part 2'!$AV$6:$AV$13,0),MATCH(Ext_SCC_Chloride!$U6,'Tables - Part 2'!$AX$5:$BA$5,0)))/2)/2,0)</f>
        <v>0</v>
      </c>
      <c r="BB6" s="248">
        <f>IF($T6=$BB$3,(((INDEX('Tables - Part 2'!$BF$6:$BI$13,MATCH(Ext_SCC_Chloride!$X6,'Tables - Part 2'!$AV$6:$AV$13,0),MATCH(Ext_SCC_Chloride!$U6,'Tables - Part 2'!$AX$5:$BA$5,0))+(INDEX('Tables - Part 2'!$BF$6:$BI$13,MATCH(Ext_SCC_Chloride!$X6,'Tables - Part 2'!$AV$6:$AV$13,0),MATCH(Ext_SCC_Chloride!$U6,'Tables - Part 2'!$AX$5:$BA$5,0))+INDEX('Tables - Part 2'!$AX$17:$BA$24,MATCH(Ext_SCC_Chloride!$X6,'Tables - Part 2'!$AV$6:$AV$13,0),MATCH(Ext_SCC_Chloride!$U6,'Tables - Part 2'!$AX$5:$BA$5,0)))/2)/2)+((INDEX('Tables - Part 2'!$BF$6:$BI$13,MATCH(Ext_SCC_Chloride!$X6,'Tables - Part 2'!$AV$6:$AV$13,0),MATCH(Ext_SCC_Chloride!$U6,'Tables - Part 2'!$AX$5:$BA$5,0))+INDEX('Tables - Part 2'!$AX$17:$BA$24,MATCH(Ext_SCC_Chloride!$X6,'Tables - Part 2'!$AV$6:$AV$13,0),MATCH(Ext_SCC_Chloride!$U6,'Tables - Part 2'!$AX$5:$BA$5,0)))/2))/2,0)</f>
        <v>0</v>
      </c>
      <c r="BC6" s="248">
        <f>IF($T6=$BC$3,(INDEX('Tables - Part 2'!$BF$6:$BI$13,MATCH(Ext_SCC_Chloride!$X6,'Tables - Part 2'!$AV$6:$AV$13,0),MATCH(Ext_SCC_Chloride!$U6,'Tables - Part 2'!$AX$5:$BA$5,0))+INDEX('Tables - Part 2'!$AX$17:$BA$24,MATCH(Ext_SCC_Chloride!$X6,'Tables - Part 2'!$AV$6:$AV$13,0),MATCH(Ext_SCC_Chloride!$U6,'Tables - Part 2'!$AX$5:$BA$5,0)))/2,0)</f>
        <v>0</v>
      </c>
      <c r="BD6" s="248">
        <f>IF($T6=$BD$3,(((INDEX('Tables - Part 2'!$BF$6:$BI$13,MATCH(Ext_SCC_Chloride!$X6,'Tables - Part 2'!$AV$6:$AV$13,0),MATCH(Ext_SCC_Chloride!$U6,'Tables - Part 2'!$AX$5:$BA$5,0))+INDEX('Tables - Part 2'!$AX$17:$BA$24,MATCH(Ext_SCC_Chloride!$X6,'Tables - Part 2'!$AV$6:$AV$13,0),MATCH(Ext_SCC_Chloride!$U6,'Tables - Part 2'!$AX$5:$BA$5,0)))/2)+((((INDEX('Tables - Part 2'!$BF$6:$BI$13,MATCH(Ext_SCC_Chloride!$X6,'Tables - Part 2'!$AV$6:$AV$13,0),MATCH(Ext_SCC_Chloride!$U6,'Tables - Part 2'!$AX$5:$BA$5,0))+INDEX('Tables - Part 2'!$AX$17:$BA$24,MATCH(Ext_SCC_Chloride!$X6,'Tables - Part 2'!$AV$6:$AV$13,0),MATCH(Ext_SCC_Chloride!$U6,'Tables - Part 2'!$AX$5:$BA$5,0)))/2)+INDEX('Tables - Part 2'!$AX$17:$BA$24,MATCH(Ext_SCC_Chloride!$X6,'Tables - Part 2'!$AV$6:$AV$13,0),MATCH(Ext_SCC_Chloride!$U6,'Tables - Part 2'!$AX$5:$BA$5,0)))/2))/2,0)</f>
        <v>0</v>
      </c>
      <c r="BE6" s="248">
        <f>IF($T6=$BE$3,(((INDEX('Tables - Part 2'!$BF$6:$BI$13,MATCH(Ext_SCC_Chloride!$X6,'Tables - Part 2'!$AV$6:$AV$13,0),MATCH(Ext_SCC_Chloride!$U6,'Tables - Part 2'!$AX$5:$BA$5,0))+INDEX('Tables - Part 2'!$AX$17:$BA$24,MATCH(Ext_SCC_Chloride!$X6,'Tables - Part 2'!$AV$6:$AV$13,0),MATCH(Ext_SCC_Chloride!$U6,'Tables - Part 2'!$AX$5:$BA$5,0)))/2)+INDEX('Tables - Part 2'!$AX$17:$BA$24,MATCH(Ext_SCC_Chloride!$X6,'Tables - Part 2'!$AV$6:$AV$13,0),MATCH(Ext_SCC_Chloride!$U6,'Tables - Part 2'!$AX$5:$BA$5,0)))/2,0)</f>
        <v>0</v>
      </c>
      <c r="BF6" s="248">
        <f>IF($T6=$BF$3,(((((INDEX('Tables - Part 2'!$BF$6:$BI$13,MATCH(Ext_SCC_Chloride!$X6,'Tables - Part 2'!$AV$6:$AV$13,0),MATCH(Ext_SCC_Chloride!$U6,'Tables - Part 2'!$AX$5:$BA$5,0))+INDEX('Tables - Part 2'!$AX$17:$BA$24,MATCH(Ext_SCC_Chloride!$X6,'Tables - Part 2'!$AV$6:$AV$13,0),MATCH(Ext_SCC_Chloride!$U6,'Tables - Part 2'!$AX$5:$BA$5,0)))/2)+INDEX('Tables - Part 2'!$AX$17:$BA$24,MATCH(Ext_SCC_Chloride!$X6,'Tables - Part 2'!$AV$6:$AV$13,0),MATCH(Ext_SCC_Chloride!$U6,'Tables - Part 2'!$AX$5:$BA$5,0)))/2)+(INDEX('Tables - Part 2'!$AX$17:$BA$24,MATCH(Ext_SCC_Chloride!$X6,'Tables - Part 2'!$AV$6:$AV$13,0),MATCH(Ext_SCC_Chloride!$U6,'Tables - Part 2'!$AX$5:$BA$5,0))))/2,0)</f>
        <v>0</v>
      </c>
      <c r="BG6" s="248">
        <f>IF($T6=$BG$3,INDEX('Tables - Part 2'!$AX$17:$BA$24,MATCH(Ext_SCC_Chloride!$X6,'Tables - Part 2'!$AV$6:$AV$13,0),MATCH(Ext_SCC_Chloride!$U6,'Tables - Part 2'!$AX$5:$BA$5,0)),0)</f>
        <v>0</v>
      </c>
      <c r="BH6" s="248">
        <f>IF($T6=$BH$3,((INDEX('Tables - Part 2'!$AX$17:$BA$24,MATCH(Ext_SCC_Chloride!$X6,'Tables - Part 2'!$AV$6:$AV$13,0),MATCH(Ext_SCC_Chloride!$U6,'Tables - Part 2'!$AX$5:$BA$5,0)))+(((INDEX('Tables - Part 2'!$AX$17:$BA$24,MATCH(Ext_SCC_Chloride!$X6,'Tables - Part 2'!$AV$6:$AV$13,0),MATCH(Ext_SCC_Chloride!$U6,'Tables - Part 2'!$AX$5:$BA$5,0)))+(INDEX('Tables - Part 2'!$AX$17:$BA$24,MATCH(Ext_SCC_Chloride!$X6,'Tables - Part 2'!$AV$6:$AV$13,0),MATCH(Ext_SCC_Chloride!$U6,'Tables - Part 2'!$AX$5:$BA$5,0))+INDEX('Tables - Part 2'!$BB$17:$BE$24,MATCH(Ext_SCC_Chloride!$X6,'Tables - Part 2'!$AV$6:$AV$13,0),MATCH(Ext_SCC_Chloride!$U6,'Tables - Part 2'!$AX$5:$BA$5,0)))/2)/2))/2,0)</f>
        <v>0</v>
      </c>
      <c r="BI6" s="248">
        <f>IF($T6=$BI$3,((INDEX('Tables - Part 2'!$AX$17:$BA$24,MATCH(Ext_SCC_Chloride!$X6,'Tables - Part 2'!$AV$6:$AV$13,0),MATCH(Ext_SCC_Chloride!$U6,'Tables - Part 2'!$AX$5:$BA$5,0)))+(INDEX('Tables - Part 2'!$AX$17:$BA$24,MATCH(Ext_SCC_Chloride!$X6,'Tables - Part 2'!$AV$6:$AV$13,0),MATCH(Ext_SCC_Chloride!$U6,'Tables - Part 2'!$AX$5:$BA$5,0))+INDEX('Tables - Part 2'!$BB$17:$BE$24,MATCH(Ext_SCC_Chloride!$X6,'Tables - Part 2'!$AV$6:$AV$13,0),MATCH(Ext_SCC_Chloride!$U6,'Tables - Part 2'!$AX$5:$BA$5,0)))/2)/2,0)</f>
        <v>0</v>
      </c>
      <c r="BJ6" s="248">
        <f>IF($T6=$BJ$3,((((INDEX('Tables - Part 2'!$AX$17:$BA$24,MATCH(Ext_SCC_Chloride!$X6,'Tables - Part 2'!$AV$6:$AV$13,0),MATCH(Ext_SCC_Chloride!$U6,'Tables - Part 2'!$AX$5:$BA$5,0)))+(INDEX('Tables - Part 2'!$AX$17:$BA$24,MATCH(Ext_SCC_Chloride!$X6,'Tables - Part 2'!$AV$6:$AV$13,0),MATCH(Ext_SCC_Chloride!$U6,'Tables - Part 2'!$AX$5:$BA$5,0))+INDEX('Tables - Part 2'!$BB$17:$BE$24,MATCH(Ext_SCC_Chloride!$X6,'Tables - Part 2'!$AV$6:$AV$13,0),MATCH(Ext_SCC_Chloride!$U6,'Tables - Part 2'!$AX$5:$BA$5,0)))/2)/2)+((INDEX('Tables - Part 2'!$AX$17:$BA$24,MATCH(Ext_SCC_Chloride!$X6,'Tables - Part 2'!$AV$6:$AV$13,0),MATCH(Ext_SCC_Chloride!$U6,'Tables - Part 2'!$AX$5:$BA$5,0))+INDEX('Tables - Part 2'!$BB$17:$BE$24,MATCH(Ext_SCC_Chloride!$X6,'Tables - Part 2'!$AV$6:$AV$13,0),MATCH(Ext_SCC_Chloride!$U6,'Tables - Part 2'!$AX$5:$BA$5,0)))/2))/2,0)</f>
        <v>0</v>
      </c>
      <c r="BK6" s="248">
        <f>IF($T6=$BK$3,(INDEX('Tables - Part 2'!$AX$17:$BA$24,MATCH(Ext_SCC_Chloride!$X6,'Tables - Part 2'!$AV$6:$AV$13,0),MATCH(Ext_SCC_Chloride!$U6,'Tables - Part 2'!$AX$5:$BA$5,0))+INDEX('Tables - Part 2'!$BB$17:$BE$24,MATCH(Ext_SCC_Chloride!$X6,'Tables - Part 2'!$AV$6:$AV$13,0),MATCH(Ext_SCC_Chloride!$U6,'Tables - Part 2'!$AX$5:$BA$5,0)))/2,0)</f>
        <v>0</v>
      </c>
      <c r="BL6" s="248">
        <f>IF($T6=$BL$3,(((INDEX('Tables - Part 2'!$AX$17:$BA$24,MATCH(Ext_SCC_Chloride!$X6,'Tables - Part 2'!$AV$6:$AV$13,0),MATCH(Ext_SCC_Chloride!$U6,'Tables - Part 2'!$AX$5:$BA$5,0))+INDEX('Tables - Part 2'!$BB$17:$BE$24,MATCH(Ext_SCC_Chloride!$X6,'Tables - Part 2'!$AV$6:$AV$13,0),MATCH(Ext_SCC_Chloride!$U6,'Tables - Part 2'!$AX$5:$BA$5,0)))/2)+((((INDEX('Tables - Part 2'!$AX$17:$BA$24,MATCH(Ext_SCC_Chloride!$X6,'Tables - Part 2'!$AV$6:$AV$13,0),MATCH(Ext_SCC_Chloride!$U6,'Tables - Part 2'!$AX$5:$BA$5,0))+INDEX('Tables - Part 2'!$BB$17:$BE$24,MATCH(Ext_SCC_Chloride!$X6,'Tables - Part 2'!$AV$6:$AV$13,0),MATCH(Ext_SCC_Chloride!$U6,'Tables - Part 2'!$AX$5:$BA$5,0)))/2)+INDEX('Tables - Part 2'!$BB$17:$BE$24,MATCH(Ext_SCC_Chloride!$X6,'Tables - Part 2'!$AV$6:$AV$13,0),MATCH(Ext_SCC_Chloride!$U6,'Tables - Part 2'!$AX$5:$BA$5,0)))/2))/2,0)</f>
        <v>0</v>
      </c>
      <c r="BM6" s="248">
        <f>IF($T6=$BM$3,(((INDEX('Tables - Part 2'!$AX$17:$BA$24,MATCH(Ext_SCC_Chloride!$X6,'Tables - Part 2'!$AV$6:$AV$13,0),MATCH(Ext_SCC_Chloride!$U6,'Tables - Part 2'!$AX$5:$BA$5,0))+INDEX('Tables - Part 2'!$BB$17:$BE$24,MATCH(Ext_SCC_Chloride!$X6,'Tables - Part 2'!$AV$6:$AV$13,0),MATCH(Ext_SCC_Chloride!$U6,'Tables - Part 2'!$AX$5:$BA$5,0)))/2)+INDEX('Tables - Part 2'!$BB$17:$BE$24,MATCH(Ext_SCC_Chloride!$X6,'Tables - Part 2'!$AV$6:$AV$13,0),MATCH(Ext_SCC_Chloride!$U6,'Tables - Part 2'!$AX$5:$BA$5,0)))/2,0)</f>
        <v>0</v>
      </c>
      <c r="BN6" s="248">
        <f>IF($T6=$BN$3,(((((INDEX('Tables - Part 2'!$AX$17:$BA$24,MATCH(Ext_SCC_Chloride!$X6,'Tables - Part 2'!$AV$6:$AV$13,0),MATCH(Ext_SCC_Chloride!$U6,'Tables - Part 2'!$AX$5:$BA$5,0))+INDEX('Tables - Part 2'!$BB$17:$BE$24,MATCH(Ext_SCC_Chloride!$X6,'Tables - Part 2'!$AV$6:$AV$13,0),MATCH(Ext_SCC_Chloride!$U6,'Tables - Part 2'!$AX$5:$BA$5,0)))/2)+INDEX('Tables - Part 2'!$BB$17:$BE$24,MATCH(Ext_SCC_Chloride!$X6,'Tables - Part 2'!$AV$6:$AV$13,0),MATCH(Ext_SCC_Chloride!$U6,'Tables - Part 2'!$AX$5:$BA$5,0)))/2)+(INDEX('Tables - Part 2'!$BB$17:$BE$24,MATCH(Ext_SCC_Chloride!$X6,'Tables - Part 2'!$AV$6:$AV$13,0),MATCH(Ext_SCC_Chloride!$U6,'Tables - Part 2'!$AX$5:$BA$5,0))))/2,0)</f>
        <v>0</v>
      </c>
      <c r="BO6" s="248">
        <f>IF($T6=$BO$3,INDEX('Tables - Part 2'!$BB$17:$BE$24,MATCH(Ext_SCC_Chloride!$X6,'Tables - Part 2'!$AV$6:$AV$13,0),MATCH(Ext_SCC_Chloride!$U6,'Tables - Part 2'!$AX$5:$BA$5,0)),0)</f>
        <v>0</v>
      </c>
      <c r="BP6" s="248">
        <f>IF($T6=$BP$3,((INDEX('Tables - Part 2'!$BB$17:$BE$24,MATCH(Ext_SCC_Chloride!$X6,'Tables - Part 2'!$AV$6:$AV$13,0),MATCH(Ext_SCC_Chloride!$U6,'Tables - Part 2'!$AX$5:$BA$5,0)))+(((INDEX('Tables - Part 2'!$BB$17:$BE$24,MATCH(Ext_SCC_Chloride!$X6,'Tables - Part 2'!$AV$6:$AV$13,0),MATCH(Ext_SCC_Chloride!$U6,'Tables - Part 2'!$AX$5:$BA$5,0)))+(INDEX('Tables - Part 2'!$BB$17:$BE$24,MATCH(Ext_SCC_Chloride!$X6,'Tables - Part 2'!$AV$6:$AV$13,0),MATCH(Ext_SCC_Chloride!$U6,'Tables - Part 2'!$AX$5:$BA$5,0))+INDEX('Tables - Part 2'!$BF$17:$BI$24,MATCH(Ext_SCC_Chloride!$X6,'Tables - Part 2'!$AV$6:$AV$13,0),MATCH(Ext_SCC_Chloride!$U6,'Tables - Part 2'!$AX$5:$BA$5,0)))/2)/2))/2,0)</f>
        <v>0</v>
      </c>
      <c r="BQ6" s="248">
        <f>IF($T6=$BQ$3,((INDEX('Tables - Part 2'!$BB$17:$BE$24,MATCH(Ext_SCC_Chloride!$X6,'Tables - Part 2'!$AV$6:$AV$13,0),MATCH(Ext_SCC_Chloride!$U6,'Tables - Part 2'!$AX$5:$BA$5,0)))+(INDEX('Tables - Part 2'!$BB$17:$BE$24,MATCH(Ext_SCC_Chloride!$X6,'Tables - Part 2'!$AV$6:$AV$13,0),MATCH(Ext_SCC_Chloride!$U6,'Tables - Part 2'!$AX$5:$BA$5,0))+INDEX('Tables - Part 2'!$BF$17:$BI$24,MATCH(Ext_SCC_Chloride!$X6,'Tables - Part 2'!$AV$6:$AV$13,0),MATCH(Ext_SCC_Chloride!$U6,'Tables - Part 2'!$AX$5:$BA$5,0)))/2)/2,0)</f>
        <v>0</v>
      </c>
      <c r="BR6" s="248">
        <f>IF($T6=$BR$3,((((INDEX('Tables - Part 2'!$BB$17:$BE$24,MATCH(Ext_SCC_Chloride!$X6,'Tables - Part 2'!$AV$6:$AV$13,0),MATCH(Ext_SCC_Chloride!$U6,'Tables - Part 2'!$AX$5:$BA$5,0)))+(INDEX('Tables - Part 2'!$BB$17:$BE$24,MATCH(Ext_SCC_Chloride!$X6,'Tables - Part 2'!$AV$6:$AV$13,0),MATCH(Ext_SCC_Chloride!$U6,'Tables - Part 2'!$AX$5:$BA$5,0))+INDEX('Tables - Part 2'!$BF$17:$BI$24,MATCH(Ext_SCC_Chloride!$X6,'Tables - Part 2'!$AV$6:$AV$13,0),MATCH(Ext_SCC_Chloride!$U6,'Tables - Part 2'!$AX$5:$BA$5,0)))/2)/2)+((INDEX('Tables - Part 2'!$BB$17:$BE$24,MATCH(Ext_SCC_Chloride!$X6,'Tables - Part 2'!$AV$6:$AV$13,0),MATCH(Ext_SCC_Chloride!$U6,'Tables - Part 2'!$AX$5:$BA$5,0))+INDEX('Tables - Part 2'!$BF$17:$BI$24,MATCH(Ext_SCC_Chloride!$X6,'Tables - Part 2'!$AV$6:$AV$13,0),MATCH(Ext_SCC_Chloride!$U6,'Tables - Part 2'!$AX$5:$BA$5,0)))/2))/2,0)</f>
        <v>0</v>
      </c>
      <c r="BS6" s="248">
        <f>IF($T6=$BS$3,(INDEX('Tables - Part 2'!$BB$17:$BE$24,MATCH(Ext_SCC_Chloride!$X6,'Tables - Part 2'!$AV$6:$AV$13,0),MATCH(Ext_SCC_Chloride!$U6,'Tables - Part 2'!$AX$5:$BA$5,0))+INDEX('Tables - Part 2'!$BF$17:$BI$24,MATCH(Ext_SCC_Chloride!$X6,'Tables - Part 2'!$AV$6:$AV$13,0),MATCH(Ext_SCC_Chloride!$U6,'Tables - Part 2'!$AX$5:$BA$5,0)))/2,0)</f>
        <v>0</v>
      </c>
      <c r="BT6" s="248">
        <f>IF($T6=$BT$3,(((INDEX('Tables - Part 2'!$BB$17:$BE$24,MATCH(Ext_SCC_Chloride!$X6,'Tables - Part 2'!$AV$6:$AV$13,0),MATCH(Ext_SCC_Chloride!$U6,'Tables - Part 2'!$AX$5:$BA$5,0))+INDEX('Tables - Part 2'!$BF$17:$BI$24,MATCH(Ext_SCC_Chloride!$X6,'Tables - Part 2'!$AV$6:$AV$13,0),MATCH(Ext_SCC_Chloride!$U6,'Tables - Part 2'!$AX$5:$BA$5,0)))/2)+((((INDEX('Tables - Part 2'!$BB$17:$BE$24,MATCH(Ext_SCC_Chloride!$X6,'Tables - Part 2'!$AV$6:$AV$13,0),MATCH(Ext_SCC_Chloride!$U6,'Tables - Part 2'!$AX$5:$BA$5,0))+INDEX('Tables - Part 2'!$BF$17:$BI$24,MATCH(Ext_SCC_Chloride!$X6,'Tables - Part 2'!$AV$6:$AV$13,0),MATCH(Ext_SCC_Chloride!$U6,'Tables - Part 2'!$AX$5:$BA$5,0)))/2)+INDEX('Tables - Part 2'!$BF$17:$BI$24,MATCH(Ext_SCC_Chloride!$X6,'Tables - Part 2'!$AV$6:$AV$13,0),MATCH(Ext_SCC_Chloride!$U6,'Tables - Part 2'!$AX$5:$BA$5,0)))/2))/2,0)</f>
        <v>0</v>
      </c>
      <c r="BU6" s="248">
        <f>IF($T6=$BU$3,(((INDEX('Tables - Part 2'!$BB$17:$BE$24,MATCH(Ext_SCC_Chloride!$X6,'Tables - Part 2'!$AV$6:$AV$13,0),MATCH(Ext_SCC_Chloride!$U6,'Tables - Part 2'!$AX$5:$BA$5,0))+INDEX('Tables - Part 2'!$BF$17:$BI$24,MATCH(Ext_SCC_Chloride!$X6,'Tables - Part 2'!$AV$6:$AV$13,0),MATCH(Ext_SCC_Chloride!$U6,'Tables - Part 2'!$AX$5:$BA$5,0)))/2)+INDEX('Tables - Part 2'!$BF$17:$BI$24,MATCH(Ext_SCC_Chloride!$X6,'Tables - Part 2'!$AV$6:$AV$13,0),MATCH(Ext_SCC_Chloride!$U6,'Tables - Part 2'!$AX$5:$BA$5,0)))/2,0)</f>
        <v>0</v>
      </c>
      <c r="BV6" s="248">
        <f>IF($T6=$BV$3,(((((INDEX('Tables - Part 2'!$BB$17:$BE$24,MATCH(Ext_SCC_Chloride!$X6,'Tables - Part 2'!$AV$6:$AV$13,0),MATCH(Ext_SCC_Chloride!$U6,'Tables - Part 2'!$AX$5:$BA$5,0))+INDEX('Tables - Part 2'!$BF$17:$BI$24,MATCH(Ext_SCC_Chloride!$X6,'Tables - Part 2'!$AV$6:$AV$13,0),MATCH(Ext_SCC_Chloride!$U6,'Tables - Part 2'!$AX$5:$BA$5,0)))/2)+INDEX('Tables - Part 2'!$BF$17:$BI$24,MATCH(Ext_SCC_Chloride!$X6,'Tables - Part 2'!$AV$6:$AV$13,0),MATCH(Ext_SCC_Chloride!$U6,'Tables - Part 2'!$AX$5:$BA$5,0)))/2)+(INDEX('Tables - Part 2'!$BF$17:$BI$24,MATCH(Ext_SCC_Chloride!$X6,'Tables - Part 2'!$AV$6:$AV$13,0),MATCH(Ext_SCC_Chloride!$U6,'Tables - Part 2'!$AX$5:$BA$5,0))))/2,0)</f>
        <v>0</v>
      </c>
      <c r="BW6" s="248">
        <f>IF($T6=$BW$3,INDEX('Tables - Part 2'!$BF$17:$BI$24,MATCH(Ext_SCC_Chloride!$X6,'Tables - Part 2'!$AV$6:$AV$13,0),MATCH(Ext_SCC_Chloride!$U6,'Tables - Part 2'!$AX$5:$BA$5,0)),0)</f>
        <v>0</v>
      </c>
      <c r="BX6" s="248">
        <f t="shared" si="5"/>
        <v>0</v>
      </c>
      <c r="BY6" s="238">
        <f t="shared" si="12"/>
        <v>0</v>
      </c>
      <c r="BZ6" s="238">
        <f t="shared" si="13"/>
        <v>0</v>
      </c>
    </row>
    <row r="7" spans="2:87" x14ac:dyDescent="0.35">
      <c r="B7" s="161" t="str">
        <f>'Tratamento de Dados'!B15</f>
        <v>V-11</v>
      </c>
      <c r="C7" s="161" t="str">
        <f>'Tratamento de Dados'!D15</f>
        <v>Casco</v>
      </c>
      <c r="D7" s="209" t="s">
        <v>245</v>
      </c>
      <c r="E7" s="209" t="s">
        <v>61</v>
      </c>
      <c r="F7" s="247">
        <f>'Tratamento de Dados'!S15</f>
        <v>2</v>
      </c>
      <c r="G7" s="209" t="s">
        <v>953</v>
      </c>
      <c r="H7" s="210">
        <v>35234</v>
      </c>
      <c r="I7" s="210">
        <v>43983</v>
      </c>
      <c r="J7" s="210">
        <v>39092</v>
      </c>
      <c r="K7" s="210">
        <f>'Tratamento de Dados'!CC15</f>
        <v>0</v>
      </c>
      <c r="L7" s="209">
        <f>'Tratamento de Dados'!CD15</f>
        <v>0</v>
      </c>
      <c r="M7" s="209" t="s">
        <v>840</v>
      </c>
      <c r="N7" s="209">
        <v>0</v>
      </c>
      <c r="O7" s="209">
        <v>1</v>
      </c>
      <c r="P7" s="209">
        <v>1</v>
      </c>
      <c r="Q7" s="209">
        <v>4</v>
      </c>
      <c r="R7" s="253">
        <f>'Tratamento de Dados'!DA15</f>
        <v>0</v>
      </c>
      <c r="S7" s="253">
        <f>'Tratamento de Dados'!DB15</f>
        <v>0</v>
      </c>
      <c r="T7" s="256">
        <f t="shared" si="0"/>
        <v>2.5</v>
      </c>
      <c r="U7" s="246" t="str">
        <f t="shared" si="1"/>
        <v>B</v>
      </c>
      <c r="V7" s="246" t="str">
        <f>IF(F7&lt;49,'Tables - Part 2'!$FH$5,IF(F7&lt;=93,'Tables - Part 2'!$FH$6,IF(F7&lt;=149,'Tables - Part 2'!$FH$7,'Tables - Part 2'!$FH$8)))</f>
        <v>&lt;49</v>
      </c>
      <c r="W7" s="467" t="str">
        <f>IF(D7=$CE$2,$CC$5,INDEX('Tables - Part 2'!$FI$5:$FL$8,MATCH(Ext_SCC_Chloride!V7,'Tables - Part 2'!$FH$5:$FH$8,0),MATCH(Ext_SCC_Chloride!M7,'Tables - Part 2'!$FI$4:$FL$4,0)))</f>
        <v>None</v>
      </c>
      <c r="X7" s="238">
        <f>IF(AND(D7=$CE$2,E7&lt;&gt;$CE$2),"Fitness-For-Service",INDEX('Tables - Part 2'!$FO$4:$FO$7,MATCH(Ext_SCC_Chloride!W7,'Tables - Part 2'!$FN$4:$FN$7,0),))</f>
        <v>0</v>
      </c>
      <c r="Y7" s="238">
        <f>IF(J7=0,(Thinning!G8-Thinning!F8)/365.25,(Thinning!G8-J7)/365.25)</f>
        <v>12.980150581793293</v>
      </c>
      <c r="Z7" s="248">
        <f t="shared" si="2"/>
        <v>0</v>
      </c>
      <c r="AA7" s="248">
        <f t="shared" si="3"/>
        <v>2.5</v>
      </c>
      <c r="AB7" s="247">
        <f t="shared" si="6"/>
        <v>3</v>
      </c>
      <c r="AC7" s="247">
        <f t="shared" si="4"/>
        <v>4</v>
      </c>
      <c r="AD7" s="247">
        <f t="shared" si="7"/>
        <v>120.41889117043121</v>
      </c>
      <c r="AE7" s="247">
        <f t="shared" si="8"/>
        <v>0</v>
      </c>
      <c r="AF7" s="247">
        <f t="shared" si="9"/>
        <v>0</v>
      </c>
      <c r="AG7" s="247">
        <f t="shared" si="10"/>
        <v>0</v>
      </c>
      <c r="AH7" s="247">
        <f t="shared" si="11"/>
        <v>12.980150581793293</v>
      </c>
      <c r="AI7" s="248">
        <f>IF($T7=$AI$3,INDEX('Tables - Part 2'!$AX$6:$BA$13,MATCH(Ext_SCC_Chloride!X7,'Tables - Part 2'!$AV$6:$AV$13,0),MATCH(Ext_SCC_Chloride!U7,'Tables - Part 2'!$AX$5:$BA$5,0)),0)</f>
        <v>0</v>
      </c>
      <c r="AJ7" s="248">
        <f>IF($T7=$AJ$3,(INDEX('Tables - Part 2'!$AX$6:$BA$13,MATCH(Ext_SCC_Chloride!X7,'Tables - Part 2'!$AV$6:$AV$13,0),MATCH(Ext_SCC_Chloride!U7,'Tables - Part 2'!$AX$5:$BA$5,0))+(INDEX('Tables - Part 2'!$AX$6:$BA$13,MATCH(Ext_SCC_Chloride!X7,'Tables - Part 2'!$AV$6:$AV$13,0),MATCH(Ext_SCC_Chloride!U7,'Tables - Part 2'!$AX$5:$BA$5,0))+((INDEX('Tables - Part 2'!$AX$6:$BA$13,MATCH(Ext_SCC_Chloride!X7,'Tables - Part 2'!$AV$6:$AV$13,0),MATCH(Ext_SCC_Chloride!U7,'Tables - Part 2'!$AX$5:$BA$5,0))+INDEX('Tables - Part 2'!$BB$6:$BE$13,MATCH(Ext_SCC_Chloride!$X7,'Tables - Part 2'!$AV$6:$AV$13,0),MATCH(Ext_SCC_Chloride!$U7,'Tables - Part 2'!$AX$5:$BA$5,0)))/2))/2)/2,0)</f>
        <v>0</v>
      </c>
      <c r="AK7" s="248">
        <f>IF($T7=$AK$3,(INDEX('Tables - Part 2'!$AX$6:$BA$13,MATCH(Ext_SCC_Chloride!X7,'Tables - Part 2'!$AV$6:$AV$13,0),MATCH(Ext_SCC_Chloride!U7,'Tables - Part 2'!$AX$5:$BA$5,0))+((INDEX('Tables - Part 2'!$AX$6:$BA$13,MATCH(Ext_SCC_Chloride!X7,'Tables - Part 2'!$AV$6:$AV$13,0),MATCH(Ext_SCC_Chloride!U7,'Tables - Part 2'!$AX$5:$BA$5,0))+INDEX('Tables - Part 2'!$BB$6:$BE$13,MATCH(Ext_SCC_Chloride!$X7,'Tables - Part 2'!$AV$6:$AV$13,0),MATCH(Ext_SCC_Chloride!$U7,'Tables - Part 2'!$AX$5:$BA$5,0)))/2))/2,0)</f>
        <v>0</v>
      </c>
      <c r="AL7" s="248">
        <f>IF($T7=$AL$3,(((INDEX('Tables - Part 2'!$AX$6:$BA$13,MATCH(Ext_SCC_Chloride!X7,'Tables - Part 2'!$AV$6:$AV$13,0),MATCH(Ext_SCC_Chloride!U7,'Tables - Part 2'!$AX$5:$BA$5,0))+((INDEX('Tables - Part 2'!$AX$6:$BA$13,MATCH(Ext_SCC_Chloride!X7,'Tables - Part 2'!$AV$6:$AV$13,0),MATCH(Ext_SCC_Chloride!U7,'Tables - Part 2'!$AX$5:$BA$5,0))+INDEX('Tables - Part 2'!$BB$6:$BE$13,MATCH(Ext_SCC_Chloride!$X7,'Tables - Part 2'!$AV$6:$AV$13,0),MATCH(Ext_SCC_Chloride!$U7,'Tables - Part 2'!$AX$5:$BA$5,0)))/2))/2)+(INDEX('Tables - Part 2'!$AX$6:$BA$13,MATCH(Ext_SCC_Chloride!X7,'Tables - Part 2'!$AV$6:$AV$13,0),MATCH(Ext_SCC_Chloride!U7,'Tables - Part 2'!$AX$5:$BA$5,0))+INDEX('Tables - Part 2'!$BB$6:$BE$13,MATCH(Ext_SCC_Chloride!$X7,'Tables - Part 2'!$AV$6:$AV$13,0),MATCH(Ext_SCC_Chloride!$U7,'Tables - Part 2'!$AX$5:$BA$5,0)))/2)/2,0)</f>
        <v>0</v>
      </c>
      <c r="AM7" s="248">
        <f>IF($T7=$AM$3,(INDEX('Tables - Part 2'!$AX$6:$BA$13,MATCH(Ext_SCC_Chloride!X7,'Tables - Part 2'!$AV$6:$AV$13,0),MATCH(Ext_SCC_Chloride!U7,'Tables - Part 2'!$AX$5:$BA$5,0))+INDEX('Tables - Part 2'!$BB$6:$BE$13,MATCH(Ext_SCC_Chloride!$X7,'Tables - Part 2'!$AV$6:$AV$13,0),MATCH(Ext_SCC_Chloride!$U7,'Tables - Part 2'!$AX$5:$BA$5,0)))/2,0)</f>
        <v>0</v>
      </c>
      <c r="AN7" s="248">
        <f>IF($T7=$AN$3,(((INDEX('Tables - Part 2'!$AX$6:$BA$13,MATCH(Ext_SCC_Chloride!X7,'Tables - Part 2'!$AV$6:$AV$13,0),MATCH(Ext_SCC_Chloride!U7,'Tables - Part 2'!$AX$5:$BA$5,0))+INDEX('Tables - Part 2'!$BB$6:$BE$13,MATCH(Ext_SCC_Chloride!$X7,'Tables - Part 2'!$AV$6:$AV$13,0),MATCH(Ext_SCC_Chloride!$U7,'Tables - Part 2'!$AX$5:$BA$5,0)))/2)+(((INDEX('Tables - Part 2'!$AX$6:$BA$13,MATCH(Ext_SCC_Chloride!X7,'Tables - Part 2'!$AV$6:$AV$13,0),MATCH(Ext_SCC_Chloride!U7,'Tables - Part 2'!$AX$5:$BA$5,0))+INDEX('Tables - Part 2'!$BB$6:$BE$13,MATCH(Ext_SCC_Chloride!$X7,'Tables - Part 2'!$AV$6:$AV$13,0),MATCH(Ext_SCC_Chloride!$U7,'Tables - Part 2'!$AX$5:$BA$5,0)))/2)+INDEX('Tables - Part 2'!$BB$6:$BE$13,MATCH(Ext_SCC_Chloride!$X7,'Tables - Part 2'!$AV$6:$AV$13,0),MATCH(Ext_SCC_Chloride!$U7,'Tables - Part 2'!$AX$5:$BA$5,0)))/2)/2,0)</f>
        <v>0</v>
      </c>
      <c r="AO7" s="248">
        <f>IF($T7=$AO$3,(((INDEX('Tables - Part 2'!$AX$6:$BA$13,MATCH(Ext_SCC_Chloride!X7,'Tables - Part 2'!$AV$6:$AV$13,0),MATCH(Ext_SCC_Chloride!U7,'Tables - Part 2'!$AX$5:$BA$5,0))+INDEX('Tables - Part 2'!$BB$6:$BE$13,MATCH(Ext_SCC_Chloride!$X7,'Tables - Part 2'!$AV$6:$AV$13,0),MATCH(Ext_SCC_Chloride!$U7,'Tables - Part 2'!$AX$5:$BA$5,0)))/2)+INDEX('Tables - Part 2'!$BB$6:$BE$13,MATCH(Ext_SCC_Chloride!$X7,'Tables - Part 2'!$AV$6:$AV$13,0),MATCH(Ext_SCC_Chloride!$U7,'Tables - Part 2'!$AX$5:$BA$5,0)))/2,0)</f>
        <v>0</v>
      </c>
      <c r="AP7" s="248">
        <f>IF($T7=$AP$3,(((((INDEX('Tables - Part 2'!$AX$6:$BA$13,MATCH(Ext_SCC_Chloride!X7,'Tables - Part 2'!$AV$6:$AV$13,0),MATCH(Ext_SCC_Chloride!U7,'Tables - Part 2'!$AX$5:$BA$5,0))+INDEX('Tables - Part 2'!$BB$6:$BE$13,MATCH(Ext_SCC_Chloride!$X7,'Tables - Part 2'!$AV$6:$AV$13,0),MATCH(Ext_SCC_Chloride!$U7,'Tables - Part 2'!$AX$5:$BA$5,0)))/2)+INDEX('Tables - Part 2'!$BB$6:$BE$13,MATCH(Ext_SCC_Chloride!$X7,'Tables - Part 2'!$AV$6:$AV$13,0),MATCH(Ext_SCC_Chloride!$U7,'Tables - Part 2'!$AX$5:$BA$5,0)))/2)+INDEX('Tables - Part 2'!$BB$6:$BE$13,MATCH(Ext_SCC_Chloride!$X7,'Tables - Part 2'!$AV$6:$AV$13,0),MATCH(Ext_SCC_Chloride!$U7,'Tables - Part 2'!$AX$5:$BA$5,0)))/2,0)</f>
        <v>0</v>
      </c>
      <c r="AQ7" s="248">
        <f>IF($T7=$AQ$3,INDEX('Tables - Part 2'!$BB$6:$BE$13,MATCH(Ext_SCC_Chloride!$X7,'Tables - Part 2'!$AV$6:$AV$13,0),MATCH(Ext_SCC_Chloride!$U7,'Tables - Part 2'!$AX$5:$BA$5,0)),0)</f>
        <v>0</v>
      </c>
      <c r="AR7" s="248">
        <f>IF($T7=$AR$3,((INDEX('Tables - Part 2'!$BB$6:$BE$13,MATCH(Ext_SCC_Chloride!$X7,'Tables - Part 2'!$AV$6:$AV$13,0),MATCH(Ext_SCC_Chloride!$U7,'Tables - Part 2'!$AX$5:$BA$5,0)))+(INDEX('Tables - Part 2'!$BB$6:$BE$13,MATCH(Ext_SCC_Chloride!$X7,'Tables - Part 2'!$AV$6:$AV$13,0),MATCH(Ext_SCC_Chloride!$U7,'Tables - Part 2'!$AX$5:$BA$5,0))+(INDEX('Tables - Part 2'!$BB$6:$BE$13,MATCH(Ext_SCC_Chloride!$X7,'Tables - Part 2'!$AV$6:$AV$13,0),MATCH(Ext_SCC_Chloride!$U7,'Tables - Part 2'!$AX$5:$BA$5,0))+INDEX('Tables - Part 2'!$BF$6:$BI$13,MATCH(Ext_SCC_Chloride!$X7,'Tables - Part 2'!$AV$6:$AV$13,0),MATCH(Ext_SCC_Chloride!$U7,'Tables - Part 2'!$AX$5:$BA$5,0)))/2)/2)/2,0)</f>
        <v>0</v>
      </c>
      <c r="AS7" s="248">
        <f>IF($T7=$AS$3,(INDEX('Tables - Part 2'!$BB$6:$BE$13,MATCH(Ext_SCC_Chloride!$X7,'Tables - Part 2'!$AV$6:$AV$13,0),MATCH(Ext_SCC_Chloride!$U7,'Tables - Part 2'!$AX$5:$BA$5,0))+(INDEX('Tables - Part 2'!$BB$6:$BE$13,MATCH(Ext_SCC_Chloride!$X7,'Tables - Part 2'!$AV$6:$AV$13,0),MATCH(Ext_SCC_Chloride!$U7,'Tables - Part 2'!$AX$5:$BA$5,0))+INDEX('Tables - Part 2'!$BF$6:$BI$13,MATCH(Ext_SCC_Chloride!$X7,'Tables - Part 2'!$AV$6:$AV$13,0),MATCH(Ext_SCC_Chloride!$U7,'Tables - Part 2'!$AX$5:$BA$5,0)))/2)/2,0)</f>
        <v>0</v>
      </c>
      <c r="AT7" s="248">
        <f>IF($T7=$AT$3,(((INDEX('Tables - Part 2'!$BB$6:$BE$13,MATCH(Ext_SCC_Chloride!$X7,'Tables - Part 2'!$AV$6:$AV$13,0),MATCH(Ext_SCC_Chloride!$U7,'Tables - Part 2'!$AX$5:$BA$5,0))+(INDEX('Tables - Part 2'!$BB$6:$BE$13,MATCH(Ext_SCC_Chloride!$X7,'Tables - Part 2'!$AV$6:$AV$13,0),MATCH(Ext_SCC_Chloride!$U7,'Tables - Part 2'!$AX$5:$BA$5,0))+INDEX('Tables - Part 2'!$BF$6:$BI$13,MATCH(Ext_SCC_Chloride!$X7,'Tables - Part 2'!$AV$6:$AV$13,0),MATCH(Ext_SCC_Chloride!$U7,'Tables - Part 2'!$AX$5:$BA$5,0)))/2)/2)+((INDEX('Tables - Part 2'!$BB$6:$BE$13,MATCH(Ext_SCC_Chloride!$X7,'Tables - Part 2'!$AV$6:$AV$13,0),MATCH(Ext_SCC_Chloride!$U7,'Tables - Part 2'!$AX$5:$BA$5,0))+INDEX('Tables - Part 2'!$BF$6:$BI$13,MATCH(Ext_SCC_Chloride!$X7,'Tables - Part 2'!$AV$6:$AV$13,0),MATCH(Ext_SCC_Chloride!$U7,'Tables - Part 2'!$AX$5:$BA$5,0)))/2))/2,0)</f>
        <v>0</v>
      </c>
      <c r="AU7" s="248">
        <f>IF($T7=$AU$3,(INDEX('Tables - Part 2'!$BB$6:$BE$13,MATCH(Ext_SCC_Chloride!$X7,'Tables - Part 2'!$AV$6:$AV$13,0),MATCH(Ext_SCC_Chloride!$U7,'Tables - Part 2'!$AX$5:$BA$5,0))+INDEX('Tables - Part 2'!$BF$6:$BI$13,MATCH(Ext_SCC_Chloride!$X7,'Tables - Part 2'!$AV$6:$AV$13,0),MATCH(Ext_SCC_Chloride!$U7,'Tables - Part 2'!$AX$5:$BA$5,0)))/2,0)</f>
        <v>0</v>
      </c>
      <c r="AV7" s="248">
        <f>IF($T7=$AV$3,(((INDEX('Tables - Part 2'!$BB$6:$BE$13,MATCH(Ext_SCC_Chloride!$X7,'Tables - Part 2'!$AV$6:$AV$13,0),MATCH(Ext_SCC_Chloride!$U7,'Tables - Part 2'!$AX$5:$BA$5,0))+INDEX('Tables - Part 2'!$BF$6:$BI$13,MATCH(Ext_SCC_Chloride!$X7,'Tables - Part 2'!$AV$6:$AV$13,0),MATCH(Ext_SCC_Chloride!$U7,'Tables - Part 2'!$AX$5:$BA$5,0)))/2)+((((INDEX('Tables - Part 2'!$BB$6:$BE$13,MATCH(Ext_SCC_Chloride!$X7,'Tables - Part 2'!$AV$6:$AV$13,0),MATCH(Ext_SCC_Chloride!$U7,'Tables - Part 2'!$AX$5:$BA$5,0))+INDEX('Tables - Part 2'!$BF$6:$BI$13,MATCH(Ext_SCC_Chloride!$X7,'Tables - Part 2'!$AV$6:$AV$13,0),MATCH(Ext_SCC_Chloride!$U7,'Tables - Part 2'!$AX$5:$BA$5,0)))/2)+INDEX('Tables - Part 2'!$BF$6:$BI$13,MATCH(Ext_SCC_Chloride!$X7,'Tables - Part 2'!$AV$6:$AV$13,0),MATCH(Ext_SCC_Chloride!$U7,'Tables - Part 2'!$AX$5:$BA$5,0)))/2))/2,0)</f>
        <v>0</v>
      </c>
      <c r="AW7" s="248">
        <f>IF($T7=$AW$3,(((INDEX('Tables - Part 2'!$BB$6:$BE$13,MATCH(Ext_SCC_Chloride!$X7,'Tables - Part 2'!$AV$6:$AV$13,0),MATCH(Ext_SCC_Chloride!$U7,'Tables - Part 2'!$AX$5:$BA$5,0))+INDEX('Tables - Part 2'!$BF$6:$BI$13,MATCH(Ext_SCC_Chloride!$X7,'Tables - Part 2'!$AV$6:$AV$13,0),MATCH(Ext_SCC_Chloride!$U7,'Tables - Part 2'!$AX$5:$BA$5,0)))/2)+INDEX('Tables - Part 2'!$BF$6:$BI$13,MATCH(Ext_SCC_Chloride!$X7,'Tables - Part 2'!$AV$6:$AV$13,0),MATCH(Ext_SCC_Chloride!$U7,'Tables - Part 2'!$AX$5:$BA$5,0)))/2,0)</f>
        <v>0</v>
      </c>
      <c r="AX7" s="248">
        <f>IF($T7=$AX$3,(((((INDEX('Tables - Part 2'!$BB$6:$BE$13,MATCH(Ext_SCC_Chloride!$X7,'Tables - Part 2'!$AV$6:$AV$13,0),MATCH(Ext_SCC_Chloride!$U7,'Tables - Part 2'!$AX$5:$BA$5,0))+INDEX('Tables - Part 2'!$BF$6:$BI$13,MATCH(Ext_SCC_Chloride!$X7,'Tables - Part 2'!$AV$6:$AV$13,0),MATCH(Ext_SCC_Chloride!$U7,'Tables - Part 2'!$AX$5:$BA$5,0)))/2)+INDEX('Tables - Part 2'!$BF$6:$BI$13,MATCH(Ext_SCC_Chloride!$X7,'Tables - Part 2'!$AV$6:$AV$13,0),MATCH(Ext_SCC_Chloride!$U7,'Tables - Part 2'!$AX$5:$BA$5,0)))/2)+INDEX('Tables - Part 2'!$BF$6:$BI$13,MATCH(Ext_SCC_Chloride!$X7,'Tables - Part 2'!$AV$6:$AV$13,0),MATCH(Ext_SCC_Chloride!$U7,'Tables - Part 2'!$AX$5:$BA$5,0)))/2,0)</f>
        <v>0</v>
      </c>
      <c r="AY7" s="248">
        <f>IF($T7=$AY$3,INDEX('Tables - Part 2'!$BF$6:$BI$13,MATCH(Ext_SCC_Chloride!$X7,'Tables - Part 2'!$AV$6:$AV$13,0),MATCH(Ext_SCC_Chloride!$U7,'Tables - Part 2'!$AX$5:$BA$5,0)),0)</f>
        <v>0</v>
      </c>
      <c r="AZ7" s="248">
        <f>IF($T7=$AZ$3,(INDEX('Tables - Part 2'!$BF$6:$BI$13,MATCH(Ext_SCC_Chloride!$X7,'Tables - Part 2'!$AV$6:$AV$13,0),MATCH(Ext_SCC_Chloride!$U7,'Tables - Part 2'!$AX$5:$BA$5,0))+((INDEX('Tables - Part 2'!$BF$6:$BI$13,MATCH(Ext_SCC_Chloride!$X7,'Tables - Part 2'!$AV$6:$AV$13,0),MATCH(Ext_SCC_Chloride!$U7,'Tables - Part 2'!$AX$5:$BA$5,0))+(INDEX('Tables - Part 2'!$BF$6:$BI$13,MATCH(Ext_SCC_Chloride!$X7,'Tables - Part 2'!$AV$6:$AV$13,0),MATCH(Ext_SCC_Chloride!$U7,'Tables - Part 2'!$AX$5:$BA$5,0))+INDEX('Tables - Part 2'!$AX$17:$BA$24,MATCH(Ext_SCC_Chloride!$X7,'Tables - Part 2'!$AV$6:$AV$13,0),MATCH(Ext_SCC_Chloride!$U7,'Tables - Part 2'!$AX$5:$BA$5,0)))/2)/2))/2,0)</f>
        <v>0</v>
      </c>
      <c r="BA7" s="248">
        <f>IF($T7=$BA$3,(INDEX('Tables - Part 2'!$BF$6:$BI$13,MATCH(Ext_SCC_Chloride!$X7,'Tables - Part 2'!$AV$6:$AV$13,0),MATCH(Ext_SCC_Chloride!$U7,'Tables - Part 2'!$AX$5:$BA$5,0))+(INDEX('Tables - Part 2'!$BF$6:$BI$13,MATCH(Ext_SCC_Chloride!$X7,'Tables - Part 2'!$AV$6:$AV$13,0),MATCH(Ext_SCC_Chloride!$U7,'Tables - Part 2'!$AX$5:$BA$5,0))+INDEX('Tables - Part 2'!$AX$17:$BA$24,MATCH(Ext_SCC_Chloride!$X7,'Tables - Part 2'!$AV$6:$AV$13,0),MATCH(Ext_SCC_Chloride!$U7,'Tables - Part 2'!$AX$5:$BA$5,0)))/2)/2,0)</f>
        <v>0</v>
      </c>
      <c r="BB7" s="248">
        <f>IF($T7=$BB$3,(((INDEX('Tables - Part 2'!$BF$6:$BI$13,MATCH(Ext_SCC_Chloride!$X7,'Tables - Part 2'!$AV$6:$AV$13,0),MATCH(Ext_SCC_Chloride!$U7,'Tables - Part 2'!$AX$5:$BA$5,0))+(INDEX('Tables - Part 2'!$BF$6:$BI$13,MATCH(Ext_SCC_Chloride!$X7,'Tables - Part 2'!$AV$6:$AV$13,0),MATCH(Ext_SCC_Chloride!$U7,'Tables - Part 2'!$AX$5:$BA$5,0))+INDEX('Tables - Part 2'!$AX$17:$BA$24,MATCH(Ext_SCC_Chloride!$X7,'Tables - Part 2'!$AV$6:$AV$13,0),MATCH(Ext_SCC_Chloride!$U7,'Tables - Part 2'!$AX$5:$BA$5,0)))/2)/2)+((INDEX('Tables - Part 2'!$BF$6:$BI$13,MATCH(Ext_SCC_Chloride!$X7,'Tables - Part 2'!$AV$6:$AV$13,0),MATCH(Ext_SCC_Chloride!$U7,'Tables - Part 2'!$AX$5:$BA$5,0))+INDEX('Tables - Part 2'!$AX$17:$BA$24,MATCH(Ext_SCC_Chloride!$X7,'Tables - Part 2'!$AV$6:$AV$13,0),MATCH(Ext_SCC_Chloride!$U7,'Tables - Part 2'!$AX$5:$BA$5,0)))/2))/2,0)</f>
        <v>0</v>
      </c>
      <c r="BC7" s="248">
        <f>IF($T7=$BC$3,(INDEX('Tables - Part 2'!$BF$6:$BI$13,MATCH(Ext_SCC_Chloride!$X7,'Tables - Part 2'!$AV$6:$AV$13,0),MATCH(Ext_SCC_Chloride!$U7,'Tables - Part 2'!$AX$5:$BA$5,0))+INDEX('Tables - Part 2'!$AX$17:$BA$24,MATCH(Ext_SCC_Chloride!$X7,'Tables - Part 2'!$AV$6:$AV$13,0),MATCH(Ext_SCC_Chloride!$U7,'Tables - Part 2'!$AX$5:$BA$5,0)))/2,0)</f>
        <v>0</v>
      </c>
      <c r="BD7" s="248">
        <f>IF($T7=$BD$3,(((INDEX('Tables - Part 2'!$BF$6:$BI$13,MATCH(Ext_SCC_Chloride!$X7,'Tables - Part 2'!$AV$6:$AV$13,0),MATCH(Ext_SCC_Chloride!$U7,'Tables - Part 2'!$AX$5:$BA$5,0))+INDEX('Tables - Part 2'!$AX$17:$BA$24,MATCH(Ext_SCC_Chloride!$X7,'Tables - Part 2'!$AV$6:$AV$13,0),MATCH(Ext_SCC_Chloride!$U7,'Tables - Part 2'!$AX$5:$BA$5,0)))/2)+((((INDEX('Tables - Part 2'!$BF$6:$BI$13,MATCH(Ext_SCC_Chloride!$X7,'Tables - Part 2'!$AV$6:$AV$13,0),MATCH(Ext_SCC_Chloride!$U7,'Tables - Part 2'!$AX$5:$BA$5,0))+INDEX('Tables - Part 2'!$AX$17:$BA$24,MATCH(Ext_SCC_Chloride!$X7,'Tables - Part 2'!$AV$6:$AV$13,0),MATCH(Ext_SCC_Chloride!$U7,'Tables - Part 2'!$AX$5:$BA$5,0)))/2)+INDEX('Tables - Part 2'!$AX$17:$BA$24,MATCH(Ext_SCC_Chloride!$X7,'Tables - Part 2'!$AV$6:$AV$13,0),MATCH(Ext_SCC_Chloride!$U7,'Tables - Part 2'!$AX$5:$BA$5,0)))/2))/2,0)</f>
        <v>0</v>
      </c>
      <c r="BE7" s="248">
        <f>IF($T7=$BE$3,(((INDEX('Tables - Part 2'!$BF$6:$BI$13,MATCH(Ext_SCC_Chloride!$X7,'Tables - Part 2'!$AV$6:$AV$13,0),MATCH(Ext_SCC_Chloride!$U7,'Tables - Part 2'!$AX$5:$BA$5,0))+INDEX('Tables - Part 2'!$AX$17:$BA$24,MATCH(Ext_SCC_Chloride!$X7,'Tables - Part 2'!$AV$6:$AV$13,0),MATCH(Ext_SCC_Chloride!$U7,'Tables - Part 2'!$AX$5:$BA$5,0)))/2)+INDEX('Tables - Part 2'!$AX$17:$BA$24,MATCH(Ext_SCC_Chloride!$X7,'Tables - Part 2'!$AV$6:$AV$13,0),MATCH(Ext_SCC_Chloride!$U7,'Tables - Part 2'!$AX$5:$BA$5,0)))/2,0)</f>
        <v>0</v>
      </c>
      <c r="BF7" s="248">
        <f>IF($T7=$BF$3,(((((INDEX('Tables - Part 2'!$BF$6:$BI$13,MATCH(Ext_SCC_Chloride!$X7,'Tables - Part 2'!$AV$6:$AV$13,0),MATCH(Ext_SCC_Chloride!$U7,'Tables - Part 2'!$AX$5:$BA$5,0))+INDEX('Tables - Part 2'!$AX$17:$BA$24,MATCH(Ext_SCC_Chloride!$X7,'Tables - Part 2'!$AV$6:$AV$13,0),MATCH(Ext_SCC_Chloride!$U7,'Tables - Part 2'!$AX$5:$BA$5,0)))/2)+INDEX('Tables - Part 2'!$AX$17:$BA$24,MATCH(Ext_SCC_Chloride!$X7,'Tables - Part 2'!$AV$6:$AV$13,0),MATCH(Ext_SCC_Chloride!$U7,'Tables - Part 2'!$AX$5:$BA$5,0)))/2)+(INDEX('Tables - Part 2'!$AX$17:$BA$24,MATCH(Ext_SCC_Chloride!$X7,'Tables - Part 2'!$AV$6:$AV$13,0),MATCH(Ext_SCC_Chloride!$U7,'Tables - Part 2'!$AX$5:$BA$5,0))))/2,0)</f>
        <v>0</v>
      </c>
      <c r="BG7" s="248">
        <f>IF($T7=$BG$3,INDEX('Tables - Part 2'!$AX$17:$BA$24,MATCH(Ext_SCC_Chloride!$X7,'Tables - Part 2'!$AV$6:$AV$13,0),MATCH(Ext_SCC_Chloride!$U7,'Tables - Part 2'!$AX$5:$BA$5,0)),0)</f>
        <v>0</v>
      </c>
      <c r="BH7" s="248">
        <f>IF($T7=$BH$3,((INDEX('Tables - Part 2'!$AX$17:$BA$24,MATCH(Ext_SCC_Chloride!$X7,'Tables - Part 2'!$AV$6:$AV$13,0),MATCH(Ext_SCC_Chloride!$U7,'Tables - Part 2'!$AX$5:$BA$5,0)))+(((INDEX('Tables - Part 2'!$AX$17:$BA$24,MATCH(Ext_SCC_Chloride!$X7,'Tables - Part 2'!$AV$6:$AV$13,0),MATCH(Ext_SCC_Chloride!$U7,'Tables - Part 2'!$AX$5:$BA$5,0)))+(INDEX('Tables - Part 2'!$AX$17:$BA$24,MATCH(Ext_SCC_Chloride!$X7,'Tables - Part 2'!$AV$6:$AV$13,0),MATCH(Ext_SCC_Chloride!$U7,'Tables - Part 2'!$AX$5:$BA$5,0))+INDEX('Tables - Part 2'!$BB$17:$BE$24,MATCH(Ext_SCC_Chloride!$X7,'Tables - Part 2'!$AV$6:$AV$13,0),MATCH(Ext_SCC_Chloride!$U7,'Tables - Part 2'!$AX$5:$BA$5,0)))/2)/2))/2,0)</f>
        <v>0</v>
      </c>
      <c r="BI7" s="248">
        <f>IF($T7=$BI$3,((INDEX('Tables - Part 2'!$AX$17:$BA$24,MATCH(Ext_SCC_Chloride!$X7,'Tables - Part 2'!$AV$6:$AV$13,0),MATCH(Ext_SCC_Chloride!$U7,'Tables - Part 2'!$AX$5:$BA$5,0)))+(INDEX('Tables - Part 2'!$AX$17:$BA$24,MATCH(Ext_SCC_Chloride!$X7,'Tables - Part 2'!$AV$6:$AV$13,0),MATCH(Ext_SCC_Chloride!$U7,'Tables - Part 2'!$AX$5:$BA$5,0))+INDEX('Tables - Part 2'!$BB$17:$BE$24,MATCH(Ext_SCC_Chloride!$X7,'Tables - Part 2'!$AV$6:$AV$13,0),MATCH(Ext_SCC_Chloride!$U7,'Tables - Part 2'!$AX$5:$BA$5,0)))/2)/2,0)</f>
        <v>0</v>
      </c>
      <c r="BJ7" s="248">
        <f>IF($T7=$BJ$3,((((INDEX('Tables - Part 2'!$AX$17:$BA$24,MATCH(Ext_SCC_Chloride!$X7,'Tables - Part 2'!$AV$6:$AV$13,0),MATCH(Ext_SCC_Chloride!$U7,'Tables - Part 2'!$AX$5:$BA$5,0)))+(INDEX('Tables - Part 2'!$AX$17:$BA$24,MATCH(Ext_SCC_Chloride!$X7,'Tables - Part 2'!$AV$6:$AV$13,0),MATCH(Ext_SCC_Chloride!$U7,'Tables - Part 2'!$AX$5:$BA$5,0))+INDEX('Tables - Part 2'!$BB$17:$BE$24,MATCH(Ext_SCC_Chloride!$X7,'Tables - Part 2'!$AV$6:$AV$13,0),MATCH(Ext_SCC_Chloride!$U7,'Tables - Part 2'!$AX$5:$BA$5,0)))/2)/2)+((INDEX('Tables - Part 2'!$AX$17:$BA$24,MATCH(Ext_SCC_Chloride!$X7,'Tables - Part 2'!$AV$6:$AV$13,0),MATCH(Ext_SCC_Chloride!$U7,'Tables - Part 2'!$AX$5:$BA$5,0))+INDEX('Tables - Part 2'!$BB$17:$BE$24,MATCH(Ext_SCC_Chloride!$X7,'Tables - Part 2'!$AV$6:$AV$13,0),MATCH(Ext_SCC_Chloride!$U7,'Tables - Part 2'!$AX$5:$BA$5,0)))/2))/2,0)</f>
        <v>0</v>
      </c>
      <c r="BK7" s="248">
        <f>IF($T7=$BK$3,(INDEX('Tables - Part 2'!$AX$17:$BA$24,MATCH(Ext_SCC_Chloride!$X7,'Tables - Part 2'!$AV$6:$AV$13,0),MATCH(Ext_SCC_Chloride!$U7,'Tables - Part 2'!$AX$5:$BA$5,0))+INDEX('Tables - Part 2'!$BB$17:$BE$24,MATCH(Ext_SCC_Chloride!$X7,'Tables - Part 2'!$AV$6:$AV$13,0),MATCH(Ext_SCC_Chloride!$U7,'Tables - Part 2'!$AX$5:$BA$5,0)))/2,0)</f>
        <v>0</v>
      </c>
      <c r="BL7" s="248">
        <f>IF($T7=$BL$3,(((INDEX('Tables - Part 2'!$AX$17:$BA$24,MATCH(Ext_SCC_Chloride!$X7,'Tables - Part 2'!$AV$6:$AV$13,0),MATCH(Ext_SCC_Chloride!$U7,'Tables - Part 2'!$AX$5:$BA$5,0))+INDEX('Tables - Part 2'!$BB$17:$BE$24,MATCH(Ext_SCC_Chloride!$X7,'Tables - Part 2'!$AV$6:$AV$13,0),MATCH(Ext_SCC_Chloride!$U7,'Tables - Part 2'!$AX$5:$BA$5,0)))/2)+((((INDEX('Tables - Part 2'!$AX$17:$BA$24,MATCH(Ext_SCC_Chloride!$X7,'Tables - Part 2'!$AV$6:$AV$13,0),MATCH(Ext_SCC_Chloride!$U7,'Tables - Part 2'!$AX$5:$BA$5,0))+INDEX('Tables - Part 2'!$BB$17:$BE$24,MATCH(Ext_SCC_Chloride!$X7,'Tables - Part 2'!$AV$6:$AV$13,0),MATCH(Ext_SCC_Chloride!$U7,'Tables - Part 2'!$AX$5:$BA$5,0)))/2)+INDEX('Tables - Part 2'!$BB$17:$BE$24,MATCH(Ext_SCC_Chloride!$X7,'Tables - Part 2'!$AV$6:$AV$13,0),MATCH(Ext_SCC_Chloride!$U7,'Tables - Part 2'!$AX$5:$BA$5,0)))/2))/2,0)</f>
        <v>0</v>
      </c>
      <c r="BM7" s="248">
        <f>IF($T7=$BM$3,(((INDEX('Tables - Part 2'!$AX$17:$BA$24,MATCH(Ext_SCC_Chloride!$X7,'Tables - Part 2'!$AV$6:$AV$13,0),MATCH(Ext_SCC_Chloride!$U7,'Tables - Part 2'!$AX$5:$BA$5,0))+INDEX('Tables - Part 2'!$BB$17:$BE$24,MATCH(Ext_SCC_Chloride!$X7,'Tables - Part 2'!$AV$6:$AV$13,0),MATCH(Ext_SCC_Chloride!$U7,'Tables - Part 2'!$AX$5:$BA$5,0)))/2)+INDEX('Tables - Part 2'!$BB$17:$BE$24,MATCH(Ext_SCC_Chloride!$X7,'Tables - Part 2'!$AV$6:$AV$13,0),MATCH(Ext_SCC_Chloride!$U7,'Tables - Part 2'!$AX$5:$BA$5,0)))/2,0)</f>
        <v>0</v>
      </c>
      <c r="BN7" s="248">
        <f>IF($T7=$BN$3,(((((INDEX('Tables - Part 2'!$AX$17:$BA$24,MATCH(Ext_SCC_Chloride!$X7,'Tables - Part 2'!$AV$6:$AV$13,0),MATCH(Ext_SCC_Chloride!$U7,'Tables - Part 2'!$AX$5:$BA$5,0))+INDEX('Tables - Part 2'!$BB$17:$BE$24,MATCH(Ext_SCC_Chloride!$X7,'Tables - Part 2'!$AV$6:$AV$13,0),MATCH(Ext_SCC_Chloride!$U7,'Tables - Part 2'!$AX$5:$BA$5,0)))/2)+INDEX('Tables - Part 2'!$BB$17:$BE$24,MATCH(Ext_SCC_Chloride!$X7,'Tables - Part 2'!$AV$6:$AV$13,0),MATCH(Ext_SCC_Chloride!$U7,'Tables - Part 2'!$AX$5:$BA$5,0)))/2)+(INDEX('Tables - Part 2'!$BB$17:$BE$24,MATCH(Ext_SCC_Chloride!$X7,'Tables - Part 2'!$AV$6:$AV$13,0),MATCH(Ext_SCC_Chloride!$U7,'Tables - Part 2'!$AX$5:$BA$5,0))))/2,0)</f>
        <v>0</v>
      </c>
      <c r="BO7" s="248">
        <f>IF($T7=$BO$3,INDEX('Tables - Part 2'!$BB$17:$BE$24,MATCH(Ext_SCC_Chloride!$X7,'Tables - Part 2'!$AV$6:$AV$13,0),MATCH(Ext_SCC_Chloride!$U7,'Tables - Part 2'!$AX$5:$BA$5,0)),0)</f>
        <v>0</v>
      </c>
      <c r="BP7" s="248">
        <f>IF($T7=$BP$3,((INDEX('Tables - Part 2'!$BB$17:$BE$24,MATCH(Ext_SCC_Chloride!$X7,'Tables - Part 2'!$AV$6:$AV$13,0),MATCH(Ext_SCC_Chloride!$U7,'Tables - Part 2'!$AX$5:$BA$5,0)))+(((INDEX('Tables - Part 2'!$BB$17:$BE$24,MATCH(Ext_SCC_Chloride!$X7,'Tables - Part 2'!$AV$6:$AV$13,0),MATCH(Ext_SCC_Chloride!$U7,'Tables - Part 2'!$AX$5:$BA$5,0)))+(INDEX('Tables - Part 2'!$BB$17:$BE$24,MATCH(Ext_SCC_Chloride!$X7,'Tables - Part 2'!$AV$6:$AV$13,0),MATCH(Ext_SCC_Chloride!$U7,'Tables - Part 2'!$AX$5:$BA$5,0))+INDEX('Tables - Part 2'!$BF$17:$BI$24,MATCH(Ext_SCC_Chloride!$X7,'Tables - Part 2'!$AV$6:$AV$13,0),MATCH(Ext_SCC_Chloride!$U7,'Tables - Part 2'!$AX$5:$BA$5,0)))/2)/2))/2,0)</f>
        <v>0</v>
      </c>
      <c r="BQ7" s="248">
        <f>IF($T7=$BQ$3,((INDEX('Tables - Part 2'!$BB$17:$BE$24,MATCH(Ext_SCC_Chloride!$X7,'Tables - Part 2'!$AV$6:$AV$13,0),MATCH(Ext_SCC_Chloride!$U7,'Tables - Part 2'!$AX$5:$BA$5,0)))+(INDEX('Tables - Part 2'!$BB$17:$BE$24,MATCH(Ext_SCC_Chloride!$X7,'Tables - Part 2'!$AV$6:$AV$13,0),MATCH(Ext_SCC_Chloride!$U7,'Tables - Part 2'!$AX$5:$BA$5,0))+INDEX('Tables - Part 2'!$BF$17:$BI$24,MATCH(Ext_SCC_Chloride!$X7,'Tables - Part 2'!$AV$6:$AV$13,0),MATCH(Ext_SCC_Chloride!$U7,'Tables - Part 2'!$AX$5:$BA$5,0)))/2)/2,0)</f>
        <v>0</v>
      </c>
      <c r="BR7" s="248">
        <f>IF($T7=$BR$3,((((INDEX('Tables - Part 2'!$BB$17:$BE$24,MATCH(Ext_SCC_Chloride!$X7,'Tables - Part 2'!$AV$6:$AV$13,0),MATCH(Ext_SCC_Chloride!$U7,'Tables - Part 2'!$AX$5:$BA$5,0)))+(INDEX('Tables - Part 2'!$BB$17:$BE$24,MATCH(Ext_SCC_Chloride!$X7,'Tables - Part 2'!$AV$6:$AV$13,0),MATCH(Ext_SCC_Chloride!$U7,'Tables - Part 2'!$AX$5:$BA$5,0))+INDEX('Tables - Part 2'!$BF$17:$BI$24,MATCH(Ext_SCC_Chloride!$X7,'Tables - Part 2'!$AV$6:$AV$13,0),MATCH(Ext_SCC_Chloride!$U7,'Tables - Part 2'!$AX$5:$BA$5,0)))/2)/2)+((INDEX('Tables - Part 2'!$BB$17:$BE$24,MATCH(Ext_SCC_Chloride!$X7,'Tables - Part 2'!$AV$6:$AV$13,0),MATCH(Ext_SCC_Chloride!$U7,'Tables - Part 2'!$AX$5:$BA$5,0))+INDEX('Tables - Part 2'!$BF$17:$BI$24,MATCH(Ext_SCC_Chloride!$X7,'Tables - Part 2'!$AV$6:$AV$13,0),MATCH(Ext_SCC_Chloride!$U7,'Tables - Part 2'!$AX$5:$BA$5,0)))/2))/2,0)</f>
        <v>0</v>
      </c>
      <c r="BS7" s="248">
        <f>IF($T7=$BS$3,(INDEX('Tables - Part 2'!$BB$17:$BE$24,MATCH(Ext_SCC_Chloride!$X7,'Tables - Part 2'!$AV$6:$AV$13,0),MATCH(Ext_SCC_Chloride!$U7,'Tables - Part 2'!$AX$5:$BA$5,0))+INDEX('Tables - Part 2'!$BF$17:$BI$24,MATCH(Ext_SCC_Chloride!$X7,'Tables - Part 2'!$AV$6:$AV$13,0),MATCH(Ext_SCC_Chloride!$U7,'Tables - Part 2'!$AX$5:$BA$5,0)))/2,0)</f>
        <v>0</v>
      </c>
      <c r="BT7" s="248">
        <f>IF($T7=$BT$3,(((INDEX('Tables - Part 2'!$BB$17:$BE$24,MATCH(Ext_SCC_Chloride!$X7,'Tables - Part 2'!$AV$6:$AV$13,0),MATCH(Ext_SCC_Chloride!$U7,'Tables - Part 2'!$AX$5:$BA$5,0))+INDEX('Tables - Part 2'!$BF$17:$BI$24,MATCH(Ext_SCC_Chloride!$X7,'Tables - Part 2'!$AV$6:$AV$13,0),MATCH(Ext_SCC_Chloride!$U7,'Tables - Part 2'!$AX$5:$BA$5,0)))/2)+((((INDEX('Tables - Part 2'!$BB$17:$BE$24,MATCH(Ext_SCC_Chloride!$X7,'Tables - Part 2'!$AV$6:$AV$13,0),MATCH(Ext_SCC_Chloride!$U7,'Tables - Part 2'!$AX$5:$BA$5,0))+INDEX('Tables - Part 2'!$BF$17:$BI$24,MATCH(Ext_SCC_Chloride!$X7,'Tables - Part 2'!$AV$6:$AV$13,0),MATCH(Ext_SCC_Chloride!$U7,'Tables - Part 2'!$AX$5:$BA$5,0)))/2)+INDEX('Tables - Part 2'!$BF$17:$BI$24,MATCH(Ext_SCC_Chloride!$X7,'Tables - Part 2'!$AV$6:$AV$13,0),MATCH(Ext_SCC_Chloride!$U7,'Tables - Part 2'!$AX$5:$BA$5,0)))/2))/2,0)</f>
        <v>0</v>
      </c>
      <c r="BU7" s="248">
        <f>IF($T7=$BU$3,(((INDEX('Tables - Part 2'!$BB$17:$BE$24,MATCH(Ext_SCC_Chloride!$X7,'Tables - Part 2'!$AV$6:$AV$13,0),MATCH(Ext_SCC_Chloride!$U7,'Tables - Part 2'!$AX$5:$BA$5,0))+INDEX('Tables - Part 2'!$BF$17:$BI$24,MATCH(Ext_SCC_Chloride!$X7,'Tables - Part 2'!$AV$6:$AV$13,0),MATCH(Ext_SCC_Chloride!$U7,'Tables - Part 2'!$AX$5:$BA$5,0)))/2)+INDEX('Tables - Part 2'!$BF$17:$BI$24,MATCH(Ext_SCC_Chloride!$X7,'Tables - Part 2'!$AV$6:$AV$13,0),MATCH(Ext_SCC_Chloride!$U7,'Tables - Part 2'!$AX$5:$BA$5,0)))/2,0)</f>
        <v>0</v>
      </c>
      <c r="BV7" s="248">
        <f>IF($T7=$BV$3,(((((INDEX('Tables - Part 2'!$BB$17:$BE$24,MATCH(Ext_SCC_Chloride!$X7,'Tables - Part 2'!$AV$6:$AV$13,0),MATCH(Ext_SCC_Chloride!$U7,'Tables - Part 2'!$AX$5:$BA$5,0))+INDEX('Tables - Part 2'!$BF$17:$BI$24,MATCH(Ext_SCC_Chloride!$X7,'Tables - Part 2'!$AV$6:$AV$13,0),MATCH(Ext_SCC_Chloride!$U7,'Tables - Part 2'!$AX$5:$BA$5,0)))/2)+INDEX('Tables - Part 2'!$BF$17:$BI$24,MATCH(Ext_SCC_Chloride!$X7,'Tables - Part 2'!$AV$6:$AV$13,0),MATCH(Ext_SCC_Chloride!$U7,'Tables - Part 2'!$AX$5:$BA$5,0)))/2)+(INDEX('Tables - Part 2'!$BF$17:$BI$24,MATCH(Ext_SCC_Chloride!$X7,'Tables - Part 2'!$AV$6:$AV$13,0),MATCH(Ext_SCC_Chloride!$U7,'Tables - Part 2'!$AX$5:$BA$5,0))))/2,0)</f>
        <v>0</v>
      </c>
      <c r="BW7" s="248">
        <f>IF($T7=$BW$3,INDEX('Tables - Part 2'!$BF$17:$BI$24,MATCH(Ext_SCC_Chloride!$X7,'Tables - Part 2'!$AV$6:$AV$13,0),MATCH(Ext_SCC_Chloride!$U7,'Tables - Part 2'!$AX$5:$BA$5,0)),0)</f>
        <v>0</v>
      </c>
      <c r="BX7" s="248">
        <f t="shared" si="5"/>
        <v>0</v>
      </c>
      <c r="BY7" s="238">
        <f t="shared" si="12"/>
        <v>0</v>
      </c>
      <c r="BZ7" s="238">
        <f t="shared" si="13"/>
        <v>0</v>
      </c>
    </row>
    <row r="8" spans="2:87" x14ac:dyDescent="0.35">
      <c r="B8" s="161" t="str">
        <f>'Tratamento de Dados'!B16</f>
        <v>V-13</v>
      </c>
      <c r="C8" s="161" t="str">
        <f>'Tratamento de Dados'!D16</f>
        <v>Casco</v>
      </c>
      <c r="D8" s="209" t="s">
        <v>245</v>
      </c>
      <c r="E8" s="209" t="s">
        <v>61</v>
      </c>
      <c r="F8" s="247">
        <f>'Tratamento de Dados'!S16</f>
        <v>2</v>
      </c>
      <c r="G8" s="209" t="s">
        <v>953</v>
      </c>
      <c r="H8" s="210">
        <v>35234</v>
      </c>
      <c r="I8" s="210">
        <v>43983</v>
      </c>
      <c r="J8" s="210">
        <v>39092</v>
      </c>
      <c r="K8" s="210">
        <f>'Tratamento de Dados'!CC16</f>
        <v>0</v>
      </c>
      <c r="L8" s="209">
        <f>'Tratamento de Dados'!CD16</f>
        <v>0</v>
      </c>
      <c r="M8" s="209" t="s">
        <v>840</v>
      </c>
      <c r="N8" s="209">
        <v>0</v>
      </c>
      <c r="O8" s="209">
        <v>1</v>
      </c>
      <c r="P8" s="209">
        <v>1</v>
      </c>
      <c r="Q8" s="209">
        <v>4</v>
      </c>
      <c r="R8" s="253">
        <f>'Tratamento de Dados'!DA16</f>
        <v>0</v>
      </c>
      <c r="S8" s="253">
        <f>'Tratamento de Dados'!DB16</f>
        <v>0</v>
      </c>
      <c r="T8" s="256">
        <f t="shared" si="0"/>
        <v>2.5</v>
      </c>
      <c r="U8" s="246" t="str">
        <f t="shared" si="1"/>
        <v>B</v>
      </c>
      <c r="V8" s="246" t="str">
        <f>IF(F8&lt;49,'Tables - Part 2'!$FH$5,IF(F8&lt;=93,'Tables - Part 2'!$FH$6,IF(F8&lt;=149,'Tables - Part 2'!$FH$7,'Tables - Part 2'!$FH$8)))</f>
        <v>&lt;49</v>
      </c>
      <c r="W8" s="467" t="str">
        <f>IF(D8=$CE$2,$CC$5,INDEX('Tables - Part 2'!$FI$5:$FL$8,MATCH(Ext_SCC_Chloride!V8,'Tables - Part 2'!$FH$5:$FH$8,0),MATCH(Ext_SCC_Chloride!M8,'Tables - Part 2'!$FI$4:$FL$4,0)))</f>
        <v>None</v>
      </c>
      <c r="X8" s="238">
        <f>IF(AND(D8=$CE$2,E8&lt;&gt;$CE$2),"Fitness-For-Service",INDEX('Tables - Part 2'!$FO$4:$FO$7,MATCH(Ext_SCC_Chloride!W8,'Tables - Part 2'!$FN$4:$FN$7,0),))</f>
        <v>0</v>
      </c>
      <c r="Y8" s="238">
        <f>IF(J8=0,(Thinning!G9-Thinning!F9)/365.25,(Thinning!G9-J8)/365.25)</f>
        <v>12.980150581793293</v>
      </c>
      <c r="Z8" s="248">
        <f t="shared" si="2"/>
        <v>0</v>
      </c>
      <c r="AA8" s="248">
        <f t="shared" si="3"/>
        <v>2.5</v>
      </c>
      <c r="AB8" s="247">
        <f t="shared" si="6"/>
        <v>3</v>
      </c>
      <c r="AC8" s="247">
        <f t="shared" si="4"/>
        <v>4</v>
      </c>
      <c r="AD8" s="247">
        <f t="shared" si="7"/>
        <v>120.41889117043121</v>
      </c>
      <c r="AE8" s="247">
        <f t="shared" si="8"/>
        <v>0</v>
      </c>
      <c r="AF8" s="247">
        <f t="shared" si="9"/>
        <v>0</v>
      </c>
      <c r="AG8" s="247">
        <f t="shared" si="10"/>
        <v>0</v>
      </c>
      <c r="AH8" s="247">
        <f t="shared" si="11"/>
        <v>12.980150581793293</v>
      </c>
      <c r="AI8" s="248">
        <f>IF($T8=$AI$3,INDEX('Tables - Part 2'!$AX$6:$BA$13,MATCH(Ext_SCC_Chloride!X8,'Tables - Part 2'!$AV$6:$AV$13,0),MATCH(Ext_SCC_Chloride!U8,'Tables - Part 2'!$AX$5:$BA$5,0)),0)</f>
        <v>0</v>
      </c>
      <c r="AJ8" s="248">
        <f>IF($T8=$AJ$3,(INDEX('Tables - Part 2'!$AX$6:$BA$13,MATCH(Ext_SCC_Chloride!X8,'Tables - Part 2'!$AV$6:$AV$13,0),MATCH(Ext_SCC_Chloride!U8,'Tables - Part 2'!$AX$5:$BA$5,0))+(INDEX('Tables - Part 2'!$AX$6:$BA$13,MATCH(Ext_SCC_Chloride!X8,'Tables - Part 2'!$AV$6:$AV$13,0),MATCH(Ext_SCC_Chloride!U8,'Tables - Part 2'!$AX$5:$BA$5,0))+((INDEX('Tables - Part 2'!$AX$6:$BA$13,MATCH(Ext_SCC_Chloride!X8,'Tables - Part 2'!$AV$6:$AV$13,0),MATCH(Ext_SCC_Chloride!U8,'Tables - Part 2'!$AX$5:$BA$5,0))+INDEX('Tables - Part 2'!$BB$6:$BE$13,MATCH(Ext_SCC_Chloride!$X8,'Tables - Part 2'!$AV$6:$AV$13,0),MATCH(Ext_SCC_Chloride!$U8,'Tables - Part 2'!$AX$5:$BA$5,0)))/2))/2)/2,0)</f>
        <v>0</v>
      </c>
      <c r="AK8" s="248">
        <f>IF($T8=$AK$3,(INDEX('Tables - Part 2'!$AX$6:$BA$13,MATCH(Ext_SCC_Chloride!X8,'Tables - Part 2'!$AV$6:$AV$13,0),MATCH(Ext_SCC_Chloride!U8,'Tables - Part 2'!$AX$5:$BA$5,0))+((INDEX('Tables - Part 2'!$AX$6:$BA$13,MATCH(Ext_SCC_Chloride!X8,'Tables - Part 2'!$AV$6:$AV$13,0),MATCH(Ext_SCC_Chloride!U8,'Tables - Part 2'!$AX$5:$BA$5,0))+INDEX('Tables - Part 2'!$BB$6:$BE$13,MATCH(Ext_SCC_Chloride!$X8,'Tables - Part 2'!$AV$6:$AV$13,0),MATCH(Ext_SCC_Chloride!$U8,'Tables - Part 2'!$AX$5:$BA$5,0)))/2))/2,0)</f>
        <v>0</v>
      </c>
      <c r="AL8" s="248">
        <f>IF($T8=$AL$3,(((INDEX('Tables - Part 2'!$AX$6:$BA$13,MATCH(Ext_SCC_Chloride!X8,'Tables - Part 2'!$AV$6:$AV$13,0),MATCH(Ext_SCC_Chloride!U8,'Tables - Part 2'!$AX$5:$BA$5,0))+((INDEX('Tables - Part 2'!$AX$6:$BA$13,MATCH(Ext_SCC_Chloride!X8,'Tables - Part 2'!$AV$6:$AV$13,0),MATCH(Ext_SCC_Chloride!U8,'Tables - Part 2'!$AX$5:$BA$5,0))+INDEX('Tables - Part 2'!$BB$6:$BE$13,MATCH(Ext_SCC_Chloride!$X8,'Tables - Part 2'!$AV$6:$AV$13,0),MATCH(Ext_SCC_Chloride!$U8,'Tables - Part 2'!$AX$5:$BA$5,0)))/2))/2)+(INDEX('Tables - Part 2'!$AX$6:$BA$13,MATCH(Ext_SCC_Chloride!X8,'Tables - Part 2'!$AV$6:$AV$13,0),MATCH(Ext_SCC_Chloride!U8,'Tables - Part 2'!$AX$5:$BA$5,0))+INDEX('Tables - Part 2'!$BB$6:$BE$13,MATCH(Ext_SCC_Chloride!$X8,'Tables - Part 2'!$AV$6:$AV$13,0),MATCH(Ext_SCC_Chloride!$U8,'Tables - Part 2'!$AX$5:$BA$5,0)))/2)/2,0)</f>
        <v>0</v>
      </c>
      <c r="AM8" s="248">
        <f>IF($T8=$AM$3,(INDEX('Tables - Part 2'!$AX$6:$BA$13,MATCH(Ext_SCC_Chloride!X8,'Tables - Part 2'!$AV$6:$AV$13,0),MATCH(Ext_SCC_Chloride!U8,'Tables - Part 2'!$AX$5:$BA$5,0))+INDEX('Tables - Part 2'!$BB$6:$BE$13,MATCH(Ext_SCC_Chloride!$X8,'Tables - Part 2'!$AV$6:$AV$13,0),MATCH(Ext_SCC_Chloride!$U8,'Tables - Part 2'!$AX$5:$BA$5,0)))/2,0)</f>
        <v>0</v>
      </c>
      <c r="AN8" s="248">
        <f>IF($T8=$AN$3,(((INDEX('Tables - Part 2'!$AX$6:$BA$13,MATCH(Ext_SCC_Chloride!X8,'Tables - Part 2'!$AV$6:$AV$13,0),MATCH(Ext_SCC_Chloride!U8,'Tables - Part 2'!$AX$5:$BA$5,0))+INDEX('Tables - Part 2'!$BB$6:$BE$13,MATCH(Ext_SCC_Chloride!$X8,'Tables - Part 2'!$AV$6:$AV$13,0),MATCH(Ext_SCC_Chloride!$U8,'Tables - Part 2'!$AX$5:$BA$5,0)))/2)+(((INDEX('Tables - Part 2'!$AX$6:$BA$13,MATCH(Ext_SCC_Chloride!X8,'Tables - Part 2'!$AV$6:$AV$13,0),MATCH(Ext_SCC_Chloride!U8,'Tables - Part 2'!$AX$5:$BA$5,0))+INDEX('Tables - Part 2'!$BB$6:$BE$13,MATCH(Ext_SCC_Chloride!$X8,'Tables - Part 2'!$AV$6:$AV$13,0),MATCH(Ext_SCC_Chloride!$U8,'Tables - Part 2'!$AX$5:$BA$5,0)))/2)+INDEX('Tables - Part 2'!$BB$6:$BE$13,MATCH(Ext_SCC_Chloride!$X8,'Tables - Part 2'!$AV$6:$AV$13,0),MATCH(Ext_SCC_Chloride!$U8,'Tables - Part 2'!$AX$5:$BA$5,0)))/2)/2,0)</f>
        <v>0</v>
      </c>
      <c r="AO8" s="248">
        <f>IF($T8=$AO$3,(((INDEX('Tables - Part 2'!$AX$6:$BA$13,MATCH(Ext_SCC_Chloride!X8,'Tables - Part 2'!$AV$6:$AV$13,0),MATCH(Ext_SCC_Chloride!U8,'Tables - Part 2'!$AX$5:$BA$5,0))+INDEX('Tables - Part 2'!$BB$6:$BE$13,MATCH(Ext_SCC_Chloride!$X8,'Tables - Part 2'!$AV$6:$AV$13,0),MATCH(Ext_SCC_Chloride!$U8,'Tables - Part 2'!$AX$5:$BA$5,0)))/2)+INDEX('Tables - Part 2'!$BB$6:$BE$13,MATCH(Ext_SCC_Chloride!$X8,'Tables - Part 2'!$AV$6:$AV$13,0),MATCH(Ext_SCC_Chloride!$U8,'Tables - Part 2'!$AX$5:$BA$5,0)))/2,0)</f>
        <v>0</v>
      </c>
      <c r="AP8" s="248">
        <f>IF($T8=$AP$3,(((((INDEX('Tables - Part 2'!$AX$6:$BA$13,MATCH(Ext_SCC_Chloride!X8,'Tables - Part 2'!$AV$6:$AV$13,0),MATCH(Ext_SCC_Chloride!U8,'Tables - Part 2'!$AX$5:$BA$5,0))+INDEX('Tables - Part 2'!$BB$6:$BE$13,MATCH(Ext_SCC_Chloride!$X8,'Tables - Part 2'!$AV$6:$AV$13,0),MATCH(Ext_SCC_Chloride!$U8,'Tables - Part 2'!$AX$5:$BA$5,0)))/2)+INDEX('Tables - Part 2'!$BB$6:$BE$13,MATCH(Ext_SCC_Chloride!$X8,'Tables - Part 2'!$AV$6:$AV$13,0),MATCH(Ext_SCC_Chloride!$U8,'Tables - Part 2'!$AX$5:$BA$5,0)))/2)+INDEX('Tables - Part 2'!$BB$6:$BE$13,MATCH(Ext_SCC_Chloride!$X8,'Tables - Part 2'!$AV$6:$AV$13,0),MATCH(Ext_SCC_Chloride!$U8,'Tables - Part 2'!$AX$5:$BA$5,0)))/2,0)</f>
        <v>0</v>
      </c>
      <c r="AQ8" s="248">
        <f>IF($T8=$AQ$3,INDEX('Tables - Part 2'!$BB$6:$BE$13,MATCH(Ext_SCC_Chloride!$X8,'Tables - Part 2'!$AV$6:$AV$13,0),MATCH(Ext_SCC_Chloride!$U8,'Tables - Part 2'!$AX$5:$BA$5,0)),0)</f>
        <v>0</v>
      </c>
      <c r="AR8" s="248">
        <f>IF($T8=$AR$3,((INDEX('Tables - Part 2'!$BB$6:$BE$13,MATCH(Ext_SCC_Chloride!$X8,'Tables - Part 2'!$AV$6:$AV$13,0),MATCH(Ext_SCC_Chloride!$U8,'Tables - Part 2'!$AX$5:$BA$5,0)))+(INDEX('Tables - Part 2'!$BB$6:$BE$13,MATCH(Ext_SCC_Chloride!$X8,'Tables - Part 2'!$AV$6:$AV$13,0),MATCH(Ext_SCC_Chloride!$U8,'Tables - Part 2'!$AX$5:$BA$5,0))+(INDEX('Tables - Part 2'!$BB$6:$BE$13,MATCH(Ext_SCC_Chloride!$X8,'Tables - Part 2'!$AV$6:$AV$13,0),MATCH(Ext_SCC_Chloride!$U8,'Tables - Part 2'!$AX$5:$BA$5,0))+INDEX('Tables - Part 2'!$BF$6:$BI$13,MATCH(Ext_SCC_Chloride!$X8,'Tables - Part 2'!$AV$6:$AV$13,0),MATCH(Ext_SCC_Chloride!$U8,'Tables - Part 2'!$AX$5:$BA$5,0)))/2)/2)/2,0)</f>
        <v>0</v>
      </c>
      <c r="AS8" s="248">
        <f>IF($T8=$AS$3,(INDEX('Tables - Part 2'!$BB$6:$BE$13,MATCH(Ext_SCC_Chloride!$X8,'Tables - Part 2'!$AV$6:$AV$13,0),MATCH(Ext_SCC_Chloride!$U8,'Tables - Part 2'!$AX$5:$BA$5,0))+(INDEX('Tables - Part 2'!$BB$6:$BE$13,MATCH(Ext_SCC_Chloride!$X8,'Tables - Part 2'!$AV$6:$AV$13,0),MATCH(Ext_SCC_Chloride!$U8,'Tables - Part 2'!$AX$5:$BA$5,0))+INDEX('Tables - Part 2'!$BF$6:$BI$13,MATCH(Ext_SCC_Chloride!$X8,'Tables - Part 2'!$AV$6:$AV$13,0),MATCH(Ext_SCC_Chloride!$U8,'Tables - Part 2'!$AX$5:$BA$5,0)))/2)/2,0)</f>
        <v>0</v>
      </c>
      <c r="AT8" s="248">
        <f>IF($T8=$AT$3,(((INDEX('Tables - Part 2'!$BB$6:$BE$13,MATCH(Ext_SCC_Chloride!$X8,'Tables - Part 2'!$AV$6:$AV$13,0),MATCH(Ext_SCC_Chloride!$U8,'Tables - Part 2'!$AX$5:$BA$5,0))+(INDEX('Tables - Part 2'!$BB$6:$BE$13,MATCH(Ext_SCC_Chloride!$X8,'Tables - Part 2'!$AV$6:$AV$13,0),MATCH(Ext_SCC_Chloride!$U8,'Tables - Part 2'!$AX$5:$BA$5,0))+INDEX('Tables - Part 2'!$BF$6:$BI$13,MATCH(Ext_SCC_Chloride!$X8,'Tables - Part 2'!$AV$6:$AV$13,0),MATCH(Ext_SCC_Chloride!$U8,'Tables - Part 2'!$AX$5:$BA$5,0)))/2)/2)+((INDEX('Tables - Part 2'!$BB$6:$BE$13,MATCH(Ext_SCC_Chloride!$X8,'Tables - Part 2'!$AV$6:$AV$13,0),MATCH(Ext_SCC_Chloride!$U8,'Tables - Part 2'!$AX$5:$BA$5,0))+INDEX('Tables - Part 2'!$BF$6:$BI$13,MATCH(Ext_SCC_Chloride!$X8,'Tables - Part 2'!$AV$6:$AV$13,0),MATCH(Ext_SCC_Chloride!$U8,'Tables - Part 2'!$AX$5:$BA$5,0)))/2))/2,0)</f>
        <v>0</v>
      </c>
      <c r="AU8" s="248">
        <f>IF($T8=$AU$3,(INDEX('Tables - Part 2'!$BB$6:$BE$13,MATCH(Ext_SCC_Chloride!$X8,'Tables - Part 2'!$AV$6:$AV$13,0),MATCH(Ext_SCC_Chloride!$U8,'Tables - Part 2'!$AX$5:$BA$5,0))+INDEX('Tables - Part 2'!$BF$6:$BI$13,MATCH(Ext_SCC_Chloride!$X8,'Tables - Part 2'!$AV$6:$AV$13,0),MATCH(Ext_SCC_Chloride!$U8,'Tables - Part 2'!$AX$5:$BA$5,0)))/2,0)</f>
        <v>0</v>
      </c>
      <c r="AV8" s="248">
        <f>IF($T8=$AV$3,(((INDEX('Tables - Part 2'!$BB$6:$BE$13,MATCH(Ext_SCC_Chloride!$X8,'Tables - Part 2'!$AV$6:$AV$13,0),MATCH(Ext_SCC_Chloride!$U8,'Tables - Part 2'!$AX$5:$BA$5,0))+INDEX('Tables - Part 2'!$BF$6:$BI$13,MATCH(Ext_SCC_Chloride!$X8,'Tables - Part 2'!$AV$6:$AV$13,0),MATCH(Ext_SCC_Chloride!$U8,'Tables - Part 2'!$AX$5:$BA$5,0)))/2)+((((INDEX('Tables - Part 2'!$BB$6:$BE$13,MATCH(Ext_SCC_Chloride!$X8,'Tables - Part 2'!$AV$6:$AV$13,0),MATCH(Ext_SCC_Chloride!$U8,'Tables - Part 2'!$AX$5:$BA$5,0))+INDEX('Tables - Part 2'!$BF$6:$BI$13,MATCH(Ext_SCC_Chloride!$X8,'Tables - Part 2'!$AV$6:$AV$13,0),MATCH(Ext_SCC_Chloride!$U8,'Tables - Part 2'!$AX$5:$BA$5,0)))/2)+INDEX('Tables - Part 2'!$BF$6:$BI$13,MATCH(Ext_SCC_Chloride!$X8,'Tables - Part 2'!$AV$6:$AV$13,0),MATCH(Ext_SCC_Chloride!$U8,'Tables - Part 2'!$AX$5:$BA$5,0)))/2))/2,0)</f>
        <v>0</v>
      </c>
      <c r="AW8" s="248">
        <f>IF($T8=$AW$3,(((INDEX('Tables - Part 2'!$BB$6:$BE$13,MATCH(Ext_SCC_Chloride!$X8,'Tables - Part 2'!$AV$6:$AV$13,0),MATCH(Ext_SCC_Chloride!$U8,'Tables - Part 2'!$AX$5:$BA$5,0))+INDEX('Tables - Part 2'!$BF$6:$BI$13,MATCH(Ext_SCC_Chloride!$X8,'Tables - Part 2'!$AV$6:$AV$13,0),MATCH(Ext_SCC_Chloride!$U8,'Tables - Part 2'!$AX$5:$BA$5,0)))/2)+INDEX('Tables - Part 2'!$BF$6:$BI$13,MATCH(Ext_SCC_Chloride!$X8,'Tables - Part 2'!$AV$6:$AV$13,0),MATCH(Ext_SCC_Chloride!$U8,'Tables - Part 2'!$AX$5:$BA$5,0)))/2,0)</f>
        <v>0</v>
      </c>
      <c r="AX8" s="248">
        <f>IF($T8=$AX$3,(((((INDEX('Tables - Part 2'!$BB$6:$BE$13,MATCH(Ext_SCC_Chloride!$X8,'Tables - Part 2'!$AV$6:$AV$13,0),MATCH(Ext_SCC_Chloride!$U8,'Tables - Part 2'!$AX$5:$BA$5,0))+INDEX('Tables - Part 2'!$BF$6:$BI$13,MATCH(Ext_SCC_Chloride!$X8,'Tables - Part 2'!$AV$6:$AV$13,0),MATCH(Ext_SCC_Chloride!$U8,'Tables - Part 2'!$AX$5:$BA$5,0)))/2)+INDEX('Tables - Part 2'!$BF$6:$BI$13,MATCH(Ext_SCC_Chloride!$X8,'Tables - Part 2'!$AV$6:$AV$13,0),MATCH(Ext_SCC_Chloride!$U8,'Tables - Part 2'!$AX$5:$BA$5,0)))/2)+INDEX('Tables - Part 2'!$BF$6:$BI$13,MATCH(Ext_SCC_Chloride!$X8,'Tables - Part 2'!$AV$6:$AV$13,0),MATCH(Ext_SCC_Chloride!$U8,'Tables - Part 2'!$AX$5:$BA$5,0)))/2,0)</f>
        <v>0</v>
      </c>
      <c r="AY8" s="248">
        <f>IF($T8=$AY$3,INDEX('Tables - Part 2'!$BF$6:$BI$13,MATCH(Ext_SCC_Chloride!$X8,'Tables - Part 2'!$AV$6:$AV$13,0),MATCH(Ext_SCC_Chloride!$U8,'Tables - Part 2'!$AX$5:$BA$5,0)),0)</f>
        <v>0</v>
      </c>
      <c r="AZ8" s="248">
        <f>IF($T8=$AZ$3,(INDEX('Tables - Part 2'!$BF$6:$BI$13,MATCH(Ext_SCC_Chloride!$X8,'Tables - Part 2'!$AV$6:$AV$13,0),MATCH(Ext_SCC_Chloride!$U8,'Tables - Part 2'!$AX$5:$BA$5,0))+((INDEX('Tables - Part 2'!$BF$6:$BI$13,MATCH(Ext_SCC_Chloride!$X8,'Tables - Part 2'!$AV$6:$AV$13,0),MATCH(Ext_SCC_Chloride!$U8,'Tables - Part 2'!$AX$5:$BA$5,0))+(INDEX('Tables - Part 2'!$BF$6:$BI$13,MATCH(Ext_SCC_Chloride!$X8,'Tables - Part 2'!$AV$6:$AV$13,0),MATCH(Ext_SCC_Chloride!$U8,'Tables - Part 2'!$AX$5:$BA$5,0))+INDEX('Tables - Part 2'!$AX$17:$BA$24,MATCH(Ext_SCC_Chloride!$X8,'Tables - Part 2'!$AV$6:$AV$13,0),MATCH(Ext_SCC_Chloride!$U8,'Tables - Part 2'!$AX$5:$BA$5,0)))/2)/2))/2,0)</f>
        <v>0</v>
      </c>
      <c r="BA8" s="248">
        <f>IF($T8=$BA$3,(INDEX('Tables - Part 2'!$BF$6:$BI$13,MATCH(Ext_SCC_Chloride!$X8,'Tables - Part 2'!$AV$6:$AV$13,0),MATCH(Ext_SCC_Chloride!$U8,'Tables - Part 2'!$AX$5:$BA$5,0))+(INDEX('Tables - Part 2'!$BF$6:$BI$13,MATCH(Ext_SCC_Chloride!$X8,'Tables - Part 2'!$AV$6:$AV$13,0),MATCH(Ext_SCC_Chloride!$U8,'Tables - Part 2'!$AX$5:$BA$5,0))+INDEX('Tables - Part 2'!$AX$17:$BA$24,MATCH(Ext_SCC_Chloride!$X8,'Tables - Part 2'!$AV$6:$AV$13,0),MATCH(Ext_SCC_Chloride!$U8,'Tables - Part 2'!$AX$5:$BA$5,0)))/2)/2,0)</f>
        <v>0</v>
      </c>
      <c r="BB8" s="248">
        <f>IF($T8=$BB$3,(((INDEX('Tables - Part 2'!$BF$6:$BI$13,MATCH(Ext_SCC_Chloride!$X8,'Tables - Part 2'!$AV$6:$AV$13,0),MATCH(Ext_SCC_Chloride!$U8,'Tables - Part 2'!$AX$5:$BA$5,0))+(INDEX('Tables - Part 2'!$BF$6:$BI$13,MATCH(Ext_SCC_Chloride!$X8,'Tables - Part 2'!$AV$6:$AV$13,0),MATCH(Ext_SCC_Chloride!$U8,'Tables - Part 2'!$AX$5:$BA$5,0))+INDEX('Tables - Part 2'!$AX$17:$BA$24,MATCH(Ext_SCC_Chloride!$X8,'Tables - Part 2'!$AV$6:$AV$13,0),MATCH(Ext_SCC_Chloride!$U8,'Tables - Part 2'!$AX$5:$BA$5,0)))/2)/2)+((INDEX('Tables - Part 2'!$BF$6:$BI$13,MATCH(Ext_SCC_Chloride!$X8,'Tables - Part 2'!$AV$6:$AV$13,0),MATCH(Ext_SCC_Chloride!$U8,'Tables - Part 2'!$AX$5:$BA$5,0))+INDEX('Tables - Part 2'!$AX$17:$BA$24,MATCH(Ext_SCC_Chloride!$X8,'Tables - Part 2'!$AV$6:$AV$13,0),MATCH(Ext_SCC_Chloride!$U8,'Tables - Part 2'!$AX$5:$BA$5,0)))/2))/2,0)</f>
        <v>0</v>
      </c>
      <c r="BC8" s="248">
        <f>IF($T8=$BC$3,(INDEX('Tables - Part 2'!$BF$6:$BI$13,MATCH(Ext_SCC_Chloride!$X8,'Tables - Part 2'!$AV$6:$AV$13,0),MATCH(Ext_SCC_Chloride!$U8,'Tables - Part 2'!$AX$5:$BA$5,0))+INDEX('Tables - Part 2'!$AX$17:$BA$24,MATCH(Ext_SCC_Chloride!$X8,'Tables - Part 2'!$AV$6:$AV$13,0),MATCH(Ext_SCC_Chloride!$U8,'Tables - Part 2'!$AX$5:$BA$5,0)))/2,0)</f>
        <v>0</v>
      </c>
      <c r="BD8" s="248">
        <f>IF($T8=$BD$3,(((INDEX('Tables - Part 2'!$BF$6:$BI$13,MATCH(Ext_SCC_Chloride!$X8,'Tables - Part 2'!$AV$6:$AV$13,0),MATCH(Ext_SCC_Chloride!$U8,'Tables - Part 2'!$AX$5:$BA$5,0))+INDEX('Tables - Part 2'!$AX$17:$BA$24,MATCH(Ext_SCC_Chloride!$X8,'Tables - Part 2'!$AV$6:$AV$13,0),MATCH(Ext_SCC_Chloride!$U8,'Tables - Part 2'!$AX$5:$BA$5,0)))/2)+((((INDEX('Tables - Part 2'!$BF$6:$BI$13,MATCH(Ext_SCC_Chloride!$X8,'Tables - Part 2'!$AV$6:$AV$13,0),MATCH(Ext_SCC_Chloride!$U8,'Tables - Part 2'!$AX$5:$BA$5,0))+INDEX('Tables - Part 2'!$AX$17:$BA$24,MATCH(Ext_SCC_Chloride!$X8,'Tables - Part 2'!$AV$6:$AV$13,0),MATCH(Ext_SCC_Chloride!$U8,'Tables - Part 2'!$AX$5:$BA$5,0)))/2)+INDEX('Tables - Part 2'!$AX$17:$BA$24,MATCH(Ext_SCC_Chloride!$X8,'Tables - Part 2'!$AV$6:$AV$13,0),MATCH(Ext_SCC_Chloride!$U8,'Tables - Part 2'!$AX$5:$BA$5,0)))/2))/2,0)</f>
        <v>0</v>
      </c>
      <c r="BE8" s="248">
        <f>IF($T8=$BE$3,(((INDEX('Tables - Part 2'!$BF$6:$BI$13,MATCH(Ext_SCC_Chloride!$X8,'Tables - Part 2'!$AV$6:$AV$13,0),MATCH(Ext_SCC_Chloride!$U8,'Tables - Part 2'!$AX$5:$BA$5,0))+INDEX('Tables - Part 2'!$AX$17:$BA$24,MATCH(Ext_SCC_Chloride!$X8,'Tables - Part 2'!$AV$6:$AV$13,0),MATCH(Ext_SCC_Chloride!$U8,'Tables - Part 2'!$AX$5:$BA$5,0)))/2)+INDEX('Tables - Part 2'!$AX$17:$BA$24,MATCH(Ext_SCC_Chloride!$X8,'Tables - Part 2'!$AV$6:$AV$13,0),MATCH(Ext_SCC_Chloride!$U8,'Tables - Part 2'!$AX$5:$BA$5,0)))/2,0)</f>
        <v>0</v>
      </c>
      <c r="BF8" s="248">
        <f>IF($T8=$BF$3,(((((INDEX('Tables - Part 2'!$BF$6:$BI$13,MATCH(Ext_SCC_Chloride!$X8,'Tables - Part 2'!$AV$6:$AV$13,0),MATCH(Ext_SCC_Chloride!$U8,'Tables - Part 2'!$AX$5:$BA$5,0))+INDEX('Tables - Part 2'!$AX$17:$BA$24,MATCH(Ext_SCC_Chloride!$X8,'Tables - Part 2'!$AV$6:$AV$13,0),MATCH(Ext_SCC_Chloride!$U8,'Tables - Part 2'!$AX$5:$BA$5,0)))/2)+INDEX('Tables - Part 2'!$AX$17:$BA$24,MATCH(Ext_SCC_Chloride!$X8,'Tables - Part 2'!$AV$6:$AV$13,0),MATCH(Ext_SCC_Chloride!$U8,'Tables - Part 2'!$AX$5:$BA$5,0)))/2)+(INDEX('Tables - Part 2'!$AX$17:$BA$24,MATCH(Ext_SCC_Chloride!$X8,'Tables - Part 2'!$AV$6:$AV$13,0),MATCH(Ext_SCC_Chloride!$U8,'Tables - Part 2'!$AX$5:$BA$5,0))))/2,0)</f>
        <v>0</v>
      </c>
      <c r="BG8" s="248">
        <f>IF($T8=$BG$3,INDEX('Tables - Part 2'!$AX$17:$BA$24,MATCH(Ext_SCC_Chloride!$X8,'Tables - Part 2'!$AV$6:$AV$13,0),MATCH(Ext_SCC_Chloride!$U8,'Tables - Part 2'!$AX$5:$BA$5,0)),0)</f>
        <v>0</v>
      </c>
      <c r="BH8" s="248">
        <f>IF($T8=$BH$3,((INDEX('Tables - Part 2'!$AX$17:$BA$24,MATCH(Ext_SCC_Chloride!$X8,'Tables - Part 2'!$AV$6:$AV$13,0),MATCH(Ext_SCC_Chloride!$U8,'Tables - Part 2'!$AX$5:$BA$5,0)))+(((INDEX('Tables - Part 2'!$AX$17:$BA$24,MATCH(Ext_SCC_Chloride!$X8,'Tables - Part 2'!$AV$6:$AV$13,0),MATCH(Ext_SCC_Chloride!$U8,'Tables - Part 2'!$AX$5:$BA$5,0)))+(INDEX('Tables - Part 2'!$AX$17:$BA$24,MATCH(Ext_SCC_Chloride!$X8,'Tables - Part 2'!$AV$6:$AV$13,0),MATCH(Ext_SCC_Chloride!$U8,'Tables - Part 2'!$AX$5:$BA$5,0))+INDEX('Tables - Part 2'!$BB$17:$BE$24,MATCH(Ext_SCC_Chloride!$X8,'Tables - Part 2'!$AV$6:$AV$13,0),MATCH(Ext_SCC_Chloride!$U8,'Tables - Part 2'!$AX$5:$BA$5,0)))/2)/2))/2,0)</f>
        <v>0</v>
      </c>
      <c r="BI8" s="248">
        <f>IF($T8=$BI$3,((INDEX('Tables - Part 2'!$AX$17:$BA$24,MATCH(Ext_SCC_Chloride!$X8,'Tables - Part 2'!$AV$6:$AV$13,0),MATCH(Ext_SCC_Chloride!$U8,'Tables - Part 2'!$AX$5:$BA$5,0)))+(INDEX('Tables - Part 2'!$AX$17:$BA$24,MATCH(Ext_SCC_Chloride!$X8,'Tables - Part 2'!$AV$6:$AV$13,0),MATCH(Ext_SCC_Chloride!$U8,'Tables - Part 2'!$AX$5:$BA$5,0))+INDEX('Tables - Part 2'!$BB$17:$BE$24,MATCH(Ext_SCC_Chloride!$X8,'Tables - Part 2'!$AV$6:$AV$13,0),MATCH(Ext_SCC_Chloride!$U8,'Tables - Part 2'!$AX$5:$BA$5,0)))/2)/2,0)</f>
        <v>0</v>
      </c>
      <c r="BJ8" s="248">
        <f>IF($T8=$BJ$3,((((INDEX('Tables - Part 2'!$AX$17:$BA$24,MATCH(Ext_SCC_Chloride!$X8,'Tables - Part 2'!$AV$6:$AV$13,0),MATCH(Ext_SCC_Chloride!$U8,'Tables - Part 2'!$AX$5:$BA$5,0)))+(INDEX('Tables - Part 2'!$AX$17:$BA$24,MATCH(Ext_SCC_Chloride!$X8,'Tables - Part 2'!$AV$6:$AV$13,0),MATCH(Ext_SCC_Chloride!$U8,'Tables - Part 2'!$AX$5:$BA$5,0))+INDEX('Tables - Part 2'!$BB$17:$BE$24,MATCH(Ext_SCC_Chloride!$X8,'Tables - Part 2'!$AV$6:$AV$13,0),MATCH(Ext_SCC_Chloride!$U8,'Tables - Part 2'!$AX$5:$BA$5,0)))/2)/2)+((INDEX('Tables - Part 2'!$AX$17:$BA$24,MATCH(Ext_SCC_Chloride!$X8,'Tables - Part 2'!$AV$6:$AV$13,0),MATCH(Ext_SCC_Chloride!$U8,'Tables - Part 2'!$AX$5:$BA$5,0))+INDEX('Tables - Part 2'!$BB$17:$BE$24,MATCH(Ext_SCC_Chloride!$X8,'Tables - Part 2'!$AV$6:$AV$13,0),MATCH(Ext_SCC_Chloride!$U8,'Tables - Part 2'!$AX$5:$BA$5,0)))/2))/2,0)</f>
        <v>0</v>
      </c>
      <c r="BK8" s="248">
        <f>IF($T8=$BK$3,(INDEX('Tables - Part 2'!$AX$17:$BA$24,MATCH(Ext_SCC_Chloride!$X8,'Tables - Part 2'!$AV$6:$AV$13,0),MATCH(Ext_SCC_Chloride!$U8,'Tables - Part 2'!$AX$5:$BA$5,0))+INDEX('Tables - Part 2'!$BB$17:$BE$24,MATCH(Ext_SCC_Chloride!$X8,'Tables - Part 2'!$AV$6:$AV$13,0),MATCH(Ext_SCC_Chloride!$U8,'Tables - Part 2'!$AX$5:$BA$5,0)))/2,0)</f>
        <v>0</v>
      </c>
      <c r="BL8" s="248">
        <f>IF($T8=$BL$3,(((INDEX('Tables - Part 2'!$AX$17:$BA$24,MATCH(Ext_SCC_Chloride!$X8,'Tables - Part 2'!$AV$6:$AV$13,0),MATCH(Ext_SCC_Chloride!$U8,'Tables - Part 2'!$AX$5:$BA$5,0))+INDEX('Tables - Part 2'!$BB$17:$BE$24,MATCH(Ext_SCC_Chloride!$X8,'Tables - Part 2'!$AV$6:$AV$13,0),MATCH(Ext_SCC_Chloride!$U8,'Tables - Part 2'!$AX$5:$BA$5,0)))/2)+((((INDEX('Tables - Part 2'!$AX$17:$BA$24,MATCH(Ext_SCC_Chloride!$X8,'Tables - Part 2'!$AV$6:$AV$13,0),MATCH(Ext_SCC_Chloride!$U8,'Tables - Part 2'!$AX$5:$BA$5,0))+INDEX('Tables - Part 2'!$BB$17:$BE$24,MATCH(Ext_SCC_Chloride!$X8,'Tables - Part 2'!$AV$6:$AV$13,0),MATCH(Ext_SCC_Chloride!$U8,'Tables - Part 2'!$AX$5:$BA$5,0)))/2)+INDEX('Tables - Part 2'!$BB$17:$BE$24,MATCH(Ext_SCC_Chloride!$X8,'Tables - Part 2'!$AV$6:$AV$13,0),MATCH(Ext_SCC_Chloride!$U8,'Tables - Part 2'!$AX$5:$BA$5,0)))/2))/2,0)</f>
        <v>0</v>
      </c>
      <c r="BM8" s="248">
        <f>IF($T8=$BM$3,(((INDEX('Tables - Part 2'!$AX$17:$BA$24,MATCH(Ext_SCC_Chloride!$X8,'Tables - Part 2'!$AV$6:$AV$13,0),MATCH(Ext_SCC_Chloride!$U8,'Tables - Part 2'!$AX$5:$BA$5,0))+INDEX('Tables - Part 2'!$BB$17:$BE$24,MATCH(Ext_SCC_Chloride!$X8,'Tables - Part 2'!$AV$6:$AV$13,0),MATCH(Ext_SCC_Chloride!$U8,'Tables - Part 2'!$AX$5:$BA$5,0)))/2)+INDEX('Tables - Part 2'!$BB$17:$BE$24,MATCH(Ext_SCC_Chloride!$X8,'Tables - Part 2'!$AV$6:$AV$13,0),MATCH(Ext_SCC_Chloride!$U8,'Tables - Part 2'!$AX$5:$BA$5,0)))/2,0)</f>
        <v>0</v>
      </c>
      <c r="BN8" s="248">
        <f>IF($T8=$BN$3,(((((INDEX('Tables - Part 2'!$AX$17:$BA$24,MATCH(Ext_SCC_Chloride!$X8,'Tables - Part 2'!$AV$6:$AV$13,0),MATCH(Ext_SCC_Chloride!$U8,'Tables - Part 2'!$AX$5:$BA$5,0))+INDEX('Tables - Part 2'!$BB$17:$BE$24,MATCH(Ext_SCC_Chloride!$X8,'Tables - Part 2'!$AV$6:$AV$13,0),MATCH(Ext_SCC_Chloride!$U8,'Tables - Part 2'!$AX$5:$BA$5,0)))/2)+INDEX('Tables - Part 2'!$BB$17:$BE$24,MATCH(Ext_SCC_Chloride!$X8,'Tables - Part 2'!$AV$6:$AV$13,0),MATCH(Ext_SCC_Chloride!$U8,'Tables - Part 2'!$AX$5:$BA$5,0)))/2)+(INDEX('Tables - Part 2'!$BB$17:$BE$24,MATCH(Ext_SCC_Chloride!$X8,'Tables - Part 2'!$AV$6:$AV$13,0),MATCH(Ext_SCC_Chloride!$U8,'Tables - Part 2'!$AX$5:$BA$5,0))))/2,0)</f>
        <v>0</v>
      </c>
      <c r="BO8" s="248">
        <f>IF($T8=$BO$3,INDEX('Tables - Part 2'!$BB$17:$BE$24,MATCH(Ext_SCC_Chloride!$X8,'Tables - Part 2'!$AV$6:$AV$13,0),MATCH(Ext_SCC_Chloride!$U8,'Tables - Part 2'!$AX$5:$BA$5,0)),0)</f>
        <v>0</v>
      </c>
      <c r="BP8" s="248">
        <f>IF($T8=$BP$3,((INDEX('Tables - Part 2'!$BB$17:$BE$24,MATCH(Ext_SCC_Chloride!$X8,'Tables - Part 2'!$AV$6:$AV$13,0),MATCH(Ext_SCC_Chloride!$U8,'Tables - Part 2'!$AX$5:$BA$5,0)))+(((INDEX('Tables - Part 2'!$BB$17:$BE$24,MATCH(Ext_SCC_Chloride!$X8,'Tables - Part 2'!$AV$6:$AV$13,0),MATCH(Ext_SCC_Chloride!$U8,'Tables - Part 2'!$AX$5:$BA$5,0)))+(INDEX('Tables - Part 2'!$BB$17:$BE$24,MATCH(Ext_SCC_Chloride!$X8,'Tables - Part 2'!$AV$6:$AV$13,0),MATCH(Ext_SCC_Chloride!$U8,'Tables - Part 2'!$AX$5:$BA$5,0))+INDEX('Tables - Part 2'!$BF$17:$BI$24,MATCH(Ext_SCC_Chloride!$X8,'Tables - Part 2'!$AV$6:$AV$13,0),MATCH(Ext_SCC_Chloride!$U8,'Tables - Part 2'!$AX$5:$BA$5,0)))/2)/2))/2,0)</f>
        <v>0</v>
      </c>
      <c r="BQ8" s="248">
        <f>IF($T8=$BQ$3,((INDEX('Tables - Part 2'!$BB$17:$BE$24,MATCH(Ext_SCC_Chloride!$X8,'Tables - Part 2'!$AV$6:$AV$13,0),MATCH(Ext_SCC_Chloride!$U8,'Tables - Part 2'!$AX$5:$BA$5,0)))+(INDEX('Tables - Part 2'!$BB$17:$BE$24,MATCH(Ext_SCC_Chloride!$X8,'Tables - Part 2'!$AV$6:$AV$13,0),MATCH(Ext_SCC_Chloride!$U8,'Tables - Part 2'!$AX$5:$BA$5,0))+INDEX('Tables - Part 2'!$BF$17:$BI$24,MATCH(Ext_SCC_Chloride!$X8,'Tables - Part 2'!$AV$6:$AV$13,0),MATCH(Ext_SCC_Chloride!$U8,'Tables - Part 2'!$AX$5:$BA$5,0)))/2)/2,0)</f>
        <v>0</v>
      </c>
      <c r="BR8" s="248">
        <f>IF($T8=$BR$3,((((INDEX('Tables - Part 2'!$BB$17:$BE$24,MATCH(Ext_SCC_Chloride!$X8,'Tables - Part 2'!$AV$6:$AV$13,0),MATCH(Ext_SCC_Chloride!$U8,'Tables - Part 2'!$AX$5:$BA$5,0)))+(INDEX('Tables - Part 2'!$BB$17:$BE$24,MATCH(Ext_SCC_Chloride!$X8,'Tables - Part 2'!$AV$6:$AV$13,0),MATCH(Ext_SCC_Chloride!$U8,'Tables - Part 2'!$AX$5:$BA$5,0))+INDEX('Tables - Part 2'!$BF$17:$BI$24,MATCH(Ext_SCC_Chloride!$X8,'Tables - Part 2'!$AV$6:$AV$13,0),MATCH(Ext_SCC_Chloride!$U8,'Tables - Part 2'!$AX$5:$BA$5,0)))/2)/2)+((INDEX('Tables - Part 2'!$BB$17:$BE$24,MATCH(Ext_SCC_Chloride!$X8,'Tables - Part 2'!$AV$6:$AV$13,0),MATCH(Ext_SCC_Chloride!$U8,'Tables - Part 2'!$AX$5:$BA$5,0))+INDEX('Tables - Part 2'!$BF$17:$BI$24,MATCH(Ext_SCC_Chloride!$X8,'Tables - Part 2'!$AV$6:$AV$13,0),MATCH(Ext_SCC_Chloride!$U8,'Tables - Part 2'!$AX$5:$BA$5,0)))/2))/2,0)</f>
        <v>0</v>
      </c>
      <c r="BS8" s="248">
        <f>IF($T8=$BS$3,(INDEX('Tables - Part 2'!$BB$17:$BE$24,MATCH(Ext_SCC_Chloride!$X8,'Tables - Part 2'!$AV$6:$AV$13,0),MATCH(Ext_SCC_Chloride!$U8,'Tables - Part 2'!$AX$5:$BA$5,0))+INDEX('Tables - Part 2'!$BF$17:$BI$24,MATCH(Ext_SCC_Chloride!$X8,'Tables - Part 2'!$AV$6:$AV$13,0),MATCH(Ext_SCC_Chloride!$U8,'Tables - Part 2'!$AX$5:$BA$5,0)))/2,0)</f>
        <v>0</v>
      </c>
      <c r="BT8" s="248">
        <f>IF($T8=$BT$3,(((INDEX('Tables - Part 2'!$BB$17:$BE$24,MATCH(Ext_SCC_Chloride!$X8,'Tables - Part 2'!$AV$6:$AV$13,0),MATCH(Ext_SCC_Chloride!$U8,'Tables - Part 2'!$AX$5:$BA$5,0))+INDEX('Tables - Part 2'!$BF$17:$BI$24,MATCH(Ext_SCC_Chloride!$X8,'Tables - Part 2'!$AV$6:$AV$13,0),MATCH(Ext_SCC_Chloride!$U8,'Tables - Part 2'!$AX$5:$BA$5,0)))/2)+((((INDEX('Tables - Part 2'!$BB$17:$BE$24,MATCH(Ext_SCC_Chloride!$X8,'Tables - Part 2'!$AV$6:$AV$13,0),MATCH(Ext_SCC_Chloride!$U8,'Tables - Part 2'!$AX$5:$BA$5,0))+INDEX('Tables - Part 2'!$BF$17:$BI$24,MATCH(Ext_SCC_Chloride!$X8,'Tables - Part 2'!$AV$6:$AV$13,0),MATCH(Ext_SCC_Chloride!$U8,'Tables - Part 2'!$AX$5:$BA$5,0)))/2)+INDEX('Tables - Part 2'!$BF$17:$BI$24,MATCH(Ext_SCC_Chloride!$X8,'Tables - Part 2'!$AV$6:$AV$13,0),MATCH(Ext_SCC_Chloride!$U8,'Tables - Part 2'!$AX$5:$BA$5,0)))/2))/2,0)</f>
        <v>0</v>
      </c>
      <c r="BU8" s="248">
        <f>IF($T8=$BU$3,(((INDEX('Tables - Part 2'!$BB$17:$BE$24,MATCH(Ext_SCC_Chloride!$X8,'Tables - Part 2'!$AV$6:$AV$13,0),MATCH(Ext_SCC_Chloride!$U8,'Tables - Part 2'!$AX$5:$BA$5,0))+INDEX('Tables - Part 2'!$BF$17:$BI$24,MATCH(Ext_SCC_Chloride!$X8,'Tables - Part 2'!$AV$6:$AV$13,0),MATCH(Ext_SCC_Chloride!$U8,'Tables - Part 2'!$AX$5:$BA$5,0)))/2)+INDEX('Tables - Part 2'!$BF$17:$BI$24,MATCH(Ext_SCC_Chloride!$X8,'Tables - Part 2'!$AV$6:$AV$13,0),MATCH(Ext_SCC_Chloride!$U8,'Tables - Part 2'!$AX$5:$BA$5,0)))/2,0)</f>
        <v>0</v>
      </c>
      <c r="BV8" s="248">
        <f>IF($T8=$BV$3,(((((INDEX('Tables - Part 2'!$BB$17:$BE$24,MATCH(Ext_SCC_Chloride!$X8,'Tables - Part 2'!$AV$6:$AV$13,0),MATCH(Ext_SCC_Chloride!$U8,'Tables - Part 2'!$AX$5:$BA$5,0))+INDEX('Tables - Part 2'!$BF$17:$BI$24,MATCH(Ext_SCC_Chloride!$X8,'Tables - Part 2'!$AV$6:$AV$13,0),MATCH(Ext_SCC_Chloride!$U8,'Tables - Part 2'!$AX$5:$BA$5,0)))/2)+INDEX('Tables - Part 2'!$BF$17:$BI$24,MATCH(Ext_SCC_Chloride!$X8,'Tables - Part 2'!$AV$6:$AV$13,0),MATCH(Ext_SCC_Chloride!$U8,'Tables - Part 2'!$AX$5:$BA$5,0)))/2)+(INDEX('Tables - Part 2'!$BF$17:$BI$24,MATCH(Ext_SCC_Chloride!$X8,'Tables - Part 2'!$AV$6:$AV$13,0),MATCH(Ext_SCC_Chloride!$U8,'Tables - Part 2'!$AX$5:$BA$5,0))))/2,0)</f>
        <v>0</v>
      </c>
      <c r="BW8" s="248">
        <f>IF($T8=$BW$3,INDEX('Tables - Part 2'!$BF$17:$BI$24,MATCH(Ext_SCC_Chloride!$X8,'Tables - Part 2'!$AV$6:$AV$13,0),MATCH(Ext_SCC_Chloride!$U8,'Tables - Part 2'!$AX$5:$BA$5,0)),0)</f>
        <v>0</v>
      </c>
      <c r="BX8" s="248">
        <f t="shared" si="5"/>
        <v>0</v>
      </c>
      <c r="BY8" s="238">
        <f t="shared" si="12"/>
        <v>0</v>
      </c>
      <c r="BZ8" s="238">
        <f t="shared" si="13"/>
        <v>0</v>
      </c>
    </row>
    <row r="9" spans="2:87" x14ac:dyDescent="0.35">
      <c r="B9" s="161" t="str">
        <f>'Tratamento de Dados'!B17</f>
        <v>V-14</v>
      </c>
      <c r="C9" s="161" t="str">
        <f>'Tratamento de Dados'!D17</f>
        <v>Casco</v>
      </c>
      <c r="D9" s="209" t="s">
        <v>245</v>
      </c>
      <c r="E9" s="209" t="s">
        <v>61</v>
      </c>
      <c r="F9" s="247">
        <f>'Tratamento de Dados'!S17</f>
        <v>2</v>
      </c>
      <c r="G9" s="209" t="s">
        <v>953</v>
      </c>
      <c r="H9" s="210">
        <v>35234</v>
      </c>
      <c r="I9" s="210">
        <v>43983</v>
      </c>
      <c r="J9" s="210">
        <v>39092</v>
      </c>
      <c r="K9" s="210">
        <f>'Tratamento de Dados'!CC17</f>
        <v>0</v>
      </c>
      <c r="L9" s="209">
        <f>'Tratamento de Dados'!CD17</f>
        <v>0</v>
      </c>
      <c r="M9" s="209" t="s">
        <v>905</v>
      </c>
      <c r="N9" s="209">
        <v>0</v>
      </c>
      <c r="O9" s="209">
        <v>1</v>
      </c>
      <c r="P9" s="209">
        <v>1</v>
      </c>
      <c r="Q9" s="209">
        <v>4</v>
      </c>
      <c r="R9" s="253">
        <f>'Tratamento de Dados'!DA17</f>
        <v>0</v>
      </c>
      <c r="S9" s="253">
        <f>'Tratamento de Dados'!DB17</f>
        <v>0</v>
      </c>
      <c r="T9" s="256">
        <f t="shared" si="0"/>
        <v>2.5</v>
      </c>
      <c r="U9" s="246" t="str">
        <f t="shared" si="1"/>
        <v>B</v>
      </c>
      <c r="V9" s="246" t="str">
        <f>IF(F9&lt;49,'Tables - Part 2'!$FH$5,IF(F9&lt;=93,'Tables - Part 2'!$FH$6,IF(F9&lt;=149,'Tables - Part 2'!$FH$7,'Tables - Part 2'!$FH$8)))</f>
        <v>&lt;49</v>
      </c>
      <c r="W9" s="467" t="str">
        <f>IF(D9=$CE$2,$CC$5,INDEX('Tables - Part 2'!$FI$5:$FL$8,MATCH(Ext_SCC_Chloride!V9,'Tables - Part 2'!$FH$5:$FH$8,0),MATCH(Ext_SCC_Chloride!M9,'Tables - Part 2'!$FI$4:$FL$4,0)))</f>
        <v>None</v>
      </c>
      <c r="X9" s="238">
        <f>IF(AND(D9=$CE$2,E9&lt;&gt;$CE$2),"Fitness-For-Service",INDEX('Tables - Part 2'!$FO$4:$FO$7,MATCH(Ext_SCC_Chloride!W9,'Tables - Part 2'!$FN$4:$FN$7,0),))</f>
        <v>0</v>
      </c>
      <c r="Y9" s="238">
        <f>IF(J9=0,(Thinning!G10-Thinning!F10)/365.25,(Thinning!G10-J9)/365.25)</f>
        <v>12.980150581793293</v>
      </c>
      <c r="Z9" s="248">
        <f t="shared" si="2"/>
        <v>0</v>
      </c>
      <c r="AA9" s="248">
        <f t="shared" si="3"/>
        <v>2.5</v>
      </c>
      <c r="AB9" s="247">
        <f t="shared" si="6"/>
        <v>3</v>
      </c>
      <c r="AC9" s="247">
        <f t="shared" si="4"/>
        <v>4</v>
      </c>
      <c r="AD9" s="247">
        <f t="shared" si="7"/>
        <v>120.41889117043121</v>
      </c>
      <c r="AE9" s="247">
        <f t="shared" si="8"/>
        <v>0</v>
      </c>
      <c r="AF9" s="247">
        <f t="shared" si="9"/>
        <v>0</v>
      </c>
      <c r="AG9" s="247">
        <f t="shared" si="10"/>
        <v>0</v>
      </c>
      <c r="AH9" s="247">
        <f t="shared" si="11"/>
        <v>12.980150581793293</v>
      </c>
      <c r="AI9" s="248">
        <f>IF($T9=$AI$3,INDEX('Tables - Part 2'!$AX$6:$BA$13,MATCH(Ext_SCC_Chloride!X9,'Tables - Part 2'!$AV$6:$AV$13,0),MATCH(Ext_SCC_Chloride!U9,'Tables - Part 2'!$AX$5:$BA$5,0)),0)</f>
        <v>0</v>
      </c>
      <c r="AJ9" s="248">
        <f>IF($T9=$AJ$3,(INDEX('Tables - Part 2'!$AX$6:$BA$13,MATCH(Ext_SCC_Chloride!X9,'Tables - Part 2'!$AV$6:$AV$13,0),MATCH(Ext_SCC_Chloride!U9,'Tables - Part 2'!$AX$5:$BA$5,0))+(INDEX('Tables - Part 2'!$AX$6:$BA$13,MATCH(Ext_SCC_Chloride!X9,'Tables - Part 2'!$AV$6:$AV$13,0),MATCH(Ext_SCC_Chloride!U9,'Tables - Part 2'!$AX$5:$BA$5,0))+((INDEX('Tables - Part 2'!$AX$6:$BA$13,MATCH(Ext_SCC_Chloride!X9,'Tables - Part 2'!$AV$6:$AV$13,0),MATCH(Ext_SCC_Chloride!U9,'Tables - Part 2'!$AX$5:$BA$5,0))+INDEX('Tables - Part 2'!$BB$6:$BE$13,MATCH(Ext_SCC_Chloride!$X9,'Tables - Part 2'!$AV$6:$AV$13,0),MATCH(Ext_SCC_Chloride!$U9,'Tables - Part 2'!$AX$5:$BA$5,0)))/2))/2)/2,0)</f>
        <v>0</v>
      </c>
      <c r="AK9" s="248">
        <f>IF($T9=$AK$3,(INDEX('Tables - Part 2'!$AX$6:$BA$13,MATCH(Ext_SCC_Chloride!X9,'Tables - Part 2'!$AV$6:$AV$13,0),MATCH(Ext_SCC_Chloride!U9,'Tables - Part 2'!$AX$5:$BA$5,0))+((INDEX('Tables - Part 2'!$AX$6:$BA$13,MATCH(Ext_SCC_Chloride!X9,'Tables - Part 2'!$AV$6:$AV$13,0),MATCH(Ext_SCC_Chloride!U9,'Tables - Part 2'!$AX$5:$BA$5,0))+INDEX('Tables - Part 2'!$BB$6:$BE$13,MATCH(Ext_SCC_Chloride!$X9,'Tables - Part 2'!$AV$6:$AV$13,0),MATCH(Ext_SCC_Chloride!$U9,'Tables - Part 2'!$AX$5:$BA$5,0)))/2))/2,0)</f>
        <v>0</v>
      </c>
      <c r="AL9" s="248">
        <f>IF($T9=$AL$3,(((INDEX('Tables - Part 2'!$AX$6:$BA$13,MATCH(Ext_SCC_Chloride!X9,'Tables - Part 2'!$AV$6:$AV$13,0),MATCH(Ext_SCC_Chloride!U9,'Tables - Part 2'!$AX$5:$BA$5,0))+((INDEX('Tables - Part 2'!$AX$6:$BA$13,MATCH(Ext_SCC_Chloride!X9,'Tables - Part 2'!$AV$6:$AV$13,0),MATCH(Ext_SCC_Chloride!U9,'Tables - Part 2'!$AX$5:$BA$5,0))+INDEX('Tables - Part 2'!$BB$6:$BE$13,MATCH(Ext_SCC_Chloride!$X9,'Tables - Part 2'!$AV$6:$AV$13,0),MATCH(Ext_SCC_Chloride!$U9,'Tables - Part 2'!$AX$5:$BA$5,0)))/2))/2)+(INDEX('Tables - Part 2'!$AX$6:$BA$13,MATCH(Ext_SCC_Chloride!X9,'Tables - Part 2'!$AV$6:$AV$13,0),MATCH(Ext_SCC_Chloride!U9,'Tables - Part 2'!$AX$5:$BA$5,0))+INDEX('Tables - Part 2'!$BB$6:$BE$13,MATCH(Ext_SCC_Chloride!$X9,'Tables - Part 2'!$AV$6:$AV$13,0),MATCH(Ext_SCC_Chloride!$U9,'Tables - Part 2'!$AX$5:$BA$5,0)))/2)/2,0)</f>
        <v>0</v>
      </c>
      <c r="AM9" s="248">
        <f>IF($T9=$AM$3,(INDEX('Tables - Part 2'!$AX$6:$BA$13,MATCH(Ext_SCC_Chloride!X9,'Tables - Part 2'!$AV$6:$AV$13,0),MATCH(Ext_SCC_Chloride!U9,'Tables - Part 2'!$AX$5:$BA$5,0))+INDEX('Tables - Part 2'!$BB$6:$BE$13,MATCH(Ext_SCC_Chloride!$X9,'Tables - Part 2'!$AV$6:$AV$13,0),MATCH(Ext_SCC_Chloride!$U9,'Tables - Part 2'!$AX$5:$BA$5,0)))/2,0)</f>
        <v>0</v>
      </c>
      <c r="AN9" s="248">
        <f>IF($T9=$AN$3,(((INDEX('Tables - Part 2'!$AX$6:$BA$13,MATCH(Ext_SCC_Chloride!X9,'Tables - Part 2'!$AV$6:$AV$13,0),MATCH(Ext_SCC_Chloride!U9,'Tables - Part 2'!$AX$5:$BA$5,0))+INDEX('Tables - Part 2'!$BB$6:$BE$13,MATCH(Ext_SCC_Chloride!$X9,'Tables - Part 2'!$AV$6:$AV$13,0),MATCH(Ext_SCC_Chloride!$U9,'Tables - Part 2'!$AX$5:$BA$5,0)))/2)+(((INDEX('Tables - Part 2'!$AX$6:$BA$13,MATCH(Ext_SCC_Chloride!X9,'Tables - Part 2'!$AV$6:$AV$13,0),MATCH(Ext_SCC_Chloride!U9,'Tables - Part 2'!$AX$5:$BA$5,0))+INDEX('Tables - Part 2'!$BB$6:$BE$13,MATCH(Ext_SCC_Chloride!$X9,'Tables - Part 2'!$AV$6:$AV$13,0),MATCH(Ext_SCC_Chloride!$U9,'Tables - Part 2'!$AX$5:$BA$5,0)))/2)+INDEX('Tables - Part 2'!$BB$6:$BE$13,MATCH(Ext_SCC_Chloride!$X9,'Tables - Part 2'!$AV$6:$AV$13,0),MATCH(Ext_SCC_Chloride!$U9,'Tables - Part 2'!$AX$5:$BA$5,0)))/2)/2,0)</f>
        <v>0</v>
      </c>
      <c r="AO9" s="248">
        <f>IF($T9=$AO$3,(((INDEX('Tables - Part 2'!$AX$6:$BA$13,MATCH(Ext_SCC_Chloride!X9,'Tables - Part 2'!$AV$6:$AV$13,0),MATCH(Ext_SCC_Chloride!U9,'Tables - Part 2'!$AX$5:$BA$5,0))+INDEX('Tables - Part 2'!$BB$6:$BE$13,MATCH(Ext_SCC_Chloride!$X9,'Tables - Part 2'!$AV$6:$AV$13,0),MATCH(Ext_SCC_Chloride!$U9,'Tables - Part 2'!$AX$5:$BA$5,0)))/2)+INDEX('Tables - Part 2'!$BB$6:$BE$13,MATCH(Ext_SCC_Chloride!$X9,'Tables - Part 2'!$AV$6:$AV$13,0),MATCH(Ext_SCC_Chloride!$U9,'Tables - Part 2'!$AX$5:$BA$5,0)))/2,0)</f>
        <v>0</v>
      </c>
      <c r="AP9" s="248">
        <f>IF($T9=$AP$3,(((((INDEX('Tables - Part 2'!$AX$6:$BA$13,MATCH(Ext_SCC_Chloride!X9,'Tables - Part 2'!$AV$6:$AV$13,0),MATCH(Ext_SCC_Chloride!U9,'Tables - Part 2'!$AX$5:$BA$5,0))+INDEX('Tables - Part 2'!$BB$6:$BE$13,MATCH(Ext_SCC_Chloride!$X9,'Tables - Part 2'!$AV$6:$AV$13,0),MATCH(Ext_SCC_Chloride!$U9,'Tables - Part 2'!$AX$5:$BA$5,0)))/2)+INDEX('Tables - Part 2'!$BB$6:$BE$13,MATCH(Ext_SCC_Chloride!$X9,'Tables - Part 2'!$AV$6:$AV$13,0),MATCH(Ext_SCC_Chloride!$U9,'Tables - Part 2'!$AX$5:$BA$5,0)))/2)+INDEX('Tables - Part 2'!$BB$6:$BE$13,MATCH(Ext_SCC_Chloride!$X9,'Tables - Part 2'!$AV$6:$AV$13,0),MATCH(Ext_SCC_Chloride!$U9,'Tables - Part 2'!$AX$5:$BA$5,0)))/2,0)</f>
        <v>0</v>
      </c>
      <c r="AQ9" s="248">
        <f>IF($T9=$AQ$3,INDEX('Tables - Part 2'!$BB$6:$BE$13,MATCH(Ext_SCC_Chloride!$X9,'Tables - Part 2'!$AV$6:$AV$13,0),MATCH(Ext_SCC_Chloride!$U9,'Tables - Part 2'!$AX$5:$BA$5,0)),0)</f>
        <v>0</v>
      </c>
      <c r="AR9" s="248">
        <f>IF($T9=$AR$3,((INDEX('Tables - Part 2'!$BB$6:$BE$13,MATCH(Ext_SCC_Chloride!$X9,'Tables - Part 2'!$AV$6:$AV$13,0),MATCH(Ext_SCC_Chloride!$U9,'Tables - Part 2'!$AX$5:$BA$5,0)))+(INDEX('Tables - Part 2'!$BB$6:$BE$13,MATCH(Ext_SCC_Chloride!$X9,'Tables - Part 2'!$AV$6:$AV$13,0),MATCH(Ext_SCC_Chloride!$U9,'Tables - Part 2'!$AX$5:$BA$5,0))+(INDEX('Tables - Part 2'!$BB$6:$BE$13,MATCH(Ext_SCC_Chloride!$X9,'Tables - Part 2'!$AV$6:$AV$13,0),MATCH(Ext_SCC_Chloride!$U9,'Tables - Part 2'!$AX$5:$BA$5,0))+INDEX('Tables - Part 2'!$BF$6:$BI$13,MATCH(Ext_SCC_Chloride!$X9,'Tables - Part 2'!$AV$6:$AV$13,0),MATCH(Ext_SCC_Chloride!$U9,'Tables - Part 2'!$AX$5:$BA$5,0)))/2)/2)/2,0)</f>
        <v>0</v>
      </c>
      <c r="AS9" s="248">
        <f>IF($T9=$AS$3,(INDEX('Tables - Part 2'!$BB$6:$BE$13,MATCH(Ext_SCC_Chloride!$X9,'Tables - Part 2'!$AV$6:$AV$13,0),MATCH(Ext_SCC_Chloride!$U9,'Tables - Part 2'!$AX$5:$BA$5,0))+(INDEX('Tables - Part 2'!$BB$6:$BE$13,MATCH(Ext_SCC_Chloride!$X9,'Tables - Part 2'!$AV$6:$AV$13,0),MATCH(Ext_SCC_Chloride!$U9,'Tables - Part 2'!$AX$5:$BA$5,0))+INDEX('Tables - Part 2'!$BF$6:$BI$13,MATCH(Ext_SCC_Chloride!$X9,'Tables - Part 2'!$AV$6:$AV$13,0),MATCH(Ext_SCC_Chloride!$U9,'Tables - Part 2'!$AX$5:$BA$5,0)))/2)/2,0)</f>
        <v>0</v>
      </c>
      <c r="AT9" s="248">
        <f>IF($T9=$AT$3,(((INDEX('Tables - Part 2'!$BB$6:$BE$13,MATCH(Ext_SCC_Chloride!$X9,'Tables - Part 2'!$AV$6:$AV$13,0),MATCH(Ext_SCC_Chloride!$U9,'Tables - Part 2'!$AX$5:$BA$5,0))+(INDEX('Tables - Part 2'!$BB$6:$BE$13,MATCH(Ext_SCC_Chloride!$X9,'Tables - Part 2'!$AV$6:$AV$13,0),MATCH(Ext_SCC_Chloride!$U9,'Tables - Part 2'!$AX$5:$BA$5,0))+INDEX('Tables - Part 2'!$BF$6:$BI$13,MATCH(Ext_SCC_Chloride!$X9,'Tables - Part 2'!$AV$6:$AV$13,0),MATCH(Ext_SCC_Chloride!$U9,'Tables - Part 2'!$AX$5:$BA$5,0)))/2)/2)+((INDEX('Tables - Part 2'!$BB$6:$BE$13,MATCH(Ext_SCC_Chloride!$X9,'Tables - Part 2'!$AV$6:$AV$13,0),MATCH(Ext_SCC_Chloride!$U9,'Tables - Part 2'!$AX$5:$BA$5,0))+INDEX('Tables - Part 2'!$BF$6:$BI$13,MATCH(Ext_SCC_Chloride!$X9,'Tables - Part 2'!$AV$6:$AV$13,0),MATCH(Ext_SCC_Chloride!$U9,'Tables - Part 2'!$AX$5:$BA$5,0)))/2))/2,0)</f>
        <v>0</v>
      </c>
      <c r="AU9" s="248">
        <f>IF($T9=$AU$3,(INDEX('Tables - Part 2'!$BB$6:$BE$13,MATCH(Ext_SCC_Chloride!$X9,'Tables - Part 2'!$AV$6:$AV$13,0),MATCH(Ext_SCC_Chloride!$U9,'Tables - Part 2'!$AX$5:$BA$5,0))+INDEX('Tables - Part 2'!$BF$6:$BI$13,MATCH(Ext_SCC_Chloride!$X9,'Tables - Part 2'!$AV$6:$AV$13,0),MATCH(Ext_SCC_Chloride!$U9,'Tables - Part 2'!$AX$5:$BA$5,0)))/2,0)</f>
        <v>0</v>
      </c>
      <c r="AV9" s="248">
        <f>IF($T9=$AV$3,(((INDEX('Tables - Part 2'!$BB$6:$BE$13,MATCH(Ext_SCC_Chloride!$X9,'Tables - Part 2'!$AV$6:$AV$13,0),MATCH(Ext_SCC_Chloride!$U9,'Tables - Part 2'!$AX$5:$BA$5,0))+INDEX('Tables - Part 2'!$BF$6:$BI$13,MATCH(Ext_SCC_Chloride!$X9,'Tables - Part 2'!$AV$6:$AV$13,0),MATCH(Ext_SCC_Chloride!$U9,'Tables - Part 2'!$AX$5:$BA$5,0)))/2)+((((INDEX('Tables - Part 2'!$BB$6:$BE$13,MATCH(Ext_SCC_Chloride!$X9,'Tables - Part 2'!$AV$6:$AV$13,0),MATCH(Ext_SCC_Chloride!$U9,'Tables - Part 2'!$AX$5:$BA$5,0))+INDEX('Tables - Part 2'!$BF$6:$BI$13,MATCH(Ext_SCC_Chloride!$X9,'Tables - Part 2'!$AV$6:$AV$13,0),MATCH(Ext_SCC_Chloride!$U9,'Tables - Part 2'!$AX$5:$BA$5,0)))/2)+INDEX('Tables - Part 2'!$BF$6:$BI$13,MATCH(Ext_SCC_Chloride!$X9,'Tables - Part 2'!$AV$6:$AV$13,0),MATCH(Ext_SCC_Chloride!$U9,'Tables - Part 2'!$AX$5:$BA$5,0)))/2))/2,0)</f>
        <v>0</v>
      </c>
      <c r="AW9" s="248">
        <f>IF($T9=$AW$3,(((INDEX('Tables - Part 2'!$BB$6:$BE$13,MATCH(Ext_SCC_Chloride!$X9,'Tables - Part 2'!$AV$6:$AV$13,0),MATCH(Ext_SCC_Chloride!$U9,'Tables - Part 2'!$AX$5:$BA$5,0))+INDEX('Tables - Part 2'!$BF$6:$BI$13,MATCH(Ext_SCC_Chloride!$X9,'Tables - Part 2'!$AV$6:$AV$13,0),MATCH(Ext_SCC_Chloride!$U9,'Tables - Part 2'!$AX$5:$BA$5,0)))/2)+INDEX('Tables - Part 2'!$BF$6:$BI$13,MATCH(Ext_SCC_Chloride!$X9,'Tables - Part 2'!$AV$6:$AV$13,0),MATCH(Ext_SCC_Chloride!$U9,'Tables - Part 2'!$AX$5:$BA$5,0)))/2,0)</f>
        <v>0</v>
      </c>
      <c r="AX9" s="248">
        <f>IF($T9=$AX$3,(((((INDEX('Tables - Part 2'!$BB$6:$BE$13,MATCH(Ext_SCC_Chloride!$X9,'Tables - Part 2'!$AV$6:$AV$13,0),MATCH(Ext_SCC_Chloride!$U9,'Tables - Part 2'!$AX$5:$BA$5,0))+INDEX('Tables - Part 2'!$BF$6:$BI$13,MATCH(Ext_SCC_Chloride!$X9,'Tables - Part 2'!$AV$6:$AV$13,0),MATCH(Ext_SCC_Chloride!$U9,'Tables - Part 2'!$AX$5:$BA$5,0)))/2)+INDEX('Tables - Part 2'!$BF$6:$BI$13,MATCH(Ext_SCC_Chloride!$X9,'Tables - Part 2'!$AV$6:$AV$13,0),MATCH(Ext_SCC_Chloride!$U9,'Tables - Part 2'!$AX$5:$BA$5,0)))/2)+INDEX('Tables - Part 2'!$BF$6:$BI$13,MATCH(Ext_SCC_Chloride!$X9,'Tables - Part 2'!$AV$6:$AV$13,0),MATCH(Ext_SCC_Chloride!$U9,'Tables - Part 2'!$AX$5:$BA$5,0)))/2,0)</f>
        <v>0</v>
      </c>
      <c r="AY9" s="248">
        <f>IF($T9=$AY$3,INDEX('Tables - Part 2'!$BF$6:$BI$13,MATCH(Ext_SCC_Chloride!$X9,'Tables - Part 2'!$AV$6:$AV$13,0),MATCH(Ext_SCC_Chloride!$U9,'Tables - Part 2'!$AX$5:$BA$5,0)),0)</f>
        <v>0</v>
      </c>
      <c r="AZ9" s="248">
        <f>IF($T9=$AZ$3,(INDEX('Tables - Part 2'!$BF$6:$BI$13,MATCH(Ext_SCC_Chloride!$X9,'Tables - Part 2'!$AV$6:$AV$13,0),MATCH(Ext_SCC_Chloride!$U9,'Tables - Part 2'!$AX$5:$BA$5,0))+((INDEX('Tables - Part 2'!$BF$6:$BI$13,MATCH(Ext_SCC_Chloride!$X9,'Tables - Part 2'!$AV$6:$AV$13,0),MATCH(Ext_SCC_Chloride!$U9,'Tables - Part 2'!$AX$5:$BA$5,0))+(INDEX('Tables - Part 2'!$BF$6:$BI$13,MATCH(Ext_SCC_Chloride!$X9,'Tables - Part 2'!$AV$6:$AV$13,0),MATCH(Ext_SCC_Chloride!$U9,'Tables - Part 2'!$AX$5:$BA$5,0))+INDEX('Tables - Part 2'!$AX$17:$BA$24,MATCH(Ext_SCC_Chloride!$X9,'Tables - Part 2'!$AV$6:$AV$13,0),MATCH(Ext_SCC_Chloride!$U9,'Tables - Part 2'!$AX$5:$BA$5,0)))/2)/2))/2,0)</f>
        <v>0</v>
      </c>
      <c r="BA9" s="248">
        <f>IF($T9=$BA$3,(INDEX('Tables - Part 2'!$BF$6:$BI$13,MATCH(Ext_SCC_Chloride!$X9,'Tables - Part 2'!$AV$6:$AV$13,0),MATCH(Ext_SCC_Chloride!$U9,'Tables - Part 2'!$AX$5:$BA$5,0))+(INDEX('Tables - Part 2'!$BF$6:$BI$13,MATCH(Ext_SCC_Chloride!$X9,'Tables - Part 2'!$AV$6:$AV$13,0),MATCH(Ext_SCC_Chloride!$U9,'Tables - Part 2'!$AX$5:$BA$5,0))+INDEX('Tables - Part 2'!$AX$17:$BA$24,MATCH(Ext_SCC_Chloride!$X9,'Tables - Part 2'!$AV$6:$AV$13,0),MATCH(Ext_SCC_Chloride!$U9,'Tables - Part 2'!$AX$5:$BA$5,0)))/2)/2,0)</f>
        <v>0</v>
      </c>
      <c r="BB9" s="248">
        <f>IF($T9=$BB$3,(((INDEX('Tables - Part 2'!$BF$6:$BI$13,MATCH(Ext_SCC_Chloride!$X9,'Tables - Part 2'!$AV$6:$AV$13,0),MATCH(Ext_SCC_Chloride!$U9,'Tables - Part 2'!$AX$5:$BA$5,0))+(INDEX('Tables - Part 2'!$BF$6:$BI$13,MATCH(Ext_SCC_Chloride!$X9,'Tables - Part 2'!$AV$6:$AV$13,0),MATCH(Ext_SCC_Chloride!$U9,'Tables - Part 2'!$AX$5:$BA$5,0))+INDEX('Tables - Part 2'!$AX$17:$BA$24,MATCH(Ext_SCC_Chloride!$X9,'Tables - Part 2'!$AV$6:$AV$13,0),MATCH(Ext_SCC_Chloride!$U9,'Tables - Part 2'!$AX$5:$BA$5,0)))/2)/2)+((INDEX('Tables - Part 2'!$BF$6:$BI$13,MATCH(Ext_SCC_Chloride!$X9,'Tables - Part 2'!$AV$6:$AV$13,0),MATCH(Ext_SCC_Chloride!$U9,'Tables - Part 2'!$AX$5:$BA$5,0))+INDEX('Tables - Part 2'!$AX$17:$BA$24,MATCH(Ext_SCC_Chloride!$X9,'Tables - Part 2'!$AV$6:$AV$13,0),MATCH(Ext_SCC_Chloride!$U9,'Tables - Part 2'!$AX$5:$BA$5,0)))/2))/2,0)</f>
        <v>0</v>
      </c>
      <c r="BC9" s="248">
        <f>IF($T9=$BC$3,(INDEX('Tables - Part 2'!$BF$6:$BI$13,MATCH(Ext_SCC_Chloride!$X9,'Tables - Part 2'!$AV$6:$AV$13,0),MATCH(Ext_SCC_Chloride!$U9,'Tables - Part 2'!$AX$5:$BA$5,0))+INDEX('Tables - Part 2'!$AX$17:$BA$24,MATCH(Ext_SCC_Chloride!$X9,'Tables - Part 2'!$AV$6:$AV$13,0),MATCH(Ext_SCC_Chloride!$U9,'Tables - Part 2'!$AX$5:$BA$5,0)))/2,0)</f>
        <v>0</v>
      </c>
      <c r="BD9" s="248">
        <f>IF($T9=$BD$3,(((INDEX('Tables - Part 2'!$BF$6:$BI$13,MATCH(Ext_SCC_Chloride!$X9,'Tables - Part 2'!$AV$6:$AV$13,0),MATCH(Ext_SCC_Chloride!$U9,'Tables - Part 2'!$AX$5:$BA$5,0))+INDEX('Tables - Part 2'!$AX$17:$BA$24,MATCH(Ext_SCC_Chloride!$X9,'Tables - Part 2'!$AV$6:$AV$13,0),MATCH(Ext_SCC_Chloride!$U9,'Tables - Part 2'!$AX$5:$BA$5,0)))/2)+((((INDEX('Tables - Part 2'!$BF$6:$BI$13,MATCH(Ext_SCC_Chloride!$X9,'Tables - Part 2'!$AV$6:$AV$13,0),MATCH(Ext_SCC_Chloride!$U9,'Tables - Part 2'!$AX$5:$BA$5,0))+INDEX('Tables - Part 2'!$AX$17:$BA$24,MATCH(Ext_SCC_Chloride!$X9,'Tables - Part 2'!$AV$6:$AV$13,0),MATCH(Ext_SCC_Chloride!$U9,'Tables - Part 2'!$AX$5:$BA$5,0)))/2)+INDEX('Tables - Part 2'!$AX$17:$BA$24,MATCH(Ext_SCC_Chloride!$X9,'Tables - Part 2'!$AV$6:$AV$13,0),MATCH(Ext_SCC_Chloride!$U9,'Tables - Part 2'!$AX$5:$BA$5,0)))/2))/2,0)</f>
        <v>0</v>
      </c>
      <c r="BE9" s="248">
        <f>IF($T9=$BE$3,(((INDEX('Tables - Part 2'!$BF$6:$BI$13,MATCH(Ext_SCC_Chloride!$X9,'Tables - Part 2'!$AV$6:$AV$13,0),MATCH(Ext_SCC_Chloride!$U9,'Tables - Part 2'!$AX$5:$BA$5,0))+INDEX('Tables - Part 2'!$AX$17:$BA$24,MATCH(Ext_SCC_Chloride!$X9,'Tables - Part 2'!$AV$6:$AV$13,0),MATCH(Ext_SCC_Chloride!$U9,'Tables - Part 2'!$AX$5:$BA$5,0)))/2)+INDEX('Tables - Part 2'!$AX$17:$BA$24,MATCH(Ext_SCC_Chloride!$X9,'Tables - Part 2'!$AV$6:$AV$13,0),MATCH(Ext_SCC_Chloride!$U9,'Tables - Part 2'!$AX$5:$BA$5,0)))/2,0)</f>
        <v>0</v>
      </c>
      <c r="BF9" s="248">
        <f>IF($T9=$BF$3,(((((INDEX('Tables - Part 2'!$BF$6:$BI$13,MATCH(Ext_SCC_Chloride!$X9,'Tables - Part 2'!$AV$6:$AV$13,0),MATCH(Ext_SCC_Chloride!$U9,'Tables - Part 2'!$AX$5:$BA$5,0))+INDEX('Tables - Part 2'!$AX$17:$BA$24,MATCH(Ext_SCC_Chloride!$X9,'Tables - Part 2'!$AV$6:$AV$13,0),MATCH(Ext_SCC_Chloride!$U9,'Tables - Part 2'!$AX$5:$BA$5,0)))/2)+INDEX('Tables - Part 2'!$AX$17:$BA$24,MATCH(Ext_SCC_Chloride!$X9,'Tables - Part 2'!$AV$6:$AV$13,0),MATCH(Ext_SCC_Chloride!$U9,'Tables - Part 2'!$AX$5:$BA$5,0)))/2)+(INDEX('Tables - Part 2'!$AX$17:$BA$24,MATCH(Ext_SCC_Chloride!$X9,'Tables - Part 2'!$AV$6:$AV$13,0),MATCH(Ext_SCC_Chloride!$U9,'Tables - Part 2'!$AX$5:$BA$5,0))))/2,0)</f>
        <v>0</v>
      </c>
      <c r="BG9" s="248">
        <f>IF($T9=$BG$3,INDEX('Tables - Part 2'!$AX$17:$BA$24,MATCH(Ext_SCC_Chloride!$X9,'Tables - Part 2'!$AV$6:$AV$13,0),MATCH(Ext_SCC_Chloride!$U9,'Tables - Part 2'!$AX$5:$BA$5,0)),0)</f>
        <v>0</v>
      </c>
      <c r="BH9" s="248">
        <f>IF($T9=$BH$3,((INDEX('Tables - Part 2'!$AX$17:$BA$24,MATCH(Ext_SCC_Chloride!$X9,'Tables - Part 2'!$AV$6:$AV$13,0),MATCH(Ext_SCC_Chloride!$U9,'Tables - Part 2'!$AX$5:$BA$5,0)))+(((INDEX('Tables - Part 2'!$AX$17:$BA$24,MATCH(Ext_SCC_Chloride!$X9,'Tables - Part 2'!$AV$6:$AV$13,0),MATCH(Ext_SCC_Chloride!$U9,'Tables - Part 2'!$AX$5:$BA$5,0)))+(INDEX('Tables - Part 2'!$AX$17:$BA$24,MATCH(Ext_SCC_Chloride!$X9,'Tables - Part 2'!$AV$6:$AV$13,0),MATCH(Ext_SCC_Chloride!$U9,'Tables - Part 2'!$AX$5:$BA$5,0))+INDEX('Tables - Part 2'!$BB$17:$BE$24,MATCH(Ext_SCC_Chloride!$X9,'Tables - Part 2'!$AV$6:$AV$13,0),MATCH(Ext_SCC_Chloride!$U9,'Tables - Part 2'!$AX$5:$BA$5,0)))/2)/2))/2,0)</f>
        <v>0</v>
      </c>
      <c r="BI9" s="248">
        <f>IF($T9=$BI$3,((INDEX('Tables - Part 2'!$AX$17:$BA$24,MATCH(Ext_SCC_Chloride!$X9,'Tables - Part 2'!$AV$6:$AV$13,0),MATCH(Ext_SCC_Chloride!$U9,'Tables - Part 2'!$AX$5:$BA$5,0)))+(INDEX('Tables - Part 2'!$AX$17:$BA$24,MATCH(Ext_SCC_Chloride!$X9,'Tables - Part 2'!$AV$6:$AV$13,0),MATCH(Ext_SCC_Chloride!$U9,'Tables - Part 2'!$AX$5:$BA$5,0))+INDEX('Tables - Part 2'!$BB$17:$BE$24,MATCH(Ext_SCC_Chloride!$X9,'Tables - Part 2'!$AV$6:$AV$13,0),MATCH(Ext_SCC_Chloride!$U9,'Tables - Part 2'!$AX$5:$BA$5,0)))/2)/2,0)</f>
        <v>0</v>
      </c>
      <c r="BJ9" s="248">
        <f>IF($T9=$BJ$3,((((INDEX('Tables - Part 2'!$AX$17:$BA$24,MATCH(Ext_SCC_Chloride!$X9,'Tables - Part 2'!$AV$6:$AV$13,0),MATCH(Ext_SCC_Chloride!$U9,'Tables - Part 2'!$AX$5:$BA$5,0)))+(INDEX('Tables - Part 2'!$AX$17:$BA$24,MATCH(Ext_SCC_Chloride!$X9,'Tables - Part 2'!$AV$6:$AV$13,0),MATCH(Ext_SCC_Chloride!$U9,'Tables - Part 2'!$AX$5:$BA$5,0))+INDEX('Tables - Part 2'!$BB$17:$BE$24,MATCH(Ext_SCC_Chloride!$X9,'Tables - Part 2'!$AV$6:$AV$13,0),MATCH(Ext_SCC_Chloride!$U9,'Tables - Part 2'!$AX$5:$BA$5,0)))/2)/2)+((INDEX('Tables - Part 2'!$AX$17:$BA$24,MATCH(Ext_SCC_Chloride!$X9,'Tables - Part 2'!$AV$6:$AV$13,0),MATCH(Ext_SCC_Chloride!$U9,'Tables - Part 2'!$AX$5:$BA$5,0))+INDEX('Tables - Part 2'!$BB$17:$BE$24,MATCH(Ext_SCC_Chloride!$X9,'Tables - Part 2'!$AV$6:$AV$13,0),MATCH(Ext_SCC_Chloride!$U9,'Tables - Part 2'!$AX$5:$BA$5,0)))/2))/2,0)</f>
        <v>0</v>
      </c>
      <c r="BK9" s="248">
        <f>IF($T9=$BK$3,(INDEX('Tables - Part 2'!$AX$17:$BA$24,MATCH(Ext_SCC_Chloride!$X9,'Tables - Part 2'!$AV$6:$AV$13,0),MATCH(Ext_SCC_Chloride!$U9,'Tables - Part 2'!$AX$5:$BA$5,0))+INDEX('Tables - Part 2'!$BB$17:$BE$24,MATCH(Ext_SCC_Chloride!$X9,'Tables - Part 2'!$AV$6:$AV$13,0),MATCH(Ext_SCC_Chloride!$U9,'Tables - Part 2'!$AX$5:$BA$5,0)))/2,0)</f>
        <v>0</v>
      </c>
      <c r="BL9" s="248">
        <f>IF($T9=$BL$3,(((INDEX('Tables - Part 2'!$AX$17:$BA$24,MATCH(Ext_SCC_Chloride!$X9,'Tables - Part 2'!$AV$6:$AV$13,0),MATCH(Ext_SCC_Chloride!$U9,'Tables - Part 2'!$AX$5:$BA$5,0))+INDEX('Tables - Part 2'!$BB$17:$BE$24,MATCH(Ext_SCC_Chloride!$X9,'Tables - Part 2'!$AV$6:$AV$13,0),MATCH(Ext_SCC_Chloride!$U9,'Tables - Part 2'!$AX$5:$BA$5,0)))/2)+((((INDEX('Tables - Part 2'!$AX$17:$BA$24,MATCH(Ext_SCC_Chloride!$X9,'Tables - Part 2'!$AV$6:$AV$13,0),MATCH(Ext_SCC_Chloride!$U9,'Tables - Part 2'!$AX$5:$BA$5,0))+INDEX('Tables - Part 2'!$BB$17:$BE$24,MATCH(Ext_SCC_Chloride!$X9,'Tables - Part 2'!$AV$6:$AV$13,0),MATCH(Ext_SCC_Chloride!$U9,'Tables - Part 2'!$AX$5:$BA$5,0)))/2)+INDEX('Tables - Part 2'!$BB$17:$BE$24,MATCH(Ext_SCC_Chloride!$X9,'Tables - Part 2'!$AV$6:$AV$13,0),MATCH(Ext_SCC_Chloride!$U9,'Tables - Part 2'!$AX$5:$BA$5,0)))/2))/2,0)</f>
        <v>0</v>
      </c>
      <c r="BM9" s="248">
        <f>IF($T9=$BM$3,(((INDEX('Tables - Part 2'!$AX$17:$BA$24,MATCH(Ext_SCC_Chloride!$X9,'Tables - Part 2'!$AV$6:$AV$13,0),MATCH(Ext_SCC_Chloride!$U9,'Tables - Part 2'!$AX$5:$BA$5,0))+INDEX('Tables - Part 2'!$BB$17:$BE$24,MATCH(Ext_SCC_Chloride!$X9,'Tables - Part 2'!$AV$6:$AV$13,0),MATCH(Ext_SCC_Chloride!$U9,'Tables - Part 2'!$AX$5:$BA$5,0)))/2)+INDEX('Tables - Part 2'!$BB$17:$BE$24,MATCH(Ext_SCC_Chloride!$X9,'Tables - Part 2'!$AV$6:$AV$13,0),MATCH(Ext_SCC_Chloride!$U9,'Tables - Part 2'!$AX$5:$BA$5,0)))/2,0)</f>
        <v>0</v>
      </c>
      <c r="BN9" s="248">
        <f>IF($T9=$BN$3,(((((INDEX('Tables - Part 2'!$AX$17:$BA$24,MATCH(Ext_SCC_Chloride!$X9,'Tables - Part 2'!$AV$6:$AV$13,0),MATCH(Ext_SCC_Chloride!$U9,'Tables - Part 2'!$AX$5:$BA$5,0))+INDEX('Tables - Part 2'!$BB$17:$BE$24,MATCH(Ext_SCC_Chloride!$X9,'Tables - Part 2'!$AV$6:$AV$13,0),MATCH(Ext_SCC_Chloride!$U9,'Tables - Part 2'!$AX$5:$BA$5,0)))/2)+INDEX('Tables - Part 2'!$BB$17:$BE$24,MATCH(Ext_SCC_Chloride!$X9,'Tables - Part 2'!$AV$6:$AV$13,0),MATCH(Ext_SCC_Chloride!$U9,'Tables - Part 2'!$AX$5:$BA$5,0)))/2)+(INDEX('Tables - Part 2'!$BB$17:$BE$24,MATCH(Ext_SCC_Chloride!$X9,'Tables - Part 2'!$AV$6:$AV$13,0),MATCH(Ext_SCC_Chloride!$U9,'Tables - Part 2'!$AX$5:$BA$5,0))))/2,0)</f>
        <v>0</v>
      </c>
      <c r="BO9" s="248">
        <f>IF($T9=$BO$3,INDEX('Tables - Part 2'!$BB$17:$BE$24,MATCH(Ext_SCC_Chloride!$X9,'Tables - Part 2'!$AV$6:$AV$13,0),MATCH(Ext_SCC_Chloride!$U9,'Tables - Part 2'!$AX$5:$BA$5,0)),0)</f>
        <v>0</v>
      </c>
      <c r="BP9" s="248">
        <f>IF($T9=$BP$3,((INDEX('Tables - Part 2'!$BB$17:$BE$24,MATCH(Ext_SCC_Chloride!$X9,'Tables - Part 2'!$AV$6:$AV$13,0),MATCH(Ext_SCC_Chloride!$U9,'Tables - Part 2'!$AX$5:$BA$5,0)))+(((INDEX('Tables - Part 2'!$BB$17:$BE$24,MATCH(Ext_SCC_Chloride!$X9,'Tables - Part 2'!$AV$6:$AV$13,0),MATCH(Ext_SCC_Chloride!$U9,'Tables - Part 2'!$AX$5:$BA$5,0)))+(INDEX('Tables - Part 2'!$BB$17:$BE$24,MATCH(Ext_SCC_Chloride!$X9,'Tables - Part 2'!$AV$6:$AV$13,0),MATCH(Ext_SCC_Chloride!$U9,'Tables - Part 2'!$AX$5:$BA$5,0))+INDEX('Tables - Part 2'!$BF$17:$BI$24,MATCH(Ext_SCC_Chloride!$X9,'Tables - Part 2'!$AV$6:$AV$13,0),MATCH(Ext_SCC_Chloride!$U9,'Tables - Part 2'!$AX$5:$BA$5,0)))/2)/2))/2,0)</f>
        <v>0</v>
      </c>
      <c r="BQ9" s="248">
        <f>IF($T9=$BQ$3,((INDEX('Tables - Part 2'!$BB$17:$BE$24,MATCH(Ext_SCC_Chloride!$X9,'Tables - Part 2'!$AV$6:$AV$13,0),MATCH(Ext_SCC_Chloride!$U9,'Tables - Part 2'!$AX$5:$BA$5,0)))+(INDEX('Tables - Part 2'!$BB$17:$BE$24,MATCH(Ext_SCC_Chloride!$X9,'Tables - Part 2'!$AV$6:$AV$13,0),MATCH(Ext_SCC_Chloride!$U9,'Tables - Part 2'!$AX$5:$BA$5,0))+INDEX('Tables - Part 2'!$BF$17:$BI$24,MATCH(Ext_SCC_Chloride!$X9,'Tables - Part 2'!$AV$6:$AV$13,0),MATCH(Ext_SCC_Chloride!$U9,'Tables - Part 2'!$AX$5:$BA$5,0)))/2)/2,0)</f>
        <v>0</v>
      </c>
      <c r="BR9" s="248">
        <f>IF($T9=$BR$3,((((INDEX('Tables - Part 2'!$BB$17:$BE$24,MATCH(Ext_SCC_Chloride!$X9,'Tables - Part 2'!$AV$6:$AV$13,0),MATCH(Ext_SCC_Chloride!$U9,'Tables - Part 2'!$AX$5:$BA$5,0)))+(INDEX('Tables - Part 2'!$BB$17:$BE$24,MATCH(Ext_SCC_Chloride!$X9,'Tables - Part 2'!$AV$6:$AV$13,0),MATCH(Ext_SCC_Chloride!$U9,'Tables - Part 2'!$AX$5:$BA$5,0))+INDEX('Tables - Part 2'!$BF$17:$BI$24,MATCH(Ext_SCC_Chloride!$X9,'Tables - Part 2'!$AV$6:$AV$13,0),MATCH(Ext_SCC_Chloride!$U9,'Tables - Part 2'!$AX$5:$BA$5,0)))/2)/2)+((INDEX('Tables - Part 2'!$BB$17:$BE$24,MATCH(Ext_SCC_Chloride!$X9,'Tables - Part 2'!$AV$6:$AV$13,0),MATCH(Ext_SCC_Chloride!$U9,'Tables - Part 2'!$AX$5:$BA$5,0))+INDEX('Tables - Part 2'!$BF$17:$BI$24,MATCH(Ext_SCC_Chloride!$X9,'Tables - Part 2'!$AV$6:$AV$13,0),MATCH(Ext_SCC_Chloride!$U9,'Tables - Part 2'!$AX$5:$BA$5,0)))/2))/2,0)</f>
        <v>0</v>
      </c>
      <c r="BS9" s="248">
        <f>IF($T9=$BS$3,(INDEX('Tables - Part 2'!$BB$17:$BE$24,MATCH(Ext_SCC_Chloride!$X9,'Tables - Part 2'!$AV$6:$AV$13,0),MATCH(Ext_SCC_Chloride!$U9,'Tables - Part 2'!$AX$5:$BA$5,0))+INDEX('Tables - Part 2'!$BF$17:$BI$24,MATCH(Ext_SCC_Chloride!$X9,'Tables - Part 2'!$AV$6:$AV$13,0),MATCH(Ext_SCC_Chloride!$U9,'Tables - Part 2'!$AX$5:$BA$5,0)))/2,0)</f>
        <v>0</v>
      </c>
      <c r="BT9" s="248">
        <f>IF($T9=$BT$3,(((INDEX('Tables - Part 2'!$BB$17:$BE$24,MATCH(Ext_SCC_Chloride!$X9,'Tables - Part 2'!$AV$6:$AV$13,0),MATCH(Ext_SCC_Chloride!$U9,'Tables - Part 2'!$AX$5:$BA$5,0))+INDEX('Tables - Part 2'!$BF$17:$BI$24,MATCH(Ext_SCC_Chloride!$X9,'Tables - Part 2'!$AV$6:$AV$13,0),MATCH(Ext_SCC_Chloride!$U9,'Tables - Part 2'!$AX$5:$BA$5,0)))/2)+((((INDEX('Tables - Part 2'!$BB$17:$BE$24,MATCH(Ext_SCC_Chloride!$X9,'Tables - Part 2'!$AV$6:$AV$13,0),MATCH(Ext_SCC_Chloride!$U9,'Tables - Part 2'!$AX$5:$BA$5,0))+INDEX('Tables - Part 2'!$BF$17:$BI$24,MATCH(Ext_SCC_Chloride!$X9,'Tables - Part 2'!$AV$6:$AV$13,0),MATCH(Ext_SCC_Chloride!$U9,'Tables - Part 2'!$AX$5:$BA$5,0)))/2)+INDEX('Tables - Part 2'!$BF$17:$BI$24,MATCH(Ext_SCC_Chloride!$X9,'Tables - Part 2'!$AV$6:$AV$13,0),MATCH(Ext_SCC_Chloride!$U9,'Tables - Part 2'!$AX$5:$BA$5,0)))/2))/2,0)</f>
        <v>0</v>
      </c>
      <c r="BU9" s="248">
        <f>IF($T9=$BU$3,(((INDEX('Tables - Part 2'!$BB$17:$BE$24,MATCH(Ext_SCC_Chloride!$X9,'Tables - Part 2'!$AV$6:$AV$13,0),MATCH(Ext_SCC_Chloride!$U9,'Tables - Part 2'!$AX$5:$BA$5,0))+INDEX('Tables - Part 2'!$BF$17:$BI$24,MATCH(Ext_SCC_Chloride!$X9,'Tables - Part 2'!$AV$6:$AV$13,0),MATCH(Ext_SCC_Chloride!$U9,'Tables - Part 2'!$AX$5:$BA$5,0)))/2)+INDEX('Tables - Part 2'!$BF$17:$BI$24,MATCH(Ext_SCC_Chloride!$X9,'Tables - Part 2'!$AV$6:$AV$13,0),MATCH(Ext_SCC_Chloride!$U9,'Tables - Part 2'!$AX$5:$BA$5,0)))/2,0)</f>
        <v>0</v>
      </c>
      <c r="BV9" s="248">
        <f>IF($T9=$BV$3,(((((INDEX('Tables - Part 2'!$BB$17:$BE$24,MATCH(Ext_SCC_Chloride!$X9,'Tables - Part 2'!$AV$6:$AV$13,0),MATCH(Ext_SCC_Chloride!$U9,'Tables - Part 2'!$AX$5:$BA$5,0))+INDEX('Tables - Part 2'!$BF$17:$BI$24,MATCH(Ext_SCC_Chloride!$X9,'Tables - Part 2'!$AV$6:$AV$13,0),MATCH(Ext_SCC_Chloride!$U9,'Tables - Part 2'!$AX$5:$BA$5,0)))/2)+INDEX('Tables - Part 2'!$BF$17:$BI$24,MATCH(Ext_SCC_Chloride!$X9,'Tables - Part 2'!$AV$6:$AV$13,0),MATCH(Ext_SCC_Chloride!$U9,'Tables - Part 2'!$AX$5:$BA$5,0)))/2)+(INDEX('Tables - Part 2'!$BF$17:$BI$24,MATCH(Ext_SCC_Chloride!$X9,'Tables - Part 2'!$AV$6:$AV$13,0),MATCH(Ext_SCC_Chloride!$U9,'Tables - Part 2'!$AX$5:$BA$5,0))))/2,0)</f>
        <v>0</v>
      </c>
      <c r="BW9" s="248">
        <f>IF($T9=$BW$3,INDEX('Tables - Part 2'!$BF$17:$BI$24,MATCH(Ext_SCC_Chloride!$X9,'Tables - Part 2'!$AV$6:$AV$13,0),MATCH(Ext_SCC_Chloride!$U9,'Tables - Part 2'!$AX$5:$BA$5,0)),0)</f>
        <v>0</v>
      </c>
      <c r="BX9" s="248">
        <f t="shared" si="5"/>
        <v>0</v>
      </c>
      <c r="BY9" s="238">
        <f t="shared" si="12"/>
        <v>0</v>
      </c>
      <c r="BZ9" s="238">
        <f t="shared" si="13"/>
        <v>0</v>
      </c>
    </row>
    <row r="10" spans="2:87" x14ac:dyDescent="0.35">
      <c r="B10" s="161" t="str">
        <f>'Tratamento de Dados'!B18</f>
        <v>V-1</v>
      </c>
      <c r="C10" s="161" t="str">
        <f>'Tratamento de Dados'!D18</f>
        <v>Casco</v>
      </c>
      <c r="D10" s="209" t="s">
        <v>245</v>
      </c>
      <c r="E10" s="209" t="s">
        <v>61</v>
      </c>
      <c r="F10" s="247">
        <f>'Tratamento de Dados'!S18</f>
        <v>2</v>
      </c>
      <c r="G10" s="209" t="s">
        <v>953</v>
      </c>
      <c r="H10" s="210">
        <v>35234</v>
      </c>
      <c r="I10" s="210">
        <v>43983</v>
      </c>
      <c r="J10" s="210">
        <v>39092</v>
      </c>
      <c r="K10" s="210">
        <f>'Tratamento de Dados'!CC18</f>
        <v>0</v>
      </c>
      <c r="L10" s="209">
        <f>'Tratamento de Dados'!CD18</f>
        <v>0</v>
      </c>
      <c r="M10" s="209" t="s">
        <v>905</v>
      </c>
      <c r="N10" s="209">
        <v>0</v>
      </c>
      <c r="O10" s="209">
        <v>1</v>
      </c>
      <c r="P10" s="209">
        <v>1</v>
      </c>
      <c r="Q10" s="209">
        <v>4</v>
      </c>
      <c r="R10" s="253">
        <f>'Tratamento de Dados'!DA18</f>
        <v>0</v>
      </c>
      <c r="S10" s="253">
        <f>'Tratamento de Dados'!DB18</f>
        <v>0</v>
      </c>
      <c r="T10" s="256">
        <f t="shared" si="0"/>
        <v>2.5</v>
      </c>
      <c r="U10" s="246" t="str">
        <f t="shared" si="1"/>
        <v>B</v>
      </c>
      <c r="V10" s="246" t="str">
        <f>IF(F10&lt;49,'Tables - Part 2'!$FH$5,IF(F10&lt;=93,'Tables - Part 2'!$FH$6,IF(F10&lt;=149,'Tables - Part 2'!$FH$7,'Tables - Part 2'!$FH$8)))</f>
        <v>&lt;49</v>
      </c>
      <c r="W10" s="467" t="str">
        <f>IF(D10=$CE$2,$CC$5,INDEX('Tables - Part 2'!$FI$5:$FL$8,MATCH(Ext_SCC_Chloride!V10,'Tables - Part 2'!$FH$5:$FH$8,0),MATCH(Ext_SCC_Chloride!M10,'Tables - Part 2'!$FI$4:$FL$4,0)))</f>
        <v>None</v>
      </c>
      <c r="X10" s="238">
        <f>IF(AND(D10=$CE$2,E10&lt;&gt;$CE$2),"Fitness-For-Service",INDEX('Tables - Part 2'!$FO$4:$FO$7,MATCH(Ext_SCC_Chloride!W10,'Tables - Part 2'!$FN$4:$FN$7,0),))</f>
        <v>0</v>
      </c>
      <c r="Y10" s="238">
        <f>IF(J10=0,(Thinning!G11-Thinning!F11)/365.25,(Thinning!G11-J10)/365.25)</f>
        <v>12.980150581793293</v>
      </c>
      <c r="Z10" s="248">
        <f t="shared" si="2"/>
        <v>0</v>
      </c>
      <c r="AA10" s="248">
        <f t="shared" si="3"/>
        <v>2.5</v>
      </c>
      <c r="AB10" s="247">
        <f t="shared" si="6"/>
        <v>3</v>
      </c>
      <c r="AC10" s="247">
        <f t="shared" si="4"/>
        <v>4</v>
      </c>
      <c r="AD10" s="247">
        <f t="shared" si="7"/>
        <v>120.41889117043121</v>
      </c>
      <c r="AE10" s="247">
        <f t="shared" si="8"/>
        <v>0</v>
      </c>
      <c r="AF10" s="247">
        <f t="shared" si="9"/>
        <v>0</v>
      </c>
      <c r="AG10" s="247">
        <f t="shared" si="10"/>
        <v>0</v>
      </c>
      <c r="AH10" s="247">
        <f t="shared" si="11"/>
        <v>12.980150581793293</v>
      </c>
      <c r="AI10" s="248">
        <f>IF($T10=$AI$3,INDEX('Tables - Part 2'!$AX$6:$BA$13,MATCH(Ext_SCC_Chloride!X10,'Tables - Part 2'!$AV$6:$AV$13,0),MATCH(Ext_SCC_Chloride!U10,'Tables - Part 2'!$AX$5:$BA$5,0)),0)</f>
        <v>0</v>
      </c>
      <c r="AJ10" s="248">
        <f>IF($T10=$AJ$3,(INDEX('Tables - Part 2'!$AX$6:$BA$13,MATCH(Ext_SCC_Chloride!X10,'Tables - Part 2'!$AV$6:$AV$13,0),MATCH(Ext_SCC_Chloride!U10,'Tables - Part 2'!$AX$5:$BA$5,0))+(INDEX('Tables - Part 2'!$AX$6:$BA$13,MATCH(Ext_SCC_Chloride!X10,'Tables - Part 2'!$AV$6:$AV$13,0),MATCH(Ext_SCC_Chloride!U10,'Tables - Part 2'!$AX$5:$BA$5,0))+((INDEX('Tables - Part 2'!$AX$6:$BA$13,MATCH(Ext_SCC_Chloride!X10,'Tables - Part 2'!$AV$6:$AV$13,0),MATCH(Ext_SCC_Chloride!U10,'Tables - Part 2'!$AX$5:$BA$5,0))+INDEX('Tables - Part 2'!$BB$6:$BE$13,MATCH(Ext_SCC_Chloride!$X10,'Tables - Part 2'!$AV$6:$AV$13,0),MATCH(Ext_SCC_Chloride!$U10,'Tables - Part 2'!$AX$5:$BA$5,0)))/2))/2)/2,0)</f>
        <v>0</v>
      </c>
      <c r="AK10" s="248">
        <f>IF($T10=$AK$3,(INDEX('Tables - Part 2'!$AX$6:$BA$13,MATCH(Ext_SCC_Chloride!X10,'Tables - Part 2'!$AV$6:$AV$13,0),MATCH(Ext_SCC_Chloride!U10,'Tables - Part 2'!$AX$5:$BA$5,0))+((INDEX('Tables - Part 2'!$AX$6:$BA$13,MATCH(Ext_SCC_Chloride!X10,'Tables - Part 2'!$AV$6:$AV$13,0),MATCH(Ext_SCC_Chloride!U10,'Tables - Part 2'!$AX$5:$BA$5,0))+INDEX('Tables - Part 2'!$BB$6:$BE$13,MATCH(Ext_SCC_Chloride!$X10,'Tables - Part 2'!$AV$6:$AV$13,0),MATCH(Ext_SCC_Chloride!$U10,'Tables - Part 2'!$AX$5:$BA$5,0)))/2))/2,0)</f>
        <v>0</v>
      </c>
      <c r="AL10" s="248">
        <f>IF($T10=$AL$3,(((INDEX('Tables - Part 2'!$AX$6:$BA$13,MATCH(Ext_SCC_Chloride!X10,'Tables - Part 2'!$AV$6:$AV$13,0),MATCH(Ext_SCC_Chloride!U10,'Tables - Part 2'!$AX$5:$BA$5,0))+((INDEX('Tables - Part 2'!$AX$6:$BA$13,MATCH(Ext_SCC_Chloride!X10,'Tables - Part 2'!$AV$6:$AV$13,0),MATCH(Ext_SCC_Chloride!U10,'Tables - Part 2'!$AX$5:$BA$5,0))+INDEX('Tables - Part 2'!$BB$6:$BE$13,MATCH(Ext_SCC_Chloride!$X10,'Tables - Part 2'!$AV$6:$AV$13,0),MATCH(Ext_SCC_Chloride!$U10,'Tables - Part 2'!$AX$5:$BA$5,0)))/2))/2)+(INDEX('Tables - Part 2'!$AX$6:$BA$13,MATCH(Ext_SCC_Chloride!X10,'Tables - Part 2'!$AV$6:$AV$13,0),MATCH(Ext_SCC_Chloride!U10,'Tables - Part 2'!$AX$5:$BA$5,0))+INDEX('Tables - Part 2'!$BB$6:$BE$13,MATCH(Ext_SCC_Chloride!$X10,'Tables - Part 2'!$AV$6:$AV$13,0),MATCH(Ext_SCC_Chloride!$U10,'Tables - Part 2'!$AX$5:$BA$5,0)))/2)/2,0)</f>
        <v>0</v>
      </c>
      <c r="AM10" s="248">
        <f>IF($T10=$AM$3,(INDEX('Tables - Part 2'!$AX$6:$BA$13,MATCH(Ext_SCC_Chloride!X10,'Tables - Part 2'!$AV$6:$AV$13,0),MATCH(Ext_SCC_Chloride!U10,'Tables - Part 2'!$AX$5:$BA$5,0))+INDEX('Tables - Part 2'!$BB$6:$BE$13,MATCH(Ext_SCC_Chloride!$X10,'Tables - Part 2'!$AV$6:$AV$13,0),MATCH(Ext_SCC_Chloride!$U10,'Tables - Part 2'!$AX$5:$BA$5,0)))/2,0)</f>
        <v>0</v>
      </c>
      <c r="AN10" s="248">
        <f>IF($T10=$AN$3,(((INDEX('Tables - Part 2'!$AX$6:$BA$13,MATCH(Ext_SCC_Chloride!X10,'Tables - Part 2'!$AV$6:$AV$13,0),MATCH(Ext_SCC_Chloride!U10,'Tables - Part 2'!$AX$5:$BA$5,0))+INDEX('Tables - Part 2'!$BB$6:$BE$13,MATCH(Ext_SCC_Chloride!$X10,'Tables - Part 2'!$AV$6:$AV$13,0),MATCH(Ext_SCC_Chloride!$U10,'Tables - Part 2'!$AX$5:$BA$5,0)))/2)+(((INDEX('Tables - Part 2'!$AX$6:$BA$13,MATCH(Ext_SCC_Chloride!X10,'Tables - Part 2'!$AV$6:$AV$13,0),MATCH(Ext_SCC_Chloride!U10,'Tables - Part 2'!$AX$5:$BA$5,0))+INDEX('Tables - Part 2'!$BB$6:$BE$13,MATCH(Ext_SCC_Chloride!$X10,'Tables - Part 2'!$AV$6:$AV$13,0),MATCH(Ext_SCC_Chloride!$U10,'Tables - Part 2'!$AX$5:$BA$5,0)))/2)+INDEX('Tables - Part 2'!$BB$6:$BE$13,MATCH(Ext_SCC_Chloride!$X10,'Tables - Part 2'!$AV$6:$AV$13,0),MATCH(Ext_SCC_Chloride!$U10,'Tables - Part 2'!$AX$5:$BA$5,0)))/2)/2,0)</f>
        <v>0</v>
      </c>
      <c r="AO10" s="248">
        <f>IF($T10=$AO$3,(((INDEX('Tables - Part 2'!$AX$6:$BA$13,MATCH(Ext_SCC_Chloride!X10,'Tables - Part 2'!$AV$6:$AV$13,0),MATCH(Ext_SCC_Chloride!U10,'Tables - Part 2'!$AX$5:$BA$5,0))+INDEX('Tables - Part 2'!$BB$6:$BE$13,MATCH(Ext_SCC_Chloride!$X10,'Tables - Part 2'!$AV$6:$AV$13,0),MATCH(Ext_SCC_Chloride!$U10,'Tables - Part 2'!$AX$5:$BA$5,0)))/2)+INDEX('Tables - Part 2'!$BB$6:$BE$13,MATCH(Ext_SCC_Chloride!$X10,'Tables - Part 2'!$AV$6:$AV$13,0),MATCH(Ext_SCC_Chloride!$U10,'Tables - Part 2'!$AX$5:$BA$5,0)))/2,0)</f>
        <v>0</v>
      </c>
      <c r="AP10" s="248">
        <f>IF($T10=$AP$3,(((((INDEX('Tables - Part 2'!$AX$6:$BA$13,MATCH(Ext_SCC_Chloride!X10,'Tables - Part 2'!$AV$6:$AV$13,0),MATCH(Ext_SCC_Chloride!U10,'Tables - Part 2'!$AX$5:$BA$5,0))+INDEX('Tables - Part 2'!$BB$6:$BE$13,MATCH(Ext_SCC_Chloride!$X10,'Tables - Part 2'!$AV$6:$AV$13,0),MATCH(Ext_SCC_Chloride!$U10,'Tables - Part 2'!$AX$5:$BA$5,0)))/2)+INDEX('Tables - Part 2'!$BB$6:$BE$13,MATCH(Ext_SCC_Chloride!$X10,'Tables - Part 2'!$AV$6:$AV$13,0),MATCH(Ext_SCC_Chloride!$U10,'Tables - Part 2'!$AX$5:$BA$5,0)))/2)+INDEX('Tables - Part 2'!$BB$6:$BE$13,MATCH(Ext_SCC_Chloride!$X10,'Tables - Part 2'!$AV$6:$AV$13,0),MATCH(Ext_SCC_Chloride!$U10,'Tables - Part 2'!$AX$5:$BA$5,0)))/2,0)</f>
        <v>0</v>
      </c>
      <c r="AQ10" s="248">
        <f>IF($T10=$AQ$3,INDEX('Tables - Part 2'!$BB$6:$BE$13,MATCH(Ext_SCC_Chloride!$X10,'Tables - Part 2'!$AV$6:$AV$13,0),MATCH(Ext_SCC_Chloride!$U10,'Tables - Part 2'!$AX$5:$BA$5,0)),0)</f>
        <v>0</v>
      </c>
      <c r="AR10" s="248">
        <f>IF($T10=$AR$3,((INDEX('Tables - Part 2'!$BB$6:$BE$13,MATCH(Ext_SCC_Chloride!$X10,'Tables - Part 2'!$AV$6:$AV$13,0),MATCH(Ext_SCC_Chloride!$U10,'Tables - Part 2'!$AX$5:$BA$5,0)))+(INDEX('Tables - Part 2'!$BB$6:$BE$13,MATCH(Ext_SCC_Chloride!$X10,'Tables - Part 2'!$AV$6:$AV$13,0),MATCH(Ext_SCC_Chloride!$U10,'Tables - Part 2'!$AX$5:$BA$5,0))+(INDEX('Tables - Part 2'!$BB$6:$BE$13,MATCH(Ext_SCC_Chloride!$X10,'Tables - Part 2'!$AV$6:$AV$13,0),MATCH(Ext_SCC_Chloride!$U10,'Tables - Part 2'!$AX$5:$BA$5,0))+INDEX('Tables - Part 2'!$BF$6:$BI$13,MATCH(Ext_SCC_Chloride!$X10,'Tables - Part 2'!$AV$6:$AV$13,0),MATCH(Ext_SCC_Chloride!$U10,'Tables - Part 2'!$AX$5:$BA$5,0)))/2)/2)/2,0)</f>
        <v>0</v>
      </c>
      <c r="AS10" s="248">
        <f>IF($T10=$AS$3,(INDEX('Tables - Part 2'!$BB$6:$BE$13,MATCH(Ext_SCC_Chloride!$X10,'Tables - Part 2'!$AV$6:$AV$13,0),MATCH(Ext_SCC_Chloride!$U10,'Tables - Part 2'!$AX$5:$BA$5,0))+(INDEX('Tables - Part 2'!$BB$6:$BE$13,MATCH(Ext_SCC_Chloride!$X10,'Tables - Part 2'!$AV$6:$AV$13,0),MATCH(Ext_SCC_Chloride!$U10,'Tables - Part 2'!$AX$5:$BA$5,0))+INDEX('Tables - Part 2'!$BF$6:$BI$13,MATCH(Ext_SCC_Chloride!$X10,'Tables - Part 2'!$AV$6:$AV$13,0),MATCH(Ext_SCC_Chloride!$U10,'Tables - Part 2'!$AX$5:$BA$5,0)))/2)/2,0)</f>
        <v>0</v>
      </c>
      <c r="AT10" s="248">
        <f>IF($T10=$AT$3,(((INDEX('Tables - Part 2'!$BB$6:$BE$13,MATCH(Ext_SCC_Chloride!$X10,'Tables - Part 2'!$AV$6:$AV$13,0),MATCH(Ext_SCC_Chloride!$U10,'Tables - Part 2'!$AX$5:$BA$5,0))+(INDEX('Tables - Part 2'!$BB$6:$BE$13,MATCH(Ext_SCC_Chloride!$X10,'Tables - Part 2'!$AV$6:$AV$13,0),MATCH(Ext_SCC_Chloride!$U10,'Tables - Part 2'!$AX$5:$BA$5,0))+INDEX('Tables - Part 2'!$BF$6:$BI$13,MATCH(Ext_SCC_Chloride!$X10,'Tables - Part 2'!$AV$6:$AV$13,0),MATCH(Ext_SCC_Chloride!$U10,'Tables - Part 2'!$AX$5:$BA$5,0)))/2)/2)+((INDEX('Tables - Part 2'!$BB$6:$BE$13,MATCH(Ext_SCC_Chloride!$X10,'Tables - Part 2'!$AV$6:$AV$13,0),MATCH(Ext_SCC_Chloride!$U10,'Tables - Part 2'!$AX$5:$BA$5,0))+INDEX('Tables - Part 2'!$BF$6:$BI$13,MATCH(Ext_SCC_Chloride!$X10,'Tables - Part 2'!$AV$6:$AV$13,0),MATCH(Ext_SCC_Chloride!$U10,'Tables - Part 2'!$AX$5:$BA$5,0)))/2))/2,0)</f>
        <v>0</v>
      </c>
      <c r="AU10" s="248">
        <f>IF($T10=$AU$3,(INDEX('Tables - Part 2'!$BB$6:$BE$13,MATCH(Ext_SCC_Chloride!$X10,'Tables - Part 2'!$AV$6:$AV$13,0),MATCH(Ext_SCC_Chloride!$U10,'Tables - Part 2'!$AX$5:$BA$5,0))+INDEX('Tables - Part 2'!$BF$6:$BI$13,MATCH(Ext_SCC_Chloride!$X10,'Tables - Part 2'!$AV$6:$AV$13,0),MATCH(Ext_SCC_Chloride!$U10,'Tables - Part 2'!$AX$5:$BA$5,0)))/2,0)</f>
        <v>0</v>
      </c>
      <c r="AV10" s="248">
        <f>IF($T10=$AV$3,(((INDEX('Tables - Part 2'!$BB$6:$BE$13,MATCH(Ext_SCC_Chloride!$X10,'Tables - Part 2'!$AV$6:$AV$13,0),MATCH(Ext_SCC_Chloride!$U10,'Tables - Part 2'!$AX$5:$BA$5,0))+INDEX('Tables - Part 2'!$BF$6:$BI$13,MATCH(Ext_SCC_Chloride!$X10,'Tables - Part 2'!$AV$6:$AV$13,0),MATCH(Ext_SCC_Chloride!$U10,'Tables - Part 2'!$AX$5:$BA$5,0)))/2)+((((INDEX('Tables - Part 2'!$BB$6:$BE$13,MATCH(Ext_SCC_Chloride!$X10,'Tables - Part 2'!$AV$6:$AV$13,0),MATCH(Ext_SCC_Chloride!$U10,'Tables - Part 2'!$AX$5:$BA$5,0))+INDEX('Tables - Part 2'!$BF$6:$BI$13,MATCH(Ext_SCC_Chloride!$X10,'Tables - Part 2'!$AV$6:$AV$13,0),MATCH(Ext_SCC_Chloride!$U10,'Tables - Part 2'!$AX$5:$BA$5,0)))/2)+INDEX('Tables - Part 2'!$BF$6:$BI$13,MATCH(Ext_SCC_Chloride!$X10,'Tables - Part 2'!$AV$6:$AV$13,0),MATCH(Ext_SCC_Chloride!$U10,'Tables - Part 2'!$AX$5:$BA$5,0)))/2))/2,0)</f>
        <v>0</v>
      </c>
      <c r="AW10" s="248">
        <f>IF($T10=$AW$3,(((INDEX('Tables - Part 2'!$BB$6:$BE$13,MATCH(Ext_SCC_Chloride!$X10,'Tables - Part 2'!$AV$6:$AV$13,0),MATCH(Ext_SCC_Chloride!$U10,'Tables - Part 2'!$AX$5:$BA$5,0))+INDEX('Tables - Part 2'!$BF$6:$BI$13,MATCH(Ext_SCC_Chloride!$X10,'Tables - Part 2'!$AV$6:$AV$13,0),MATCH(Ext_SCC_Chloride!$U10,'Tables - Part 2'!$AX$5:$BA$5,0)))/2)+INDEX('Tables - Part 2'!$BF$6:$BI$13,MATCH(Ext_SCC_Chloride!$X10,'Tables - Part 2'!$AV$6:$AV$13,0),MATCH(Ext_SCC_Chloride!$U10,'Tables - Part 2'!$AX$5:$BA$5,0)))/2,0)</f>
        <v>0</v>
      </c>
      <c r="AX10" s="248">
        <f>IF($T10=$AX$3,(((((INDEX('Tables - Part 2'!$BB$6:$BE$13,MATCH(Ext_SCC_Chloride!$X10,'Tables - Part 2'!$AV$6:$AV$13,0),MATCH(Ext_SCC_Chloride!$U10,'Tables - Part 2'!$AX$5:$BA$5,0))+INDEX('Tables - Part 2'!$BF$6:$BI$13,MATCH(Ext_SCC_Chloride!$X10,'Tables - Part 2'!$AV$6:$AV$13,0),MATCH(Ext_SCC_Chloride!$U10,'Tables - Part 2'!$AX$5:$BA$5,0)))/2)+INDEX('Tables - Part 2'!$BF$6:$BI$13,MATCH(Ext_SCC_Chloride!$X10,'Tables - Part 2'!$AV$6:$AV$13,0),MATCH(Ext_SCC_Chloride!$U10,'Tables - Part 2'!$AX$5:$BA$5,0)))/2)+INDEX('Tables - Part 2'!$BF$6:$BI$13,MATCH(Ext_SCC_Chloride!$X10,'Tables - Part 2'!$AV$6:$AV$13,0),MATCH(Ext_SCC_Chloride!$U10,'Tables - Part 2'!$AX$5:$BA$5,0)))/2,0)</f>
        <v>0</v>
      </c>
      <c r="AY10" s="248">
        <f>IF($T10=$AY$3,INDEX('Tables - Part 2'!$BF$6:$BI$13,MATCH(Ext_SCC_Chloride!$X10,'Tables - Part 2'!$AV$6:$AV$13,0),MATCH(Ext_SCC_Chloride!$U10,'Tables - Part 2'!$AX$5:$BA$5,0)),0)</f>
        <v>0</v>
      </c>
      <c r="AZ10" s="248">
        <f>IF($T10=$AZ$3,(INDEX('Tables - Part 2'!$BF$6:$BI$13,MATCH(Ext_SCC_Chloride!$X10,'Tables - Part 2'!$AV$6:$AV$13,0),MATCH(Ext_SCC_Chloride!$U10,'Tables - Part 2'!$AX$5:$BA$5,0))+((INDEX('Tables - Part 2'!$BF$6:$BI$13,MATCH(Ext_SCC_Chloride!$X10,'Tables - Part 2'!$AV$6:$AV$13,0),MATCH(Ext_SCC_Chloride!$U10,'Tables - Part 2'!$AX$5:$BA$5,0))+(INDEX('Tables - Part 2'!$BF$6:$BI$13,MATCH(Ext_SCC_Chloride!$X10,'Tables - Part 2'!$AV$6:$AV$13,0),MATCH(Ext_SCC_Chloride!$U10,'Tables - Part 2'!$AX$5:$BA$5,0))+INDEX('Tables - Part 2'!$AX$17:$BA$24,MATCH(Ext_SCC_Chloride!$X10,'Tables - Part 2'!$AV$6:$AV$13,0),MATCH(Ext_SCC_Chloride!$U10,'Tables - Part 2'!$AX$5:$BA$5,0)))/2)/2))/2,0)</f>
        <v>0</v>
      </c>
      <c r="BA10" s="248">
        <f>IF($T10=$BA$3,(INDEX('Tables - Part 2'!$BF$6:$BI$13,MATCH(Ext_SCC_Chloride!$X10,'Tables - Part 2'!$AV$6:$AV$13,0),MATCH(Ext_SCC_Chloride!$U10,'Tables - Part 2'!$AX$5:$BA$5,0))+(INDEX('Tables - Part 2'!$BF$6:$BI$13,MATCH(Ext_SCC_Chloride!$X10,'Tables - Part 2'!$AV$6:$AV$13,0),MATCH(Ext_SCC_Chloride!$U10,'Tables - Part 2'!$AX$5:$BA$5,0))+INDEX('Tables - Part 2'!$AX$17:$BA$24,MATCH(Ext_SCC_Chloride!$X10,'Tables - Part 2'!$AV$6:$AV$13,0),MATCH(Ext_SCC_Chloride!$U10,'Tables - Part 2'!$AX$5:$BA$5,0)))/2)/2,0)</f>
        <v>0</v>
      </c>
      <c r="BB10" s="248">
        <f>IF($T10=$BB$3,(((INDEX('Tables - Part 2'!$BF$6:$BI$13,MATCH(Ext_SCC_Chloride!$X10,'Tables - Part 2'!$AV$6:$AV$13,0),MATCH(Ext_SCC_Chloride!$U10,'Tables - Part 2'!$AX$5:$BA$5,0))+(INDEX('Tables - Part 2'!$BF$6:$BI$13,MATCH(Ext_SCC_Chloride!$X10,'Tables - Part 2'!$AV$6:$AV$13,0),MATCH(Ext_SCC_Chloride!$U10,'Tables - Part 2'!$AX$5:$BA$5,0))+INDEX('Tables - Part 2'!$AX$17:$BA$24,MATCH(Ext_SCC_Chloride!$X10,'Tables - Part 2'!$AV$6:$AV$13,0),MATCH(Ext_SCC_Chloride!$U10,'Tables - Part 2'!$AX$5:$BA$5,0)))/2)/2)+((INDEX('Tables - Part 2'!$BF$6:$BI$13,MATCH(Ext_SCC_Chloride!$X10,'Tables - Part 2'!$AV$6:$AV$13,0),MATCH(Ext_SCC_Chloride!$U10,'Tables - Part 2'!$AX$5:$BA$5,0))+INDEX('Tables - Part 2'!$AX$17:$BA$24,MATCH(Ext_SCC_Chloride!$X10,'Tables - Part 2'!$AV$6:$AV$13,0),MATCH(Ext_SCC_Chloride!$U10,'Tables - Part 2'!$AX$5:$BA$5,0)))/2))/2,0)</f>
        <v>0</v>
      </c>
      <c r="BC10" s="248">
        <f>IF($T10=$BC$3,(INDEX('Tables - Part 2'!$BF$6:$BI$13,MATCH(Ext_SCC_Chloride!$X10,'Tables - Part 2'!$AV$6:$AV$13,0),MATCH(Ext_SCC_Chloride!$U10,'Tables - Part 2'!$AX$5:$BA$5,0))+INDEX('Tables - Part 2'!$AX$17:$BA$24,MATCH(Ext_SCC_Chloride!$X10,'Tables - Part 2'!$AV$6:$AV$13,0),MATCH(Ext_SCC_Chloride!$U10,'Tables - Part 2'!$AX$5:$BA$5,0)))/2,0)</f>
        <v>0</v>
      </c>
      <c r="BD10" s="248">
        <f>IF($T10=$BD$3,(((INDEX('Tables - Part 2'!$BF$6:$BI$13,MATCH(Ext_SCC_Chloride!$X10,'Tables - Part 2'!$AV$6:$AV$13,0),MATCH(Ext_SCC_Chloride!$U10,'Tables - Part 2'!$AX$5:$BA$5,0))+INDEX('Tables - Part 2'!$AX$17:$BA$24,MATCH(Ext_SCC_Chloride!$X10,'Tables - Part 2'!$AV$6:$AV$13,0),MATCH(Ext_SCC_Chloride!$U10,'Tables - Part 2'!$AX$5:$BA$5,0)))/2)+((((INDEX('Tables - Part 2'!$BF$6:$BI$13,MATCH(Ext_SCC_Chloride!$X10,'Tables - Part 2'!$AV$6:$AV$13,0),MATCH(Ext_SCC_Chloride!$U10,'Tables - Part 2'!$AX$5:$BA$5,0))+INDEX('Tables - Part 2'!$AX$17:$BA$24,MATCH(Ext_SCC_Chloride!$X10,'Tables - Part 2'!$AV$6:$AV$13,0),MATCH(Ext_SCC_Chloride!$U10,'Tables - Part 2'!$AX$5:$BA$5,0)))/2)+INDEX('Tables - Part 2'!$AX$17:$BA$24,MATCH(Ext_SCC_Chloride!$X10,'Tables - Part 2'!$AV$6:$AV$13,0),MATCH(Ext_SCC_Chloride!$U10,'Tables - Part 2'!$AX$5:$BA$5,0)))/2))/2,0)</f>
        <v>0</v>
      </c>
      <c r="BE10" s="248">
        <f>IF($T10=$BE$3,(((INDEX('Tables - Part 2'!$BF$6:$BI$13,MATCH(Ext_SCC_Chloride!$X10,'Tables - Part 2'!$AV$6:$AV$13,0),MATCH(Ext_SCC_Chloride!$U10,'Tables - Part 2'!$AX$5:$BA$5,0))+INDEX('Tables - Part 2'!$AX$17:$BA$24,MATCH(Ext_SCC_Chloride!$X10,'Tables - Part 2'!$AV$6:$AV$13,0),MATCH(Ext_SCC_Chloride!$U10,'Tables - Part 2'!$AX$5:$BA$5,0)))/2)+INDEX('Tables - Part 2'!$AX$17:$BA$24,MATCH(Ext_SCC_Chloride!$X10,'Tables - Part 2'!$AV$6:$AV$13,0),MATCH(Ext_SCC_Chloride!$U10,'Tables - Part 2'!$AX$5:$BA$5,0)))/2,0)</f>
        <v>0</v>
      </c>
      <c r="BF10" s="248">
        <f>IF($T10=$BF$3,(((((INDEX('Tables - Part 2'!$BF$6:$BI$13,MATCH(Ext_SCC_Chloride!$X10,'Tables - Part 2'!$AV$6:$AV$13,0),MATCH(Ext_SCC_Chloride!$U10,'Tables - Part 2'!$AX$5:$BA$5,0))+INDEX('Tables - Part 2'!$AX$17:$BA$24,MATCH(Ext_SCC_Chloride!$X10,'Tables - Part 2'!$AV$6:$AV$13,0),MATCH(Ext_SCC_Chloride!$U10,'Tables - Part 2'!$AX$5:$BA$5,0)))/2)+INDEX('Tables - Part 2'!$AX$17:$BA$24,MATCH(Ext_SCC_Chloride!$X10,'Tables - Part 2'!$AV$6:$AV$13,0),MATCH(Ext_SCC_Chloride!$U10,'Tables - Part 2'!$AX$5:$BA$5,0)))/2)+(INDEX('Tables - Part 2'!$AX$17:$BA$24,MATCH(Ext_SCC_Chloride!$X10,'Tables - Part 2'!$AV$6:$AV$13,0),MATCH(Ext_SCC_Chloride!$U10,'Tables - Part 2'!$AX$5:$BA$5,0))))/2,0)</f>
        <v>0</v>
      </c>
      <c r="BG10" s="248">
        <f>IF($T10=$BG$3,INDEX('Tables - Part 2'!$AX$17:$BA$24,MATCH(Ext_SCC_Chloride!$X10,'Tables - Part 2'!$AV$6:$AV$13,0),MATCH(Ext_SCC_Chloride!$U10,'Tables - Part 2'!$AX$5:$BA$5,0)),0)</f>
        <v>0</v>
      </c>
      <c r="BH10" s="248">
        <f>IF($T10=$BH$3,((INDEX('Tables - Part 2'!$AX$17:$BA$24,MATCH(Ext_SCC_Chloride!$X10,'Tables - Part 2'!$AV$6:$AV$13,0),MATCH(Ext_SCC_Chloride!$U10,'Tables - Part 2'!$AX$5:$BA$5,0)))+(((INDEX('Tables - Part 2'!$AX$17:$BA$24,MATCH(Ext_SCC_Chloride!$X10,'Tables - Part 2'!$AV$6:$AV$13,0),MATCH(Ext_SCC_Chloride!$U10,'Tables - Part 2'!$AX$5:$BA$5,0)))+(INDEX('Tables - Part 2'!$AX$17:$BA$24,MATCH(Ext_SCC_Chloride!$X10,'Tables - Part 2'!$AV$6:$AV$13,0),MATCH(Ext_SCC_Chloride!$U10,'Tables - Part 2'!$AX$5:$BA$5,0))+INDEX('Tables - Part 2'!$BB$17:$BE$24,MATCH(Ext_SCC_Chloride!$X10,'Tables - Part 2'!$AV$6:$AV$13,0),MATCH(Ext_SCC_Chloride!$U10,'Tables - Part 2'!$AX$5:$BA$5,0)))/2)/2))/2,0)</f>
        <v>0</v>
      </c>
      <c r="BI10" s="248">
        <f>IF($T10=$BI$3,((INDEX('Tables - Part 2'!$AX$17:$BA$24,MATCH(Ext_SCC_Chloride!$X10,'Tables - Part 2'!$AV$6:$AV$13,0),MATCH(Ext_SCC_Chloride!$U10,'Tables - Part 2'!$AX$5:$BA$5,0)))+(INDEX('Tables - Part 2'!$AX$17:$BA$24,MATCH(Ext_SCC_Chloride!$X10,'Tables - Part 2'!$AV$6:$AV$13,0),MATCH(Ext_SCC_Chloride!$U10,'Tables - Part 2'!$AX$5:$BA$5,0))+INDEX('Tables - Part 2'!$BB$17:$BE$24,MATCH(Ext_SCC_Chloride!$X10,'Tables - Part 2'!$AV$6:$AV$13,0),MATCH(Ext_SCC_Chloride!$U10,'Tables - Part 2'!$AX$5:$BA$5,0)))/2)/2,0)</f>
        <v>0</v>
      </c>
      <c r="BJ10" s="248">
        <f>IF($T10=$BJ$3,((((INDEX('Tables - Part 2'!$AX$17:$BA$24,MATCH(Ext_SCC_Chloride!$X10,'Tables - Part 2'!$AV$6:$AV$13,0),MATCH(Ext_SCC_Chloride!$U10,'Tables - Part 2'!$AX$5:$BA$5,0)))+(INDEX('Tables - Part 2'!$AX$17:$BA$24,MATCH(Ext_SCC_Chloride!$X10,'Tables - Part 2'!$AV$6:$AV$13,0),MATCH(Ext_SCC_Chloride!$U10,'Tables - Part 2'!$AX$5:$BA$5,0))+INDEX('Tables - Part 2'!$BB$17:$BE$24,MATCH(Ext_SCC_Chloride!$X10,'Tables - Part 2'!$AV$6:$AV$13,0),MATCH(Ext_SCC_Chloride!$U10,'Tables - Part 2'!$AX$5:$BA$5,0)))/2)/2)+((INDEX('Tables - Part 2'!$AX$17:$BA$24,MATCH(Ext_SCC_Chloride!$X10,'Tables - Part 2'!$AV$6:$AV$13,0),MATCH(Ext_SCC_Chloride!$U10,'Tables - Part 2'!$AX$5:$BA$5,0))+INDEX('Tables - Part 2'!$BB$17:$BE$24,MATCH(Ext_SCC_Chloride!$X10,'Tables - Part 2'!$AV$6:$AV$13,0),MATCH(Ext_SCC_Chloride!$U10,'Tables - Part 2'!$AX$5:$BA$5,0)))/2))/2,0)</f>
        <v>0</v>
      </c>
      <c r="BK10" s="248">
        <f>IF($T10=$BK$3,(INDEX('Tables - Part 2'!$AX$17:$BA$24,MATCH(Ext_SCC_Chloride!$X10,'Tables - Part 2'!$AV$6:$AV$13,0),MATCH(Ext_SCC_Chloride!$U10,'Tables - Part 2'!$AX$5:$BA$5,0))+INDEX('Tables - Part 2'!$BB$17:$BE$24,MATCH(Ext_SCC_Chloride!$X10,'Tables - Part 2'!$AV$6:$AV$13,0),MATCH(Ext_SCC_Chloride!$U10,'Tables - Part 2'!$AX$5:$BA$5,0)))/2,0)</f>
        <v>0</v>
      </c>
      <c r="BL10" s="248">
        <f>IF($T10=$BL$3,(((INDEX('Tables - Part 2'!$AX$17:$BA$24,MATCH(Ext_SCC_Chloride!$X10,'Tables - Part 2'!$AV$6:$AV$13,0),MATCH(Ext_SCC_Chloride!$U10,'Tables - Part 2'!$AX$5:$BA$5,0))+INDEX('Tables - Part 2'!$BB$17:$BE$24,MATCH(Ext_SCC_Chloride!$X10,'Tables - Part 2'!$AV$6:$AV$13,0),MATCH(Ext_SCC_Chloride!$U10,'Tables - Part 2'!$AX$5:$BA$5,0)))/2)+((((INDEX('Tables - Part 2'!$AX$17:$BA$24,MATCH(Ext_SCC_Chloride!$X10,'Tables - Part 2'!$AV$6:$AV$13,0),MATCH(Ext_SCC_Chloride!$U10,'Tables - Part 2'!$AX$5:$BA$5,0))+INDEX('Tables - Part 2'!$BB$17:$BE$24,MATCH(Ext_SCC_Chloride!$X10,'Tables - Part 2'!$AV$6:$AV$13,0),MATCH(Ext_SCC_Chloride!$U10,'Tables - Part 2'!$AX$5:$BA$5,0)))/2)+INDEX('Tables - Part 2'!$BB$17:$BE$24,MATCH(Ext_SCC_Chloride!$X10,'Tables - Part 2'!$AV$6:$AV$13,0),MATCH(Ext_SCC_Chloride!$U10,'Tables - Part 2'!$AX$5:$BA$5,0)))/2))/2,0)</f>
        <v>0</v>
      </c>
      <c r="BM10" s="248">
        <f>IF($T10=$BM$3,(((INDEX('Tables - Part 2'!$AX$17:$BA$24,MATCH(Ext_SCC_Chloride!$X10,'Tables - Part 2'!$AV$6:$AV$13,0),MATCH(Ext_SCC_Chloride!$U10,'Tables - Part 2'!$AX$5:$BA$5,0))+INDEX('Tables - Part 2'!$BB$17:$BE$24,MATCH(Ext_SCC_Chloride!$X10,'Tables - Part 2'!$AV$6:$AV$13,0),MATCH(Ext_SCC_Chloride!$U10,'Tables - Part 2'!$AX$5:$BA$5,0)))/2)+INDEX('Tables - Part 2'!$BB$17:$BE$24,MATCH(Ext_SCC_Chloride!$X10,'Tables - Part 2'!$AV$6:$AV$13,0),MATCH(Ext_SCC_Chloride!$U10,'Tables - Part 2'!$AX$5:$BA$5,0)))/2,0)</f>
        <v>0</v>
      </c>
      <c r="BN10" s="248">
        <f>IF($T10=$BN$3,(((((INDEX('Tables - Part 2'!$AX$17:$BA$24,MATCH(Ext_SCC_Chloride!$X10,'Tables - Part 2'!$AV$6:$AV$13,0),MATCH(Ext_SCC_Chloride!$U10,'Tables - Part 2'!$AX$5:$BA$5,0))+INDEX('Tables - Part 2'!$BB$17:$BE$24,MATCH(Ext_SCC_Chloride!$X10,'Tables - Part 2'!$AV$6:$AV$13,0),MATCH(Ext_SCC_Chloride!$U10,'Tables - Part 2'!$AX$5:$BA$5,0)))/2)+INDEX('Tables - Part 2'!$BB$17:$BE$24,MATCH(Ext_SCC_Chloride!$X10,'Tables - Part 2'!$AV$6:$AV$13,0),MATCH(Ext_SCC_Chloride!$U10,'Tables - Part 2'!$AX$5:$BA$5,0)))/2)+(INDEX('Tables - Part 2'!$BB$17:$BE$24,MATCH(Ext_SCC_Chloride!$X10,'Tables - Part 2'!$AV$6:$AV$13,0),MATCH(Ext_SCC_Chloride!$U10,'Tables - Part 2'!$AX$5:$BA$5,0))))/2,0)</f>
        <v>0</v>
      </c>
      <c r="BO10" s="248">
        <f>IF($T10=$BO$3,INDEX('Tables - Part 2'!$BB$17:$BE$24,MATCH(Ext_SCC_Chloride!$X10,'Tables - Part 2'!$AV$6:$AV$13,0),MATCH(Ext_SCC_Chloride!$U10,'Tables - Part 2'!$AX$5:$BA$5,0)),0)</f>
        <v>0</v>
      </c>
      <c r="BP10" s="248">
        <f>IF($T10=$BP$3,((INDEX('Tables - Part 2'!$BB$17:$BE$24,MATCH(Ext_SCC_Chloride!$X10,'Tables - Part 2'!$AV$6:$AV$13,0),MATCH(Ext_SCC_Chloride!$U10,'Tables - Part 2'!$AX$5:$BA$5,0)))+(((INDEX('Tables - Part 2'!$BB$17:$BE$24,MATCH(Ext_SCC_Chloride!$X10,'Tables - Part 2'!$AV$6:$AV$13,0),MATCH(Ext_SCC_Chloride!$U10,'Tables - Part 2'!$AX$5:$BA$5,0)))+(INDEX('Tables - Part 2'!$BB$17:$BE$24,MATCH(Ext_SCC_Chloride!$X10,'Tables - Part 2'!$AV$6:$AV$13,0),MATCH(Ext_SCC_Chloride!$U10,'Tables - Part 2'!$AX$5:$BA$5,0))+INDEX('Tables - Part 2'!$BF$17:$BI$24,MATCH(Ext_SCC_Chloride!$X10,'Tables - Part 2'!$AV$6:$AV$13,0),MATCH(Ext_SCC_Chloride!$U10,'Tables - Part 2'!$AX$5:$BA$5,0)))/2)/2))/2,0)</f>
        <v>0</v>
      </c>
      <c r="BQ10" s="248">
        <f>IF($T10=$BQ$3,((INDEX('Tables - Part 2'!$BB$17:$BE$24,MATCH(Ext_SCC_Chloride!$X10,'Tables - Part 2'!$AV$6:$AV$13,0),MATCH(Ext_SCC_Chloride!$U10,'Tables - Part 2'!$AX$5:$BA$5,0)))+(INDEX('Tables - Part 2'!$BB$17:$BE$24,MATCH(Ext_SCC_Chloride!$X10,'Tables - Part 2'!$AV$6:$AV$13,0),MATCH(Ext_SCC_Chloride!$U10,'Tables - Part 2'!$AX$5:$BA$5,0))+INDEX('Tables - Part 2'!$BF$17:$BI$24,MATCH(Ext_SCC_Chloride!$X10,'Tables - Part 2'!$AV$6:$AV$13,0),MATCH(Ext_SCC_Chloride!$U10,'Tables - Part 2'!$AX$5:$BA$5,0)))/2)/2,0)</f>
        <v>0</v>
      </c>
      <c r="BR10" s="248">
        <f>IF($T10=$BR$3,((((INDEX('Tables - Part 2'!$BB$17:$BE$24,MATCH(Ext_SCC_Chloride!$X10,'Tables - Part 2'!$AV$6:$AV$13,0),MATCH(Ext_SCC_Chloride!$U10,'Tables - Part 2'!$AX$5:$BA$5,0)))+(INDEX('Tables - Part 2'!$BB$17:$BE$24,MATCH(Ext_SCC_Chloride!$X10,'Tables - Part 2'!$AV$6:$AV$13,0),MATCH(Ext_SCC_Chloride!$U10,'Tables - Part 2'!$AX$5:$BA$5,0))+INDEX('Tables - Part 2'!$BF$17:$BI$24,MATCH(Ext_SCC_Chloride!$X10,'Tables - Part 2'!$AV$6:$AV$13,0),MATCH(Ext_SCC_Chloride!$U10,'Tables - Part 2'!$AX$5:$BA$5,0)))/2)/2)+((INDEX('Tables - Part 2'!$BB$17:$BE$24,MATCH(Ext_SCC_Chloride!$X10,'Tables - Part 2'!$AV$6:$AV$13,0),MATCH(Ext_SCC_Chloride!$U10,'Tables - Part 2'!$AX$5:$BA$5,0))+INDEX('Tables - Part 2'!$BF$17:$BI$24,MATCH(Ext_SCC_Chloride!$X10,'Tables - Part 2'!$AV$6:$AV$13,0),MATCH(Ext_SCC_Chloride!$U10,'Tables - Part 2'!$AX$5:$BA$5,0)))/2))/2,0)</f>
        <v>0</v>
      </c>
      <c r="BS10" s="248">
        <f>IF($T10=$BS$3,(INDEX('Tables - Part 2'!$BB$17:$BE$24,MATCH(Ext_SCC_Chloride!$X10,'Tables - Part 2'!$AV$6:$AV$13,0),MATCH(Ext_SCC_Chloride!$U10,'Tables - Part 2'!$AX$5:$BA$5,0))+INDEX('Tables - Part 2'!$BF$17:$BI$24,MATCH(Ext_SCC_Chloride!$X10,'Tables - Part 2'!$AV$6:$AV$13,0),MATCH(Ext_SCC_Chloride!$U10,'Tables - Part 2'!$AX$5:$BA$5,0)))/2,0)</f>
        <v>0</v>
      </c>
      <c r="BT10" s="248">
        <f>IF($T10=$BT$3,(((INDEX('Tables - Part 2'!$BB$17:$BE$24,MATCH(Ext_SCC_Chloride!$X10,'Tables - Part 2'!$AV$6:$AV$13,0),MATCH(Ext_SCC_Chloride!$U10,'Tables - Part 2'!$AX$5:$BA$5,0))+INDEX('Tables - Part 2'!$BF$17:$BI$24,MATCH(Ext_SCC_Chloride!$X10,'Tables - Part 2'!$AV$6:$AV$13,0),MATCH(Ext_SCC_Chloride!$U10,'Tables - Part 2'!$AX$5:$BA$5,0)))/2)+((((INDEX('Tables - Part 2'!$BB$17:$BE$24,MATCH(Ext_SCC_Chloride!$X10,'Tables - Part 2'!$AV$6:$AV$13,0),MATCH(Ext_SCC_Chloride!$U10,'Tables - Part 2'!$AX$5:$BA$5,0))+INDEX('Tables - Part 2'!$BF$17:$BI$24,MATCH(Ext_SCC_Chloride!$X10,'Tables - Part 2'!$AV$6:$AV$13,0),MATCH(Ext_SCC_Chloride!$U10,'Tables - Part 2'!$AX$5:$BA$5,0)))/2)+INDEX('Tables - Part 2'!$BF$17:$BI$24,MATCH(Ext_SCC_Chloride!$X10,'Tables - Part 2'!$AV$6:$AV$13,0),MATCH(Ext_SCC_Chloride!$U10,'Tables - Part 2'!$AX$5:$BA$5,0)))/2))/2,0)</f>
        <v>0</v>
      </c>
      <c r="BU10" s="248">
        <f>IF($T10=$BU$3,(((INDEX('Tables - Part 2'!$BB$17:$BE$24,MATCH(Ext_SCC_Chloride!$X10,'Tables - Part 2'!$AV$6:$AV$13,0),MATCH(Ext_SCC_Chloride!$U10,'Tables - Part 2'!$AX$5:$BA$5,0))+INDEX('Tables - Part 2'!$BF$17:$BI$24,MATCH(Ext_SCC_Chloride!$X10,'Tables - Part 2'!$AV$6:$AV$13,0),MATCH(Ext_SCC_Chloride!$U10,'Tables - Part 2'!$AX$5:$BA$5,0)))/2)+INDEX('Tables - Part 2'!$BF$17:$BI$24,MATCH(Ext_SCC_Chloride!$X10,'Tables - Part 2'!$AV$6:$AV$13,0),MATCH(Ext_SCC_Chloride!$U10,'Tables - Part 2'!$AX$5:$BA$5,0)))/2,0)</f>
        <v>0</v>
      </c>
      <c r="BV10" s="248">
        <f>IF($T10=$BV$3,(((((INDEX('Tables - Part 2'!$BB$17:$BE$24,MATCH(Ext_SCC_Chloride!$X10,'Tables - Part 2'!$AV$6:$AV$13,0),MATCH(Ext_SCC_Chloride!$U10,'Tables - Part 2'!$AX$5:$BA$5,0))+INDEX('Tables - Part 2'!$BF$17:$BI$24,MATCH(Ext_SCC_Chloride!$X10,'Tables - Part 2'!$AV$6:$AV$13,0),MATCH(Ext_SCC_Chloride!$U10,'Tables - Part 2'!$AX$5:$BA$5,0)))/2)+INDEX('Tables - Part 2'!$BF$17:$BI$24,MATCH(Ext_SCC_Chloride!$X10,'Tables - Part 2'!$AV$6:$AV$13,0),MATCH(Ext_SCC_Chloride!$U10,'Tables - Part 2'!$AX$5:$BA$5,0)))/2)+(INDEX('Tables - Part 2'!$BF$17:$BI$24,MATCH(Ext_SCC_Chloride!$X10,'Tables - Part 2'!$AV$6:$AV$13,0),MATCH(Ext_SCC_Chloride!$U10,'Tables - Part 2'!$AX$5:$BA$5,0))))/2,0)</f>
        <v>0</v>
      </c>
      <c r="BW10" s="248">
        <f>IF($T10=$BW$3,INDEX('Tables - Part 2'!$BF$17:$BI$24,MATCH(Ext_SCC_Chloride!$X10,'Tables - Part 2'!$AV$6:$AV$13,0),MATCH(Ext_SCC_Chloride!$U10,'Tables - Part 2'!$AX$5:$BA$5,0)),0)</f>
        <v>0</v>
      </c>
      <c r="BX10" s="248">
        <f t="shared" si="5"/>
        <v>0</v>
      </c>
      <c r="BY10" s="238">
        <f t="shared" si="12"/>
        <v>0</v>
      </c>
      <c r="BZ10" s="238">
        <f t="shared" si="13"/>
        <v>0</v>
      </c>
    </row>
    <row r="11" spans="2:87" x14ac:dyDescent="0.35">
      <c r="B11" s="161" t="str">
        <f>'Tratamento de Dados'!B19</f>
        <v>V-2</v>
      </c>
      <c r="C11" s="161" t="str">
        <f>'Tratamento de Dados'!D19</f>
        <v>Casco</v>
      </c>
      <c r="D11" s="209" t="s">
        <v>245</v>
      </c>
      <c r="E11" s="209" t="s">
        <v>61</v>
      </c>
      <c r="F11" s="247">
        <f>'Tratamento de Dados'!S19</f>
        <v>2</v>
      </c>
      <c r="G11" s="209" t="s">
        <v>953</v>
      </c>
      <c r="H11" s="210">
        <v>35234</v>
      </c>
      <c r="I11" s="210">
        <v>43983</v>
      </c>
      <c r="J11" s="210">
        <v>39092</v>
      </c>
      <c r="K11" s="210">
        <f>'Tratamento de Dados'!CC19</f>
        <v>0</v>
      </c>
      <c r="L11" s="209">
        <f>'Tratamento de Dados'!CD19</f>
        <v>0</v>
      </c>
      <c r="M11" s="209" t="s">
        <v>905</v>
      </c>
      <c r="N11" s="209">
        <v>0</v>
      </c>
      <c r="O11" s="209">
        <v>1</v>
      </c>
      <c r="P11" s="209">
        <v>1</v>
      </c>
      <c r="Q11" s="209">
        <v>4</v>
      </c>
      <c r="R11" s="253">
        <f>'Tratamento de Dados'!DA19</f>
        <v>0</v>
      </c>
      <c r="S11" s="253">
        <f>'Tratamento de Dados'!DB19</f>
        <v>0</v>
      </c>
      <c r="T11" s="256">
        <f t="shared" si="0"/>
        <v>2.5</v>
      </c>
      <c r="U11" s="246" t="str">
        <f t="shared" si="1"/>
        <v>B</v>
      </c>
      <c r="V11" s="246" t="str">
        <f>IF(F11&lt;49,'Tables - Part 2'!$FH$5,IF(F11&lt;=93,'Tables - Part 2'!$FH$6,IF(F11&lt;=149,'Tables - Part 2'!$FH$7,'Tables - Part 2'!$FH$8)))</f>
        <v>&lt;49</v>
      </c>
      <c r="W11" s="467" t="str">
        <f>IF(D11=$CE$2,$CC$5,INDEX('Tables - Part 2'!$FI$5:$FL$8,MATCH(Ext_SCC_Chloride!V11,'Tables - Part 2'!$FH$5:$FH$8,0),MATCH(Ext_SCC_Chloride!M11,'Tables - Part 2'!$FI$4:$FL$4,0)))</f>
        <v>None</v>
      </c>
      <c r="X11" s="238">
        <f>IF(AND(D11=$CE$2,E11&lt;&gt;$CE$2),"Fitness-For-Service",INDEX('Tables - Part 2'!$FO$4:$FO$7,MATCH(Ext_SCC_Chloride!W11,'Tables - Part 2'!$FN$4:$FN$7,0),))</f>
        <v>0</v>
      </c>
      <c r="Y11" s="238">
        <f>IF(J11=0,(Thinning!G12-Thinning!F12)/365.25,(Thinning!G12-J11)/365.25)</f>
        <v>12.980150581793293</v>
      </c>
      <c r="Z11" s="248">
        <f t="shared" si="2"/>
        <v>0</v>
      </c>
      <c r="AA11" s="248">
        <f t="shared" si="3"/>
        <v>2.5</v>
      </c>
      <c r="AB11" s="247">
        <f t="shared" si="6"/>
        <v>3</v>
      </c>
      <c r="AC11" s="247">
        <f t="shared" si="4"/>
        <v>4</v>
      </c>
      <c r="AD11" s="247">
        <f t="shared" si="7"/>
        <v>120.41889117043121</v>
      </c>
      <c r="AE11" s="247">
        <f t="shared" si="8"/>
        <v>0</v>
      </c>
      <c r="AF11" s="247">
        <f t="shared" si="9"/>
        <v>0</v>
      </c>
      <c r="AG11" s="247">
        <f t="shared" si="10"/>
        <v>0</v>
      </c>
      <c r="AH11" s="247">
        <f t="shared" si="11"/>
        <v>12.980150581793293</v>
      </c>
      <c r="AI11" s="248">
        <f>IF($T11=$AI$3,INDEX('Tables - Part 2'!$AX$6:$BA$13,MATCH(Ext_SCC_Chloride!X11,'Tables - Part 2'!$AV$6:$AV$13,0),MATCH(Ext_SCC_Chloride!U11,'Tables - Part 2'!$AX$5:$BA$5,0)),0)</f>
        <v>0</v>
      </c>
      <c r="AJ11" s="248">
        <f>IF($T11=$AJ$3,(INDEX('Tables - Part 2'!$AX$6:$BA$13,MATCH(Ext_SCC_Chloride!X11,'Tables - Part 2'!$AV$6:$AV$13,0),MATCH(Ext_SCC_Chloride!U11,'Tables - Part 2'!$AX$5:$BA$5,0))+(INDEX('Tables - Part 2'!$AX$6:$BA$13,MATCH(Ext_SCC_Chloride!X11,'Tables - Part 2'!$AV$6:$AV$13,0),MATCH(Ext_SCC_Chloride!U11,'Tables - Part 2'!$AX$5:$BA$5,0))+((INDEX('Tables - Part 2'!$AX$6:$BA$13,MATCH(Ext_SCC_Chloride!X11,'Tables - Part 2'!$AV$6:$AV$13,0),MATCH(Ext_SCC_Chloride!U11,'Tables - Part 2'!$AX$5:$BA$5,0))+INDEX('Tables - Part 2'!$BB$6:$BE$13,MATCH(Ext_SCC_Chloride!$X11,'Tables - Part 2'!$AV$6:$AV$13,0),MATCH(Ext_SCC_Chloride!$U11,'Tables - Part 2'!$AX$5:$BA$5,0)))/2))/2)/2,0)</f>
        <v>0</v>
      </c>
      <c r="AK11" s="248">
        <f>IF($T11=$AK$3,(INDEX('Tables - Part 2'!$AX$6:$BA$13,MATCH(Ext_SCC_Chloride!X11,'Tables - Part 2'!$AV$6:$AV$13,0),MATCH(Ext_SCC_Chloride!U11,'Tables - Part 2'!$AX$5:$BA$5,0))+((INDEX('Tables - Part 2'!$AX$6:$BA$13,MATCH(Ext_SCC_Chloride!X11,'Tables - Part 2'!$AV$6:$AV$13,0),MATCH(Ext_SCC_Chloride!U11,'Tables - Part 2'!$AX$5:$BA$5,0))+INDEX('Tables - Part 2'!$BB$6:$BE$13,MATCH(Ext_SCC_Chloride!$X11,'Tables - Part 2'!$AV$6:$AV$13,0),MATCH(Ext_SCC_Chloride!$U11,'Tables - Part 2'!$AX$5:$BA$5,0)))/2))/2,0)</f>
        <v>0</v>
      </c>
      <c r="AL11" s="248">
        <f>IF($T11=$AL$3,(((INDEX('Tables - Part 2'!$AX$6:$BA$13,MATCH(Ext_SCC_Chloride!X11,'Tables - Part 2'!$AV$6:$AV$13,0),MATCH(Ext_SCC_Chloride!U11,'Tables - Part 2'!$AX$5:$BA$5,0))+((INDEX('Tables - Part 2'!$AX$6:$BA$13,MATCH(Ext_SCC_Chloride!X11,'Tables - Part 2'!$AV$6:$AV$13,0),MATCH(Ext_SCC_Chloride!U11,'Tables - Part 2'!$AX$5:$BA$5,0))+INDEX('Tables - Part 2'!$BB$6:$BE$13,MATCH(Ext_SCC_Chloride!$X11,'Tables - Part 2'!$AV$6:$AV$13,0),MATCH(Ext_SCC_Chloride!$U11,'Tables - Part 2'!$AX$5:$BA$5,0)))/2))/2)+(INDEX('Tables - Part 2'!$AX$6:$BA$13,MATCH(Ext_SCC_Chloride!X11,'Tables - Part 2'!$AV$6:$AV$13,0),MATCH(Ext_SCC_Chloride!U11,'Tables - Part 2'!$AX$5:$BA$5,0))+INDEX('Tables - Part 2'!$BB$6:$BE$13,MATCH(Ext_SCC_Chloride!$X11,'Tables - Part 2'!$AV$6:$AV$13,0),MATCH(Ext_SCC_Chloride!$U11,'Tables - Part 2'!$AX$5:$BA$5,0)))/2)/2,0)</f>
        <v>0</v>
      </c>
      <c r="AM11" s="248">
        <f>IF($T11=$AM$3,(INDEX('Tables - Part 2'!$AX$6:$BA$13,MATCH(Ext_SCC_Chloride!X11,'Tables - Part 2'!$AV$6:$AV$13,0),MATCH(Ext_SCC_Chloride!U11,'Tables - Part 2'!$AX$5:$BA$5,0))+INDEX('Tables - Part 2'!$BB$6:$BE$13,MATCH(Ext_SCC_Chloride!$X11,'Tables - Part 2'!$AV$6:$AV$13,0),MATCH(Ext_SCC_Chloride!$U11,'Tables - Part 2'!$AX$5:$BA$5,0)))/2,0)</f>
        <v>0</v>
      </c>
      <c r="AN11" s="248">
        <f>IF($T11=$AN$3,(((INDEX('Tables - Part 2'!$AX$6:$BA$13,MATCH(Ext_SCC_Chloride!X11,'Tables - Part 2'!$AV$6:$AV$13,0),MATCH(Ext_SCC_Chloride!U11,'Tables - Part 2'!$AX$5:$BA$5,0))+INDEX('Tables - Part 2'!$BB$6:$BE$13,MATCH(Ext_SCC_Chloride!$X11,'Tables - Part 2'!$AV$6:$AV$13,0),MATCH(Ext_SCC_Chloride!$U11,'Tables - Part 2'!$AX$5:$BA$5,0)))/2)+(((INDEX('Tables - Part 2'!$AX$6:$BA$13,MATCH(Ext_SCC_Chloride!X11,'Tables - Part 2'!$AV$6:$AV$13,0),MATCH(Ext_SCC_Chloride!U11,'Tables - Part 2'!$AX$5:$BA$5,0))+INDEX('Tables - Part 2'!$BB$6:$BE$13,MATCH(Ext_SCC_Chloride!$X11,'Tables - Part 2'!$AV$6:$AV$13,0),MATCH(Ext_SCC_Chloride!$U11,'Tables - Part 2'!$AX$5:$BA$5,0)))/2)+INDEX('Tables - Part 2'!$BB$6:$BE$13,MATCH(Ext_SCC_Chloride!$X11,'Tables - Part 2'!$AV$6:$AV$13,0),MATCH(Ext_SCC_Chloride!$U11,'Tables - Part 2'!$AX$5:$BA$5,0)))/2)/2,0)</f>
        <v>0</v>
      </c>
      <c r="AO11" s="248">
        <f>IF($T11=$AO$3,(((INDEX('Tables - Part 2'!$AX$6:$BA$13,MATCH(Ext_SCC_Chloride!X11,'Tables - Part 2'!$AV$6:$AV$13,0),MATCH(Ext_SCC_Chloride!U11,'Tables - Part 2'!$AX$5:$BA$5,0))+INDEX('Tables - Part 2'!$BB$6:$BE$13,MATCH(Ext_SCC_Chloride!$X11,'Tables - Part 2'!$AV$6:$AV$13,0),MATCH(Ext_SCC_Chloride!$U11,'Tables - Part 2'!$AX$5:$BA$5,0)))/2)+INDEX('Tables - Part 2'!$BB$6:$BE$13,MATCH(Ext_SCC_Chloride!$X11,'Tables - Part 2'!$AV$6:$AV$13,0),MATCH(Ext_SCC_Chloride!$U11,'Tables - Part 2'!$AX$5:$BA$5,0)))/2,0)</f>
        <v>0</v>
      </c>
      <c r="AP11" s="248">
        <f>IF($T11=$AP$3,(((((INDEX('Tables - Part 2'!$AX$6:$BA$13,MATCH(Ext_SCC_Chloride!X11,'Tables - Part 2'!$AV$6:$AV$13,0),MATCH(Ext_SCC_Chloride!U11,'Tables - Part 2'!$AX$5:$BA$5,0))+INDEX('Tables - Part 2'!$BB$6:$BE$13,MATCH(Ext_SCC_Chloride!$X11,'Tables - Part 2'!$AV$6:$AV$13,0),MATCH(Ext_SCC_Chloride!$U11,'Tables - Part 2'!$AX$5:$BA$5,0)))/2)+INDEX('Tables - Part 2'!$BB$6:$BE$13,MATCH(Ext_SCC_Chloride!$X11,'Tables - Part 2'!$AV$6:$AV$13,0),MATCH(Ext_SCC_Chloride!$U11,'Tables - Part 2'!$AX$5:$BA$5,0)))/2)+INDEX('Tables - Part 2'!$BB$6:$BE$13,MATCH(Ext_SCC_Chloride!$X11,'Tables - Part 2'!$AV$6:$AV$13,0),MATCH(Ext_SCC_Chloride!$U11,'Tables - Part 2'!$AX$5:$BA$5,0)))/2,0)</f>
        <v>0</v>
      </c>
      <c r="AQ11" s="248">
        <f>IF($T11=$AQ$3,INDEX('Tables - Part 2'!$BB$6:$BE$13,MATCH(Ext_SCC_Chloride!$X11,'Tables - Part 2'!$AV$6:$AV$13,0),MATCH(Ext_SCC_Chloride!$U11,'Tables - Part 2'!$AX$5:$BA$5,0)),0)</f>
        <v>0</v>
      </c>
      <c r="AR11" s="248">
        <f>IF($T11=$AR$3,((INDEX('Tables - Part 2'!$BB$6:$BE$13,MATCH(Ext_SCC_Chloride!$X11,'Tables - Part 2'!$AV$6:$AV$13,0),MATCH(Ext_SCC_Chloride!$U11,'Tables - Part 2'!$AX$5:$BA$5,0)))+(INDEX('Tables - Part 2'!$BB$6:$BE$13,MATCH(Ext_SCC_Chloride!$X11,'Tables - Part 2'!$AV$6:$AV$13,0),MATCH(Ext_SCC_Chloride!$U11,'Tables - Part 2'!$AX$5:$BA$5,0))+(INDEX('Tables - Part 2'!$BB$6:$BE$13,MATCH(Ext_SCC_Chloride!$X11,'Tables - Part 2'!$AV$6:$AV$13,0),MATCH(Ext_SCC_Chloride!$U11,'Tables - Part 2'!$AX$5:$BA$5,0))+INDEX('Tables - Part 2'!$BF$6:$BI$13,MATCH(Ext_SCC_Chloride!$X11,'Tables - Part 2'!$AV$6:$AV$13,0),MATCH(Ext_SCC_Chloride!$U11,'Tables - Part 2'!$AX$5:$BA$5,0)))/2)/2)/2,0)</f>
        <v>0</v>
      </c>
      <c r="AS11" s="248">
        <f>IF($T11=$AS$3,(INDEX('Tables - Part 2'!$BB$6:$BE$13,MATCH(Ext_SCC_Chloride!$X11,'Tables - Part 2'!$AV$6:$AV$13,0),MATCH(Ext_SCC_Chloride!$U11,'Tables - Part 2'!$AX$5:$BA$5,0))+(INDEX('Tables - Part 2'!$BB$6:$BE$13,MATCH(Ext_SCC_Chloride!$X11,'Tables - Part 2'!$AV$6:$AV$13,0),MATCH(Ext_SCC_Chloride!$U11,'Tables - Part 2'!$AX$5:$BA$5,0))+INDEX('Tables - Part 2'!$BF$6:$BI$13,MATCH(Ext_SCC_Chloride!$X11,'Tables - Part 2'!$AV$6:$AV$13,0),MATCH(Ext_SCC_Chloride!$U11,'Tables - Part 2'!$AX$5:$BA$5,0)))/2)/2,0)</f>
        <v>0</v>
      </c>
      <c r="AT11" s="248">
        <f>IF($T11=$AT$3,(((INDEX('Tables - Part 2'!$BB$6:$BE$13,MATCH(Ext_SCC_Chloride!$X11,'Tables - Part 2'!$AV$6:$AV$13,0),MATCH(Ext_SCC_Chloride!$U11,'Tables - Part 2'!$AX$5:$BA$5,0))+(INDEX('Tables - Part 2'!$BB$6:$BE$13,MATCH(Ext_SCC_Chloride!$X11,'Tables - Part 2'!$AV$6:$AV$13,0),MATCH(Ext_SCC_Chloride!$U11,'Tables - Part 2'!$AX$5:$BA$5,0))+INDEX('Tables - Part 2'!$BF$6:$BI$13,MATCH(Ext_SCC_Chloride!$X11,'Tables - Part 2'!$AV$6:$AV$13,0),MATCH(Ext_SCC_Chloride!$U11,'Tables - Part 2'!$AX$5:$BA$5,0)))/2)/2)+((INDEX('Tables - Part 2'!$BB$6:$BE$13,MATCH(Ext_SCC_Chloride!$X11,'Tables - Part 2'!$AV$6:$AV$13,0),MATCH(Ext_SCC_Chloride!$U11,'Tables - Part 2'!$AX$5:$BA$5,0))+INDEX('Tables - Part 2'!$BF$6:$BI$13,MATCH(Ext_SCC_Chloride!$X11,'Tables - Part 2'!$AV$6:$AV$13,0),MATCH(Ext_SCC_Chloride!$U11,'Tables - Part 2'!$AX$5:$BA$5,0)))/2))/2,0)</f>
        <v>0</v>
      </c>
      <c r="AU11" s="248">
        <f>IF($T11=$AU$3,(INDEX('Tables - Part 2'!$BB$6:$BE$13,MATCH(Ext_SCC_Chloride!$X11,'Tables - Part 2'!$AV$6:$AV$13,0),MATCH(Ext_SCC_Chloride!$U11,'Tables - Part 2'!$AX$5:$BA$5,0))+INDEX('Tables - Part 2'!$BF$6:$BI$13,MATCH(Ext_SCC_Chloride!$X11,'Tables - Part 2'!$AV$6:$AV$13,0),MATCH(Ext_SCC_Chloride!$U11,'Tables - Part 2'!$AX$5:$BA$5,0)))/2,0)</f>
        <v>0</v>
      </c>
      <c r="AV11" s="248">
        <f>IF($T11=$AV$3,(((INDEX('Tables - Part 2'!$BB$6:$BE$13,MATCH(Ext_SCC_Chloride!$X11,'Tables - Part 2'!$AV$6:$AV$13,0),MATCH(Ext_SCC_Chloride!$U11,'Tables - Part 2'!$AX$5:$BA$5,0))+INDEX('Tables - Part 2'!$BF$6:$BI$13,MATCH(Ext_SCC_Chloride!$X11,'Tables - Part 2'!$AV$6:$AV$13,0),MATCH(Ext_SCC_Chloride!$U11,'Tables - Part 2'!$AX$5:$BA$5,0)))/2)+((((INDEX('Tables - Part 2'!$BB$6:$BE$13,MATCH(Ext_SCC_Chloride!$X11,'Tables - Part 2'!$AV$6:$AV$13,0),MATCH(Ext_SCC_Chloride!$U11,'Tables - Part 2'!$AX$5:$BA$5,0))+INDEX('Tables - Part 2'!$BF$6:$BI$13,MATCH(Ext_SCC_Chloride!$X11,'Tables - Part 2'!$AV$6:$AV$13,0),MATCH(Ext_SCC_Chloride!$U11,'Tables - Part 2'!$AX$5:$BA$5,0)))/2)+INDEX('Tables - Part 2'!$BF$6:$BI$13,MATCH(Ext_SCC_Chloride!$X11,'Tables - Part 2'!$AV$6:$AV$13,0),MATCH(Ext_SCC_Chloride!$U11,'Tables - Part 2'!$AX$5:$BA$5,0)))/2))/2,0)</f>
        <v>0</v>
      </c>
      <c r="AW11" s="248">
        <f>IF($T11=$AW$3,(((INDEX('Tables - Part 2'!$BB$6:$BE$13,MATCH(Ext_SCC_Chloride!$X11,'Tables - Part 2'!$AV$6:$AV$13,0),MATCH(Ext_SCC_Chloride!$U11,'Tables - Part 2'!$AX$5:$BA$5,0))+INDEX('Tables - Part 2'!$BF$6:$BI$13,MATCH(Ext_SCC_Chloride!$X11,'Tables - Part 2'!$AV$6:$AV$13,0),MATCH(Ext_SCC_Chloride!$U11,'Tables - Part 2'!$AX$5:$BA$5,0)))/2)+INDEX('Tables - Part 2'!$BF$6:$BI$13,MATCH(Ext_SCC_Chloride!$X11,'Tables - Part 2'!$AV$6:$AV$13,0),MATCH(Ext_SCC_Chloride!$U11,'Tables - Part 2'!$AX$5:$BA$5,0)))/2,0)</f>
        <v>0</v>
      </c>
      <c r="AX11" s="248">
        <f>IF($T11=$AX$3,(((((INDEX('Tables - Part 2'!$BB$6:$BE$13,MATCH(Ext_SCC_Chloride!$X11,'Tables - Part 2'!$AV$6:$AV$13,0),MATCH(Ext_SCC_Chloride!$U11,'Tables - Part 2'!$AX$5:$BA$5,0))+INDEX('Tables - Part 2'!$BF$6:$BI$13,MATCH(Ext_SCC_Chloride!$X11,'Tables - Part 2'!$AV$6:$AV$13,0),MATCH(Ext_SCC_Chloride!$U11,'Tables - Part 2'!$AX$5:$BA$5,0)))/2)+INDEX('Tables - Part 2'!$BF$6:$BI$13,MATCH(Ext_SCC_Chloride!$X11,'Tables - Part 2'!$AV$6:$AV$13,0),MATCH(Ext_SCC_Chloride!$U11,'Tables - Part 2'!$AX$5:$BA$5,0)))/2)+INDEX('Tables - Part 2'!$BF$6:$BI$13,MATCH(Ext_SCC_Chloride!$X11,'Tables - Part 2'!$AV$6:$AV$13,0),MATCH(Ext_SCC_Chloride!$U11,'Tables - Part 2'!$AX$5:$BA$5,0)))/2,0)</f>
        <v>0</v>
      </c>
      <c r="AY11" s="248">
        <f>IF($T11=$AY$3,INDEX('Tables - Part 2'!$BF$6:$BI$13,MATCH(Ext_SCC_Chloride!$X11,'Tables - Part 2'!$AV$6:$AV$13,0),MATCH(Ext_SCC_Chloride!$U11,'Tables - Part 2'!$AX$5:$BA$5,0)),0)</f>
        <v>0</v>
      </c>
      <c r="AZ11" s="248">
        <f>IF($T11=$AZ$3,(INDEX('Tables - Part 2'!$BF$6:$BI$13,MATCH(Ext_SCC_Chloride!$X11,'Tables - Part 2'!$AV$6:$AV$13,0),MATCH(Ext_SCC_Chloride!$U11,'Tables - Part 2'!$AX$5:$BA$5,0))+((INDEX('Tables - Part 2'!$BF$6:$BI$13,MATCH(Ext_SCC_Chloride!$X11,'Tables - Part 2'!$AV$6:$AV$13,0),MATCH(Ext_SCC_Chloride!$U11,'Tables - Part 2'!$AX$5:$BA$5,0))+(INDEX('Tables - Part 2'!$BF$6:$BI$13,MATCH(Ext_SCC_Chloride!$X11,'Tables - Part 2'!$AV$6:$AV$13,0),MATCH(Ext_SCC_Chloride!$U11,'Tables - Part 2'!$AX$5:$BA$5,0))+INDEX('Tables - Part 2'!$AX$17:$BA$24,MATCH(Ext_SCC_Chloride!$X11,'Tables - Part 2'!$AV$6:$AV$13,0),MATCH(Ext_SCC_Chloride!$U11,'Tables - Part 2'!$AX$5:$BA$5,0)))/2)/2))/2,0)</f>
        <v>0</v>
      </c>
      <c r="BA11" s="248">
        <f>IF($T11=$BA$3,(INDEX('Tables - Part 2'!$BF$6:$BI$13,MATCH(Ext_SCC_Chloride!$X11,'Tables - Part 2'!$AV$6:$AV$13,0),MATCH(Ext_SCC_Chloride!$U11,'Tables - Part 2'!$AX$5:$BA$5,0))+(INDEX('Tables - Part 2'!$BF$6:$BI$13,MATCH(Ext_SCC_Chloride!$X11,'Tables - Part 2'!$AV$6:$AV$13,0),MATCH(Ext_SCC_Chloride!$U11,'Tables - Part 2'!$AX$5:$BA$5,0))+INDEX('Tables - Part 2'!$AX$17:$BA$24,MATCH(Ext_SCC_Chloride!$X11,'Tables - Part 2'!$AV$6:$AV$13,0),MATCH(Ext_SCC_Chloride!$U11,'Tables - Part 2'!$AX$5:$BA$5,0)))/2)/2,0)</f>
        <v>0</v>
      </c>
      <c r="BB11" s="248">
        <f>IF($T11=$BB$3,(((INDEX('Tables - Part 2'!$BF$6:$BI$13,MATCH(Ext_SCC_Chloride!$X11,'Tables - Part 2'!$AV$6:$AV$13,0),MATCH(Ext_SCC_Chloride!$U11,'Tables - Part 2'!$AX$5:$BA$5,0))+(INDEX('Tables - Part 2'!$BF$6:$BI$13,MATCH(Ext_SCC_Chloride!$X11,'Tables - Part 2'!$AV$6:$AV$13,0),MATCH(Ext_SCC_Chloride!$U11,'Tables - Part 2'!$AX$5:$BA$5,0))+INDEX('Tables - Part 2'!$AX$17:$BA$24,MATCH(Ext_SCC_Chloride!$X11,'Tables - Part 2'!$AV$6:$AV$13,0),MATCH(Ext_SCC_Chloride!$U11,'Tables - Part 2'!$AX$5:$BA$5,0)))/2)/2)+((INDEX('Tables - Part 2'!$BF$6:$BI$13,MATCH(Ext_SCC_Chloride!$X11,'Tables - Part 2'!$AV$6:$AV$13,0),MATCH(Ext_SCC_Chloride!$U11,'Tables - Part 2'!$AX$5:$BA$5,0))+INDEX('Tables - Part 2'!$AX$17:$BA$24,MATCH(Ext_SCC_Chloride!$X11,'Tables - Part 2'!$AV$6:$AV$13,0),MATCH(Ext_SCC_Chloride!$U11,'Tables - Part 2'!$AX$5:$BA$5,0)))/2))/2,0)</f>
        <v>0</v>
      </c>
      <c r="BC11" s="248">
        <f>IF($T11=$BC$3,(INDEX('Tables - Part 2'!$BF$6:$BI$13,MATCH(Ext_SCC_Chloride!$X11,'Tables - Part 2'!$AV$6:$AV$13,0),MATCH(Ext_SCC_Chloride!$U11,'Tables - Part 2'!$AX$5:$BA$5,0))+INDEX('Tables - Part 2'!$AX$17:$BA$24,MATCH(Ext_SCC_Chloride!$X11,'Tables - Part 2'!$AV$6:$AV$13,0),MATCH(Ext_SCC_Chloride!$U11,'Tables - Part 2'!$AX$5:$BA$5,0)))/2,0)</f>
        <v>0</v>
      </c>
      <c r="BD11" s="248">
        <f>IF($T11=$BD$3,(((INDEX('Tables - Part 2'!$BF$6:$BI$13,MATCH(Ext_SCC_Chloride!$X11,'Tables - Part 2'!$AV$6:$AV$13,0),MATCH(Ext_SCC_Chloride!$U11,'Tables - Part 2'!$AX$5:$BA$5,0))+INDEX('Tables - Part 2'!$AX$17:$BA$24,MATCH(Ext_SCC_Chloride!$X11,'Tables - Part 2'!$AV$6:$AV$13,0),MATCH(Ext_SCC_Chloride!$U11,'Tables - Part 2'!$AX$5:$BA$5,0)))/2)+((((INDEX('Tables - Part 2'!$BF$6:$BI$13,MATCH(Ext_SCC_Chloride!$X11,'Tables - Part 2'!$AV$6:$AV$13,0),MATCH(Ext_SCC_Chloride!$U11,'Tables - Part 2'!$AX$5:$BA$5,0))+INDEX('Tables - Part 2'!$AX$17:$BA$24,MATCH(Ext_SCC_Chloride!$X11,'Tables - Part 2'!$AV$6:$AV$13,0),MATCH(Ext_SCC_Chloride!$U11,'Tables - Part 2'!$AX$5:$BA$5,0)))/2)+INDEX('Tables - Part 2'!$AX$17:$BA$24,MATCH(Ext_SCC_Chloride!$X11,'Tables - Part 2'!$AV$6:$AV$13,0),MATCH(Ext_SCC_Chloride!$U11,'Tables - Part 2'!$AX$5:$BA$5,0)))/2))/2,0)</f>
        <v>0</v>
      </c>
      <c r="BE11" s="248">
        <f>IF($T11=$BE$3,(((INDEX('Tables - Part 2'!$BF$6:$BI$13,MATCH(Ext_SCC_Chloride!$X11,'Tables - Part 2'!$AV$6:$AV$13,0),MATCH(Ext_SCC_Chloride!$U11,'Tables - Part 2'!$AX$5:$BA$5,0))+INDEX('Tables - Part 2'!$AX$17:$BA$24,MATCH(Ext_SCC_Chloride!$X11,'Tables - Part 2'!$AV$6:$AV$13,0),MATCH(Ext_SCC_Chloride!$U11,'Tables - Part 2'!$AX$5:$BA$5,0)))/2)+INDEX('Tables - Part 2'!$AX$17:$BA$24,MATCH(Ext_SCC_Chloride!$X11,'Tables - Part 2'!$AV$6:$AV$13,0),MATCH(Ext_SCC_Chloride!$U11,'Tables - Part 2'!$AX$5:$BA$5,0)))/2,0)</f>
        <v>0</v>
      </c>
      <c r="BF11" s="248">
        <f>IF($T11=$BF$3,(((((INDEX('Tables - Part 2'!$BF$6:$BI$13,MATCH(Ext_SCC_Chloride!$X11,'Tables - Part 2'!$AV$6:$AV$13,0),MATCH(Ext_SCC_Chloride!$U11,'Tables - Part 2'!$AX$5:$BA$5,0))+INDEX('Tables - Part 2'!$AX$17:$BA$24,MATCH(Ext_SCC_Chloride!$X11,'Tables - Part 2'!$AV$6:$AV$13,0),MATCH(Ext_SCC_Chloride!$U11,'Tables - Part 2'!$AX$5:$BA$5,0)))/2)+INDEX('Tables - Part 2'!$AX$17:$BA$24,MATCH(Ext_SCC_Chloride!$X11,'Tables - Part 2'!$AV$6:$AV$13,0),MATCH(Ext_SCC_Chloride!$U11,'Tables - Part 2'!$AX$5:$BA$5,0)))/2)+(INDEX('Tables - Part 2'!$AX$17:$BA$24,MATCH(Ext_SCC_Chloride!$X11,'Tables - Part 2'!$AV$6:$AV$13,0),MATCH(Ext_SCC_Chloride!$U11,'Tables - Part 2'!$AX$5:$BA$5,0))))/2,0)</f>
        <v>0</v>
      </c>
      <c r="BG11" s="248">
        <f>IF($T11=$BG$3,INDEX('Tables - Part 2'!$AX$17:$BA$24,MATCH(Ext_SCC_Chloride!$X11,'Tables - Part 2'!$AV$6:$AV$13,0),MATCH(Ext_SCC_Chloride!$U11,'Tables - Part 2'!$AX$5:$BA$5,0)),0)</f>
        <v>0</v>
      </c>
      <c r="BH11" s="248">
        <f>IF($T11=$BH$3,((INDEX('Tables - Part 2'!$AX$17:$BA$24,MATCH(Ext_SCC_Chloride!$X11,'Tables - Part 2'!$AV$6:$AV$13,0),MATCH(Ext_SCC_Chloride!$U11,'Tables - Part 2'!$AX$5:$BA$5,0)))+(((INDEX('Tables - Part 2'!$AX$17:$BA$24,MATCH(Ext_SCC_Chloride!$X11,'Tables - Part 2'!$AV$6:$AV$13,0),MATCH(Ext_SCC_Chloride!$U11,'Tables - Part 2'!$AX$5:$BA$5,0)))+(INDEX('Tables - Part 2'!$AX$17:$BA$24,MATCH(Ext_SCC_Chloride!$X11,'Tables - Part 2'!$AV$6:$AV$13,0),MATCH(Ext_SCC_Chloride!$U11,'Tables - Part 2'!$AX$5:$BA$5,0))+INDEX('Tables - Part 2'!$BB$17:$BE$24,MATCH(Ext_SCC_Chloride!$X11,'Tables - Part 2'!$AV$6:$AV$13,0),MATCH(Ext_SCC_Chloride!$U11,'Tables - Part 2'!$AX$5:$BA$5,0)))/2)/2))/2,0)</f>
        <v>0</v>
      </c>
      <c r="BI11" s="248">
        <f>IF($T11=$BI$3,((INDEX('Tables - Part 2'!$AX$17:$BA$24,MATCH(Ext_SCC_Chloride!$X11,'Tables - Part 2'!$AV$6:$AV$13,0),MATCH(Ext_SCC_Chloride!$U11,'Tables - Part 2'!$AX$5:$BA$5,0)))+(INDEX('Tables - Part 2'!$AX$17:$BA$24,MATCH(Ext_SCC_Chloride!$X11,'Tables - Part 2'!$AV$6:$AV$13,0),MATCH(Ext_SCC_Chloride!$U11,'Tables - Part 2'!$AX$5:$BA$5,0))+INDEX('Tables - Part 2'!$BB$17:$BE$24,MATCH(Ext_SCC_Chloride!$X11,'Tables - Part 2'!$AV$6:$AV$13,0),MATCH(Ext_SCC_Chloride!$U11,'Tables - Part 2'!$AX$5:$BA$5,0)))/2)/2,0)</f>
        <v>0</v>
      </c>
      <c r="BJ11" s="248">
        <f>IF($T11=$BJ$3,((((INDEX('Tables - Part 2'!$AX$17:$BA$24,MATCH(Ext_SCC_Chloride!$X11,'Tables - Part 2'!$AV$6:$AV$13,0),MATCH(Ext_SCC_Chloride!$U11,'Tables - Part 2'!$AX$5:$BA$5,0)))+(INDEX('Tables - Part 2'!$AX$17:$BA$24,MATCH(Ext_SCC_Chloride!$X11,'Tables - Part 2'!$AV$6:$AV$13,0),MATCH(Ext_SCC_Chloride!$U11,'Tables - Part 2'!$AX$5:$BA$5,0))+INDEX('Tables - Part 2'!$BB$17:$BE$24,MATCH(Ext_SCC_Chloride!$X11,'Tables - Part 2'!$AV$6:$AV$13,0),MATCH(Ext_SCC_Chloride!$U11,'Tables - Part 2'!$AX$5:$BA$5,0)))/2)/2)+((INDEX('Tables - Part 2'!$AX$17:$BA$24,MATCH(Ext_SCC_Chloride!$X11,'Tables - Part 2'!$AV$6:$AV$13,0),MATCH(Ext_SCC_Chloride!$U11,'Tables - Part 2'!$AX$5:$BA$5,0))+INDEX('Tables - Part 2'!$BB$17:$BE$24,MATCH(Ext_SCC_Chloride!$X11,'Tables - Part 2'!$AV$6:$AV$13,0),MATCH(Ext_SCC_Chloride!$U11,'Tables - Part 2'!$AX$5:$BA$5,0)))/2))/2,0)</f>
        <v>0</v>
      </c>
      <c r="BK11" s="248">
        <f>IF($T11=$BK$3,(INDEX('Tables - Part 2'!$AX$17:$BA$24,MATCH(Ext_SCC_Chloride!$X11,'Tables - Part 2'!$AV$6:$AV$13,0),MATCH(Ext_SCC_Chloride!$U11,'Tables - Part 2'!$AX$5:$BA$5,0))+INDEX('Tables - Part 2'!$BB$17:$BE$24,MATCH(Ext_SCC_Chloride!$X11,'Tables - Part 2'!$AV$6:$AV$13,0),MATCH(Ext_SCC_Chloride!$U11,'Tables - Part 2'!$AX$5:$BA$5,0)))/2,0)</f>
        <v>0</v>
      </c>
      <c r="BL11" s="248">
        <f>IF($T11=$BL$3,(((INDEX('Tables - Part 2'!$AX$17:$BA$24,MATCH(Ext_SCC_Chloride!$X11,'Tables - Part 2'!$AV$6:$AV$13,0),MATCH(Ext_SCC_Chloride!$U11,'Tables - Part 2'!$AX$5:$BA$5,0))+INDEX('Tables - Part 2'!$BB$17:$BE$24,MATCH(Ext_SCC_Chloride!$X11,'Tables - Part 2'!$AV$6:$AV$13,0),MATCH(Ext_SCC_Chloride!$U11,'Tables - Part 2'!$AX$5:$BA$5,0)))/2)+((((INDEX('Tables - Part 2'!$AX$17:$BA$24,MATCH(Ext_SCC_Chloride!$X11,'Tables - Part 2'!$AV$6:$AV$13,0),MATCH(Ext_SCC_Chloride!$U11,'Tables - Part 2'!$AX$5:$BA$5,0))+INDEX('Tables - Part 2'!$BB$17:$BE$24,MATCH(Ext_SCC_Chloride!$X11,'Tables - Part 2'!$AV$6:$AV$13,0),MATCH(Ext_SCC_Chloride!$U11,'Tables - Part 2'!$AX$5:$BA$5,0)))/2)+INDEX('Tables - Part 2'!$BB$17:$BE$24,MATCH(Ext_SCC_Chloride!$X11,'Tables - Part 2'!$AV$6:$AV$13,0),MATCH(Ext_SCC_Chloride!$U11,'Tables - Part 2'!$AX$5:$BA$5,0)))/2))/2,0)</f>
        <v>0</v>
      </c>
      <c r="BM11" s="248">
        <f>IF($T11=$BM$3,(((INDEX('Tables - Part 2'!$AX$17:$BA$24,MATCH(Ext_SCC_Chloride!$X11,'Tables - Part 2'!$AV$6:$AV$13,0),MATCH(Ext_SCC_Chloride!$U11,'Tables - Part 2'!$AX$5:$BA$5,0))+INDEX('Tables - Part 2'!$BB$17:$BE$24,MATCH(Ext_SCC_Chloride!$X11,'Tables - Part 2'!$AV$6:$AV$13,0),MATCH(Ext_SCC_Chloride!$U11,'Tables - Part 2'!$AX$5:$BA$5,0)))/2)+INDEX('Tables - Part 2'!$BB$17:$BE$24,MATCH(Ext_SCC_Chloride!$X11,'Tables - Part 2'!$AV$6:$AV$13,0),MATCH(Ext_SCC_Chloride!$U11,'Tables - Part 2'!$AX$5:$BA$5,0)))/2,0)</f>
        <v>0</v>
      </c>
      <c r="BN11" s="248">
        <f>IF($T11=$BN$3,(((((INDEX('Tables - Part 2'!$AX$17:$BA$24,MATCH(Ext_SCC_Chloride!$X11,'Tables - Part 2'!$AV$6:$AV$13,0),MATCH(Ext_SCC_Chloride!$U11,'Tables - Part 2'!$AX$5:$BA$5,0))+INDEX('Tables - Part 2'!$BB$17:$BE$24,MATCH(Ext_SCC_Chloride!$X11,'Tables - Part 2'!$AV$6:$AV$13,0),MATCH(Ext_SCC_Chloride!$U11,'Tables - Part 2'!$AX$5:$BA$5,0)))/2)+INDEX('Tables - Part 2'!$BB$17:$BE$24,MATCH(Ext_SCC_Chloride!$X11,'Tables - Part 2'!$AV$6:$AV$13,0),MATCH(Ext_SCC_Chloride!$U11,'Tables - Part 2'!$AX$5:$BA$5,0)))/2)+(INDEX('Tables - Part 2'!$BB$17:$BE$24,MATCH(Ext_SCC_Chloride!$X11,'Tables - Part 2'!$AV$6:$AV$13,0),MATCH(Ext_SCC_Chloride!$U11,'Tables - Part 2'!$AX$5:$BA$5,0))))/2,0)</f>
        <v>0</v>
      </c>
      <c r="BO11" s="248">
        <f>IF($T11=$BO$3,INDEX('Tables - Part 2'!$BB$17:$BE$24,MATCH(Ext_SCC_Chloride!$X11,'Tables - Part 2'!$AV$6:$AV$13,0),MATCH(Ext_SCC_Chloride!$U11,'Tables - Part 2'!$AX$5:$BA$5,0)),0)</f>
        <v>0</v>
      </c>
      <c r="BP11" s="248">
        <f>IF($T11=$BP$3,((INDEX('Tables - Part 2'!$BB$17:$BE$24,MATCH(Ext_SCC_Chloride!$X11,'Tables - Part 2'!$AV$6:$AV$13,0),MATCH(Ext_SCC_Chloride!$U11,'Tables - Part 2'!$AX$5:$BA$5,0)))+(((INDEX('Tables - Part 2'!$BB$17:$BE$24,MATCH(Ext_SCC_Chloride!$X11,'Tables - Part 2'!$AV$6:$AV$13,0),MATCH(Ext_SCC_Chloride!$U11,'Tables - Part 2'!$AX$5:$BA$5,0)))+(INDEX('Tables - Part 2'!$BB$17:$BE$24,MATCH(Ext_SCC_Chloride!$X11,'Tables - Part 2'!$AV$6:$AV$13,0),MATCH(Ext_SCC_Chloride!$U11,'Tables - Part 2'!$AX$5:$BA$5,0))+INDEX('Tables - Part 2'!$BF$17:$BI$24,MATCH(Ext_SCC_Chloride!$X11,'Tables - Part 2'!$AV$6:$AV$13,0),MATCH(Ext_SCC_Chloride!$U11,'Tables - Part 2'!$AX$5:$BA$5,0)))/2)/2))/2,0)</f>
        <v>0</v>
      </c>
      <c r="BQ11" s="248">
        <f>IF($T11=$BQ$3,((INDEX('Tables - Part 2'!$BB$17:$BE$24,MATCH(Ext_SCC_Chloride!$X11,'Tables - Part 2'!$AV$6:$AV$13,0),MATCH(Ext_SCC_Chloride!$U11,'Tables - Part 2'!$AX$5:$BA$5,0)))+(INDEX('Tables - Part 2'!$BB$17:$BE$24,MATCH(Ext_SCC_Chloride!$X11,'Tables - Part 2'!$AV$6:$AV$13,0),MATCH(Ext_SCC_Chloride!$U11,'Tables - Part 2'!$AX$5:$BA$5,0))+INDEX('Tables - Part 2'!$BF$17:$BI$24,MATCH(Ext_SCC_Chloride!$X11,'Tables - Part 2'!$AV$6:$AV$13,0),MATCH(Ext_SCC_Chloride!$U11,'Tables - Part 2'!$AX$5:$BA$5,0)))/2)/2,0)</f>
        <v>0</v>
      </c>
      <c r="BR11" s="248">
        <f>IF($T11=$BR$3,((((INDEX('Tables - Part 2'!$BB$17:$BE$24,MATCH(Ext_SCC_Chloride!$X11,'Tables - Part 2'!$AV$6:$AV$13,0),MATCH(Ext_SCC_Chloride!$U11,'Tables - Part 2'!$AX$5:$BA$5,0)))+(INDEX('Tables - Part 2'!$BB$17:$BE$24,MATCH(Ext_SCC_Chloride!$X11,'Tables - Part 2'!$AV$6:$AV$13,0),MATCH(Ext_SCC_Chloride!$U11,'Tables - Part 2'!$AX$5:$BA$5,0))+INDEX('Tables - Part 2'!$BF$17:$BI$24,MATCH(Ext_SCC_Chloride!$X11,'Tables - Part 2'!$AV$6:$AV$13,0),MATCH(Ext_SCC_Chloride!$U11,'Tables - Part 2'!$AX$5:$BA$5,0)))/2)/2)+((INDEX('Tables - Part 2'!$BB$17:$BE$24,MATCH(Ext_SCC_Chloride!$X11,'Tables - Part 2'!$AV$6:$AV$13,0),MATCH(Ext_SCC_Chloride!$U11,'Tables - Part 2'!$AX$5:$BA$5,0))+INDEX('Tables - Part 2'!$BF$17:$BI$24,MATCH(Ext_SCC_Chloride!$X11,'Tables - Part 2'!$AV$6:$AV$13,0),MATCH(Ext_SCC_Chloride!$U11,'Tables - Part 2'!$AX$5:$BA$5,0)))/2))/2,0)</f>
        <v>0</v>
      </c>
      <c r="BS11" s="248">
        <f>IF($T11=$BS$3,(INDEX('Tables - Part 2'!$BB$17:$BE$24,MATCH(Ext_SCC_Chloride!$X11,'Tables - Part 2'!$AV$6:$AV$13,0),MATCH(Ext_SCC_Chloride!$U11,'Tables - Part 2'!$AX$5:$BA$5,0))+INDEX('Tables - Part 2'!$BF$17:$BI$24,MATCH(Ext_SCC_Chloride!$X11,'Tables - Part 2'!$AV$6:$AV$13,0),MATCH(Ext_SCC_Chloride!$U11,'Tables - Part 2'!$AX$5:$BA$5,0)))/2,0)</f>
        <v>0</v>
      </c>
      <c r="BT11" s="248">
        <f>IF($T11=$BT$3,(((INDEX('Tables - Part 2'!$BB$17:$BE$24,MATCH(Ext_SCC_Chloride!$X11,'Tables - Part 2'!$AV$6:$AV$13,0),MATCH(Ext_SCC_Chloride!$U11,'Tables - Part 2'!$AX$5:$BA$5,0))+INDEX('Tables - Part 2'!$BF$17:$BI$24,MATCH(Ext_SCC_Chloride!$X11,'Tables - Part 2'!$AV$6:$AV$13,0),MATCH(Ext_SCC_Chloride!$U11,'Tables - Part 2'!$AX$5:$BA$5,0)))/2)+((((INDEX('Tables - Part 2'!$BB$17:$BE$24,MATCH(Ext_SCC_Chloride!$X11,'Tables - Part 2'!$AV$6:$AV$13,0),MATCH(Ext_SCC_Chloride!$U11,'Tables - Part 2'!$AX$5:$BA$5,0))+INDEX('Tables - Part 2'!$BF$17:$BI$24,MATCH(Ext_SCC_Chloride!$X11,'Tables - Part 2'!$AV$6:$AV$13,0),MATCH(Ext_SCC_Chloride!$U11,'Tables - Part 2'!$AX$5:$BA$5,0)))/2)+INDEX('Tables - Part 2'!$BF$17:$BI$24,MATCH(Ext_SCC_Chloride!$X11,'Tables - Part 2'!$AV$6:$AV$13,0),MATCH(Ext_SCC_Chloride!$U11,'Tables - Part 2'!$AX$5:$BA$5,0)))/2))/2,0)</f>
        <v>0</v>
      </c>
      <c r="BU11" s="248">
        <f>IF($T11=$BU$3,(((INDEX('Tables - Part 2'!$BB$17:$BE$24,MATCH(Ext_SCC_Chloride!$X11,'Tables - Part 2'!$AV$6:$AV$13,0),MATCH(Ext_SCC_Chloride!$U11,'Tables - Part 2'!$AX$5:$BA$5,0))+INDEX('Tables - Part 2'!$BF$17:$BI$24,MATCH(Ext_SCC_Chloride!$X11,'Tables - Part 2'!$AV$6:$AV$13,0),MATCH(Ext_SCC_Chloride!$U11,'Tables - Part 2'!$AX$5:$BA$5,0)))/2)+INDEX('Tables - Part 2'!$BF$17:$BI$24,MATCH(Ext_SCC_Chloride!$X11,'Tables - Part 2'!$AV$6:$AV$13,0),MATCH(Ext_SCC_Chloride!$U11,'Tables - Part 2'!$AX$5:$BA$5,0)))/2,0)</f>
        <v>0</v>
      </c>
      <c r="BV11" s="248">
        <f>IF($T11=$BV$3,(((((INDEX('Tables - Part 2'!$BB$17:$BE$24,MATCH(Ext_SCC_Chloride!$X11,'Tables - Part 2'!$AV$6:$AV$13,0),MATCH(Ext_SCC_Chloride!$U11,'Tables - Part 2'!$AX$5:$BA$5,0))+INDEX('Tables - Part 2'!$BF$17:$BI$24,MATCH(Ext_SCC_Chloride!$X11,'Tables - Part 2'!$AV$6:$AV$13,0),MATCH(Ext_SCC_Chloride!$U11,'Tables - Part 2'!$AX$5:$BA$5,0)))/2)+INDEX('Tables - Part 2'!$BF$17:$BI$24,MATCH(Ext_SCC_Chloride!$X11,'Tables - Part 2'!$AV$6:$AV$13,0),MATCH(Ext_SCC_Chloride!$U11,'Tables - Part 2'!$AX$5:$BA$5,0)))/2)+(INDEX('Tables - Part 2'!$BF$17:$BI$24,MATCH(Ext_SCC_Chloride!$X11,'Tables - Part 2'!$AV$6:$AV$13,0),MATCH(Ext_SCC_Chloride!$U11,'Tables - Part 2'!$AX$5:$BA$5,0))))/2,0)</f>
        <v>0</v>
      </c>
      <c r="BW11" s="248">
        <f>IF($T11=$BW$3,INDEX('Tables - Part 2'!$BF$17:$BI$24,MATCH(Ext_SCC_Chloride!$X11,'Tables - Part 2'!$AV$6:$AV$13,0),MATCH(Ext_SCC_Chloride!$U11,'Tables - Part 2'!$AX$5:$BA$5,0)),0)</f>
        <v>0</v>
      </c>
      <c r="BX11" s="248">
        <f t="shared" si="5"/>
        <v>0</v>
      </c>
      <c r="BY11" s="238">
        <f t="shared" si="12"/>
        <v>0</v>
      </c>
      <c r="BZ11" s="238">
        <f t="shared" si="13"/>
        <v>0</v>
      </c>
    </row>
    <row r="12" spans="2:87" x14ac:dyDescent="0.35">
      <c r="B12" s="161" t="str">
        <f>'Tratamento de Dados'!B20</f>
        <v>V-3</v>
      </c>
      <c r="C12" s="161" t="str">
        <f>'Tratamento de Dados'!D20</f>
        <v>Casco</v>
      </c>
      <c r="D12" s="209" t="s">
        <v>245</v>
      </c>
      <c r="E12" s="209" t="s">
        <v>61</v>
      </c>
      <c r="F12" s="247">
        <f>'Tratamento de Dados'!S20</f>
        <v>2</v>
      </c>
      <c r="G12" s="209" t="s">
        <v>953</v>
      </c>
      <c r="H12" s="210">
        <v>35234</v>
      </c>
      <c r="I12" s="210">
        <v>43983</v>
      </c>
      <c r="J12" s="210">
        <v>39092</v>
      </c>
      <c r="K12" s="210">
        <f>'Tratamento de Dados'!CC20</f>
        <v>0</v>
      </c>
      <c r="L12" s="209">
        <f>'Tratamento de Dados'!CD20</f>
        <v>0</v>
      </c>
      <c r="M12" s="209" t="s">
        <v>905</v>
      </c>
      <c r="N12" s="209">
        <v>0</v>
      </c>
      <c r="O12" s="209">
        <v>1</v>
      </c>
      <c r="P12" s="209">
        <v>1</v>
      </c>
      <c r="Q12" s="209">
        <v>4</v>
      </c>
      <c r="R12" s="253">
        <f>'Tratamento de Dados'!DA20</f>
        <v>0</v>
      </c>
      <c r="S12" s="253">
        <f>'Tratamento de Dados'!DB20</f>
        <v>0</v>
      </c>
      <c r="T12" s="256">
        <f t="shared" si="0"/>
        <v>2.5</v>
      </c>
      <c r="U12" s="246" t="str">
        <f t="shared" si="1"/>
        <v>B</v>
      </c>
      <c r="V12" s="246" t="str">
        <f>IF(F12&lt;49,'Tables - Part 2'!$FH$5,IF(F12&lt;=93,'Tables - Part 2'!$FH$6,IF(F12&lt;=149,'Tables - Part 2'!$FH$7,'Tables - Part 2'!$FH$8)))</f>
        <v>&lt;49</v>
      </c>
      <c r="W12" s="467" t="str">
        <f>IF(D12=$CE$2,$CC$5,INDEX('Tables - Part 2'!$FI$5:$FL$8,MATCH(Ext_SCC_Chloride!V12,'Tables - Part 2'!$FH$5:$FH$8,0),MATCH(Ext_SCC_Chloride!M12,'Tables - Part 2'!$FI$4:$FL$4,0)))</f>
        <v>None</v>
      </c>
      <c r="X12" s="238">
        <f>IF(AND(D12=$CE$2,E12&lt;&gt;$CE$2),"Fitness-For-Service",INDEX('Tables - Part 2'!$FO$4:$FO$7,MATCH(Ext_SCC_Chloride!W12,'Tables - Part 2'!$FN$4:$FN$7,0),))</f>
        <v>0</v>
      </c>
      <c r="Y12" s="238">
        <f>IF(J12=0,(Thinning!G13-Thinning!F13)/365.25,(Thinning!G13-J12)/365.25)</f>
        <v>12.980150581793293</v>
      </c>
      <c r="Z12" s="248">
        <f t="shared" si="2"/>
        <v>0</v>
      </c>
      <c r="AA12" s="248">
        <f t="shared" si="3"/>
        <v>2.5</v>
      </c>
      <c r="AB12" s="247">
        <f t="shared" si="6"/>
        <v>3</v>
      </c>
      <c r="AC12" s="247">
        <f t="shared" si="4"/>
        <v>4</v>
      </c>
      <c r="AD12" s="247">
        <f t="shared" si="7"/>
        <v>120.41889117043121</v>
      </c>
      <c r="AE12" s="247">
        <f t="shared" si="8"/>
        <v>0</v>
      </c>
      <c r="AF12" s="247">
        <f t="shared" si="9"/>
        <v>0</v>
      </c>
      <c r="AG12" s="247">
        <f t="shared" si="10"/>
        <v>0</v>
      </c>
      <c r="AH12" s="247">
        <f t="shared" si="11"/>
        <v>12.980150581793293</v>
      </c>
      <c r="AI12" s="248">
        <f>IF($T12=$AI$3,INDEX('Tables - Part 2'!$AX$6:$BA$13,MATCH(Ext_SCC_Chloride!X12,'Tables - Part 2'!$AV$6:$AV$13,0),MATCH(Ext_SCC_Chloride!U12,'Tables - Part 2'!$AX$5:$BA$5,0)),0)</f>
        <v>0</v>
      </c>
      <c r="AJ12" s="248">
        <f>IF($T12=$AJ$3,(INDEX('Tables - Part 2'!$AX$6:$BA$13,MATCH(Ext_SCC_Chloride!X12,'Tables - Part 2'!$AV$6:$AV$13,0),MATCH(Ext_SCC_Chloride!U12,'Tables - Part 2'!$AX$5:$BA$5,0))+(INDEX('Tables - Part 2'!$AX$6:$BA$13,MATCH(Ext_SCC_Chloride!X12,'Tables - Part 2'!$AV$6:$AV$13,0),MATCH(Ext_SCC_Chloride!U12,'Tables - Part 2'!$AX$5:$BA$5,0))+((INDEX('Tables - Part 2'!$AX$6:$BA$13,MATCH(Ext_SCC_Chloride!X12,'Tables - Part 2'!$AV$6:$AV$13,0),MATCH(Ext_SCC_Chloride!U12,'Tables - Part 2'!$AX$5:$BA$5,0))+INDEX('Tables - Part 2'!$BB$6:$BE$13,MATCH(Ext_SCC_Chloride!$X12,'Tables - Part 2'!$AV$6:$AV$13,0),MATCH(Ext_SCC_Chloride!$U12,'Tables - Part 2'!$AX$5:$BA$5,0)))/2))/2)/2,0)</f>
        <v>0</v>
      </c>
      <c r="AK12" s="248">
        <f>IF($T12=$AK$3,(INDEX('Tables - Part 2'!$AX$6:$BA$13,MATCH(Ext_SCC_Chloride!X12,'Tables - Part 2'!$AV$6:$AV$13,0),MATCH(Ext_SCC_Chloride!U12,'Tables - Part 2'!$AX$5:$BA$5,0))+((INDEX('Tables - Part 2'!$AX$6:$BA$13,MATCH(Ext_SCC_Chloride!X12,'Tables - Part 2'!$AV$6:$AV$13,0),MATCH(Ext_SCC_Chloride!U12,'Tables - Part 2'!$AX$5:$BA$5,0))+INDEX('Tables - Part 2'!$BB$6:$BE$13,MATCH(Ext_SCC_Chloride!$X12,'Tables - Part 2'!$AV$6:$AV$13,0),MATCH(Ext_SCC_Chloride!$U12,'Tables - Part 2'!$AX$5:$BA$5,0)))/2))/2,0)</f>
        <v>0</v>
      </c>
      <c r="AL12" s="248">
        <f>IF($T12=$AL$3,(((INDEX('Tables - Part 2'!$AX$6:$BA$13,MATCH(Ext_SCC_Chloride!X12,'Tables - Part 2'!$AV$6:$AV$13,0),MATCH(Ext_SCC_Chloride!U12,'Tables - Part 2'!$AX$5:$BA$5,0))+((INDEX('Tables - Part 2'!$AX$6:$BA$13,MATCH(Ext_SCC_Chloride!X12,'Tables - Part 2'!$AV$6:$AV$13,0),MATCH(Ext_SCC_Chloride!U12,'Tables - Part 2'!$AX$5:$BA$5,0))+INDEX('Tables - Part 2'!$BB$6:$BE$13,MATCH(Ext_SCC_Chloride!$X12,'Tables - Part 2'!$AV$6:$AV$13,0),MATCH(Ext_SCC_Chloride!$U12,'Tables - Part 2'!$AX$5:$BA$5,0)))/2))/2)+(INDEX('Tables - Part 2'!$AX$6:$BA$13,MATCH(Ext_SCC_Chloride!X12,'Tables - Part 2'!$AV$6:$AV$13,0),MATCH(Ext_SCC_Chloride!U12,'Tables - Part 2'!$AX$5:$BA$5,0))+INDEX('Tables - Part 2'!$BB$6:$BE$13,MATCH(Ext_SCC_Chloride!$X12,'Tables - Part 2'!$AV$6:$AV$13,0),MATCH(Ext_SCC_Chloride!$U12,'Tables - Part 2'!$AX$5:$BA$5,0)))/2)/2,0)</f>
        <v>0</v>
      </c>
      <c r="AM12" s="248">
        <f>IF($T12=$AM$3,(INDEX('Tables - Part 2'!$AX$6:$BA$13,MATCH(Ext_SCC_Chloride!X12,'Tables - Part 2'!$AV$6:$AV$13,0),MATCH(Ext_SCC_Chloride!U12,'Tables - Part 2'!$AX$5:$BA$5,0))+INDEX('Tables - Part 2'!$BB$6:$BE$13,MATCH(Ext_SCC_Chloride!$X12,'Tables - Part 2'!$AV$6:$AV$13,0),MATCH(Ext_SCC_Chloride!$U12,'Tables - Part 2'!$AX$5:$BA$5,0)))/2,0)</f>
        <v>0</v>
      </c>
      <c r="AN12" s="248">
        <f>IF($T12=$AN$3,(((INDEX('Tables - Part 2'!$AX$6:$BA$13,MATCH(Ext_SCC_Chloride!X12,'Tables - Part 2'!$AV$6:$AV$13,0),MATCH(Ext_SCC_Chloride!U12,'Tables - Part 2'!$AX$5:$BA$5,0))+INDEX('Tables - Part 2'!$BB$6:$BE$13,MATCH(Ext_SCC_Chloride!$X12,'Tables - Part 2'!$AV$6:$AV$13,0),MATCH(Ext_SCC_Chloride!$U12,'Tables - Part 2'!$AX$5:$BA$5,0)))/2)+(((INDEX('Tables - Part 2'!$AX$6:$BA$13,MATCH(Ext_SCC_Chloride!X12,'Tables - Part 2'!$AV$6:$AV$13,0),MATCH(Ext_SCC_Chloride!U12,'Tables - Part 2'!$AX$5:$BA$5,0))+INDEX('Tables - Part 2'!$BB$6:$BE$13,MATCH(Ext_SCC_Chloride!$X12,'Tables - Part 2'!$AV$6:$AV$13,0),MATCH(Ext_SCC_Chloride!$U12,'Tables - Part 2'!$AX$5:$BA$5,0)))/2)+INDEX('Tables - Part 2'!$BB$6:$BE$13,MATCH(Ext_SCC_Chloride!$X12,'Tables - Part 2'!$AV$6:$AV$13,0),MATCH(Ext_SCC_Chloride!$U12,'Tables - Part 2'!$AX$5:$BA$5,0)))/2)/2,0)</f>
        <v>0</v>
      </c>
      <c r="AO12" s="248">
        <f>IF($T12=$AO$3,(((INDEX('Tables - Part 2'!$AX$6:$BA$13,MATCH(Ext_SCC_Chloride!X12,'Tables - Part 2'!$AV$6:$AV$13,0),MATCH(Ext_SCC_Chloride!U12,'Tables - Part 2'!$AX$5:$BA$5,0))+INDEX('Tables - Part 2'!$BB$6:$BE$13,MATCH(Ext_SCC_Chloride!$X12,'Tables - Part 2'!$AV$6:$AV$13,0),MATCH(Ext_SCC_Chloride!$U12,'Tables - Part 2'!$AX$5:$BA$5,0)))/2)+INDEX('Tables - Part 2'!$BB$6:$BE$13,MATCH(Ext_SCC_Chloride!$X12,'Tables - Part 2'!$AV$6:$AV$13,0),MATCH(Ext_SCC_Chloride!$U12,'Tables - Part 2'!$AX$5:$BA$5,0)))/2,0)</f>
        <v>0</v>
      </c>
      <c r="AP12" s="248">
        <f>IF($T12=$AP$3,(((((INDEX('Tables - Part 2'!$AX$6:$BA$13,MATCH(Ext_SCC_Chloride!X12,'Tables - Part 2'!$AV$6:$AV$13,0),MATCH(Ext_SCC_Chloride!U12,'Tables - Part 2'!$AX$5:$BA$5,0))+INDEX('Tables - Part 2'!$BB$6:$BE$13,MATCH(Ext_SCC_Chloride!$X12,'Tables - Part 2'!$AV$6:$AV$13,0),MATCH(Ext_SCC_Chloride!$U12,'Tables - Part 2'!$AX$5:$BA$5,0)))/2)+INDEX('Tables - Part 2'!$BB$6:$BE$13,MATCH(Ext_SCC_Chloride!$X12,'Tables - Part 2'!$AV$6:$AV$13,0),MATCH(Ext_SCC_Chloride!$U12,'Tables - Part 2'!$AX$5:$BA$5,0)))/2)+INDEX('Tables - Part 2'!$BB$6:$BE$13,MATCH(Ext_SCC_Chloride!$X12,'Tables - Part 2'!$AV$6:$AV$13,0),MATCH(Ext_SCC_Chloride!$U12,'Tables - Part 2'!$AX$5:$BA$5,0)))/2,0)</f>
        <v>0</v>
      </c>
      <c r="AQ12" s="248">
        <f>IF($T12=$AQ$3,INDEX('Tables - Part 2'!$BB$6:$BE$13,MATCH(Ext_SCC_Chloride!$X12,'Tables - Part 2'!$AV$6:$AV$13,0),MATCH(Ext_SCC_Chloride!$U12,'Tables - Part 2'!$AX$5:$BA$5,0)),0)</f>
        <v>0</v>
      </c>
      <c r="AR12" s="248">
        <f>IF($T12=$AR$3,((INDEX('Tables - Part 2'!$BB$6:$BE$13,MATCH(Ext_SCC_Chloride!$X12,'Tables - Part 2'!$AV$6:$AV$13,0),MATCH(Ext_SCC_Chloride!$U12,'Tables - Part 2'!$AX$5:$BA$5,0)))+(INDEX('Tables - Part 2'!$BB$6:$BE$13,MATCH(Ext_SCC_Chloride!$X12,'Tables - Part 2'!$AV$6:$AV$13,0),MATCH(Ext_SCC_Chloride!$U12,'Tables - Part 2'!$AX$5:$BA$5,0))+(INDEX('Tables - Part 2'!$BB$6:$BE$13,MATCH(Ext_SCC_Chloride!$X12,'Tables - Part 2'!$AV$6:$AV$13,0),MATCH(Ext_SCC_Chloride!$U12,'Tables - Part 2'!$AX$5:$BA$5,0))+INDEX('Tables - Part 2'!$BF$6:$BI$13,MATCH(Ext_SCC_Chloride!$X12,'Tables - Part 2'!$AV$6:$AV$13,0),MATCH(Ext_SCC_Chloride!$U12,'Tables - Part 2'!$AX$5:$BA$5,0)))/2)/2)/2,0)</f>
        <v>0</v>
      </c>
      <c r="AS12" s="248">
        <f>IF($T12=$AS$3,(INDEX('Tables - Part 2'!$BB$6:$BE$13,MATCH(Ext_SCC_Chloride!$X12,'Tables - Part 2'!$AV$6:$AV$13,0),MATCH(Ext_SCC_Chloride!$U12,'Tables - Part 2'!$AX$5:$BA$5,0))+(INDEX('Tables - Part 2'!$BB$6:$BE$13,MATCH(Ext_SCC_Chloride!$X12,'Tables - Part 2'!$AV$6:$AV$13,0),MATCH(Ext_SCC_Chloride!$U12,'Tables - Part 2'!$AX$5:$BA$5,0))+INDEX('Tables - Part 2'!$BF$6:$BI$13,MATCH(Ext_SCC_Chloride!$X12,'Tables - Part 2'!$AV$6:$AV$13,0),MATCH(Ext_SCC_Chloride!$U12,'Tables - Part 2'!$AX$5:$BA$5,0)))/2)/2,0)</f>
        <v>0</v>
      </c>
      <c r="AT12" s="248">
        <f>IF($T12=$AT$3,(((INDEX('Tables - Part 2'!$BB$6:$BE$13,MATCH(Ext_SCC_Chloride!$X12,'Tables - Part 2'!$AV$6:$AV$13,0),MATCH(Ext_SCC_Chloride!$U12,'Tables - Part 2'!$AX$5:$BA$5,0))+(INDEX('Tables - Part 2'!$BB$6:$BE$13,MATCH(Ext_SCC_Chloride!$X12,'Tables - Part 2'!$AV$6:$AV$13,0),MATCH(Ext_SCC_Chloride!$U12,'Tables - Part 2'!$AX$5:$BA$5,0))+INDEX('Tables - Part 2'!$BF$6:$BI$13,MATCH(Ext_SCC_Chloride!$X12,'Tables - Part 2'!$AV$6:$AV$13,0),MATCH(Ext_SCC_Chloride!$U12,'Tables - Part 2'!$AX$5:$BA$5,0)))/2)/2)+((INDEX('Tables - Part 2'!$BB$6:$BE$13,MATCH(Ext_SCC_Chloride!$X12,'Tables - Part 2'!$AV$6:$AV$13,0),MATCH(Ext_SCC_Chloride!$U12,'Tables - Part 2'!$AX$5:$BA$5,0))+INDEX('Tables - Part 2'!$BF$6:$BI$13,MATCH(Ext_SCC_Chloride!$X12,'Tables - Part 2'!$AV$6:$AV$13,0),MATCH(Ext_SCC_Chloride!$U12,'Tables - Part 2'!$AX$5:$BA$5,0)))/2))/2,0)</f>
        <v>0</v>
      </c>
      <c r="AU12" s="248">
        <f>IF($T12=$AU$3,(INDEX('Tables - Part 2'!$BB$6:$BE$13,MATCH(Ext_SCC_Chloride!$X12,'Tables - Part 2'!$AV$6:$AV$13,0),MATCH(Ext_SCC_Chloride!$U12,'Tables - Part 2'!$AX$5:$BA$5,0))+INDEX('Tables - Part 2'!$BF$6:$BI$13,MATCH(Ext_SCC_Chloride!$X12,'Tables - Part 2'!$AV$6:$AV$13,0),MATCH(Ext_SCC_Chloride!$U12,'Tables - Part 2'!$AX$5:$BA$5,0)))/2,0)</f>
        <v>0</v>
      </c>
      <c r="AV12" s="248">
        <f>IF($T12=$AV$3,(((INDEX('Tables - Part 2'!$BB$6:$BE$13,MATCH(Ext_SCC_Chloride!$X12,'Tables - Part 2'!$AV$6:$AV$13,0),MATCH(Ext_SCC_Chloride!$U12,'Tables - Part 2'!$AX$5:$BA$5,0))+INDEX('Tables - Part 2'!$BF$6:$BI$13,MATCH(Ext_SCC_Chloride!$X12,'Tables - Part 2'!$AV$6:$AV$13,0),MATCH(Ext_SCC_Chloride!$U12,'Tables - Part 2'!$AX$5:$BA$5,0)))/2)+((((INDEX('Tables - Part 2'!$BB$6:$BE$13,MATCH(Ext_SCC_Chloride!$X12,'Tables - Part 2'!$AV$6:$AV$13,0),MATCH(Ext_SCC_Chloride!$U12,'Tables - Part 2'!$AX$5:$BA$5,0))+INDEX('Tables - Part 2'!$BF$6:$BI$13,MATCH(Ext_SCC_Chloride!$X12,'Tables - Part 2'!$AV$6:$AV$13,0),MATCH(Ext_SCC_Chloride!$U12,'Tables - Part 2'!$AX$5:$BA$5,0)))/2)+INDEX('Tables - Part 2'!$BF$6:$BI$13,MATCH(Ext_SCC_Chloride!$X12,'Tables - Part 2'!$AV$6:$AV$13,0),MATCH(Ext_SCC_Chloride!$U12,'Tables - Part 2'!$AX$5:$BA$5,0)))/2))/2,0)</f>
        <v>0</v>
      </c>
      <c r="AW12" s="248">
        <f>IF($T12=$AW$3,(((INDEX('Tables - Part 2'!$BB$6:$BE$13,MATCH(Ext_SCC_Chloride!$X12,'Tables - Part 2'!$AV$6:$AV$13,0),MATCH(Ext_SCC_Chloride!$U12,'Tables - Part 2'!$AX$5:$BA$5,0))+INDEX('Tables - Part 2'!$BF$6:$BI$13,MATCH(Ext_SCC_Chloride!$X12,'Tables - Part 2'!$AV$6:$AV$13,0),MATCH(Ext_SCC_Chloride!$U12,'Tables - Part 2'!$AX$5:$BA$5,0)))/2)+INDEX('Tables - Part 2'!$BF$6:$BI$13,MATCH(Ext_SCC_Chloride!$X12,'Tables - Part 2'!$AV$6:$AV$13,0),MATCH(Ext_SCC_Chloride!$U12,'Tables - Part 2'!$AX$5:$BA$5,0)))/2,0)</f>
        <v>0</v>
      </c>
      <c r="AX12" s="248">
        <f>IF($T12=$AX$3,(((((INDEX('Tables - Part 2'!$BB$6:$BE$13,MATCH(Ext_SCC_Chloride!$X12,'Tables - Part 2'!$AV$6:$AV$13,0),MATCH(Ext_SCC_Chloride!$U12,'Tables - Part 2'!$AX$5:$BA$5,0))+INDEX('Tables - Part 2'!$BF$6:$BI$13,MATCH(Ext_SCC_Chloride!$X12,'Tables - Part 2'!$AV$6:$AV$13,0),MATCH(Ext_SCC_Chloride!$U12,'Tables - Part 2'!$AX$5:$BA$5,0)))/2)+INDEX('Tables - Part 2'!$BF$6:$BI$13,MATCH(Ext_SCC_Chloride!$X12,'Tables - Part 2'!$AV$6:$AV$13,0),MATCH(Ext_SCC_Chloride!$U12,'Tables - Part 2'!$AX$5:$BA$5,0)))/2)+INDEX('Tables - Part 2'!$BF$6:$BI$13,MATCH(Ext_SCC_Chloride!$X12,'Tables - Part 2'!$AV$6:$AV$13,0),MATCH(Ext_SCC_Chloride!$U12,'Tables - Part 2'!$AX$5:$BA$5,0)))/2,0)</f>
        <v>0</v>
      </c>
      <c r="AY12" s="248">
        <f>IF($T12=$AY$3,INDEX('Tables - Part 2'!$BF$6:$BI$13,MATCH(Ext_SCC_Chloride!$X12,'Tables - Part 2'!$AV$6:$AV$13,0),MATCH(Ext_SCC_Chloride!$U12,'Tables - Part 2'!$AX$5:$BA$5,0)),0)</f>
        <v>0</v>
      </c>
      <c r="AZ12" s="248">
        <f>IF($T12=$AZ$3,(INDEX('Tables - Part 2'!$BF$6:$BI$13,MATCH(Ext_SCC_Chloride!$X12,'Tables - Part 2'!$AV$6:$AV$13,0),MATCH(Ext_SCC_Chloride!$U12,'Tables - Part 2'!$AX$5:$BA$5,0))+((INDEX('Tables - Part 2'!$BF$6:$BI$13,MATCH(Ext_SCC_Chloride!$X12,'Tables - Part 2'!$AV$6:$AV$13,0),MATCH(Ext_SCC_Chloride!$U12,'Tables - Part 2'!$AX$5:$BA$5,0))+(INDEX('Tables - Part 2'!$BF$6:$BI$13,MATCH(Ext_SCC_Chloride!$X12,'Tables - Part 2'!$AV$6:$AV$13,0),MATCH(Ext_SCC_Chloride!$U12,'Tables - Part 2'!$AX$5:$BA$5,0))+INDEX('Tables - Part 2'!$AX$17:$BA$24,MATCH(Ext_SCC_Chloride!$X12,'Tables - Part 2'!$AV$6:$AV$13,0),MATCH(Ext_SCC_Chloride!$U12,'Tables - Part 2'!$AX$5:$BA$5,0)))/2)/2))/2,0)</f>
        <v>0</v>
      </c>
      <c r="BA12" s="248">
        <f>IF($T12=$BA$3,(INDEX('Tables - Part 2'!$BF$6:$BI$13,MATCH(Ext_SCC_Chloride!$X12,'Tables - Part 2'!$AV$6:$AV$13,0),MATCH(Ext_SCC_Chloride!$U12,'Tables - Part 2'!$AX$5:$BA$5,0))+(INDEX('Tables - Part 2'!$BF$6:$BI$13,MATCH(Ext_SCC_Chloride!$X12,'Tables - Part 2'!$AV$6:$AV$13,0),MATCH(Ext_SCC_Chloride!$U12,'Tables - Part 2'!$AX$5:$BA$5,0))+INDEX('Tables - Part 2'!$AX$17:$BA$24,MATCH(Ext_SCC_Chloride!$X12,'Tables - Part 2'!$AV$6:$AV$13,0),MATCH(Ext_SCC_Chloride!$U12,'Tables - Part 2'!$AX$5:$BA$5,0)))/2)/2,0)</f>
        <v>0</v>
      </c>
      <c r="BB12" s="248">
        <f>IF($T12=$BB$3,(((INDEX('Tables - Part 2'!$BF$6:$BI$13,MATCH(Ext_SCC_Chloride!$X12,'Tables - Part 2'!$AV$6:$AV$13,0),MATCH(Ext_SCC_Chloride!$U12,'Tables - Part 2'!$AX$5:$BA$5,0))+(INDEX('Tables - Part 2'!$BF$6:$BI$13,MATCH(Ext_SCC_Chloride!$X12,'Tables - Part 2'!$AV$6:$AV$13,0),MATCH(Ext_SCC_Chloride!$U12,'Tables - Part 2'!$AX$5:$BA$5,0))+INDEX('Tables - Part 2'!$AX$17:$BA$24,MATCH(Ext_SCC_Chloride!$X12,'Tables - Part 2'!$AV$6:$AV$13,0),MATCH(Ext_SCC_Chloride!$U12,'Tables - Part 2'!$AX$5:$BA$5,0)))/2)/2)+((INDEX('Tables - Part 2'!$BF$6:$BI$13,MATCH(Ext_SCC_Chloride!$X12,'Tables - Part 2'!$AV$6:$AV$13,0),MATCH(Ext_SCC_Chloride!$U12,'Tables - Part 2'!$AX$5:$BA$5,0))+INDEX('Tables - Part 2'!$AX$17:$BA$24,MATCH(Ext_SCC_Chloride!$X12,'Tables - Part 2'!$AV$6:$AV$13,0),MATCH(Ext_SCC_Chloride!$U12,'Tables - Part 2'!$AX$5:$BA$5,0)))/2))/2,0)</f>
        <v>0</v>
      </c>
      <c r="BC12" s="248">
        <f>IF($T12=$BC$3,(INDEX('Tables - Part 2'!$BF$6:$BI$13,MATCH(Ext_SCC_Chloride!$X12,'Tables - Part 2'!$AV$6:$AV$13,0),MATCH(Ext_SCC_Chloride!$U12,'Tables - Part 2'!$AX$5:$BA$5,0))+INDEX('Tables - Part 2'!$AX$17:$BA$24,MATCH(Ext_SCC_Chloride!$X12,'Tables - Part 2'!$AV$6:$AV$13,0),MATCH(Ext_SCC_Chloride!$U12,'Tables - Part 2'!$AX$5:$BA$5,0)))/2,0)</f>
        <v>0</v>
      </c>
      <c r="BD12" s="248">
        <f>IF($T12=$BD$3,(((INDEX('Tables - Part 2'!$BF$6:$BI$13,MATCH(Ext_SCC_Chloride!$X12,'Tables - Part 2'!$AV$6:$AV$13,0),MATCH(Ext_SCC_Chloride!$U12,'Tables - Part 2'!$AX$5:$BA$5,0))+INDEX('Tables - Part 2'!$AX$17:$BA$24,MATCH(Ext_SCC_Chloride!$X12,'Tables - Part 2'!$AV$6:$AV$13,0),MATCH(Ext_SCC_Chloride!$U12,'Tables - Part 2'!$AX$5:$BA$5,0)))/2)+((((INDEX('Tables - Part 2'!$BF$6:$BI$13,MATCH(Ext_SCC_Chloride!$X12,'Tables - Part 2'!$AV$6:$AV$13,0),MATCH(Ext_SCC_Chloride!$U12,'Tables - Part 2'!$AX$5:$BA$5,0))+INDEX('Tables - Part 2'!$AX$17:$BA$24,MATCH(Ext_SCC_Chloride!$X12,'Tables - Part 2'!$AV$6:$AV$13,0),MATCH(Ext_SCC_Chloride!$U12,'Tables - Part 2'!$AX$5:$BA$5,0)))/2)+INDEX('Tables - Part 2'!$AX$17:$BA$24,MATCH(Ext_SCC_Chloride!$X12,'Tables - Part 2'!$AV$6:$AV$13,0),MATCH(Ext_SCC_Chloride!$U12,'Tables - Part 2'!$AX$5:$BA$5,0)))/2))/2,0)</f>
        <v>0</v>
      </c>
      <c r="BE12" s="248">
        <f>IF($T12=$BE$3,(((INDEX('Tables - Part 2'!$BF$6:$BI$13,MATCH(Ext_SCC_Chloride!$X12,'Tables - Part 2'!$AV$6:$AV$13,0),MATCH(Ext_SCC_Chloride!$U12,'Tables - Part 2'!$AX$5:$BA$5,0))+INDEX('Tables - Part 2'!$AX$17:$BA$24,MATCH(Ext_SCC_Chloride!$X12,'Tables - Part 2'!$AV$6:$AV$13,0),MATCH(Ext_SCC_Chloride!$U12,'Tables - Part 2'!$AX$5:$BA$5,0)))/2)+INDEX('Tables - Part 2'!$AX$17:$BA$24,MATCH(Ext_SCC_Chloride!$X12,'Tables - Part 2'!$AV$6:$AV$13,0),MATCH(Ext_SCC_Chloride!$U12,'Tables - Part 2'!$AX$5:$BA$5,0)))/2,0)</f>
        <v>0</v>
      </c>
      <c r="BF12" s="248">
        <f>IF($T12=$BF$3,(((((INDEX('Tables - Part 2'!$BF$6:$BI$13,MATCH(Ext_SCC_Chloride!$X12,'Tables - Part 2'!$AV$6:$AV$13,0),MATCH(Ext_SCC_Chloride!$U12,'Tables - Part 2'!$AX$5:$BA$5,0))+INDEX('Tables - Part 2'!$AX$17:$BA$24,MATCH(Ext_SCC_Chloride!$X12,'Tables - Part 2'!$AV$6:$AV$13,0),MATCH(Ext_SCC_Chloride!$U12,'Tables - Part 2'!$AX$5:$BA$5,0)))/2)+INDEX('Tables - Part 2'!$AX$17:$BA$24,MATCH(Ext_SCC_Chloride!$X12,'Tables - Part 2'!$AV$6:$AV$13,0),MATCH(Ext_SCC_Chloride!$U12,'Tables - Part 2'!$AX$5:$BA$5,0)))/2)+(INDEX('Tables - Part 2'!$AX$17:$BA$24,MATCH(Ext_SCC_Chloride!$X12,'Tables - Part 2'!$AV$6:$AV$13,0),MATCH(Ext_SCC_Chloride!$U12,'Tables - Part 2'!$AX$5:$BA$5,0))))/2,0)</f>
        <v>0</v>
      </c>
      <c r="BG12" s="248">
        <f>IF($T12=$BG$3,INDEX('Tables - Part 2'!$AX$17:$BA$24,MATCH(Ext_SCC_Chloride!$X12,'Tables - Part 2'!$AV$6:$AV$13,0),MATCH(Ext_SCC_Chloride!$U12,'Tables - Part 2'!$AX$5:$BA$5,0)),0)</f>
        <v>0</v>
      </c>
      <c r="BH12" s="248">
        <f>IF($T12=$BH$3,((INDEX('Tables - Part 2'!$AX$17:$BA$24,MATCH(Ext_SCC_Chloride!$X12,'Tables - Part 2'!$AV$6:$AV$13,0),MATCH(Ext_SCC_Chloride!$U12,'Tables - Part 2'!$AX$5:$BA$5,0)))+(((INDEX('Tables - Part 2'!$AX$17:$BA$24,MATCH(Ext_SCC_Chloride!$X12,'Tables - Part 2'!$AV$6:$AV$13,0),MATCH(Ext_SCC_Chloride!$U12,'Tables - Part 2'!$AX$5:$BA$5,0)))+(INDEX('Tables - Part 2'!$AX$17:$BA$24,MATCH(Ext_SCC_Chloride!$X12,'Tables - Part 2'!$AV$6:$AV$13,0),MATCH(Ext_SCC_Chloride!$U12,'Tables - Part 2'!$AX$5:$BA$5,0))+INDEX('Tables - Part 2'!$BB$17:$BE$24,MATCH(Ext_SCC_Chloride!$X12,'Tables - Part 2'!$AV$6:$AV$13,0),MATCH(Ext_SCC_Chloride!$U12,'Tables - Part 2'!$AX$5:$BA$5,0)))/2)/2))/2,0)</f>
        <v>0</v>
      </c>
      <c r="BI12" s="248">
        <f>IF($T12=$BI$3,((INDEX('Tables - Part 2'!$AX$17:$BA$24,MATCH(Ext_SCC_Chloride!$X12,'Tables - Part 2'!$AV$6:$AV$13,0),MATCH(Ext_SCC_Chloride!$U12,'Tables - Part 2'!$AX$5:$BA$5,0)))+(INDEX('Tables - Part 2'!$AX$17:$BA$24,MATCH(Ext_SCC_Chloride!$X12,'Tables - Part 2'!$AV$6:$AV$13,0),MATCH(Ext_SCC_Chloride!$U12,'Tables - Part 2'!$AX$5:$BA$5,0))+INDEX('Tables - Part 2'!$BB$17:$BE$24,MATCH(Ext_SCC_Chloride!$X12,'Tables - Part 2'!$AV$6:$AV$13,0),MATCH(Ext_SCC_Chloride!$U12,'Tables - Part 2'!$AX$5:$BA$5,0)))/2)/2,0)</f>
        <v>0</v>
      </c>
      <c r="BJ12" s="248">
        <f>IF($T12=$BJ$3,((((INDEX('Tables - Part 2'!$AX$17:$BA$24,MATCH(Ext_SCC_Chloride!$X12,'Tables - Part 2'!$AV$6:$AV$13,0),MATCH(Ext_SCC_Chloride!$U12,'Tables - Part 2'!$AX$5:$BA$5,0)))+(INDEX('Tables - Part 2'!$AX$17:$BA$24,MATCH(Ext_SCC_Chloride!$X12,'Tables - Part 2'!$AV$6:$AV$13,0),MATCH(Ext_SCC_Chloride!$U12,'Tables - Part 2'!$AX$5:$BA$5,0))+INDEX('Tables - Part 2'!$BB$17:$BE$24,MATCH(Ext_SCC_Chloride!$X12,'Tables - Part 2'!$AV$6:$AV$13,0),MATCH(Ext_SCC_Chloride!$U12,'Tables - Part 2'!$AX$5:$BA$5,0)))/2)/2)+((INDEX('Tables - Part 2'!$AX$17:$BA$24,MATCH(Ext_SCC_Chloride!$X12,'Tables - Part 2'!$AV$6:$AV$13,0),MATCH(Ext_SCC_Chloride!$U12,'Tables - Part 2'!$AX$5:$BA$5,0))+INDEX('Tables - Part 2'!$BB$17:$BE$24,MATCH(Ext_SCC_Chloride!$X12,'Tables - Part 2'!$AV$6:$AV$13,0),MATCH(Ext_SCC_Chloride!$U12,'Tables - Part 2'!$AX$5:$BA$5,0)))/2))/2,0)</f>
        <v>0</v>
      </c>
      <c r="BK12" s="248">
        <f>IF($T12=$BK$3,(INDEX('Tables - Part 2'!$AX$17:$BA$24,MATCH(Ext_SCC_Chloride!$X12,'Tables - Part 2'!$AV$6:$AV$13,0),MATCH(Ext_SCC_Chloride!$U12,'Tables - Part 2'!$AX$5:$BA$5,0))+INDEX('Tables - Part 2'!$BB$17:$BE$24,MATCH(Ext_SCC_Chloride!$X12,'Tables - Part 2'!$AV$6:$AV$13,0),MATCH(Ext_SCC_Chloride!$U12,'Tables - Part 2'!$AX$5:$BA$5,0)))/2,0)</f>
        <v>0</v>
      </c>
      <c r="BL12" s="248">
        <f>IF($T12=$BL$3,(((INDEX('Tables - Part 2'!$AX$17:$BA$24,MATCH(Ext_SCC_Chloride!$X12,'Tables - Part 2'!$AV$6:$AV$13,0),MATCH(Ext_SCC_Chloride!$U12,'Tables - Part 2'!$AX$5:$BA$5,0))+INDEX('Tables - Part 2'!$BB$17:$BE$24,MATCH(Ext_SCC_Chloride!$X12,'Tables - Part 2'!$AV$6:$AV$13,0),MATCH(Ext_SCC_Chloride!$U12,'Tables - Part 2'!$AX$5:$BA$5,0)))/2)+((((INDEX('Tables - Part 2'!$AX$17:$BA$24,MATCH(Ext_SCC_Chloride!$X12,'Tables - Part 2'!$AV$6:$AV$13,0),MATCH(Ext_SCC_Chloride!$U12,'Tables - Part 2'!$AX$5:$BA$5,0))+INDEX('Tables - Part 2'!$BB$17:$BE$24,MATCH(Ext_SCC_Chloride!$X12,'Tables - Part 2'!$AV$6:$AV$13,0),MATCH(Ext_SCC_Chloride!$U12,'Tables - Part 2'!$AX$5:$BA$5,0)))/2)+INDEX('Tables - Part 2'!$BB$17:$BE$24,MATCH(Ext_SCC_Chloride!$X12,'Tables - Part 2'!$AV$6:$AV$13,0),MATCH(Ext_SCC_Chloride!$U12,'Tables - Part 2'!$AX$5:$BA$5,0)))/2))/2,0)</f>
        <v>0</v>
      </c>
      <c r="BM12" s="248">
        <f>IF($T12=$BM$3,(((INDEX('Tables - Part 2'!$AX$17:$BA$24,MATCH(Ext_SCC_Chloride!$X12,'Tables - Part 2'!$AV$6:$AV$13,0),MATCH(Ext_SCC_Chloride!$U12,'Tables - Part 2'!$AX$5:$BA$5,0))+INDEX('Tables - Part 2'!$BB$17:$BE$24,MATCH(Ext_SCC_Chloride!$X12,'Tables - Part 2'!$AV$6:$AV$13,0),MATCH(Ext_SCC_Chloride!$U12,'Tables - Part 2'!$AX$5:$BA$5,0)))/2)+INDEX('Tables - Part 2'!$BB$17:$BE$24,MATCH(Ext_SCC_Chloride!$X12,'Tables - Part 2'!$AV$6:$AV$13,0),MATCH(Ext_SCC_Chloride!$U12,'Tables - Part 2'!$AX$5:$BA$5,0)))/2,0)</f>
        <v>0</v>
      </c>
      <c r="BN12" s="248">
        <f>IF($T12=$BN$3,(((((INDEX('Tables - Part 2'!$AX$17:$BA$24,MATCH(Ext_SCC_Chloride!$X12,'Tables - Part 2'!$AV$6:$AV$13,0),MATCH(Ext_SCC_Chloride!$U12,'Tables - Part 2'!$AX$5:$BA$5,0))+INDEX('Tables - Part 2'!$BB$17:$BE$24,MATCH(Ext_SCC_Chloride!$X12,'Tables - Part 2'!$AV$6:$AV$13,0),MATCH(Ext_SCC_Chloride!$U12,'Tables - Part 2'!$AX$5:$BA$5,0)))/2)+INDEX('Tables - Part 2'!$BB$17:$BE$24,MATCH(Ext_SCC_Chloride!$X12,'Tables - Part 2'!$AV$6:$AV$13,0),MATCH(Ext_SCC_Chloride!$U12,'Tables - Part 2'!$AX$5:$BA$5,0)))/2)+(INDEX('Tables - Part 2'!$BB$17:$BE$24,MATCH(Ext_SCC_Chloride!$X12,'Tables - Part 2'!$AV$6:$AV$13,0),MATCH(Ext_SCC_Chloride!$U12,'Tables - Part 2'!$AX$5:$BA$5,0))))/2,0)</f>
        <v>0</v>
      </c>
      <c r="BO12" s="248">
        <f>IF($T12=$BO$3,INDEX('Tables - Part 2'!$BB$17:$BE$24,MATCH(Ext_SCC_Chloride!$X12,'Tables - Part 2'!$AV$6:$AV$13,0),MATCH(Ext_SCC_Chloride!$U12,'Tables - Part 2'!$AX$5:$BA$5,0)),0)</f>
        <v>0</v>
      </c>
      <c r="BP12" s="248">
        <f>IF($T12=$BP$3,((INDEX('Tables - Part 2'!$BB$17:$BE$24,MATCH(Ext_SCC_Chloride!$X12,'Tables - Part 2'!$AV$6:$AV$13,0),MATCH(Ext_SCC_Chloride!$U12,'Tables - Part 2'!$AX$5:$BA$5,0)))+(((INDEX('Tables - Part 2'!$BB$17:$BE$24,MATCH(Ext_SCC_Chloride!$X12,'Tables - Part 2'!$AV$6:$AV$13,0),MATCH(Ext_SCC_Chloride!$U12,'Tables - Part 2'!$AX$5:$BA$5,0)))+(INDEX('Tables - Part 2'!$BB$17:$BE$24,MATCH(Ext_SCC_Chloride!$X12,'Tables - Part 2'!$AV$6:$AV$13,0),MATCH(Ext_SCC_Chloride!$U12,'Tables - Part 2'!$AX$5:$BA$5,0))+INDEX('Tables - Part 2'!$BF$17:$BI$24,MATCH(Ext_SCC_Chloride!$X12,'Tables - Part 2'!$AV$6:$AV$13,0),MATCH(Ext_SCC_Chloride!$U12,'Tables - Part 2'!$AX$5:$BA$5,0)))/2)/2))/2,0)</f>
        <v>0</v>
      </c>
      <c r="BQ12" s="248">
        <f>IF($T12=$BQ$3,((INDEX('Tables - Part 2'!$BB$17:$BE$24,MATCH(Ext_SCC_Chloride!$X12,'Tables - Part 2'!$AV$6:$AV$13,0),MATCH(Ext_SCC_Chloride!$U12,'Tables - Part 2'!$AX$5:$BA$5,0)))+(INDEX('Tables - Part 2'!$BB$17:$BE$24,MATCH(Ext_SCC_Chloride!$X12,'Tables - Part 2'!$AV$6:$AV$13,0),MATCH(Ext_SCC_Chloride!$U12,'Tables - Part 2'!$AX$5:$BA$5,0))+INDEX('Tables - Part 2'!$BF$17:$BI$24,MATCH(Ext_SCC_Chloride!$X12,'Tables - Part 2'!$AV$6:$AV$13,0),MATCH(Ext_SCC_Chloride!$U12,'Tables - Part 2'!$AX$5:$BA$5,0)))/2)/2,0)</f>
        <v>0</v>
      </c>
      <c r="BR12" s="248">
        <f>IF($T12=$BR$3,((((INDEX('Tables - Part 2'!$BB$17:$BE$24,MATCH(Ext_SCC_Chloride!$X12,'Tables - Part 2'!$AV$6:$AV$13,0),MATCH(Ext_SCC_Chloride!$U12,'Tables - Part 2'!$AX$5:$BA$5,0)))+(INDEX('Tables - Part 2'!$BB$17:$BE$24,MATCH(Ext_SCC_Chloride!$X12,'Tables - Part 2'!$AV$6:$AV$13,0),MATCH(Ext_SCC_Chloride!$U12,'Tables - Part 2'!$AX$5:$BA$5,0))+INDEX('Tables - Part 2'!$BF$17:$BI$24,MATCH(Ext_SCC_Chloride!$X12,'Tables - Part 2'!$AV$6:$AV$13,0),MATCH(Ext_SCC_Chloride!$U12,'Tables - Part 2'!$AX$5:$BA$5,0)))/2)/2)+((INDEX('Tables - Part 2'!$BB$17:$BE$24,MATCH(Ext_SCC_Chloride!$X12,'Tables - Part 2'!$AV$6:$AV$13,0),MATCH(Ext_SCC_Chloride!$U12,'Tables - Part 2'!$AX$5:$BA$5,0))+INDEX('Tables - Part 2'!$BF$17:$BI$24,MATCH(Ext_SCC_Chloride!$X12,'Tables - Part 2'!$AV$6:$AV$13,0),MATCH(Ext_SCC_Chloride!$U12,'Tables - Part 2'!$AX$5:$BA$5,0)))/2))/2,0)</f>
        <v>0</v>
      </c>
      <c r="BS12" s="248">
        <f>IF($T12=$BS$3,(INDEX('Tables - Part 2'!$BB$17:$BE$24,MATCH(Ext_SCC_Chloride!$X12,'Tables - Part 2'!$AV$6:$AV$13,0),MATCH(Ext_SCC_Chloride!$U12,'Tables - Part 2'!$AX$5:$BA$5,0))+INDEX('Tables - Part 2'!$BF$17:$BI$24,MATCH(Ext_SCC_Chloride!$X12,'Tables - Part 2'!$AV$6:$AV$13,0),MATCH(Ext_SCC_Chloride!$U12,'Tables - Part 2'!$AX$5:$BA$5,0)))/2,0)</f>
        <v>0</v>
      </c>
      <c r="BT12" s="248">
        <f>IF($T12=$BT$3,(((INDEX('Tables - Part 2'!$BB$17:$BE$24,MATCH(Ext_SCC_Chloride!$X12,'Tables - Part 2'!$AV$6:$AV$13,0),MATCH(Ext_SCC_Chloride!$U12,'Tables - Part 2'!$AX$5:$BA$5,0))+INDEX('Tables - Part 2'!$BF$17:$BI$24,MATCH(Ext_SCC_Chloride!$X12,'Tables - Part 2'!$AV$6:$AV$13,0),MATCH(Ext_SCC_Chloride!$U12,'Tables - Part 2'!$AX$5:$BA$5,0)))/2)+((((INDEX('Tables - Part 2'!$BB$17:$BE$24,MATCH(Ext_SCC_Chloride!$X12,'Tables - Part 2'!$AV$6:$AV$13,0),MATCH(Ext_SCC_Chloride!$U12,'Tables - Part 2'!$AX$5:$BA$5,0))+INDEX('Tables - Part 2'!$BF$17:$BI$24,MATCH(Ext_SCC_Chloride!$X12,'Tables - Part 2'!$AV$6:$AV$13,0),MATCH(Ext_SCC_Chloride!$U12,'Tables - Part 2'!$AX$5:$BA$5,0)))/2)+INDEX('Tables - Part 2'!$BF$17:$BI$24,MATCH(Ext_SCC_Chloride!$X12,'Tables - Part 2'!$AV$6:$AV$13,0),MATCH(Ext_SCC_Chloride!$U12,'Tables - Part 2'!$AX$5:$BA$5,0)))/2))/2,0)</f>
        <v>0</v>
      </c>
      <c r="BU12" s="248">
        <f>IF($T12=$BU$3,(((INDEX('Tables - Part 2'!$BB$17:$BE$24,MATCH(Ext_SCC_Chloride!$X12,'Tables - Part 2'!$AV$6:$AV$13,0),MATCH(Ext_SCC_Chloride!$U12,'Tables - Part 2'!$AX$5:$BA$5,0))+INDEX('Tables - Part 2'!$BF$17:$BI$24,MATCH(Ext_SCC_Chloride!$X12,'Tables - Part 2'!$AV$6:$AV$13,0),MATCH(Ext_SCC_Chloride!$U12,'Tables - Part 2'!$AX$5:$BA$5,0)))/2)+INDEX('Tables - Part 2'!$BF$17:$BI$24,MATCH(Ext_SCC_Chloride!$X12,'Tables - Part 2'!$AV$6:$AV$13,0),MATCH(Ext_SCC_Chloride!$U12,'Tables - Part 2'!$AX$5:$BA$5,0)))/2,0)</f>
        <v>0</v>
      </c>
      <c r="BV12" s="248">
        <f>IF($T12=$BV$3,(((((INDEX('Tables - Part 2'!$BB$17:$BE$24,MATCH(Ext_SCC_Chloride!$X12,'Tables - Part 2'!$AV$6:$AV$13,0),MATCH(Ext_SCC_Chloride!$U12,'Tables - Part 2'!$AX$5:$BA$5,0))+INDEX('Tables - Part 2'!$BF$17:$BI$24,MATCH(Ext_SCC_Chloride!$X12,'Tables - Part 2'!$AV$6:$AV$13,0),MATCH(Ext_SCC_Chloride!$U12,'Tables - Part 2'!$AX$5:$BA$5,0)))/2)+INDEX('Tables - Part 2'!$BF$17:$BI$24,MATCH(Ext_SCC_Chloride!$X12,'Tables - Part 2'!$AV$6:$AV$13,0),MATCH(Ext_SCC_Chloride!$U12,'Tables - Part 2'!$AX$5:$BA$5,0)))/2)+(INDEX('Tables - Part 2'!$BF$17:$BI$24,MATCH(Ext_SCC_Chloride!$X12,'Tables - Part 2'!$AV$6:$AV$13,0),MATCH(Ext_SCC_Chloride!$U12,'Tables - Part 2'!$AX$5:$BA$5,0))))/2,0)</f>
        <v>0</v>
      </c>
      <c r="BW12" s="248">
        <f>IF($T12=$BW$3,INDEX('Tables - Part 2'!$BF$17:$BI$24,MATCH(Ext_SCC_Chloride!$X12,'Tables - Part 2'!$AV$6:$AV$13,0),MATCH(Ext_SCC_Chloride!$U12,'Tables - Part 2'!$AX$5:$BA$5,0)),0)</f>
        <v>0</v>
      </c>
      <c r="BX12" s="248">
        <f t="shared" si="5"/>
        <v>0</v>
      </c>
      <c r="BY12" s="238">
        <f t="shared" si="12"/>
        <v>0</v>
      </c>
      <c r="BZ12" s="238">
        <f t="shared" si="13"/>
        <v>0</v>
      </c>
    </row>
    <row r="13" spans="2:87" x14ac:dyDescent="0.35">
      <c r="B13" s="161" t="str">
        <f>'Tratamento de Dados'!B21</f>
        <v>V-4</v>
      </c>
      <c r="C13" s="161" t="str">
        <f>'Tratamento de Dados'!D21</f>
        <v>Casco</v>
      </c>
      <c r="D13" s="209" t="s">
        <v>245</v>
      </c>
      <c r="E13" s="209" t="s">
        <v>61</v>
      </c>
      <c r="F13" s="247">
        <f>'Tratamento de Dados'!S21</f>
        <v>2</v>
      </c>
      <c r="G13" s="209" t="s">
        <v>953</v>
      </c>
      <c r="H13" s="210">
        <v>35234</v>
      </c>
      <c r="I13" s="210">
        <v>43983</v>
      </c>
      <c r="J13" s="210">
        <v>39092</v>
      </c>
      <c r="K13" s="210">
        <f>'Tratamento de Dados'!CC21</f>
        <v>0</v>
      </c>
      <c r="L13" s="209">
        <f>'Tratamento de Dados'!CD21</f>
        <v>0</v>
      </c>
      <c r="M13" s="209" t="s">
        <v>905</v>
      </c>
      <c r="N13" s="209">
        <v>0</v>
      </c>
      <c r="O13" s="209">
        <v>1</v>
      </c>
      <c r="P13" s="209">
        <v>1</v>
      </c>
      <c r="Q13" s="209">
        <v>4</v>
      </c>
      <c r="R13" s="253">
        <f>'Tratamento de Dados'!DA21</f>
        <v>0</v>
      </c>
      <c r="S13" s="253">
        <f>'Tratamento de Dados'!DB21</f>
        <v>0</v>
      </c>
      <c r="T13" s="256">
        <f t="shared" si="0"/>
        <v>2.5</v>
      </c>
      <c r="U13" s="246" t="str">
        <f t="shared" si="1"/>
        <v>B</v>
      </c>
      <c r="V13" s="246" t="str">
        <f>IF(F13&lt;49,'Tables - Part 2'!$FH$5,IF(F13&lt;=93,'Tables - Part 2'!$FH$6,IF(F13&lt;=149,'Tables - Part 2'!$FH$7,'Tables - Part 2'!$FH$8)))</f>
        <v>&lt;49</v>
      </c>
      <c r="W13" s="467" t="str">
        <f>IF(D13=$CE$2,$CC$5,INDEX('Tables - Part 2'!$FI$5:$FL$8,MATCH(Ext_SCC_Chloride!V13,'Tables - Part 2'!$FH$5:$FH$8,0),MATCH(Ext_SCC_Chloride!M13,'Tables - Part 2'!$FI$4:$FL$4,0)))</f>
        <v>None</v>
      </c>
      <c r="X13" s="238">
        <f>IF(AND(D13=$CE$2,E13&lt;&gt;$CE$2),"Fitness-For-Service",INDEX('Tables - Part 2'!$FO$4:$FO$7,MATCH(Ext_SCC_Chloride!W13,'Tables - Part 2'!$FN$4:$FN$7,0),))</f>
        <v>0</v>
      </c>
      <c r="Y13" s="238">
        <f>IF(J13=0,(Thinning!G14-Thinning!F14)/365.25,(Thinning!G14-J13)/365.25)</f>
        <v>12.980150581793293</v>
      </c>
      <c r="Z13" s="248">
        <f t="shared" si="2"/>
        <v>0</v>
      </c>
      <c r="AA13" s="248">
        <f t="shared" si="3"/>
        <v>2.5</v>
      </c>
      <c r="AB13" s="247">
        <f t="shared" si="6"/>
        <v>3</v>
      </c>
      <c r="AC13" s="247">
        <f t="shared" si="4"/>
        <v>4</v>
      </c>
      <c r="AD13" s="247">
        <f t="shared" si="7"/>
        <v>120.41889117043121</v>
      </c>
      <c r="AE13" s="247">
        <f t="shared" si="8"/>
        <v>0</v>
      </c>
      <c r="AF13" s="247">
        <f t="shared" si="9"/>
        <v>0</v>
      </c>
      <c r="AG13" s="247">
        <f t="shared" si="10"/>
        <v>0</v>
      </c>
      <c r="AH13" s="247">
        <f t="shared" si="11"/>
        <v>12.980150581793293</v>
      </c>
      <c r="AI13" s="248">
        <f>IF($T13=$AI$3,INDEX('Tables - Part 2'!$AX$6:$BA$13,MATCH(Ext_SCC_Chloride!X13,'Tables - Part 2'!$AV$6:$AV$13,0),MATCH(Ext_SCC_Chloride!U13,'Tables - Part 2'!$AX$5:$BA$5,0)),0)</f>
        <v>0</v>
      </c>
      <c r="AJ13" s="248">
        <f>IF($T13=$AJ$3,(INDEX('Tables - Part 2'!$AX$6:$BA$13,MATCH(Ext_SCC_Chloride!X13,'Tables - Part 2'!$AV$6:$AV$13,0),MATCH(Ext_SCC_Chloride!U13,'Tables - Part 2'!$AX$5:$BA$5,0))+(INDEX('Tables - Part 2'!$AX$6:$BA$13,MATCH(Ext_SCC_Chloride!X13,'Tables - Part 2'!$AV$6:$AV$13,0),MATCH(Ext_SCC_Chloride!U13,'Tables - Part 2'!$AX$5:$BA$5,0))+((INDEX('Tables - Part 2'!$AX$6:$BA$13,MATCH(Ext_SCC_Chloride!X13,'Tables - Part 2'!$AV$6:$AV$13,0),MATCH(Ext_SCC_Chloride!U13,'Tables - Part 2'!$AX$5:$BA$5,0))+INDEX('Tables - Part 2'!$BB$6:$BE$13,MATCH(Ext_SCC_Chloride!$X13,'Tables - Part 2'!$AV$6:$AV$13,0),MATCH(Ext_SCC_Chloride!$U13,'Tables - Part 2'!$AX$5:$BA$5,0)))/2))/2)/2,0)</f>
        <v>0</v>
      </c>
      <c r="AK13" s="248">
        <f>IF($T13=$AK$3,(INDEX('Tables - Part 2'!$AX$6:$BA$13,MATCH(Ext_SCC_Chloride!X13,'Tables - Part 2'!$AV$6:$AV$13,0),MATCH(Ext_SCC_Chloride!U13,'Tables - Part 2'!$AX$5:$BA$5,0))+((INDEX('Tables - Part 2'!$AX$6:$BA$13,MATCH(Ext_SCC_Chloride!X13,'Tables - Part 2'!$AV$6:$AV$13,0),MATCH(Ext_SCC_Chloride!U13,'Tables - Part 2'!$AX$5:$BA$5,0))+INDEX('Tables - Part 2'!$BB$6:$BE$13,MATCH(Ext_SCC_Chloride!$X13,'Tables - Part 2'!$AV$6:$AV$13,0),MATCH(Ext_SCC_Chloride!$U13,'Tables - Part 2'!$AX$5:$BA$5,0)))/2))/2,0)</f>
        <v>0</v>
      </c>
      <c r="AL13" s="248">
        <f>IF($T13=$AL$3,(((INDEX('Tables - Part 2'!$AX$6:$BA$13,MATCH(Ext_SCC_Chloride!X13,'Tables - Part 2'!$AV$6:$AV$13,0),MATCH(Ext_SCC_Chloride!U13,'Tables - Part 2'!$AX$5:$BA$5,0))+((INDEX('Tables - Part 2'!$AX$6:$BA$13,MATCH(Ext_SCC_Chloride!X13,'Tables - Part 2'!$AV$6:$AV$13,0),MATCH(Ext_SCC_Chloride!U13,'Tables - Part 2'!$AX$5:$BA$5,0))+INDEX('Tables - Part 2'!$BB$6:$BE$13,MATCH(Ext_SCC_Chloride!$X13,'Tables - Part 2'!$AV$6:$AV$13,0),MATCH(Ext_SCC_Chloride!$U13,'Tables - Part 2'!$AX$5:$BA$5,0)))/2))/2)+(INDEX('Tables - Part 2'!$AX$6:$BA$13,MATCH(Ext_SCC_Chloride!X13,'Tables - Part 2'!$AV$6:$AV$13,0),MATCH(Ext_SCC_Chloride!U13,'Tables - Part 2'!$AX$5:$BA$5,0))+INDEX('Tables - Part 2'!$BB$6:$BE$13,MATCH(Ext_SCC_Chloride!$X13,'Tables - Part 2'!$AV$6:$AV$13,0),MATCH(Ext_SCC_Chloride!$U13,'Tables - Part 2'!$AX$5:$BA$5,0)))/2)/2,0)</f>
        <v>0</v>
      </c>
      <c r="AM13" s="248">
        <f>IF($T13=$AM$3,(INDEX('Tables - Part 2'!$AX$6:$BA$13,MATCH(Ext_SCC_Chloride!X13,'Tables - Part 2'!$AV$6:$AV$13,0),MATCH(Ext_SCC_Chloride!U13,'Tables - Part 2'!$AX$5:$BA$5,0))+INDEX('Tables - Part 2'!$BB$6:$BE$13,MATCH(Ext_SCC_Chloride!$X13,'Tables - Part 2'!$AV$6:$AV$13,0),MATCH(Ext_SCC_Chloride!$U13,'Tables - Part 2'!$AX$5:$BA$5,0)))/2,0)</f>
        <v>0</v>
      </c>
      <c r="AN13" s="248">
        <f>IF($T13=$AN$3,(((INDEX('Tables - Part 2'!$AX$6:$BA$13,MATCH(Ext_SCC_Chloride!X13,'Tables - Part 2'!$AV$6:$AV$13,0),MATCH(Ext_SCC_Chloride!U13,'Tables - Part 2'!$AX$5:$BA$5,0))+INDEX('Tables - Part 2'!$BB$6:$BE$13,MATCH(Ext_SCC_Chloride!$X13,'Tables - Part 2'!$AV$6:$AV$13,0),MATCH(Ext_SCC_Chloride!$U13,'Tables - Part 2'!$AX$5:$BA$5,0)))/2)+(((INDEX('Tables - Part 2'!$AX$6:$BA$13,MATCH(Ext_SCC_Chloride!X13,'Tables - Part 2'!$AV$6:$AV$13,0),MATCH(Ext_SCC_Chloride!U13,'Tables - Part 2'!$AX$5:$BA$5,0))+INDEX('Tables - Part 2'!$BB$6:$BE$13,MATCH(Ext_SCC_Chloride!$X13,'Tables - Part 2'!$AV$6:$AV$13,0),MATCH(Ext_SCC_Chloride!$U13,'Tables - Part 2'!$AX$5:$BA$5,0)))/2)+INDEX('Tables - Part 2'!$BB$6:$BE$13,MATCH(Ext_SCC_Chloride!$X13,'Tables - Part 2'!$AV$6:$AV$13,0),MATCH(Ext_SCC_Chloride!$U13,'Tables - Part 2'!$AX$5:$BA$5,0)))/2)/2,0)</f>
        <v>0</v>
      </c>
      <c r="AO13" s="248">
        <f>IF($T13=$AO$3,(((INDEX('Tables - Part 2'!$AX$6:$BA$13,MATCH(Ext_SCC_Chloride!X13,'Tables - Part 2'!$AV$6:$AV$13,0),MATCH(Ext_SCC_Chloride!U13,'Tables - Part 2'!$AX$5:$BA$5,0))+INDEX('Tables - Part 2'!$BB$6:$BE$13,MATCH(Ext_SCC_Chloride!$X13,'Tables - Part 2'!$AV$6:$AV$13,0),MATCH(Ext_SCC_Chloride!$U13,'Tables - Part 2'!$AX$5:$BA$5,0)))/2)+INDEX('Tables - Part 2'!$BB$6:$BE$13,MATCH(Ext_SCC_Chloride!$X13,'Tables - Part 2'!$AV$6:$AV$13,0),MATCH(Ext_SCC_Chloride!$U13,'Tables - Part 2'!$AX$5:$BA$5,0)))/2,0)</f>
        <v>0</v>
      </c>
      <c r="AP13" s="248">
        <f>IF($T13=$AP$3,(((((INDEX('Tables - Part 2'!$AX$6:$BA$13,MATCH(Ext_SCC_Chloride!X13,'Tables - Part 2'!$AV$6:$AV$13,0),MATCH(Ext_SCC_Chloride!U13,'Tables - Part 2'!$AX$5:$BA$5,0))+INDEX('Tables - Part 2'!$BB$6:$BE$13,MATCH(Ext_SCC_Chloride!$X13,'Tables - Part 2'!$AV$6:$AV$13,0),MATCH(Ext_SCC_Chloride!$U13,'Tables - Part 2'!$AX$5:$BA$5,0)))/2)+INDEX('Tables - Part 2'!$BB$6:$BE$13,MATCH(Ext_SCC_Chloride!$X13,'Tables - Part 2'!$AV$6:$AV$13,0),MATCH(Ext_SCC_Chloride!$U13,'Tables - Part 2'!$AX$5:$BA$5,0)))/2)+INDEX('Tables - Part 2'!$BB$6:$BE$13,MATCH(Ext_SCC_Chloride!$X13,'Tables - Part 2'!$AV$6:$AV$13,0),MATCH(Ext_SCC_Chloride!$U13,'Tables - Part 2'!$AX$5:$BA$5,0)))/2,0)</f>
        <v>0</v>
      </c>
      <c r="AQ13" s="248">
        <f>IF($T13=$AQ$3,INDEX('Tables - Part 2'!$BB$6:$BE$13,MATCH(Ext_SCC_Chloride!$X13,'Tables - Part 2'!$AV$6:$AV$13,0),MATCH(Ext_SCC_Chloride!$U13,'Tables - Part 2'!$AX$5:$BA$5,0)),0)</f>
        <v>0</v>
      </c>
      <c r="AR13" s="248">
        <f>IF($T13=$AR$3,((INDEX('Tables - Part 2'!$BB$6:$BE$13,MATCH(Ext_SCC_Chloride!$X13,'Tables - Part 2'!$AV$6:$AV$13,0),MATCH(Ext_SCC_Chloride!$U13,'Tables - Part 2'!$AX$5:$BA$5,0)))+(INDEX('Tables - Part 2'!$BB$6:$BE$13,MATCH(Ext_SCC_Chloride!$X13,'Tables - Part 2'!$AV$6:$AV$13,0),MATCH(Ext_SCC_Chloride!$U13,'Tables - Part 2'!$AX$5:$BA$5,0))+(INDEX('Tables - Part 2'!$BB$6:$BE$13,MATCH(Ext_SCC_Chloride!$X13,'Tables - Part 2'!$AV$6:$AV$13,0),MATCH(Ext_SCC_Chloride!$U13,'Tables - Part 2'!$AX$5:$BA$5,0))+INDEX('Tables - Part 2'!$BF$6:$BI$13,MATCH(Ext_SCC_Chloride!$X13,'Tables - Part 2'!$AV$6:$AV$13,0),MATCH(Ext_SCC_Chloride!$U13,'Tables - Part 2'!$AX$5:$BA$5,0)))/2)/2)/2,0)</f>
        <v>0</v>
      </c>
      <c r="AS13" s="248">
        <f>IF($T13=$AS$3,(INDEX('Tables - Part 2'!$BB$6:$BE$13,MATCH(Ext_SCC_Chloride!$X13,'Tables - Part 2'!$AV$6:$AV$13,0),MATCH(Ext_SCC_Chloride!$U13,'Tables - Part 2'!$AX$5:$BA$5,0))+(INDEX('Tables - Part 2'!$BB$6:$BE$13,MATCH(Ext_SCC_Chloride!$X13,'Tables - Part 2'!$AV$6:$AV$13,0),MATCH(Ext_SCC_Chloride!$U13,'Tables - Part 2'!$AX$5:$BA$5,0))+INDEX('Tables - Part 2'!$BF$6:$BI$13,MATCH(Ext_SCC_Chloride!$X13,'Tables - Part 2'!$AV$6:$AV$13,0),MATCH(Ext_SCC_Chloride!$U13,'Tables - Part 2'!$AX$5:$BA$5,0)))/2)/2,0)</f>
        <v>0</v>
      </c>
      <c r="AT13" s="248">
        <f>IF($T13=$AT$3,(((INDEX('Tables - Part 2'!$BB$6:$BE$13,MATCH(Ext_SCC_Chloride!$X13,'Tables - Part 2'!$AV$6:$AV$13,0),MATCH(Ext_SCC_Chloride!$U13,'Tables - Part 2'!$AX$5:$BA$5,0))+(INDEX('Tables - Part 2'!$BB$6:$BE$13,MATCH(Ext_SCC_Chloride!$X13,'Tables - Part 2'!$AV$6:$AV$13,0),MATCH(Ext_SCC_Chloride!$U13,'Tables - Part 2'!$AX$5:$BA$5,0))+INDEX('Tables - Part 2'!$BF$6:$BI$13,MATCH(Ext_SCC_Chloride!$X13,'Tables - Part 2'!$AV$6:$AV$13,0),MATCH(Ext_SCC_Chloride!$U13,'Tables - Part 2'!$AX$5:$BA$5,0)))/2)/2)+((INDEX('Tables - Part 2'!$BB$6:$BE$13,MATCH(Ext_SCC_Chloride!$X13,'Tables - Part 2'!$AV$6:$AV$13,0),MATCH(Ext_SCC_Chloride!$U13,'Tables - Part 2'!$AX$5:$BA$5,0))+INDEX('Tables - Part 2'!$BF$6:$BI$13,MATCH(Ext_SCC_Chloride!$X13,'Tables - Part 2'!$AV$6:$AV$13,0),MATCH(Ext_SCC_Chloride!$U13,'Tables - Part 2'!$AX$5:$BA$5,0)))/2))/2,0)</f>
        <v>0</v>
      </c>
      <c r="AU13" s="248">
        <f>IF($T13=$AU$3,(INDEX('Tables - Part 2'!$BB$6:$BE$13,MATCH(Ext_SCC_Chloride!$X13,'Tables - Part 2'!$AV$6:$AV$13,0),MATCH(Ext_SCC_Chloride!$U13,'Tables - Part 2'!$AX$5:$BA$5,0))+INDEX('Tables - Part 2'!$BF$6:$BI$13,MATCH(Ext_SCC_Chloride!$X13,'Tables - Part 2'!$AV$6:$AV$13,0),MATCH(Ext_SCC_Chloride!$U13,'Tables - Part 2'!$AX$5:$BA$5,0)))/2,0)</f>
        <v>0</v>
      </c>
      <c r="AV13" s="248">
        <f>IF($T13=$AV$3,(((INDEX('Tables - Part 2'!$BB$6:$BE$13,MATCH(Ext_SCC_Chloride!$X13,'Tables - Part 2'!$AV$6:$AV$13,0),MATCH(Ext_SCC_Chloride!$U13,'Tables - Part 2'!$AX$5:$BA$5,0))+INDEX('Tables - Part 2'!$BF$6:$BI$13,MATCH(Ext_SCC_Chloride!$X13,'Tables - Part 2'!$AV$6:$AV$13,0),MATCH(Ext_SCC_Chloride!$U13,'Tables - Part 2'!$AX$5:$BA$5,0)))/2)+((((INDEX('Tables - Part 2'!$BB$6:$BE$13,MATCH(Ext_SCC_Chloride!$X13,'Tables - Part 2'!$AV$6:$AV$13,0),MATCH(Ext_SCC_Chloride!$U13,'Tables - Part 2'!$AX$5:$BA$5,0))+INDEX('Tables - Part 2'!$BF$6:$BI$13,MATCH(Ext_SCC_Chloride!$X13,'Tables - Part 2'!$AV$6:$AV$13,0),MATCH(Ext_SCC_Chloride!$U13,'Tables - Part 2'!$AX$5:$BA$5,0)))/2)+INDEX('Tables - Part 2'!$BF$6:$BI$13,MATCH(Ext_SCC_Chloride!$X13,'Tables - Part 2'!$AV$6:$AV$13,0),MATCH(Ext_SCC_Chloride!$U13,'Tables - Part 2'!$AX$5:$BA$5,0)))/2))/2,0)</f>
        <v>0</v>
      </c>
      <c r="AW13" s="248">
        <f>IF($T13=$AW$3,(((INDEX('Tables - Part 2'!$BB$6:$BE$13,MATCH(Ext_SCC_Chloride!$X13,'Tables - Part 2'!$AV$6:$AV$13,0),MATCH(Ext_SCC_Chloride!$U13,'Tables - Part 2'!$AX$5:$BA$5,0))+INDEX('Tables - Part 2'!$BF$6:$BI$13,MATCH(Ext_SCC_Chloride!$X13,'Tables - Part 2'!$AV$6:$AV$13,0),MATCH(Ext_SCC_Chloride!$U13,'Tables - Part 2'!$AX$5:$BA$5,0)))/2)+INDEX('Tables - Part 2'!$BF$6:$BI$13,MATCH(Ext_SCC_Chloride!$X13,'Tables - Part 2'!$AV$6:$AV$13,0),MATCH(Ext_SCC_Chloride!$U13,'Tables - Part 2'!$AX$5:$BA$5,0)))/2,0)</f>
        <v>0</v>
      </c>
      <c r="AX13" s="248">
        <f>IF($T13=$AX$3,(((((INDEX('Tables - Part 2'!$BB$6:$BE$13,MATCH(Ext_SCC_Chloride!$X13,'Tables - Part 2'!$AV$6:$AV$13,0),MATCH(Ext_SCC_Chloride!$U13,'Tables - Part 2'!$AX$5:$BA$5,0))+INDEX('Tables - Part 2'!$BF$6:$BI$13,MATCH(Ext_SCC_Chloride!$X13,'Tables - Part 2'!$AV$6:$AV$13,0),MATCH(Ext_SCC_Chloride!$U13,'Tables - Part 2'!$AX$5:$BA$5,0)))/2)+INDEX('Tables - Part 2'!$BF$6:$BI$13,MATCH(Ext_SCC_Chloride!$X13,'Tables - Part 2'!$AV$6:$AV$13,0),MATCH(Ext_SCC_Chloride!$U13,'Tables - Part 2'!$AX$5:$BA$5,0)))/2)+INDEX('Tables - Part 2'!$BF$6:$BI$13,MATCH(Ext_SCC_Chloride!$X13,'Tables - Part 2'!$AV$6:$AV$13,0),MATCH(Ext_SCC_Chloride!$U13,'Tables - Part 2'!$AX$5:$BA$5,0)))/2,0)</f>
        <v>0</v>
      </c>
      <c r="AY13" s="248">
        <f>IF($T13=$AY$3,INDEX('Tables - Part 2'!$BF$6:$BI$13,MATCH(Ext_SCC_Chloride!$X13,'Tables - Part 2'!$AV$6:$AV$13,0),MATCH(Ext_SCC_Chloride!$U13,'Tables - Part 2'!$AX$5:$BA$5,0)),0)</f>
        <v>0</v>
      </c>
      <c r="AZ13" s="248">
        <f>IF($T13=$AZ$3,(INDEX('Tables - Part 2'!$BF$6:$BI$13,MATCH(Ext_SCC_Chloride!$X13,'Tables - Part 2'!$AV$6:$AV$13,0),MATCH(Ext_SCC_Chloride!$U13,'Tables - Part 2'!$AX$5:$BA$5,0))+((INDEX('Tables - Part 2'!$BF$6:$BI$13,MATCH(Ext_SCC_Chloride!$X13,'Tables - Part 2'!$AV$6:$AV$13,0),MATCH(Ext_SCC_Chloride!$U13,'Tables - Part 2'!$AX$5:$BA$5,0))+(INDEX('Tables - Part 2'!$BF$6:$BI$13,MATCH(Ext_SCC_Chloride!$X13,'Tables - Part 2'!$AV$6:$AV$13,0),MATCH(Ext_SCC_Chloride!$U13,'Tables - Part 2'!$AX$5:$BA$5,0))+INDEX('Tables - Part 2'!$AX$17:$BA$24,MATCH(Ext_SCC_Chloride!$X13,'Tables - Part 2'!$AV$6:$AV$13,0),MATCH(Ext_SCC_Chloride!$U13,'Tables - Part 2'!$AX$5:$BA$5,0)))/2)/2))/2,0)</f>
        <v>0</v>
      </c>
      <c r="BA13" s="248">
        <f>IF($T13=$BA$3,(INDEX('Tables - Part 2'!$BF$6:$BI$13,MATCH(Ext_SCC_Chloride!$X13,'Tables - Part 2'!$AV$6:$AV$13,0),MATCH(Ext_SCC_Chloride!$U13,'Tables - Part 2'!$AX$5:$BA$5,0))+(INDEX('Tables - Part 2'!$BF$6:$BI$13,MATCH(Ext_SCC_Chloride!$X13,'Tables - Part 2'!$AV$6:$AV$13,0),MATCH(Ext_SCC_Chloride!$U13,'Tables - Part 2'!$AX$5:$BA$5,0))+INDEX('Tables - Part 2'!$AX$17:$BA$24,MATCH(Ext_SCC_Chloride!$X13,'Tables - Part 2'!$AV$6:$AV$13,0),MATCH(Ext_SCC_Chloride!$U13,'Tables - Part 2'!$AX$5:$BA$5,0)))/2)/2,0)</f>
        <v>0</v>
      </c>
      <c r="BB13" s="248">
        <f>IF($T13=$BB$3,(((INDEX('Tables - Part 2'!$BF$6:$BI$13,MATCH(Ext_SCC_Chloride!$X13,'Tables - Part 2'!$AV$6:$AV$13,0),MATCH(Ext_SCC_Chloride!$U13,'Tables - Part 2'!$AX$5:$BA$5,0))+(INDEX('Tables - Part 2'!$BF$6:$BI$13,MATCH(Ext_SCC_Chloride!$X13,'Tables - Part 2'!$AV$6:$AV$13,0),MATCH(Ext_SCC_Chloride!$U13,'Tables - Part 2'!$AX$5:$BA$5,0))+INDEX('Tables - Part 2'!$AX$17:$BA$24,MATCH(Ext_SCC_Chloride!$X13,'Tables - Part 2'!$AV$6:$AV$13,0),MATCH(Ext_SCC_Chloride!$U13,'Tables - Part 2'!$AX$5:$BA$5,0)))/2)/2)+((INDEX('Tables - Part 2'!$BF$6:$BI$13,MATCH(Ext_SCC_Chloride!$X13,'Tables - Part 2'!$AV$6:$AV$13,0),MATCH(Ext_SCC_Chloride!$U13,'Tables - Part 2'!$AX$5:$BA$5,0))+INDEX('Tables - Part 2'!$AX$17:$BA$24,MATCH(Ext_SCC_Chloride!$X13,'Tables - Part 2'!$AV$6:$AV$13,0),MATCH(Ext_SCC_Chloride!$U13,'Tables - Part 2'!$AX$5:$BA$5,0)))/2))/2,0)</f>
        <v>0</v>
      </c>
      <c r="BC13" s="248">
        <f>IF($T13=$BC$3,(INDEX('Tables - Part 2'!$BF$6:$BI$13,MATCH(Ext_SCC_Chloride!$X13,'Tables - Part 2'!$AV$6:$AV$13,0),MATCH(Ext_SCC_Chloride!$U13,'Tables - Part 2'!$AX$5:$BA$5,0))+INDEX('Tables - Part 2'!$AX$17:$BA$24,MATCH(Ext_SCC_Chloride!$X13,'Tables - Part 2'!$AV$6:$AV$13,0),MATCH(Ext_SCC_Chloride!$U13,'Tables - Part 2'!$AX$5:$BA$5,0)))/2,0)</f>
        <v>0</v>
      </c>
      <c r="BD13" s="248">
        <f>IF($T13=$BD$3,(((INDEX('Tables - Part 2'!$BF$6:$BI$13,MATCH(Ext_SCC_Chloride!$X13,'Tables - Part 2'!$AV$6:$AV$13,0),MATCH(Ext_SCC_Chloride!$U13,'Tables - Part 2'!$AX$5:$BA$5,0))+INDEX('Tables - Part 2'!$AX$17:$BA$24,MATCH(Ext_SCC_Chloride!$X13,'Tables - Part 2'!$AV$6:$AV$13,0),MATCH(Ext_SCC_Chloride!$U13,'Tables - Part 2'!$AX$5:$BA$5,0)))/2)+((((INDEX('Tables - Part 2'!$BF$6:$BI$13,MATCH(Ext_SCC_Chloride!$X13,'Tables - Part 2'!$AV$6:$AV$13,0),MATCH(Ext_SCC_Chloride!$U13,'Tables - Part 2'!$AX$5:$BA$5,0))+INDEX('Tables - Part 2'!$AX$17:$BA$24,MATCH(Ext_SCC_Chloride!$X13,'Tables - Part 2'!$AV$6:$AV$13,0),MATCH(Ext_SCC_Chloride!$U13,'Tables - Part 2'!$AX$5:$BA$5,0)))/2)+INDEX('Tables - Part 2'!$AX$17:$BA$24,MATCH(Ext_SCC_Chloride!$X13,'Tables - Part 2'!$AV$6:$AV$13,0),MATCH(Ext_SCC_Chloride!$U13,'Tables - Part 2'!$AX$5:$BA$5,0)))/2))/2,0)</f>
        <v>0</v>
      </c>
      <c r="BE13" s="248">
        <f>IF($T13=$BE$3,(((INDEX('Tables - Part 2'!$BF$6:$BI$13,MATCH(Ext_SCC_Chloride!$X13,'Tables - Part 2'!$AV$6:$AV$13,0),MATCH(Ext_SCC_Chloride!$U13,'Tables - Part 2'!$AX$5:$BA$5,0))+INDEX('Tables - Part 2'!$AX$17:$BA$24,MATCH(Ext_SCC_Chloride!$X13,'Tables - Part 2'!$AV$6:$AV$13,0),MATCH(Ext_SCC_Chloride!$U13,'Tables - Part 2'!$AX$5:$BA$5,0)))/2)+INDEX('Tables - Part 2'!$AX$17:$BA$24,MATCH(Ext_SCC_Chloride!$X13,'Tables - Part 2'!$AV$6:$AV$13,0),MATCH(Ext_SCC_Chloride!$U13,'Tables - Part 2'!$AX$5:$BA$5,0)))/2,0)</f>
        <v>0</v>
      </c>
      <c r="BF13" s="248">
        <f>IF($T13=$BF$3,(((((INDEX('Tables - Part 2'!$BF$6:$BI$13,MATCH(Ext_SCC_Chloride!$X13,'Tables - Part 2'!$AV$6:$AV$13,0),MATCH(Ext_SCC_Chloride!$U13,'Tables - Part 2'!$AX$5:$BA$5,0))+INDEX('Tables - Part 2'!$AX$17:$BA$24,MATCH(Ext_SCC_Chloride!$X13,'Tables - Part 2'!$AV$6:$AV$13,0),MATCH(Ext_SCC_Chloride!$U13,'Tables - Part 2'!$AX$5:$BA$5,0)))/2)+INDEX('Tables - Part 2'!$AX$17:$BA$24,MATCH(Ext_SCC_Chloride!$X13,'Tables - Part 2'!$AV$6:$AV$13,0),MATCH(Ext_SCC_Chloride!$U13,'Tables - Part 2'!$AX$5:$BA$5,0)))/2)+(INDEX('Tables - Part 2'!$AX$17:$BA$24,MATCH(Ext_SCC_Chloride!$X13,'Tables - Part 2'!$AV$6:$AV$13,0),MATCH(Ext_SCC_Chloride!$U13,'Tables - Part 2'!$AX$5:$BA$5,0))))/2,0)</f>
        <v>0</v>
      </c>
      <c r="BG13" s="248">
        <f>IF($T13=$BG$3,INDEX('Tables - Part 2'!$AX$17:$BA$24,MATCH(Ext_SCC_Chloride!$X13,'Tables - Part 2'!$AV$6:$AV$13,0),MATCH(Ext_SCC_Chloride!$U13,'Tables - Part 2'!$AX$5:$BA$5,0)),0)</f>
        <v>0</v>
      </c>
      <c r="BH13" s="248">
        <f>IF($T13=$BH$3,((INDEX('Tables - Part 2'!$AX$17:$BA$24,MATCH(Ext_SCC_Chloride!$X13,'Tables - Part 2'!$AV$6:$AV$13,0),MATCH(Ext_SCC_Chloride!$U13,'Tables - Part 2'!$AX$5:$BA$5,0)))+(((INDEX('Tables - Part 2'!$AX$17:$BA$24,MATCH(Ext_SCC_Chloride!$X13,'Tables - Part 2'!$AV$6:$AV$13,0),MATCH(Ext_SCC_Chloride!$U13,'Tables - Part 2'!$AX$5:$BA$5,0)))+(INDEX('Tables - Part 2'!$AX$17:$BA$24,MATCH(Ext_SCC_Chloride!$X13,'Tables - Part 2'!$AV$6:$AV$13,0),MATCH(Ext_SCC_Chloride!$U13,'Tables - Part 2'!$AX$5:$BA$5,0))+INDEX('Tables - Part 2'!$BB$17:$BE$24,MATCH(Ext_SCC_Chloride!$X13,'Tables - Part 2'!$AV$6:$AV$13,0),MATCH(Ext_SCC_Chloride!$U13,'Tables - Part 2'!$AX$5:$BA$5,0)))/2)/2))/2,0)</f>
        <v>0</v>
      </c>
      <c r="BI13" s="248">
        <f>IF($T13=$BI$3,((INDEX('Tables - Part 2'!$AX$17:$BA$24,MATCH(Ext_SCC_Chloride!$X13,'Tables - Part 2'!$AV$6:$AV$13,0),MATCH(Ext_SCC_Chloride!$U13,'Tables - Part 2'!$AX$5:$BA$5,0)))+(INDEX('Tables - Part 2'!$AX$17:$BA$24,MATCH(Ext_SCC_Chloride!$X13,'Tables - Part 2'!$AV$6:$AV$13,0),MATCH(Ext_SCC_Chloride!$U13,'Tables - Part 2'!$AX$5:$BA$5,0))+INDEX('Tables - Part 2'!$BB$17:$BE$24,MATCH(Ext_SCC_Chloride!$X13,'Tables - Part 2'!$AV$6:$AV$13,0),MATCH(Ext_SCC_Chloride!$U13,'Tables - Part 2'!$AX$5:$BA$5,0)))/2)/2,0)</f>
        <v>0</v>
      </c>
      <c r="BJ13" s="248">
        <f>IF($T13=$BJ$3,((((INDEX('Tables - Part 2'!$AX$17:$BA$24,MATCH(Ext_SCC_Chloride!$X13,'Tables - Part 2'!$AV$6:$AV$13,0),MATCH(Ext_SCC_Chloride!$U13,'Tables - Part 2'!$AX$5:$BA$5,0)))+(INDEX('Tables - Part 2'!$AX$17:$BA$24,MATCH(Ext_SCC_Chloride!$X13,'Tables - Part 2'!$AV$6:$AV$13,0),MATCH(Ext_SCC_Chloride!$U13,'Tables - Part 2'!$AX$5:$BA$5,0))+INDEX('Tables - Part 2'!$BB$17:$BE$24,MATCH(Ext_SCC_Chloride!$X13,'Tables - Part 2'!$AV$6:$AV$13,0),MATCH(Ext_SCC_Chloride!$U13,'Tables - Part 2'!$AX$5:$BA$5,0)))/2)/2)+((INDEX('Tables - Part 2'!$AX$17:$BA$24,MATCH(Ext_SCC_Chloride!$X13,'Tables - Part 2'!$AV$6:$AV$13,0),MATCH(Ext_SCC_Chloride!$U13,'Tables - Part 2'!$AX$5:$BA$5,0))+INDEX('Tables - Part 2'!$BB$17:$BE$24,MATCH(Ext_SCC_Chloride!$X13,'Tables - Part 2'!$AV$6:$AV$13,0),MATCH(Ext_SCC_Chloride!$U13,'Tables - Part 2'!$AX$5:$BA$5,0)))/2))/2,0)</f>
        <v>0</v>
      </c>
      <c r="BK13" s="248">
        <f>IF($T13=$BK$3,(INDEX('Tables - Part 2'!$AX$17:$BA$24,MATCH(Ext_SCC_Chloride!$X13,'Tables - Part 2'!$AV$6:$AV$13,0),MATCH(Ext_SCC_Chloride!$U13,'Tables - Part 2'!$AX$5:$BA$5,0))+INDEX('Tables - Part 2'!$BB$17:$BE$24,MATCH(Ext_SCC_Chloride!$X13,'Tables - Part 2'!$AV$6:$AV$13,0),MATCH(Ext_SCC_Chloride!$U13,'Tables - Part 2'!$AX$5:$BA$5,0)))/2,0)</f>
        <v>0</v>
      </c>
      <c r="BL13" s="248">
        <f>IF($T13=$BL$3,(((INDEX('Tables - Part 2'!$AX$17:$BA$24,MATCH(Ext_SCC_Chloride!$X13,'Tables - Part 2'!$AV$6:$AV$13,0),MATCH(Ext_SCC_Chloride!$U13,'Tables - Part 2'!$AX$5:$BA$5,0))+INDEX('Tables - Part 2'!$BB$17:$BE$24,MATCH(Ext_SCC_Chloride!$X13,'Tables - Part 2'!$AV$6:$AV$13,0),MATCH(Ext_SCC_Chloride!$U13,'Tables - Part 2'!$AX$5:$BA$5,0)))/2)+((((INDEX('Tables - Part 2'!$AX$17:$BA$24,MATCH(Ext_SCC_Chloride!$X13,'Tables - Part 2'!$AV$6:$AV$13,0),MATCH(Ext_SCC_Chloride!$U13,'Tables - Part 2'!$AX$5:$BA$5,0))+INDEX('Tables - Part 2'!$BB$17:$BE$24,MATCH(Ext_SCC_Chloride!$X13,'Tables - Part 2'!$AV$6:$AV$13,0),MATCH(Ext_SCC_Chloride!$U13,'Tables - Part 2'!$AX$5:$BA$5,0)))/2)+INDEX('Tables - Part 2'!$BB$17:$BE$24,MATCH(Ext_SCC_Chloride!$X13,'Tables - Part 2'!$AV$6:$AV$13,0),MATCH(Ext_SCC_Chloride!$U13,'Tables - Part 2'!$AX$5:$BA$5,0)))/2))/2,0)</f>
        <v>0</v>
      </c>
      <c r="BM13" s="248">
        <f>IF($T13=$BM$3,(((INDEX('Tables - Part 2'!$AX$17:$BA$24,MATCH(Ext_SCC_Chloride!$X13,'Tables - Part 2'!$AV$6:$AV$13,0),MATCH(Ext_SCC_Chloride!$U13,'Tables - Part 2'!$AX$5:$BA$5,0))+INDEX('Tables - Part 2'!$BB$17:$BE$24,MATCH(Ext_SCC_Chloride!$X13,'Tables - Part 2'!$AV$6:$AV$13,0),MATCH(Ext_SCC_Chloride!$U13,'Tables - Part 2'!$AX$5:$BA$5,0)))/2)+INDEX('Tables - Part 2'!$BB$17:$BE$24,MATCH(Ext_SCC_Chloride!$X13,'Tables - Part 2'!$AV$6:$AV$13,0),MATCH(Ext_SCC_Chloride!$U13,'Tables - Part 2'!$AX$5:$BA$5,0)))/2,0)</f>
        <v>0</v>
      </c>
      <c r="BN13" s="248">
        <f>IF($T13=$BN$3,(((((INDEX('Tables - Part 2'!$AX$17:$BA$24,MATCH(Ext_SCC_Chloride!$X13,'Tables - Part 2'!$AV$6:$AV$13,0),MATCH(Ext_SCC_Chloride!$U13,'Tables - Part 2'!$AX$5:$BA$5,0))+INDEX('Tables - Part 2'!$BB$17:$BE$24,MATCH(Ext_SCC_Chloride!$X13,'Tables - Part 2'!$AV$6:$AV$13,0),MATCH(Ext_SCC_Chloride!$U13,'Tables - Part 2'!$AX$5:$BA$5,0)))/2)+INDEX('Tables - Part 2'!$BB$17:$BE$24,MATCH(Ext_SCC_Chloride!$X13,'Tables - Part 2'!$AV$6:$AV$13,0),MATCH(Ext_SCC_Chloride!$U13,'Tables - Part 2'!$AX$5:$BA$5,0)))/2)+(INDEX('Tables - Part 2'!$BB$17:$BE$24,MATCH(Ext_SCC_Chloride!$X13,'Tables - Part 2'!$AV$6:$AV$13,0),MATCH(Ext_SCC_Chloride!$U13,'Tables - Part 2'!$AX$5:$BA$5,0))))/2,0)</f>
        <v>0</v>
      </c>
      <c r="BO13" s="248">
        <f>IF($T13=$BO$3,INDEX('Tables - Part 2'!$BB$17:$BE$24,MATCH(Ext_SCC_Chloride!$X13,'Tables - Part 2'!$AV$6:$AV$13,0),MATCH(Ext_SCC_Chloride!$U13,'Tables - Part 2'!$AX$5:$BA$5,0)),0)</f>
        <v>0</v>
      </c>
      <c r="BP13" s="248">
        <f>IF($T13=$BP$3,((INDEX('Tables - Part 2'!$BB$17:$BE$24,MATCH(Ext_SCC_Chloride!$X13,'Tables - Part 2'!$AV$6:$AV$13,0),MATCH(Ext_SCC_Chloride!$U13,'Tables - Part 2'!$AX$5:$BA$5,0)))+(((INDEX('Tables - Part 2'!$BB$17:$BE$24,MATCH(Ext_SCC_Chloride!$X13,'Tables - Part 2'!$AV$6:$AV$13,0),MATCH(Ext_SCC_Chloride!$U13,'Tables - Part 2'!$AX$5:$BA$5,0)))+(INDEX('Tables - Part 2'!$BB$17:$BE$24,MATCH(Ext_SCC_Chloride!$X13,'Tables - Part 2'!$AV$6:$AV$13,0),MATCH(Ext_SCC_Chloride!$U13,'Tables - Part 2'!$AX$5:$BA$5,0))+INDEX('Tables - Part 2'!$BF$17:$BI$24,MATCH(Ext_SCC_Chloride!$X13,'Tables - Part 2'!$AV$6:$AV$13,0),MATCH(Ext_SCC_Chloride!$U13,'Tables - Part 2'!$AX$5:$BA$5,0)))/2)/2))/2,0)</f>
        <v>0</v>
      </c>
      <c r="BQ13" s="248">
        <f>IF($T13=$BQ$3,((INDEX('Tables - Part 2'!$BB$17:$BE$24,MATCH(Ext_SCC_Chloride!$X13,'Tables - Part 2'!$AV$6:$AV$13,0),MATCH(Ext_SCC_Chloride!$U13,'Tables - Part 2'!$AX$5:$BA$5,0)))+(INDEX('Tables - Part 2'!$BB$17:$BE$24,MATCH(Ext_SCC_Chloride!$X13,'Tables - Part 2'!$AV$6:$AV$13,0),MATCH(Ext_SCC_Chloride!$U13,'Tables - Part 2'!$AX$5:$BA$5,0))+INDEX('Tables - Part 2'!$BF$17:$BI$24,MATCH(Ext_SCC_Chloride!$X13,'Tables - Part 2'!$AV$6:$AV$13,0),MATCH(Ext_SCC_Chloride!$U13,'Tables - Part 2'!$AX$5:$BA$5,0)))/2)/2,0)</f>
        <v>0</v>
      </c>
      <c r="BR13" s="248">
        <f>IF($T13=$BR$3,((((INDEX('Tables - Part 2'!$BB$17:$BE$24,MATCH(Ext_SCC_Chloride!$X13,'Tables - Part 2'!$AV$6:$AV$13,0),MATCH(Ext_SCC_Chloride!$U13,'Tables - Part 2'!$AX$5:$BA$5,0)))+(INDEX('Tables - Part 2'!$BB$17:$BE$24,MATCH(Ext_SCC_Chloride!$X13,'Tables - Part 2'!$AV$6:$AV$13,0),MATCH(Ext_SCC_Chloride!$U13,'Tables - Part 2'!$AX$5:$BA$5,0))+INDEX('Tables - Part 2'!$BF$17:$BI$24,MATCH(Ext_SCC_Chloride!$X13,'Tables - Part 2'!$AV$6:$AV$13,0),MATCH(Ext_SCC_Chloride!$U13,'Tables - Part 2'!$AX$5:$BA$5,0)))/2)/2)+((INDEX('Tables - Part 2'!$BB$17:$BE$24,MATCH(Ext_SCC_Chloride!$X13,'Tables - Part 2'!$AV$6:$AV$13,0),MATCH(Ext_SCC_Chloride!$U13,'Tables - Part 2'!$AX$5:$BA$5,0))+INDEX('Tables - Part 2'!$BF$17:$BI$24,MATCH(Ext_SCC_Chloride!$X13,'Tables - Part 2'!$AV$6:$AV$13,0),MATCH(Ext_SCC_Chloride!$U13,'Tables - Part 2'!$AX$5:$BA$5,0)))/2))/2,0)</f>
        <v>0</v>
      </c>
      <c r="BS13" s="248">
        <f>IF($T13=$BS$3,(INDEX('Tables - Part 2'!$BB$17:$BE$24,MATCH(Ext_SCC_Chloride!$X13,'Tables - Part 2'!$AV$6:$AV$13,0),MATCH(Ext_SCC_Chloride!$U13,'Tables - Part 2'!$AX$5:$BA$5,0))+INDEX('Tables - Part 2'!$BF$17:$BI$24,MATCH(Ext_SCC_Chloride!$X13,'Tables - Part 2'!$AV$6:$AV$13,0),MATCH(Ext_SCC_Chloride!$U13,'Tables - Part 2'!$AX$5:$BA$5,0)))/2,0)</f>
        <v>0</v>
      </c>
      <c r="BT13" s="248">
        <f>IF($T13=$BT$3,(((INDEX('Tables - Part 2'!$BB$17:$BE$24,MATCH(Ext_SCC_Chloride!$X13,'Tables - Part 2'!$AV$6:$AV$13,0),MATCH(Ext_SCC_Chloride!$U13,'Tables - Part 2'!$AX$5:$BA$5,0))+INDEX('Tables - Part 2'!$BF$17:$BI$24,MATCH(Ext_SCC_Chloride!$X13,'Tables - Part 2'!$AV$6:$AV$13,0),MATCH(Ext_SCC_Chloride!$U13,'Tables - Part 2'!$AX$5:$BA$5,0)))/2)+((((INDEX('Tables - Part 2'!$BB$17:$BE$24,MATCH(Ext_SCC_Chloride!$X13,'Tables - Part 2'!$AV$6:$AV$13,0),MATCH(Ext_SCC_Chloride!$U13,'Tables - Part 2'!$AX$5:$BA$5,0))+INDEX('Tables - Part 2'!$BF$17:$BI$24,MATCH(Ext_SCC_Chloride!$X13,'Tables - Part 2'!$AV$6:$AV$13,0),MATCH(Ext_SCC_Chloride!$U13,'Tables - Part 2'!$AX$5:$BA$5,0)))/2)+INDEX('Tables - Part 2'!$BF$17:$BI$24,MATCH(Ext_SCC_Chloride!$X13,'Tables - Part 2'!$AV$6:$AV$13,0),MATCH(Ext_SCC_Chloride!$U13,'Tables - Part 2'!$AX$5:$BA$5,0)))/2))/2,0)</f>
        <v>0</v>
      </c>
      <c r="BU13" s="248">
        <f>IF($T13=$BU$3,(((INDEX('Tables - Part 2'!$BB$17:$BE$24,MATCH(Ext_SCC_Chloride!$X13,'Tables - Part 2'!$AV$6:$AV$13,0),MATCH(Ext_SCC_Chloride!$U13,'Tables - Part 2'!$AX$5:$BA$5,0))+INDEX('Tables - Part 2'!$BF$17:$BI$24,MATCH(Ext_SCC_Chloride!$X13,'Tables - Part 2'!$AV$6:$AV$13,0),MATCH(Ext_SCC_Chloride!$U13,'Tables - Part 2'!$AX$5:$BA$5,0)))/2)+INDEX('Tables - Part 2'!$BF$17:$BI$24,MATCH(Ext_SCC_Chloride!$X13,'Tables - Part 2'!$AV$6:$AV$13,0),MATCH(Ext_SCC_Chloride!$U13,'Tables - Part 2'!$AX$5:$BA$5,0)))/2,0)</f>
        <v>0</v>
      </c>
      <c r="BV13" s="248">
        <f>IF($T13=$BV$3,(((((INDEX('Tables - Part 2'!$BB$17:$BE$24,MATCH(Ext_SCC_Chloride!$X13,'Tables - Part 2'!$AV$6:$AV$13,0),MATCH(Ext_SCC_Chloride!$U13,'Tables - Part 2'!$AX$5:$BA$5,0))+INDEX('Tables - Part 2'!$BF$17:$BI$24,MATCH(Ext_SCC_Chloride!$X13,'Tables - Part 2'!$AV$6:$AV$13,0),MATCH(Ext_SCC_Chloride!$U13,'Tables - Part 2'!$AX$5:$BA$5,0)))/2)+INDEX('Tables - Part 2'!$BF$17:$BI$24,MATCH(Ext_SCC_Chloride!$X13,'Tables - Part 2'!$AV$6:$AV$13,0),MATCH(Ext_SCC_Chloride!$U13,'Tables - Part 2'!$AX$5:$BA$5,0)))/2)+(INDEX('Tables - Part 2'!$BF$17:$BI$24,MATCH(Ext_SCC_Chloride!$X13,'Tables - Part 2'!$AV$6:$AV$13,0),MATCH(Ext_SCC_Chloride!$U13,'Tables - Part 2'!$AX$5:$BA$5,0))))/2,0)</f>
        <v>0</v>
      </c>
      <c r="BW13" s="248">
        <f>IF($T13=$BW$3,INDEX('Tables - Part 2'!$BF$17:$BI$24,MATCH(Ext_SCC_Chloride!$X13,'Tables - Part 2'!$AV$6:$AV$13,0),MATCH(Ext_SCC_Chloride!$U13,'Tables - Part 2'!$AX$5:$BA$5,0)),0)</f>
        <v>0</v>
      </c>
      <c r="BX13" s="248">
        <f t="shared" si="5"/>
        <v>0</v>
      </c>
      <c r="BY13" s="238">
        <f t="shared" si="12"/>
        <v>0</v>
      </c>
      <c r="BZ13" s="238">
        <f t="shared" si="13"/>
        <v>0</v>
      </c>
    </row>
    <row r="14" spans="2:87" x14ac:dyDescent="0.35">
      <c r="B14" s="161" t="str">
        <f>'Tratamento de Dados'!B22</f>
        <v>V-50</v>
      </c>
      <c r="C14" s="161" t="str">
        <f>'Tratamento de Dados'!D22</f>
        <v>Casco</v>
      </c>
      <c r="D14" s="209" t="s">
        <v>245</v>
      </c>
      <c r="E14" s="209" t="s">
        <v>61</v>
      </c>
      <c r="F14" s="247">
        <f>'Tratamento de Dados'!S22</f>
        <v>2</v>
      </c>
      <c r="G14" s="209" t="s">
        <v>953</v>
      </c>
      <c r="H14" s="210">
        <v>35234</v>
      </c>
      <c r="I14" s="210">
        <v>43983</v>
      </c>
      <c r="J14" s="210">
        <v>39092</v>
      </c>
      <c r="K14" s="210">
        <f>'Tratamento de Dados'!CC22</f>
        <v>0</v>
      </c>
      <c r="L14" s="209">
        <f>'Tratamento de Dados'!CD22</f>
        <v>0</v>
      </c>
      <c r="M14" s="209" t="s">
        <v>905</v>
      </c>
      <c r="N14" s="209">
        <v>0</v>
      </c>
      <c r="O14" s="209">
        <v>1</v>
      </c>
      <c r="P14" s="209">
        <v>1</v>
      </c>
      <c r="Q14" s="209">
        <v>4</v>
      </c>
      <c r="R14" s="253">
        <f>'Tratamento de Dados'!DA22</f>
        <v>0</v>
      </c>
      <c r="S14" s="253">
        <f>'Tratamento de Dados'!DB22</f>
        <v>0</v>
      </c>
      <c r="T14" s="256">
        <f t="shared" si="0"/>
        <v>2.5</v>
      </c>
      <c r="U14" s="246" t="str">
        <f t="shared" si="1"/>
        <v>B</v>
      </c>
      <c r="V14" s="246" t="str">
        <f>IF(F14&lt;49,'Tables - Part 2'!$FH$5,IF(F14&lt;=93,'Tables - Part 2'!$FH$6,IF(F14&lt;=149,'Tables - Part 2'!$FH$7,'Tables - Part 2'!$FH$8)))</f>
        <v>&lt;49</v>
      </c>
      <c r="W14" s="467" t="str">
        <f>IF(D14=$CE$2,$CC$5,INDEX('Tables - Part 2'!$FI$5:$FL$8,MATCH(Ext_SCC_Chloride!V14,'Tables - Part 2'!$FH$5:$FH$8,0),MATCH(Ext_SCC_Chloride!M14,'Tables - Part 2'!$FI$4:$FL$4,0)))</f>
        <v>None</v>
      </c>
      <c r="X14" s="238">
        <f>IF(AND(D14=$CE$2,E14&lt;&gt;$CE$2),"Fitness-For-Service",INDEX('Tables - Part 2'!$FO$4:$FO$7,MATCH(Ext_SCC_Chloride!W14,'Tables - Part 2'!$FN$4:$FN$7,0),))</f>
        <v>0</v>
      </c>
      <c r="Y14" s="238">
        <f>IF(J14=0,(Thinning!G15-Thinning!F15)/365.25,(Thinning!G15-J14)/365.25)</f>
        <v>12.980150581793293</v>
      </c>
      <c r="Z14" s="248">
        <f t="shared" si="2"/>
        <v>0</v>
      </c>
      <c r="AA14" s="248">
        <f t="shared" si="3"/>
        <v>2.5</v>
      </c>
      <c r="AB14" s="247">
        <f t="shared" si="6"/>
        <v>3</v>
      </c>
      <c r="AC14" s="247">
        <f t="shared" si="4"/>
        <v>4</v>
      </c>
      <c r="AD14" s="247">
        <f t="shared" si="7"/>
        <v>120.41889117043121</v>
      </c>
      <c r="AE14" s="247">
        <f t="shared" si="8"/>
        <v>0</v>
      </c>
      <c r="AF14" s="247">
        <f t="shared" si="9"/>
        <v>0</v>
      </c>
      <c r="AG14" s="247">
        <f t="shared" si="10"/>
        <v>0</v>
      </c>
      <c r="AH14" s="247">
        <f t="shared" si="11"/>
        <v>12.980150581793293</v>
      </c>
      <c r="AI14" s="248">
        <f>IF($T14=$AI$3,INDEX('Tables - Part 2'!$AX$6:$BA$13,MATCH(Ext_SCC_Chloride!X14,'Tables - Part 2'!$AV$6:$AV$13,0),MATCH(Ext_SCC_Chloride!U14,'Tables - Part 2'!$AX$5:$BA$5,0)),0)</f>
        <v>0</v>
      </c>
      <c r="AJ14" s="248">
        <f>IF($T14=$AJ$3,(INDEX('Tables - Part 2'!$AX$6:$BA$13,MATCH(Ext_SCC_Chloride!X14,'Tables - Part 2'!$AV$6:$AV$13,0),MATCH(Ext_SCC_Chloride!U14,'Tables - Part 2'!$AX$5:$BA$5,0))+(INDEX('Tables - Part 2'!$AX$6:$BA$13,MATCH(Ext_SCC_Chloride!X14,'Tables - Part 2'!$AV$6:$AV$13,0),MATCH(Ext_SCC_Chloride!U14,'Tables - Part 2'!$AX$5:$BA$5,0))+((INDEX('Tables - Part 2'!$AX$6:$BA$13,MATCH(Ext_SCC_Chloride!X14,'Tables - Part 2'!$AV$6:$AV$13,0),MATCH(Ext_SCC_Chloride!U14,'Tables - Part 2'!$AX$5:$BA$5,0))+INDEX('Tables - Part 2'!$BB$6:$BE$13,MATCH(Ext_SCC_Chloride!$X14,'Tables - Part 2'!$AV$6:$AV$13,0),MATCH(Ext_SCC_Chloride!$U14,'Tables - Part 2'!$AX$5:$BA$5,0)))/2))/2)/2,0)</f>
        <v>0</v>
      </c>
      <c r="AK14" s="248">
        <f>IF($T14=$AK$3,(INDEX('Tables - Part 2'!$AX$6:$BA$13,MATCH(Ext_SCC_Chloride!X14,'Tables - Part 2'!$AV$6:$AV$13,0),MATCH(Ext_SCC_Chloride!U14,'Tables - Part 2'!$AX$5:$BA$5,0))+((INDEX('Tables - Part 2'!$AX$6:$BA$13,MATCH(Ext_SCC_Chloride!X14,'Tables - Part 2'!$AV$6:$AV$13,0),MATCH(Ext_SCC_Chloride!U14,'Tables - Part 2'!$AX$5:$BA$5,0))+INDEX('Tables - Part 2'!$BB$6:$BE$13,MATCH(Ext_SCC_Chloride!$X14,'Tables - Part 2'!$AV$6:$AV$13,0),MATCH(Ext_SCC_Chloride!$U14,'Tables - Part 2'!$AX$5:$BA$5,0)))/2))/2,0)</f>
        <v>0</v>
      </c>
      <c r="AL14" s="248">
        <f>IF($T14=$AL$3,(((INDEX('Tables - Part 2'!$AX$6:$BA$13,MATCH(Ext_SCC_Chloride!X14,'Tables - Part 2'!$AV$6:$AV$13,0),MATCH(Ext_SCC_Chloride!U14,'Tables - Part 2'!$AX$5:$BA$5,0))+((INDEX('Tables - Part 2'!$AX$6:$BA$13,MATCH(Ext_SCC_Chloride!X14,'Tables - Part 2'!$AV$6:$AV$13,0),MATCH(Ext_SCC_Chloride!U14,'Tables - Part 2'!$AX$5:$BA$5,0))+INDEX('Tables - Part 2'!$BB$6:$BE$13,MATCH(Ext_SCC_Chloride!$X14,'Tables - Part 2'!$AV$6:$AV$13,0),MATCH(Ext_SCC_Chloride!$U14,'Tables - Part 2'!$AX$5:$BA$5,0)))/2))/2)+(INDEX('Tables - Part 2'!$AX$6:$BA$13,MATCH(Ext_SCC_Chloride!X14,'Tables - Part 2'!$AV$6:$AV$13,0),MATCH(Ext_SCC_Chloride!U14,'Tables - Part 2'!$AX$5:$BA$5,0))+INDEX('Tables - Part 2'!$BB$6:$BE$13,MATCH(Ext_SCC_Chloride!$X14,'Tables - Part 2'!$AV$6:$AV$13,0),MATCH(Ext_SCC_Chloride!$U14,'Tables - Part 2'!$AX$5:$BA$5,0)))/2)/2,0)</f>
        <v>0</v>
      </c>
      <c r="AM14" s="248">
        <f>IF($T14=$AM$3,(INDEX('Tables - Part 2'!$AX$6:$BA$13,MATCH(Ext_SCC_Chloride!X14,'Tables - Part 2'!$AV$6:$AV$13,0),MATCH(Ext_SCC_Chloride!U14,'Tables - Part 2'!$AX$5:$BA$5,0))+INDEX('Tables - Part 2'!$BB$6:$BE$13,MATCH(Ext_SCC_Chloride!$X14,'Tables - Part 2'!$AV$6:$AV$13,0),MATCH(Ext_SCC_Chloride!$U14,'Tables - Part 2'!$AX$5:$BA$5,0)))/2,0)</f>
        <v>0</v>
      </c>
      <c r="AN14" s="248">
        <f>IF($T14=$AN$3,(((INDEX('Tables - Part 2'!$AX$6:$BA$13,MATCH(Ext_SCC_Chloride!X14,'Tables - Part 2'!$AV$6:$AV$13,0),MATCH(Ext_SCC_Chloride!U14,'Tables - Part 2'!$AX$5:$BA$5,0))+INDEX('Tables - Part 2'!$BB$6:$BE$13,MATCH(Ext_SCC_Chloride!$X14,'Tables - Part 2'!$AV$6:$AV$13,0),MATCH(Ext_SCC_Chloride!$U14,'Tables - Part 2'!$AX$5:$BA$5,0)))/2)+(((INDEX('Tables - Part 2'!$AX$6:$BA$13,MATCH(Ext_SCC_Chloride!X14,'Tables - Part 2'!$AV$6:$AV$13,0),MATCH(Ext_SCC_Chloride!U14,'Tables - Part 2'!$AX$5:$BA$5,0))+INDEX('Tables - Part 2'!$BB$6:$BE$13,MATCH(Ext_SCC_Chloride!$X14,'Tables - Part 2'!$AV$6:$AV$13,0),MATCH(Ext_SCC_Chloride!$U14,'Tables - Part 2'!$AX$5:$BA$5,0)))/2)+INDEX('Tables - Part 2'!$BB$6:$BE$13,MATCH(Ext_SCC_Chloride!$X14,'Tables - Part 2'!$AV$6:$AV$13,0),MATCH(Ext_SCC_Chloride!$U14,'Tables - Part 2'!$AX$5:$BA$5,0)))/2)/2,0)</f>
        <v>0</v>
      </c>
      <c r="AO14" s="248">
        <f>IF($T14=$AO$3,(((INDEX('Tables - Part 2'!$AX$6:$BA$13,MATCH(Ext_SCC_Chloride!X14,'Tables - Part 2'!$AV$6:$AV$13,0),MATCH(Ext_SCC_Chloride!U14,'Tables - Part 2'!$AX$5:$BA$5,0))+INDEX('Tables - Part 2'!$BB$6:$BE$13,MATCH(Ext_SCC_Chloride!$X14,'Tables - Part 2'!$AV$6:$AV$13,0),MATCH(Ext_SCC_Chloride!$U14,'Tables - Part 2'!$AX$5:$BA$5,0)))/2)+INDEX('Tables - Part 2'!$BB$6:$BE$13,MATCH(Ext_SCC_Chloride!$X14,'Tables - Part 2'!$AV$6:$AV$13,0),MATCH(Ext_SCC_Chloride!$U14,'Tables - Part 2'!$AX$5:$BA$5,0)))/2,0)</f>
        <v>0</v>
      </c>
      <c r="AP14" s="248">
        <f>IF($T14=$AP$3,(((((INDEX('Tables - Part 2'!$AX$6:$BA$13,MATCH(Ext_SCC_Chloride!X14,'Tables - Part 2'!$AV$6:$AV$13,0),MATCH(Ext_SCC_Chloride!U14,'Tables - Part 2'!$AX$5:$BA$5,0))+INDEX('Tables - Part 2'!$BB$6:$BE$13,MATCH(Ext_SCC_Chloride!$X14,'Tables - Part 2'!$AV$6:$AV$13,0),MATCH(Ext_SCC_Chloride!$U14,'Tables - Part 2'!$AX$5:$BA$5,0)))/2)+INDEX('Tables - Part 2'!$BB$6:$BE$13,MATCH(Ext_SCC_Chloride!$X14,'Tables - Part 2'!$AV$6:$AV$13,0),MATCH(Ext_SCC_Chloride!$U14,'Tables - Part 2'!$AX$5:$BA$5,0)))/2)+INDEX('Tables - Part 2'!$BB$6:$BE$13,MATCH(Ext_SCC_Chloride!$X14,'Tables - Part 2'!$AV$6:$AV$13,0),MATCH(Ext_SCC_Chloride!$U14,'Tables - Part 2'!$AX$5:$BA$5,0)))/2,0)</f>
        <v>0</v>
      </c>
      <c r="AQ14" s="248">
        <f>IF($T14=$AQ$3,INDEX('Tables - Part 2'!$BB$6:$BE$13,MATCH(Ext_SCC_Chloride!$X14,'Tables - Part 2'!$AV$6:$AV$13,0),MATCH(Ext_SCC_Chloride!$U14,'Tables - Part 2'!$AX$5:$BA$5,0)),0)</f>
        <v>0</v>
      </c>
      <c r="AR14" s="248">
        <f>IF($T14=$AR$3,((INDEX('Tables - Part 2'!$BB$6:$BE$13,MATCH(Ext_SCC_Chloride!$X14,'Tables - Part 2'!$AV$6:$AV$13,0),MATCH(Ext_SCC_Chloride!$U14,'Tables - Part 2'!$AX$5:$BA$5,0)))+(INDEX('Tables - Part 2'!$BB$6:$BE$13,MATCH(Ext_SCC_Chloride!$X14,'Tables - Part 2'!$AV$6:$AV$13,0),MATCH(Ext_SCC_Chloride!$U14,'Tables - Part 2'!$AX$5:$BA$5,0))+(INDEX('Tables - Part 2'!$BB$6:$BE$13,MATCH(Ext_SCC_Chloride!$X14,'Tables - Part 2'!$AV$6:$AV$13,0),MATCH(Ext_SCC_Chloride!$U14,'Tables - Part 2'!$AX$5:$BA$5,0))+INDEX('Tables - Part 2'!$BF$6:$BI$13,MATCH(Ext_SCC_Chloride!$X14,'Tables - Part 2'!$AV$6:$AV$13,0),MATCH(Ext_SCC_Chloride!$U14,'Tables - Part 2'!$AX$5:$BA$5,0)))/2)/2)/2,0)</f>
        <v>0</v>
      </c>
      <c r="AS14" s="248">
        <f>IF($T14=$AS$3,(INDEX('Tables - Part 2'!$BB$6:$BE$13,MATCH(Ext_SCC_Chloride!$X14,'Tables - Part 2'!$AV$6:$AV$13,0),MATCH(Ext_SCC_Chloride!$U14,'Tables - Part 2'!$AX$5:$BA$5,0))+(INDEX('Tables - Part 2'!$BB$6:$BE$13,MATCH(Ext_SCC_Chloride!$X14,'Tables - Part 2'!$AV$6:$AV$13,0),MATCH(Ext_SCC_Chloride!$U14,'Tables - Part 2'!$AX$5:$BA$5,0))+INDEX('Tables - Part 2'!$BF$6:$BI$13,MATCH(Ext_SCC_Chloride!$X14,'Tables - Part 2'!$AV$6:$AV$13,0),MATCH(Ext_SCC_Chloride!$U14,'Tables - Part 2'!$AX$5:$BA$5,0)))/2)/2,0)</f>
        <v>0</v>
      </c>
      <c r="AT14" s="248">
        <f>IF($T14=$AT$3,(((INDEX('Tables - Part 2'!$BB$6:$BE$13,MATCH(Ext_SCC_Chloride!$X14,'Tables - Part 2'!$AV$6:$AV$13,0),MATCH(Ext_SCC_Chloride!$U14,'Tables - Part 2'!$AX$5:$BA$5,0))+(INDEX('Tables - Part 2'!$BB$6:$BE$13,MATCH(Ext_SCC_Chloride!$X14,'Tables - Part 2'!$AV$6:$AV$13,0),MATCH(Ext_SCC_Chloride!$U14,'Tables - Part 2'!$AX$5:$BA$5,0))+INDEX('Tables - Part 2'!$BF$6:$BI$13,MATCH(Ext_SCC_Chloride!$X14,'Tables - Part 2'!$AV$6:$AV$13,0),MATCH(Ext_SCC_Chloride!$U14,'Tables - Part 2'!$AX$5:$BA$5,0)))/2)/2)+((INDEX('Tables - Part 2'!$BB$6:$BE$13,MATCH(Ext_SCC_Chloride!$X14,'Tables - Part 2'!$AV$6:$AV$13,0),MATCH(Ext_SCC_Chloride!$U14,'Tables - Part 2'!$AX$5:$BA$5,0))+INDEX('Tables - Part 2'!$BF$6:$BI$13,MATCH(Ext_SCC_Chloride!$X14,'Tables - Part 2'!$AV$6:$AV$13,0),MATCH(Ext_SCC_Chloride!$U14,'Tables - Part 2'!$AX$5:$BA$5,0)))/2))/2,0)</f>
        <v>0</v>
      </c>
      <c r="AU14" s="248">
        <f>IF($T14=$AU$3,(INDEX('Tables - Part 2'!$BB$6:$BE$13,MATCH(Ext_SCC_Chloride!$X14,'Tables - Part 2'!$AV$6:$AV$13,0),MATCH(Ext_SCC_Chloride!$U14,'Tables - Part 2'!$AX$5:$BA$5,0))+INDEX('Tables - Part 2'!$BF$6:$BI$13,MATCH(Ext_SCC_Chloride!$X14,'Tables - Part 2'!$AV$6:$AV$13,0),MATCH(Ext_SCC_Chloride!$U14,'Tables - Part 2'!$AX$5:$BA$5,0)))/2,0)</f>
        <v>0</v>
      </c>
      <c r="AV14" s="248">
        <f>IF($T14=$AV$3,(((INDEX('Tables - Part 2'!$BB$6:$BE$13,MATCH(Ext_SCC_Chloride!$X14,'Tables - Part 2'!$AV$6:$AV$13,0),MATCH(Ext_SCC_Chloride!$U14,'Tables - Part 2'!$AX$5:$BA$5,0))+INDEX('Tables - Part 2'!$BF$6:$BI$13,MATCH(Ext_SCC_Chloride!$X14,'Tables - Part 2'!$AV$6:$AV$13,0),MATCH(Ext_SCC_Chloride!$U14,'Tables - Part 2'!$AX$5:$BA$5,0)))/2)+((((INDEX('Tables - Part 2'!$BB$6:$BE$13,MATCH(Ext_SCC_Chloride!$X14,'Tables - Part 2'!$AV$6:$AV$13,0),MATCH(Ext_SCC_Chloride!$U14,'Tables - Part 2'!$AX$5:$BA$5,0))+INDEX('Tables - Part 2'!$BF$6:$BI$13,MATCH(Ext_SCC_Chloride!$X14,'Tables - Part 2'!$AV$6:$AV$13,0),MATCH(Ext_SCC_Chloride!$U14,'Tables - Part 2'!$AX$5:$BA$5,0)))/2)+INDEX('Tables - Part 2'!$BF$6:$BI$13,MATCH(Ext_SCC_Chloride!$X14,'Tables - Part 2'!$AV$6:$AV$13,0),MATCH(Ext_SCC_Chloride!$U14,'Tables - Part 2'!$AX$5:$BA$5,0)))/2))/2,0)</f>
        <v>0</v>
      </c>
      <c r="AW14" s="248">
        <f>IF($T14=$AW$3,(((INDEX('Tables - Part 2'!$BB$6:$BE$13,MATCH(Ext_SCC_Chloride!$X14,'Tables - Part 2'!$AV$6:$AV$13,0),MATCH(Ext_SCC_Chloride!$U14,'Tables - Part 2'!$AX$5:$BA$5,0))+INDEX('Tables - Part 2'!$BF$6:$BI$13,MATCH(Ext_SCC_Chloride!$X14,'Tables - Part 2'!$AV$6:$AV$13,0),MATCH(Ext_SCC_Chloride!$U14,'Tables - Part 2'!$AX$5:$BA$5,0)))/2)+INDEX('Tables - Part 2'!$BF$6:$BI$13,MATCH(Ext_SCC_Chloride!$X14,'Tables - Part 2'!$AV$6:$AV$13,0),MATCH(Ext_SCC_Chloride!$U14,'Tables - Part 2'!$AX$5:$BA$5,0)))/2,0)</f>
        <v>0</v>
      </c>
      <c r="AX14" s="248">
        <f>IF($T14=$AX$3,(((((INDEX('Tables - Part 2'!$BB$6:$BE$13,MATCH(Ext_SCC_Chloride!$X14,'Tables - Part 2'!$AV$6:$AV$13,0),MATCH(Ext_SCC_Chloride!$U14,'Tables - Part 2'!$AX$5:$BA$5,0))+INDEX('Tables - Part 2'!$BF$6:$BI$13,MATCH(Ext_SCC_Chloride!$X14,'Tables - Part 2'!$AV$6:$AV$13,0),MATCH(Ext_SCC_Chloride!$U14,'Tables - Part 2'!$AX$5:$BA$5,0)))/2)+INDEX('Tables - Part 2'!$BF$6:$BI$13,MATCH(Ext_SCC_Chloride!$X14,'Tables - Part 2'!$AV$6:$AV$13,0),MATCH(Ext_SCC_Chloride!$U14,'Tables - Part 2'!$AX$5:$BA$5,0)))/2)+INDEX('Tables - Part 2'!$BF$6:$BI$13,MATCH(Ext_SCC_Chloride!$X14,'Tables - Part 2'!$AV$6:$AV$13,0),MATCH(Ext_SCC_Chloride!$U14,'Tables - Part 2'!$AX$5:$BA$5,0)))/2,0)</f>
        <v>0</v>
      </c>
      <c r="AY14" s="248">
        <f>IF($T14=$AY$3,INDEX('Tables - Part 2'!$BF$6:$BI$13,MATCH(Ext_SCC_Chloride!$X14,'Tables - Part 2'!$AV$6:$AV$13,0),MATCH(Ext_SCC_Chloride!$U14,'Tables - Part 2'!$AX$5:$BA$5,0)),0)</f>
        <v>0</v>
      </c>
      <c r="AZ14" s="248">
        <f>IF($T14=$AZ$3,(INDEX('Tables - Part 2'!$BF$6:$BI$13,MATCH(Ext_SCC_Chloride!$X14,'Tables - Part 2'!$AV$6:$AV$13,0),MATCH(Ext_SCC_Chloride!$U14,'Tables - Part 2'!$AX$5:$BA$5,0))+((INDEX('Tables - Part 2'!$BF$6:$BI$13,MATCH(Ext_SCC_Chloride!$X14,'Tables - Part 2'!$AV$6:$AV$13,0),MATCH(Ext_SCC_Chloride!$U14,'Tables - Part 2'!$AX$5:$BA$5,0))+(INDEX('Tables - Part 2'!$BF$6:$BI$13,MATCH(Ext_SCC_Chloride!$X14,'Tables - Part 2'!$AV$6:$AV$13,0),MATCH(Ext_SCC_Chloride!$U14,'Tables - Part 2'!$AX$5:$BA$5,0))+INDEX('Tables - Part 2'!$AX$17:$BA$24,MATCH(Ext_SCC_Chloride!$X14,'Tables - Part 2'!$AV$6:$AV$13,0),MATCH(Ext_SCC_Chloride!$U14,'Tables - Part 2'!$AX$5:$BA$5,0)))/2)/2))/2,0)</f>
        <v>0</v>
      </c>
      <c r="BA14" s="248">
        <f>IF($T14=$BA$3,(INDEX('Tables - Part 2'!$BF$6:$BI$13,MATCH(Ext_SCC_Chloride!$X14,'Tables - Part 2'!$AV$6:$AV$13,0),MATCH(Ext_SCC_Chloride!$U14,'Tables - Part 2'!$AX$5:$BA$5,0))+(INDEX('Tables - Part 2'!$BF$6:$BI$13,MATCH(Ext_SCC_Chloride!$X14,'Tables - Part 2'!$AV$6:$AV$13,0),MATCH(Ext_SCC_Chloride!$U14,'Tables - Part 2'!$AX$5:$BA$5,0))+INDEX('Tables - Part 2'!$AX$17:$BA$24,MATCH(Ext_SCC_Chloride!$X14,'Tables - Part 2'!$AV$6:$AV$13,0),MATCH(Ext_SCC_Chloride!$U14,'Tables - Part 2'!$AX$5:$BA$5,0)))/2)/2,0)</f>
        <v>0</v>
      </c>
      <c r="BB14" s="248">
        <f>IF($T14=$BB$3,(((INDEX('Tables - Part 2'!$BF$6:$BI$13,MATCH(Ext_SCC_Chloride!$X14,'Tables - Part 2'!$AV$6:$AV$13,0),MATCH(Ext_SCC_Chloride!$U14,'Tables - Part 2'!$AX$5:$BA$5,0))+(INDEX('Tables - Part 2'!$BF$6:$BI$13,MATCH(Ext_SCC_Chloride!$X14,'Tables - Part 2'!$AV$6:$AV$13,0),MATCH(Ext_SCC_Chloride!$U14,'Tables - Part 2'!$AX$5:$BA$5,0))+INDEX('Tables - Part 2'!$AX$17:$BA$24,MATCH(Ext_SCC_Chloride!$X14,'Tables - Part 2'!$AV$6:$AV$13,0),MATCH(Ext_SCC_Chloride!$U14,'Tables - Part 2'!$AX$5:$BA$5,0)))/2)/2)+((INDEX('Tables - Part 2'!$BF$6:$BI$13,MATCH(Ext_SCC_Chloride!$X14,'Tables - Part 2'!$AV$6:$AV$13,0),MATCH(Ext_SCC_Chloride!$U14,'Tables - Part 2'!$AX$5:$BA$5,0))+INDEX('Tables - Part 2'!$AX$17:$BA$24,MATCH(Ext_SCC_Chloride!$X14,'Tables - Part 2'!$AV$6:$AV$13,0),MATCH(Ext_SCC_Chloride!$U14,'Tables - Part 2'!$AX$5:$BA$5,0)))/2))/2,0)</f>
        <v>0</v>
      </c>
      <c r="BC14" s="248">
        <f>IF($T14=$BC$3,(INDEX('Tables - Part 2'!$BF$6:$BI$13,MATCH(Ext_SCC_Chloride!$X14,'Tables - Part 2'!$AV$6:$AV$13,0),MATCH(Ext_SCC_Chloride!$U14,'Tables - Part 2'!$AX$5:$BA$5,0))+INDEX('Tables - Part 2'!$AX$17:$BA$24,MATCH(Ext_SCC_Chloride!$X14,'Tables - Part 2'!$AV$6:$AV$13,0),MATCH(Ext_SCC_Chloride!$U14,'Tables - Part 2'!$AX$5:$BA$5,0)))/2,0)</f>
        <v>0</v>
      </c>
      <c r="BD14" s="248">
        <f>IF($T14=$BD$3,(((INDEX('Tables - Part 2'!$BF$6:$BI$13,MATCH(Ext_SCC_Chloride!$X14,'Tables - Part 2'!$AV$6:$AV$13,0),MATCH(Ext_SCC_Chloride!$U14,'Tables - Part 2'!$AX$5:$BA$5,0))+INDEX('Tables - Part 2'!$AX$17:$BA$24,MATCH(Ext_SCC_Chloride!$X14,'Tables - Part 2'!$AV$6:$AV$13,0),MATCH(Ext_SCC_Chloride!$U14,'Tables - Part 2'!$AX$5:$BA$5,0)))/2)+((((INDEX('Tables - Part 2'!$BF$6:$BI$13,MATCH(Ext_SCC_Chloride!$X14,'Tables - Part 2'!$AV$6:$AV$13,0),MATCH(Ext_SCC_Chloride!$U14,'Tables - Part 2'!$AX$5:$BA$5,0))+INDEX('Tables - Part 2'!$AX$17:$BA$24,MATCH(Ext_SCC_Chloride!$X14,'Tables - Part 2'!$AV$6:$AV$13,0),MATCH(Ext_SCC_Chloride!$U14,'Tables - Part 2'!$AX$5:$BA$5,0)))/2)+INDEX('Tables - Part 2'!$AX$17:$BA$24,MATCH(Ext_SCC_Chloride!$X14,'Tables - Part 2'!$AV$6:$AV$13,0),MATCH(Ext_SCC_Chloride!$U14,'Tables - Part 2'!$AX$5:$BA$5,0)))/2))/2,0)</f>
        <v>0</v>
      </c>
      <c r="BE14" s="248">
        <f>IF($T14=$BE$3,(((INDEX('Tables - Part 2'!$BF$6:$BI$13,MATCH(Ext_SCC_Chloride!$X14,'Tables - Part 2'!$AV$6:$AV$13,0),MATCH(Ext_SCC_Chloride!$U14,'Tables - Part 2'!$AX$5:$BA$5,0))+INDEX('Tables - Part 2'!$AX$17:$BA$24,MATCH(Ext_SCC_Chloride!$X14,'Tables - Part 2'!$AV$6:$AV$13,0),MATCH(Ext_SCC_Chloride!$U14,'Tables - Part 2'!$AX$5:$BA$5,0)))/2)+INDEX('Tables - Part 2'!$AX$17:$BA$24,MATCH(Ext_SCC_Chloride!$X14,'Tables - Part 2'!$AV$6:$AV$13,0),MATCH(Ext_SCC_Chloride!$U14,'Tables - Part 2'!$AX$5:$BA$5,0)))/2,0)</f>
        <v>0</v>
      </c>
      <c r="BF14" s="248">
        <f>IF($T14=$BF$3,(((((INDEX('Tables - Part 2'!$BF$6:$BI$13,MATCH(Ext_SCC_Chloride!$X14,'Tables - Part 2'!$AV$6:$AV$13,0),MATCH(Ext_SCC_Chloride!$U14,'Tables - Part 2'!$AX$5:$BA$5,0))+INDEX('Tables - Part 2'!$AX$17:$BA$24,MATCH(Ext_SCC_Chloride!$X14,'Tables - Part 2'!$AV$6:$AV$13,0),MATCH(Ext_SCC_Chloride!$U14,'Tables - Part 2'!$AX$5:$BA$5,0)))/2)+INDEX('Tables - Part 2'!$AX$17:$BA$24,MATCH(Ext_SCC_Chloride!$X14,'Tables - Part 2'!$AV$6:$AV$13,0),MATCH(Ext_SCC_Chloride!$U14,'Tables - Part 2'!$AX$5:$BA$5,0)))/2)+(INDEX('Tables - Part 2'!$AX$17:$BA$24,MATCH(Ext_SCC_Chloride!$X14,'Tables - Part 2'!$AV$6:$AV$13,0),MATCH(Ext_SCC_Chloride!$U14,'Tables - Part 2'!$AX$5:$BA$5,0))))/2,0)</f>
        <v>0</v>
      </c>
      <c r="BG14" s="248">
        <f>IF($T14=$BG$3,INDEX('Tables - Part 2'!$AX$17:$BA$24,MATCH(Ext_SCC_Chloride!$X14,'Tables - Part 2'!$AV$6:$AV$13,0),MATCH(Ext_SCC_Chloride!$U14,'Tables - Part 2'!$AX$5:$BA$5,0)),0)</f>
        <v>0</v>
      </c>
      <c r="BH14" s="248">
        <f>IF($T14=$BH$3,((INDEX('Tables - Part 2'!$AX$17:$BA$24,MATCH(Ext_SCC_Chloride!$X14,'Tables - Part 2'!$AV$6:$AV$13,0),MATCH(Ext_SCC_Chloride!$U14,'Tables - Part 2'!$AX$5:$BA$5,0)))+(((INDEX('Tables - Part 2'!$AX$17:$BA$24,MATCH(Ext_SCC_Chloride!$X14,'Tables - Part 2'!$AV$6:$AV$13,0),MATCH(Ext_SCC_Chloride!$U14,'Tables - Part 2'!$AX$5:$BA$5,0)))+(INDEX('Tables - Part 2'!$AX$17:$BA$24,MATCH(Ext_SCC_Chloride!$X14,'Tables - Part 2'!$AV$6:$AV$13,0),MATCH(Ext_SCC_Chloride!$U14,'Tables - Part 2'!$AX$5:$BA$5,0))+INDEX('Tables - Part 2'!$BB$17:$BE$24,MATCH(Ext_SCC_Chloride!$X14,'Tables - Part 2'!$AV$6:$AV$13,0),MATCH(Ext_SCC_Chloride!$U14,'Tables - Part 2'!$AX$5:$BA$5,0)))/2)/2))/2,0)</f>
        <v>0</v>
      </c>
      <c r="BI14" s="248">
        <f>IF($T14=$BI$3,((INDEX('Tables - Part 2'!$AX$17:$BA$24,MATCH(Ext_SCC_Chloride!$X14,'Tables - Part 2'!$AV$6:$AV$13,0),MATCH(Ext_SCC_Chloride!$U14,'Tables - Part 2'!$AX$5:$BA$5,0)))+(INDEX('Tables - Part 2'!$AX$17:$BA$24,MATCH(Ext_SCC_Chloride!$X14,'Tables - Part 2'!$AV$6:$AV$13,0),MATCH(Ext_SCC_Chloride!$U14,'Tables - Part 2'!$AX$5:$BA$5,0))+INDEX('Tables - Part 2'!$BB$17:$BE$24,MATCH(Ext_SCC_Chloride!$X14,'Tables - Part 2'!$AV$6:$AV$13,0),MATCH(Ext_SCC_Chloride!$U14,'Tables - Part 2'!$AX$5:$BA$5,0)))/2)/2,0)</f>
        <v>0</v>
      </c>
      <c r="BJ14" s="248">
        <f>IF($T14=$BJ$3,((((INDEX('Tables - Part 2'!$AX$17:$BA$24,MATCH(Ext_SCC_Chloride!$X14,'Tables - Part 2'!$AV$6:$AV$13,0),MATCH(Ext_SCC_Chloride!$U14,'Tables - Part 2'!$AX$5:$BA$5,0)))+(INDEX('Tables - Part 2'!$AX$17:$BA$24,MATCH(Ext_SCC_Chloride!$X14,'Tables - Part 2'!$AV$6:$AV$13,0),MATCH(Ext_SCC_Chloride!$U14,'Tables - Part 2'!$AX$5:$BA$5,0))+INDEX('Tables - Part 2'!$BB$17:$BE$24,MATCH(Ext_SCC_Chloride!$X14,'Tables - Part 2'!$AV$6:$AV$13,0),MATCH(Ext_SCC_Chloride!$U14,'Tables - Part 2'!$AX$5:$BA$5,0)))/2)/2)+((INDEX('Tables - Part 2'!$AX$17:$BA$24,MATCH(Ext_SCC_Chloride!$X14,'Tables - Part 2'!$AV$6:$AV$13,0),MATCH(Ext_SCC_Chloride!$U14,'Tables - Part 2'!$AX$5:$BA$5,0))+INDEX('Tables - Part 2'!$BB$17:$BE$24,MATCH(Ext_SCC_Chloride!$X14,'Tables - Part 2'!$AV$6:$AV$13,0),MATCH(Ext_SCC_Chloride!$U14,'Tables - Part 2'!$AX$5:$BA$5,0)))/2))/2,0)</f>
        <v>0</v>
      </c>
      <c r="BK14" s="248">
        <f>IF($T14=$BK$3,(INDEX('Tables - Part 2'!$AX$17:$BA$24,MATCH(Ext_SCC_Chloride!$X14,'Tables - Part 2'!$AV$6:$AV$13,0),MATCH(Ext_SCC_Chloride!$U14,'Tables - Part 2'!$AX$5:$BA$5,0))+INDEX('Tables - Part 2'!$BB$17:$BE$24,MATCH(Ext_SCC_Chloride!$X14,'Tables - Part 2'!$AV$6:$AV$13,0),MATCH(Ext_SCC_Chloride!$U14,'Tables - Part 2'!$AX$5:$BA$5,0)))/2,0)</f>
        <v>0</v>
      </c>
      <c r="BL14" s="248">
        <f>IF($T14=$BL$3,(((INDEX('Tables - Part 2'!$AX$17:$BA$24,MATCH(Ext_SCC_Chloride!$X14,'Tables - Part 2'!$AV$6:$AV$13,0),MATCH(Ext_SCC_Chloride!$U14,'Tables - Part 2'!$AX$5:$BA$5,0))+INDEX('Tables - Part 2'!$BB$17:$BE$24,MATCH(Ext_SCC_Chloride!$X14,'Tables - Part 2'!$AV$6:$AV$13,0),MATCH(Ext_SCC_Chloride!$U14,'Tables - Part 2'!$AX$5:$BA$5,0)))/2)+((((INDEX('Tables - Part 2'!$AX$17:$BA$24,MATCH(Ext_SCC_Chloride!$X14,'Tables - Part 2'!$AV$6:$AV$13,0),MATCH(Ext_SCC_Chloride!$U14,'Tables - Part 2'!$AX$5:$BA$5,0))+INDEX('Tables - Part 2'!$BB$17:$BE$24,MATCH(Ext_SCC_Chloride!$X14,'Tables - Part 2'!$AV$6:$AV$13,0),MATCH(Ext_SCC_Chloride!$U14,'Tables - Part 2'!$AX$5:$BA$5,0)))/2)+INDEX('Tables - Part 2'!$BB$17:$BE$24,MATCH(Ext_SCC_Chloride!$X14,'Tables - Part 2'!$AV$6:$AV$13,0),MATCH(Ext_SCC_Chloride!$U14,'Tables - Part 2'!$AX$5:$BA$5,0)))/2))/2,0)</f>
        <v>0</v>
      </c>
      <c r="BM14" s="248">
        <f>IF($T14=$BM$3,(((INDEX('Tables - Part 2'!$AX$17:$BA$24,MATCH(Ext_SCC_Chloride!$X14,'Tables - Part 2'!$AV$6:$AV$13,0),MATCH(Ext_SCC_Chloride!$U14,'Tables - Part 2'!$AX$5:$BA$5,0))+INDEX('Tables - Part 2'!$BB$17:$BE$24,MATCH(Ext_SCC_Chloride!$X14,'Tables - Part 2'!$AV$6:$AV$13,0),MATCH(Ext_SCC_Chloride!$U14,'Tables - Part 2'!$AX$5:$BA$5,0)))/2)+INDEX('Tables - Part 2'!$BB$17:$BE$24,MATCH(Ext_SCC_Chloride!$X14,'Tables - Part 2'!$AV$6:$AV$13,0),MATCH(Ext_SCC_Chloride!$U14,'Tables - Part 2'!$AX$5:$BA$5,0)))/2,0)</f>
        <v>0</v>
      </c>
      <c r="BN14" s="248">
        <f>IF($T14=$BN$3,(((((INDEX('Tables - Part 2'!$AX$17:$BA$24,MATCH(Ext_SCC_Chloride!$X14,'Tables - Part 2'!$AV$6:$AV$13,0),MATCH(Ext_SCC_Chloride!$U14,'Tables - Part 2'!$AX$5:$BA$5,0))+INDEX('Tables - Part 2'!$BB$17:$BE$24,MATCH(Ext_SCC_Chloride!$X14,'Tables - Part 2'!$AV$6:$AV$13,0),MATCH(Ext_SCC_Chloride!$U14,'Tables - Part 2'!$AX$5:$BA$5,0)))/2)+INDEX('Tables - Part 2'!$BB$17:$BE$24,MATCH(Ext_SCC_Chloride!$X14,'Tables - Part 2'!$AV$6:$AV$13,0),MATCH(Ext_SCC_Chloride!$U14,'Tables - Part 2'!$AX$5:$BA$5,0)))/2)+(INDEX('Tables - Part 2'!$BB$17:$BE$24,MATCH(Ext_SCC_Chloride!$X14,'Tables - Part 2'!$AV$6:$AV$13,0),MATCH(Ext_SCC_Chloride!$U14,'Tables - Part 2'!$AX$5:$BA$5,0))))/2,0)</f>
        <v>0</v>
      </c>
      <c r="BO14" s="248">
        <f>IF($T14=$BO$3,INDEX('Tables - Part 2'!$BB$17:$BE$24,MATCH(Ext_SCC_Chloride!$X14,'Tables - Part 2'!$AV$6:$AV$13,0),MATCH(Ext_SCC_Chloride!$U14,'Tables - Part 2'!$AX$5:$BA$5,0)),0)</f>
        <v>0</v>
      </c>
      <c r="BP14" s="248">
        <f>IF($T14=$BP$3,((INDEX('Tables - Part 2'!$BB$17:$BE$24,MATCH(Ext_SCC_Chloride!$X14,'Tables - Part 2'!$AV$6:$AV$13,0),MATCH(Ext_SCC_Chloride!$U14,'Tables - Part 2'!$AX$5:$BA$5,0)))+(((INDEX('Tables - Part 2'!$BB$17:$BE$24,MATCH(Ext_SCC_Chloride!$X14,'Tables - Part 2'!$AV$6:$AV$13,0),MATCH(Ext_SCC_Chloride!$U14,'Tables - Part 2'!$AX$5:$BA$5,0)))+(INDEX('Tables - Part 2'!$BB$17:$BE$24,MATCH(Ext_SCC_Chloride!$X14,'Tables - Part 2'!$AV$6:$AV$13,0),MATCH(Ext_SCC_Chloride!$U14,'Tables - Part 2'!$AX$5:$BA$5,0))+INDEX('Tables - Part 2'!$BF$17:$BI$24,MATCH(Ext_SCC_Chloride!$X14,'Tables - Part 2'!$AV$6:$AV$13,0),MATCH(Ext_SCC_Chloride!$U14,'Tables - Part 2'!$AX$5:$BA$5,0)))/2)/2))/2,0)</f>
        <v>0</v>
      </c>
      <c r="BQ14" s="248">
        <f>IF($T14=$BQ$3,((INDEX('Tables - Part 2'!$BB$17:$BE$24,MATCH(Ext_SCC_Chloride!$X14,'Tables - Part 2'!$AV$6:$AV$13,0),MATCH(Ext_SCC_Chloride!$U14,'Tables - Part 2'!$AX$5:$BA$5,0)))+(INDEX('Tables - Part 2'!$BB$17:$BE$24,MATCH(Ext_SCC_Chloride!$X14,'Tables - Part 2'!$AV$6:$AV$13,0),MATCH(Ext_SCC_Chloride!$U14,'Tables - Part 2'!$AX$5:$BA$5,0))+INDEX('Tables - Part 2'!$BF$17:$BI$24,MATCH(Ext_SCC_Chloride!$X14,'Tables - Part 2'!$AV$6:$AV$13,0),MATCH(Ext_SCC_Chloride!$U14,'Tables - Part 2'!$AX$5:$BA$5,0)))/2)/2,0)</f>
        <v>0</v>
      </c>
      <c r="BR14" s="248">
        <f>IF($T14=$BR$3,((((INDEX('Tables - Part 2'!$BB$17:$BE$24,MATCH(Ext_SCC_Chloride!$X14,'Tables - Part 2'!$AV$6:$AV$13,0),MATCH(Ext_SCC_Chloride!$U14,'Tables - Part 2'!$AX$5:$BA$5,0)))+(INDEX('Tables - Part 2'!$BB$17:$BE$24,MATCH(Ext_SCC_Chloride!$X14,'Tables - Part 2'!$AV$6:$AV$13,0),MATCH(Ext_SCC_Chloride!$U14,'Tables - Part 2'!$AX$5:$BA$5,0))+INDEX('Tables - Part 2'!$BF$17:$BI$24,MATCH(Ext_SCC_Chloride!$X14,'Tables - Part 2'!$AV$6:$AV$13,0),MATCH(Ext_SCC_Chloride!$U14,'Tables - Part 2'!$AX$5:$BA$5,0)))/2)/2)+((INDEX('Tables - Part 2'!$BB$17:$BE$24,MATCH(Ext_SCC_Chloride!$X14,'Tables - Part 2'!$AV$6:$AV$13,0),MATCH(Ext_SCC_Chloride!$U14,'Tables - Part 2'!$AX$5:$BA$5,0))+INDEX('Tables - Part 2'!$BF$17:$BI$24,MATCH(Ext_SCC_Chloride!$X14,'Tables - Part 2'!$AV$6:$AV$13,0),MATCH(Ext_SCC_Chloride!$U14,'Tables - Part 2'!$AX$5:$BA$5,0)))/2))/2,0)</f>
        <v>0</v>
      </c>
      <c r="BS14" s="248">
        <f>IF($T14=$BS$3,(INDEX('Tables - Part 2'!$BB$17:$BE$24,MATCH(Ext_SCC_Chloride!$X14,'Tables - Part 2'!$AV$6:$AV$13,0),MATCH(Ext_SCC_Chloride!$U14,'Tables - Part 2'!$AX$5:$BA$5,0))+INDEX('Tables - Part 2'!$BF$17:$BI$24,MATCH(Ext_SCC_Chloride!$X14,'Tables - Part 2'!$AV$6:$AV$13,0),MATCH(Ext_SCC_Chloride!$U14,'Tables - Part 2'!$AX$5:$BA$5,0)))/2,0)</f>
        <v>0</v>
      </c>
      <c r="BT14" s="248">
        <f>IF($T14=$BT$3,(((INDEX('Tables - Part 2'!$BB$17:$BE$24,MATCH(Ext_SCC_Chloride!$X14,'Tables - Part 2'!$AV$6:$AV$13,0),MATCH(Ext_SCC_Chloride!$U14,'Tables - Part 2'!$AX$5:$BA$5,0))+INDEX('Tables - Part 2'!$BF$17:$BI$24,MATCH(Ext_SCC_Chloride!$X14,'Tables - Part 2'!$AV$6:$AV$13,0),MATCH(Ext_SCC_Chloride!$U14,'Tables - Part 2'!$AX$5:$BA$5,0)))/2)+((((INDEX('Tables - Part 2'!$BB$17:$BE$24,MATCH(Ext_SCC_Chloride!$X14,'Tables - Part 2'!$AV$6:$AV$13,0),MATCH(Ext_SCC_Chloride!$U14,'Tables - Part 2'!$AX$5:$BA$5,0))+INDEX('Tables - Part 2'!$BF$17:$BI$24,MATCH(Ext_SCC_Chloride!$X14,'Tables - Part 2'!$AV$6:$AV$13,0),MATCH(Ext_SCC_Chloride!$U14,'Tables - Part 2'!$AX$5:$BA$5,0)))/2)+INDEX('Tables - Part 2'!$BF$17:$BI$24,MATCH(Ext_SCC_Chloride!$X14,'Tables - Part 2'!$AV$6:$AV$13,0),MATCH(Ext_SCC_Chloride!$U14,'Tables - Part 2'!$AX$5:$BA$5,0)))/2))/2,0)</f>
        <v>0</v>
      </c>
      <c r="BU14" s="248">
        <f>IF($T14=$BU$3,(((INDEX('Tables - Part 2'!$BB$17:$BE$24,MATCH(Ext_SCC_Chloride!$X14,'Tables - Part 2'!$AV$6:$AV$13,0),MATCH(Ext_SCC_Chloride!$U14,'Tables - Part 2'!$AX$5:$BA$5,0))+INDEX('Tables - Part 2'!$BF$17:$BI$24,MATCH(Ext_SCC_Chloride!$X14,'Tables - Part 2'!$AV$6:$AV$13,0),MATCH(Ext_SCC_Chloride!$U14,'Tables - Part 2'!$AX$5:$BA$5,0)))/2)+INDEX('Tables - Part 2'!$BF$17:$BI$24,MATCH(Ext_SCC_Chloride!$X14,'Tables - Part 2'!$AV$6:$AV$13,0),MATCH(Ext_SCC_Chloride!$U14,'Tables - Part 2'!$AX$5:$BA$5,0)))/2,0)</f>
        <v>0</v>
      </c>
      <c r="BV14" s="248">
        <f>IF($T14=$BV$3,(((((INDEX('Tables - Part 2'!$BB$17:$BE$24,MATCH(Ext_SCC_Chloride!$X14,'Tables - Part 2'!$AV$6:$AV$13,0),MATCH(Ext_SCC_Chloride!$U14,'Tables - Part 2'!$AX$5:$BA$5,0))+INDEX('Tables - Part 2'!$BF$17:$BI$24,MATCH(Ext_SCC_Chloride!$X14,'Tables - Part 2'!$AV$6:$AV$13,0),MATCH(Ext_SCC_Chloride!$U14,'Tables - Part 2'!$AX$5:$BA$5,0)))/2)+INDEX('Tables - Part 2'!$BF$17:$BI$24,MATCH(Ext_SCC_Chloride!$X14,'Tables - Part 2'!$AV$6:$AV$13,0),MATCH(Ext_SCC_Chloride!$U14,'Tables - Part 2'!$AX$5:$BA$5,0)))/2)+(INDEX('Tables - Part 2'!$BF$17:$BI$24,MATCH(Ext_SCC_Chloride!$X14,'Tables - Part 2'!$AV$6:$AV$13,0),MATCH(Ext_SCC_Chloride!$U14,'Tables - Part 2'!$AX$5:$BA$5,0))))/2,0)</f>
        <v>0</v>
      </c>
      <c r="BW14" s="248">
        <f>IF($T14=$BW$3,INDEX('Tables - Part 2'!$BF$17:$BI$24,MATCH(Ext_SCC_Chloride!$X14,'Tables - Part 2'!$AV$6:$AV$13,0),MATCH(Ext_SCC_Chloride!$U14,'Tables - Part 2'!$AX$5:$BA$5,0)),0)</f>
        <v>0</v>
      </c>
      <c r="BX14" s="248">
        <f t="shared" si="5"/>
        <v>0</v>
      </c>
      <c r="BY14" s="238">
        <f t="shared" si="12"/>
        <v>0</v>
      </c>
      <c r="BZ14" s="238">
        <f t="shared" si="13"/>
        <v>0</v>
      </c>
    </row>
    <row r="15" spans="2:87" x14ac:dyDescent="0.35">
      <c r="B15" s="161" t="str">
        <f>'Tratamento de Dados'!B23</f>
        <v>V-5</v>
      </c>
      <c r="C15" s="161" t="str">
        <f>'Tratamento de Dados'!D23</f>
        <v>Casco</v>
      </c>
      <c r="D15" s="209" t="s">
        <v>245</v>
      </c>
      <c r="E15" s="209" t="s">
        <v>61</v>
      </c>
      <c r="F15" s="247">
        <f>'Tratamento de Dados'!S23</f>
        <v>2</v>
      </c>
      <c r="G15" s="209" t="s">
        <v>953</v>
      </c>
      <c r="H15" s="210">
        <v>35234</v>
      </c>
      <c r="I15" s="210">
        <v>43983</v>
      </c>
      <c r="J15" s="210">
        <v>39092</v>
      </c>
      <c r="K15" s="210">
        <f>'Tratamento de Dados'!CC23</f>
        <v>0</v>
      </c>
      <c r="L15" s="209">
        <f>'Tratamento de Dados'!CD23</f>
        <v>0</v>
      </c>
      <c r="M15" s="209" t="s">
        <v>905</v>
      </c>
      <c r="N15" s="209">
        <v>0</v>
      </c>
      <c r="O15" s="209">
        <v>1</v>
      </c>
      <c r="P15" s="209">
        <v>1</v>
      </c>
      <c r="Q15" s="209">
        <v>4</v>
      </c>
      <c r="R15" s="253">
        <f>'Tratamento de Dados'!DA23</f>
        <v>0</v>
      </c>
      <c r="S15" s="253">
        <f>'Tratamento de Dados'!DB23</f>
        <v>0</v>
      </c>
      <c r="T15" s="256">
        <f t="shared" si="0"/>
        <v>2.5</v>
      </c>
      <c r="U15" s="246" t="str">
        <f t="shared" si="1"/>
        <v>B</v>
      </c>
      <c r="V15" s="246" t="str">
        <f>IF(F15&lt;49,'Tables - Part 2'!$FH$5,IF(F15&lt;=93,'Tables - Part 2'!$FH$6,IF(F15&lt;=149,'Tables - Part 2'!$FH$7,'Tables - Part 2'!$FH$8)))</f>
        <v>&lt;49</v>
      </c>
      <c r="W15" s="467" t="str">
        <f>IF(D15=$CE$2,$CC$5,INDEX('Tables - Part 2'!$FI$5:$FL$8,MATCH(Ext_SCC_Chloride!V15,'Tables - Part 2'!$FH$5:$FH$8,0),MATCH(Ext_SCC_Chloride!M15,'Tables - Part 2'!$FI$4:$FL$4,0)))</f>
        <v>None</v>
      </c>
      <c r="X15" s="238">
        <f>IF(AND(D15=$CE$2,E15&lt;&gt;$CE$2),"Fitness-For-Service",INDEX('Tables - Part 2'!$FO$4:$FO$7,MATCH(Ext_SCC_Chloride!W15,'Tables - Part 2'!$FN$4:$FN$7,0),))</f>
        <v>0</v>
      </c>
      <c r="Y15" s="238">
        <f>IF(J15=0,(Thinning!G16-Thinning!F16)/365.25,(Thinning!G16-J15)/365.25)</f>
        <v>12.980150581793293</v>
      </c>
      <c r="Z15" s="248">
        <f t="shared" si="2"/>
        <v>0</v>
      </c>
      <c r="AA15" s="248">
        <f t="shared" si="3"/>
        <v>2.5</v>
      </c>
      <c r="AB15" s="247">
        <f t="shared" si="6"/>
        <v>3</v>
      </c>
      <c r="AC15" s="247">
        <f t="shared" si="4"/>
        <v>4</v>
      </c>
      <c r="AD15" s="247">
        <f t="shared" si="7"/>
        <v>120.41889117043121</v>
      </c>
      <c r="AE15" s="247">
        <f t="shared" si="8"/>
        <v>0</v>
      </c>
      <c r="AF15" s="247">
        <f t="shared" si="9"/>
        <v>0</v>
      </c>
      <c r="AG15" s="247">
        <f t="shared" si="10"/>
        <v>0</v>
      </c>
      <c r="AH15" s="247">
        <f t="shared" si="11"/>
        <v>12.980150581793293</v>
      </c>
      <c r="AI15" s="248">
        <f>IF($T15=$AI$3,INDEX('Tables - Part 2'!$AX$6:$BA$13,MATCH(Ext_SCC_Chloride!X15,'Tables - Part 2'!$AV$6:$AV$13,0),MATCH(Ext_SCC_Chloride!U15,'Tables - Part 2'!$AX$5:$BA$5,0)),0)</f>
        <v>0</v>
      </c>
      <c r="AJ15" s="248">
        <f>IF($T15=$AJ$3,(INDEX('Tables - Part 2'!$AX$6:$BA$13,MATCH(Ext_SCC_Chloride!X15,'Tables - Part 2'!$AV$6:$AV$13,0),MATCH(Ext_SCC_Chloride!U15,'Tables - Part 2'!$AX$5:$BA$5,0))+(INDEX('Tables - Part 2'!$AX$6:$BA$13,MATCH(Ext_SCC_Chloride!X15,'Tables - Part 2'!$AV$6:$AV$13,0),MATCH(Ext_SCC_Chloride!U15,'Tables - Part 2'!$AX$5:$BA$5,0))+((INDEX('Tables - Part 2'!$AX$6:$BA$13,MATCH(Ext_SCC_Chloride!X15,'Tables - Part 2'!$AV$6:$AV$13,0),MATCH(Ext_SCC_Chloride!U15,'Tables - Part 2'!$AX$5:$BA$5,0))+INDEX('Tables - Part 2'!$BB$6:$BE$13,MATCH(Ext_SCC_Chloride!$X15,'Tables - Part 2'!$AV$6:$AV$13,0),MATCH(Ext_SCC_Chloride!$U15,'Tables - Part 2'!$AX$5:$BA$5,0)))/2))/2)/2,0)</f>
        <v>0</v>
      </c>
      <c r="AK15" s="248">
        <f>IF($T15=$AK$3,(INDEX('Tables - Part 2'!$AX$6:$BA$13,MATCH(Ext_SCC_Chloride!X15,'Tables - Part 2'!$AV$6:$AV$13,0),MATCH(Ext_SCC_Chloride!U15,'Tables - Part 2'!$AX$5:$BA$5,0))+((INDEX('Tables - Part 2'!$AX$6:$BA$13,MATCH(Ext_SCC_Chloride!X15,'Tables - Part 2'!$AV$6:$AV$13,0),MATCH(Ext_SCC_Chloride!U15,'Tables - Part 2'!$AX$5:$BA$5,0))+INDEX('Tables - Part 2'!$BB$6:$BE$13,MATCH(Ext_SCC_Chloride!$X15,'Tables - Part 2'!$AV$6:$AV$13,0),MATCH(Ext_SCC_Chloride!$U15,'Tables - Part 2'!$AX$5:$BA$5,0)))/2))/2,0)</f>
        <v>0</v>
      </c>
      <c r="AL15" s="248">
        <f>IF($T15=$AL$3,(((INDEX('Tables - Part 2'!$AX$6:$BA$13,MATCH(Ext_SCC_Chloride!X15,'Tables - Part 2'!$AV$6:$AV$13,0),MATCH(Ext_SCC_Chloride!U15,'Tables - Part 2'!$AX$5:$BA$5,0))+((INDEX('Tables - Part 2'!$AX$6:$BA$13,MATCH(Ext_SCC_Chloride!X15,'Tables - Part 2'!$AV$6:$AV$13,0),MATCH(Ext_SCC_Chloride!U15,'Tables - Part 2'!$AX$5:$BA$5,0))+INDEX('Tables - Part 2'!$BB$6:$BE$13,MATCH(Ext_SCC_Chloride!$X15,'Tables - Part 2'!$AV$6:$AV$13,0),MATCH(Ext_SCC_Chloride!$U15,'Tables - Part 2'!$AX$5:$BA$5,0)))/2))/2)+(INDEX('Tables - Part 2'!$AX$6:$BA$13,MATCH(Ext_SCC_Chloride!X15,'Tables - Part 2'!$AV$6:$AV$13,0),MATCH(Ext_SCC_Chloride!U15,'Tables - Part 2'!$AX$5:$BA$5,0))+INDEX('Tables - Part 2'!$BB$6:$BE$13,MATCH(Ext_SCC_Chloride!$X15,'Tables - Part 2'!$AV$6:$AV$13,0),MATCH(Ext_SCC_Chloride!$U15,'Tables - Part 2'!$AX$5:$BA$5,0)))/2)/2,0)</f>
        <v>0</v>
      </c>
      <c r="AM15" s="248">
        <f>IF($T15=$AM$3,(INDEX('Tables - Part 2'!$AX$6:$BA$13,MATCH(Ext_SCC_Chloride!X15,'Tables - Part 2'!$AV$6:$AV$13,0),MATCH(Ext_SCC_Chloride!U15,'Tables - Part 2'!$AX$5:$BA$5,0))+INDEX('Tables - Part 2'!$BB$6:$BE$13,MATCH(Ext_SCC_Chloride!$X15,'Tables - Part 2'!$AV$6:$AV$13,0),MATCH(Ext_SCC_Chloride!$U15,'Tables - Part 2'!$AX$5:$BA$5,0)))/2,0)</f>
        <v>0</v>
      </c>
      <c r="AN15" s="248">
        <f>IF($T15=$AN$3,(((INDEX('Tables - Part 2'!$AX$6:$BA$13,MATCH(Ext_SCC_Chloride!X15,'Tables - Part 2'!$AV$6:$AV$13,0),MATCH(Ext_SCC_Chloride!U15,'Tables - Part 2'!$AX$5:$BA$5,0))+INDEX('Tables - Part 2'!$BB$6:$BE$13,MATCH(Ext_SCC_Chloride!$X15,'Tables - Part 2'!$AV$6:$AV$13,0),MATCH(Ext_SCC_Chloride!$U15,'Tables - Part 2'!$AX$5:$BA$5,0)))/2)+(((INDEX('Tables - Part 2'!$AX$6:$BA$13,MATCH(Ext_SCC_Chloride!X15,'Tables - Part 2'!$AV$6:$AV$13,0),MATCH(Ext_SCC_Chloride!U15,'Tables - Part 2'!$AX$5:$BA$5,0))+INDEX('Tables - Part 2'!$BB$6:$BE$13,MATCH(Ext_SCC_Chloride!$X15,'Tables - Part 2'!$AV$6:$AV$13,0),MATCH(Ext_SCC_Chloride!$U15,'Tables - Part 2'!$AX$5:$BA$5,0)))/2)+INDEX('Tables - Part 2'!$BB$6:$BE$13,MATCH(Ext_SCC_Chloride!$X15,'Tables - Part 2'!$AV$6:$AV$13,0),MATCH(Ext_SCC_Chloride!$U15,'Tables - Part 2'!$AX$5:$BA$5,0)))/2)/2,0)</f>
        <v>0</v>
      </c>
      <c r="AO15" s="248">
        <f>IF($T15=$AO$3,(((INDEX('Tables - Part 2'!$AX$6:$BA$13,MATCH(Ext_SCC_Chloride!X15,'Tables - Part 2'!$AV$6:$AV$13,0),MATCH(Ext_SCC_Chloride!U15,'Tables - Part 2'!$AX$5:$BA$5,0))+INDEX('Tables - Part 2'!$BB$6:$BE$13,MATCH(Ext_SCC_Chloride!$X15,'Tables - Part 2'!$AV$6:$AV$13,0),MATCH(Ext_SCC_Chloride!$U15,'Tables - Part 2'!$AX$5:$BA$5,0)))/2)+INDEX('Tables - Part 2'!$BB$6:$BE$13,MATCH(Ext_SCC_Chloride!$X15,'Tables - Part 2'!$AV$6:$AV$13,0),MATCH(Ext_SCC_Chloride!$U15,'Tables - Part 2'!$AX$5:$BA$5,0)))/2,0)</f>
        <v>0</v>
      </c>
      <c r="AP15" s="248">
        <f>IF($T15=$AP$3,(((((INDEX('Tables - Part 2'!$AX$6:$BA$13,MATCH(Ext_SCC_Chloride!X15,'Tables - Part 2'!$AV$6:$AV$13,0),MATCH(Ext_SCC_Chloride!U15,'Tables - Part 2'!$AX$5:$BA$5,0))+INDEX('Tables - Part 2'!$BB$6:$BE$13,MATCH(Ext_SCC_Chloride!$X15,'Tables - Part 2'!$AV$6:$AV$13,0),MATCH(Ext_SCC_Chloride!$U15,'Tables - Part 2'!$AX$5:$BA$5,0)))/2)+INDEX('Tables - Part 2'!$BB$6:$BE$13,MATCH(Ext_SCC_Chloride!$X15,'Tables - Part 2'!$AV$6:$AV$13,0),MATCH(Ext_SCC_Chloride!$U15,'Tables - Part 2'!$AX$5:$BA$5,0)))/2)+INDEX('Tables - Part 2'!$BB$6:$BE$13,MATCH(Ext_SCC_Chloride!$X15,'Tables - Part 2'!$AV$6:$AV$13,0),MATCH(Ext_SCC_Chloride!$U15,'Tables - Part 2'!$AX$5:$BA$5,0)))/2,0)</f>
        <v>0</v>
      </c>
      <c r="AQ15" s="248">
        <f>IF($T15=$AQ$3,INDEX('Tables - Part 2'!$BB$6:$BE$13,MATCH(Ext_SCC_Chloride!$X15,'Tables - Part 2'!$AV$6:$AV$13,0),MATCH(Ext_SCC_Chloride!$U15,'Tables - Part 2'!$AX$5:$BA$5,0)),0)</f>
        <v>0</v>
      </c>
      <c r="AR15" s="248">
        <f>IF($T15=$AR$3,((INDEX('Tables - Part 2'!$BB$6:$BE$13,MATCH(Ext_SCC_Chloride!$X15,'Tables - Part 2'!$AV$6:$AV$13,0),MATCH(Ext_SCC_Chloride!$U15,'Tables - Part 2'!$AX$5:$BA$5,0)))+(INDEX('Tables - Part 2'!$BB$6:$BE$13,MATCH(Ext_SCC_Chloride!$X15,'Tables - Part 2'!$AV$6:$AV$13,0),MATCH(Ext_SCC_Chloride!$U15,'Tables - Part 2'!$AX$5:$BA$5,0))+(INDEX('Tables - Part 2'!$BB$6:$BE$13,MATCH(Ext_SCC_Chloride!$X15,'Tables - Part 2'!$AV$6:$AV$13,0),MATCH(Ext_SCC_Chloride!$U15,'Tables - Part 2'!$AX$5:$BA$5,0))+INDEX('Tables - Part 2'!$BF$6:$BI$13,MATCH(Ext_SCC_Chloride!$X15,'Tables - Part 2'!$AV$6:$AV$13,0),MATCH(Ext_SCC_Chloride!$U15,'Tables - Part 2'!$AX$5:$BA$5,0)))/2)/2)/2,0)</f>
        <v>0</v>
      </c>
      <c r="AS15" s="248">
        <f>IF($T15=$AS$3,(INDEX('Tables - Part 2'!$BB$6:$BE$13,MATCH(Ext_SCC_Chloride!$X15,'Tables - Part 2'!$AV$6:$AV$13,0),MATCH(Ext_SCC_Chloride!$U15,'Tables - Part 2'!$AX$5:$BA$5,0))+(INDEX('Tables - Part 2'!$BB$6:$BE$13,MATCH(Ext_SCC_Chloride!$X15,'Tables - Part 2'!$AV$6:$AV$13,0),MATCH(Ext_SCC_Chloride!$U15,'Tables - Part 2'!$AX$5:$BA$5,0))+INDEX('Tables - Part 2'!$BF$6:$BI$13,MATCH(Ext_SCC_Chloride!$X15,'Tables - Part 2'!$AV$6:$AV$13,0),MATCH(Ext_SCC_Chloride!$U15,'Tables - Part 2'!$AX$5:$BA$5,0)))/2)/2,0)</f>
        <v>0</v>
      </c>
      <c r="AT15" s="248">
        <f>IF($T15=$AT$3,(((INDEX('Tables - Part 2'!$BB$6:$BE$13,MATCH(Ext_SCC_Chloride!$X15,'Tables - Part 2'!$AV$6:$AV$13,0),MATCH(Ext_SCC_Chloride!$U15,'Tables - Part 2'!$AX$5:$BA$5,0))+(INDEX('Tables - Part 2'!$BB$6:$BE$13,MATCH(Ext_SCC_Chloride!$X15,'Tables - Part 2'!$AV$6:$AV$13,0),MATCH(Ext_SCC_Chloride!$U15,'Tables - Part 2'!$AX$5:$BA$5,0))+INDEX('Tables - Part 2'!$BF$6:$BI$13,MATCH(Ext_SCC_Chloride!$X15,'Tables - Part 2'!$AV$6:$AV$13,0),MATCH(Ext_SCC_Chloride!$U15,'Tables - Part 2'!$AX$5:$BA$5,0)))/2)/2)+((INDEX('Tables - Part 2'!$BB$6:$BE$13,MATCH(Ext_SCC_Chloride!$X15,'Tables - Part 2'!$AV$6:$AV$13,0),MATCH(Ext_SCC_Chloride!$U15,'Tables - Part 2'!$AX$5:$BA$5,0))+INDEX('Tables - Part 2'!$BF$6:$BI$13,MATCH(Ext_SCC_Chloride!$X15,'Tables - Part 2'!$AV$6:$AV$13,0),MATCH(Ext_SCC_Chloride!$U15,'Tables - Part 2'!$AX$5:$BA$5,0)))/2))/2,0)</f>
        <v>0</v>
      </c>
      <c r="AU15" s="248">
        <f>IF($T15=$AU$3,(INDEX('Tables - Part 2'!$BB$6:$BE$13,MATCH(Ext_SCC_Chloride!$X15,'Tables - Part 2'!$AV$6:$AV$13,0),MATCH(Ext_SCC_Chloride!$U15,'Tables - Part 2'!$AX$5:$BA$5,0))+INDEX('Tables - Part 2'!$BF$6:$BI$13,MATCH(Ext_SCC_Chloride!$X15,'Tables - Part 2'!$AV$6:$AV$13,0),MATCH(Ext_SCC_Chloride!$U15,'Tables - Part 2'!$AX$5:$BA$5,0)))/2,0)</f>
        <v>0</v>
      </c>
      <c r="AV15" s="248">
        <f>IF($T15=$AV$3,(((INDEX('Tables - Part 2'!$BB$6:$BE$13,MATCH(Ext_SCC_Chloride!$X15,'Tables - Part 2'!$AV$6:$AV$13,0),MATCH(Ext_SCC_Chloride!$U15,'Tables - Part 2'!$AX$5:$BA$5,0))+INDEX('Tables - Part 2'!$BF$6:$BI$13,MATCH(Ext_SCC_Chloride!$X15,'Tables - Part 2'!$AV$6:$AV$13,0),MATCH(Ext_SCC_Chloride!$U15,'Tables - Part 2'!$AX$5:$BA$5,0)))/2)+((((INDEX('Tables - Part 2'!$BB$6:$BE$13,MATCH(Ext_SCC_Chloride!$X15,'Tables - Part 2'!$AV$6:$AV$13,0),MATCH(Ext_SCC_Chloride!$U15,'Tables - Part 2'!$AX$5:$BA$5,0))+INDEX('Tables - Part 2'!$BF$6:$BI$13,MATCH(Ext_SCC_Chloride!$X15,'Tables - Part 2'!$AV$6:$AV$13,0),MATCH(Ext_SCC_Chloride!$U15,'Tables - Part 2'!$AX$5:$BA$5,0)))/2)+INDEX('Tables - Part 2'!$BF$6:$BI$13,MATCH(Ext_SCC_Chloride!$X15,'Tables - Part 2'!$AV$6:$AV$13,0),MATCH(Ext_SCC_Chloride!$U15,'Tables - Part 2'!$AX$5:$BA$5,0)))/2))/2,0)</f>
        <v>0</v>
      </c>
      <c r="AW15" s="248">
        <f>IF($T15=$AW$3,(((INDEX('Tables - Part 2'!$BB$6:$BE$13,MATCH(Ext_SCC_Chloride!$X15,'Tables - Part 2'!$AV$6:$AV$13,0),MATCH(Ext_SCC_Chloride!$U15,'Tables - Part 2'!$AX$5:$BA$5,0))+INDEX('Tables - Part 2'!$BF$6:$BI$13,MATCH(Ext_SCC_Chloride!$X15,'Tables - Part 2'!$AV$6:$AV$13,0),MATCH(Ext_SCC_Chloride!$U15,'Tables - Part 2'!$AX$5:$BA$5,0)))/2)+INDEX('Tables - Part 2'!$BF$6:$BI$13,MATCH(Ext_SCC_Chloride!$X15,'Tables - Part 2'!$AV$6:$AV$13,0),MATCH(Ext_SCC_Chloride!$U15,'Tables - Part 2'!$AX$5:$BA$5,0)))/2,0)</f>
        <v>0</v>
      </c>
      <c r="AX15" s="248">
        <f>IF($T15=$AX$3,(((((INDEX('Tables - Part 2'!$BB$6:$BE$13,MATCH(Ext_SCC_Chloride!$X15,'Tables - Part 2'!$AV$6:$AV$13,0),MATCH(Ext_SCC_Chloride!$U15,'Tables - Part 2'!$AX$5:$BA$5,0))+INDEX('Tables - Part 2'!$BF$6:$BI$13,MATCH(Ext_SCC_Chloride!$X15,'Tables - Part 2'!$AV$6:$AV$13,0),MATCH(Ext_SCC_Chloride!$U15,'Tables - Part 2'!$AX$5:$BA$5,0)))/2)+INDEX('Tables - Part 2'!$BF$6:$BI$13,MATCH(Ext_SCC_Chloride!$X15,'Tables - Part 2'!$AV$6:$AV$13,0),MATCH(Ext_SCC_Chloride!$U15,'Tables - Part 2'!$AX$5:$BA$5,0)))/2)+INDEX('Tables - Part 2'!$BF$6:$BI$13,MATCH(Ext_SCC_Chloride!$X15,'Tables - Part 2'!$AV$6:$AV$13,0),MATCH(Ext_SCC_Chloride!$U15,'Tables - Part 2'!$AX$5:$BA$5,0)))/2,0)</f>
        <v>0</v>
      </c>
      <c r="AY15" s="248">
        <f>IF($T15=$AY$3,INDEX('Tables - Part 2'!$BF$6:$BI$13,MATCH(Ext_SCC_Chloride!$X15,'Tables - Part 2'!$AV$6:$AV$13,0),MATCH(Ext_SCC_Chloride!$U15,'Tables - Part 2'!$AX$5:$BA$5,0)),0)</f>
        <v>0</v>
      </c>
      <c r="AZ15" s="248">
        <f>IF($T15=$AZ$3,(INDEX('Tables - Part 2'!$BF$6:$BI$13,MATCH(Ext_SCC_Chloride!$X15,'Tables - Part 2'!$AV$6:$AV$13,0),MATCH(Ext_SCC_Chloride!$U15,'Tables - Part 2'!$AX$5:$BA$5,0))+((INDEX('Tables - Part 2'!$BF$6:$BI$13,MATCH(Ext_SCC_Chloride!$X15,'Tables - Part 2'!$AV$6:$AV$13,0),MATCH(Ext_SCC_Chloride!$U15,'Tables - Part 2'!$AX$5:$BA$5,0))+(INDEX('Tables - Part 2'!$BF$6:$BI$13,MATCH(Ext_SCC_Chloride!$X15,'Tables - Part 2'!$AV$6:$AV$13,0),MATCH(Ext_SCC_Chloride!$U15,'Tables - Part 2'!$AX$5:$BA$5,0))+INDEX('Tables - Part 2'!$AX$17:$BA$24,MATCH(Ext_SCC_Chloride!$X15,'Tables - Part 2'!$AV$6:$AV$13,0),MATCH(Ext_SCC_Chloride!$U15,'Tables - Part 2'!$AX$5:$BA$5,0)))/2)/2))/2,0)</f>
        <v>0</v>
      </c>
      <c r="BA15" s="248">
        <f>IF($T15=$BA$3,(INDEX('Tables - Part 2'!$BF$6:$BI$13,MATCH(Ext_SCC_Chloride!$X15,'Tables - Part 2'!$AV$6:$AV$13,0),MATCH(Ext_SCC_Chloride!$U15,'Tables - Part 2'!$AX$5:$BA$5,0))+(INDEX('Tables - Part 2'!$BF$6:$BI$13,MATCH(Ext_SCC_Chloride!$X15,'Tables - Part 2'!$AV$6:$AV$13,0),MATCH(Ext_SCC_Chloride!$U15,'Tables - Part 2'!$AX$5:$BA$5,0))+INDEX('Tables - Part 2'!$AX$17:$BA$24,MATCH(Ext_SCC_Chloride!$X15,'Tables - Part 2'!$AV$6:$AV$13,0),MATCH(Ext_SCC_Chloride!$U15,'Tables - Part 2'!$AX$5:$BA$5,0)))/2)/2,0)</f>
        <v>0</v>
      </c>
      <c r="BB15" s="248">
        <f>IF($T15=$BB$3,(((INDEX('Tables - Part 2'!$BF$6:$BI$13,MATCH(Ext_SCC_Chloride!$X15,'Tables - Part 2'!$AV$6:$AV$13,0),MATCH(Ext_SCC_Chloride!$U15,'Tables - Part 2'!$AX$5:$BA$5,0))+(INDEX('Tables - Part 2'!$BF$6:$BI$13,MATCH(Ext_SCC_Chloride!$X15,'Tables - Part 2'!$AV$6:$AV$13,0),MATCH(Ext_SCC_Chloride!$U15,'Tables - Part 2'!$AX$5:$BA$5,0))+INDEX('Tables - Part 2'!$AX$17:$BA$24,MATCH(Ext_SCC_Chloride!$X15,'Tables - Part 2'!$AV$6:$AV$13,0),MATCH(Ext_SCC_Chloride!$U15,'Tables - Part 2'!$AX$5:$BA$5,0)))/2)/2)+((INDEX('Tables - Part 2'!$BF$6:$BI$13,MATCH(Ext_SCC_Chloride!$X15,'Tables - Part 2'!$AV$6:$AV$13,0),MATCH(Ext_SCC_Chloride!$U15,'Tables - Part 2'!$AX$5:$BA$5,0))+INDEX('Tables - Part 2'!$AX$17:$BA$24,MATCH(Ext_SCC_Chloride!$X15,'Tables - Part 2'!$AV$6:$AV$13,0),MATCH(Ext_SCC_Chloride!$U15,'Tables - Part 2'!$AX$5:$BA$5,0)))/2))/2,0)</f>
        <v>0</v>
      </c>
      <c r="BC15" s="248">
        <f>IF($T15=$BC$3,(INDEX('Tables - Part 2'!$BF$6:$BI$13,MATCH(Ext_SCC_Chloride!$X15,'Tables - Part 2'!$AV$6:$AV$13,0),MATCH(Ext_SCC_Chloride!$U15,'Tables - Part 2'!$AX$5:$BA$5,0))+INDEX('Tables - Part 2'!$AX$17:$BA$24,MATCH(Ext_SCC_Chloride!$X15,'Tables - Part 2'!$AV$6:$AV$13,0),MATCH(Ext_SCC_Chloride!$U15,'Tables - Part 2'!$AX$5:$BA$5,0)))/2,0)</f>
        <v>0</v>
      </c>
      <c r="BD15" s="248">
        <f>IF($T15=$BD$3,(((INDEX('Tables - Part 2'!$BF$6:$BI$13,MATCH(Ext_SCC_Chloride!$X15,'Tables - Part 2'!$AV$6:$AV$13,0),MATCH(Ext_SCC_Chloride!$U15,'Tables - Part 2'!$AX$5:$BA$5,0))+INDEX('Tables - Part 2'!$AX$17:$BA$24,MATCH(Ext_SCC_Chloride!$X15,'Tables - Part 2'!$AV$6:$AV$13,0),MATCH(Ext_SCC_Chloride!$U15,'Tables - Part 2'!$AX$5:$BA$5,0)))/2)+((((INDEX('Tables - Part 2'!$BF$6:$BI$13,MATCH(Ext_SCC_Chloride!$X15,'Tables - Part 2'!$AV$6:$AV$13,0),MATCH(Ext_SCC_Chloride!$U15,'Tables - Part 2'!$AX$5:$BA$5,0))+INDEX('Tables - Part 2'!$AX$17:$BA$24,MATCH(Ext_SCC_Chloride!$X15,'Tables - Part 2'!$AV$6:$AV$13,0),MATCH(Ext_SCC_Chloride!$U15,'Tables - Part 2'!$AX$5:$BA$5,0)))/2)+INDEX('Tables - Part 2'!$AX$17:$BA$24,MATCH(Ext_SCC_Chloride!$X15,'Tables - Part 2'!$AV$6:$AV$13,0),MATCH(Ext_SCC_Chloride!$U15,'Tables - Part 2'!$AX$5:$BA$5,0)))/2))/2,0)</f>
        <v>0</v>
      </c>
      <c r="BE15" s="248">
        <f>IF($T15=$BE$3,(((INDEX('Tables - Part 2'!$BF$6:$BI$13,MATCH(Ext_SCC_Chloride!$X15,'Tables - Part 2'!$AV$6:$AV$13,0),MATCH(Ext_SCC_Chloride!$U15,'Tables - Part 2'!$AX$5:$BA$5,0))+INDEX('Tables - Part 2'!$AX$17:$BA$24,MATCH(Ext_SCC_Chloride!$X15,'Tables - Part 2'!$AV$6:$AV$13,0),MATCH(Ext_SCC_Chloride!$U15,'Tables - Part 2'!$AX$5:$BA$5,0)))/2)+INDEX('Tables - Part 2'!$AX$17:$BA$24,MATCH(Ext_SCC_Chloride!$X15,'Tables - Part 2'!$AV$6:$AV$13,0),MATCH(Ext_SCC_Chloride!$U15,'Tables - Part 2'!$AX$5:$BA$5,0)))/2,0)</f>
        <v>0</v>
      </c>
      <c r="BF15" s="248">
        <f>IF($T15=$BF$3,(((((INDEX('Tables - Part 2'!$BF$6:$BI$13,MATCH(Ext_SCC_Chloride!$X15,'Tables - Part 2'!$AV$6:$AV$13,0),MATCH(Ext_SCC_Chloride!$U15,'Tables - Part 2'!$AX$5:$BA$5,0))+INDEX('Tables - Part 2'!$AX$17:$BA$24,MATCH(Ext_SCC_Chloride!$X15,'Tables - Part 2'!$AV$6:$AV$13,0),MATCH(Ext_SCC_Chloride!$U15,'Tables - Part 2'!$AX$5:$BA$5,0)))/2)+INDEX('Tables - Part 2'!$AX$17:$BA$24,MATCH(Ext_SCC_Chloride!$X15,'Tables - Part 2'!$AV$6:$AV$13,0),MATCH(Ext_SCC_Chloride!$U15,'Tables - Part 2'!$AX$5:$BA$5,0)))/2)+(INDEX('Tables - Part 2'!$AX$17:$BA$24,MATCH(Ext_SCC_Chloride!$X15,'Tables - Part 2'!$AV$6:$AV$13,0),MATCH(Ext_SCC_Chloride!$U15,'Tables - Part 2'!$AX$5:$BA$5,0))))/2,0)</f>
        <v>0</v>
      </c>
      <c r="BG15" s="248">
        <f>IF($T15=$BG$3,INDEX('Tables - Part 2'!$AX$17:$BA$24,MATCH(Ext_SCC_Chloride!$X15,'Tables - Part 2'!$AV$6:$AV$13,0),MATCH(Ext_SCC_Chloride!$U15,'Tables - Part 2'!$AX$5:$BA$5,0)),0)</f>
        <v>0</v>
      </c>
      <c r="BH15" s="248">
        <f>IF($T15=$BH$3,((INDEX('Tables - Part 2'!$AX$17:$BA$24,MATCH(Ext_SCC_Chloride!$X15,'Tables - Part 2'!$AV$6:$AV$13,0),MATCH(Ext_SCC_Chloride!$U15,'Tables - Part 2'!$AX$5:$BA$5,0)))+(((INDEX('Tables - Part 2'!$AX$17:$BA$24,MATCH(Ext_SCC_Chloride!$X15,'Tables - Part 2'!$AV$6:$AV$13,0),MATCH(Ext_SCC_Chloride!$U15,'Tables - Part 2'!$AX$5:$BA$5,0)))+(INDEX('Tables - Part 2'!$AX$17:$BA$24,MATCH(Ext_SCC_Chloride!$X15,'Tables - Part 2'!$AV$6:$AV$13,0),MATCH(Ext_SCC_Chloride!$U15,'Tables - Part 2'!$AX$5:$BA$5,0))+INDEX('Tables - Part 2'!$BB$17:$BE$24,MATCH(Ext_SCC_Chloride!$X15,'Tables - Part 2'!$AV$6:$AV$13,0),MATCH(Ext_SCC_Chloride!$U15,'Tables - Part 2'!$AX$5:$BA$5,0)))/2)/2))/2,0)</f>
        <v>0</v>
      </c>
      <c r="BI15" s="248">
        <f>IF($T15=$BI$3,((INDEX('Tables - Part 2'!$AX$17:$BA$24,MATCH(Ext_SCC_Chloride!$X15,'Tables - Part 2'!$AV$6:$AV$13,0),MATCH(Ext_SCC_Chloride!$U15,'Tables - Part 2'!$AX$5:$BA$5,0)))+(INDEX('Tables - Part 2'!$AX$17:$BA$24,MATCH(Ext_SCC_Chloride!$X15,'Tables - Part 2'!$AV$6:$AV$13,0),MATCH(Ext_SCC_Chloride!$U15,'Tables - Part 2'!$AX$5:$BA$5,0))+INDEX('Tables - Part 2'!$BB$17:$BE$24,MATCH(Ext_SCC_Chloride!$X15,'Tables - Part 2'!$AV$6:$AV$13,0),MATCH(Ext_SCC_Chloride!$U15,'Tables - Part 2'!$AX$5:$BA$5,0)))/2)/2,0)</f>
        <v>0</v>
      </c>
      <c r="BJ15" s="248">
        <f>IF($T15=$BJ$3,((((INDEX('Tables - Part 2'!$AX$17:$BA$24,MATCH(Ext_SCC_Chloride!$X15,'Tables - Part 2'!$AV$6:$AV$13,0),MATCH(Ext_SCC_Chloride!$U15,'Tables - Part 2'!$AX$5:$BA$5,0)))+(INDEX('Tables - Part 2'!$AX$17:$BA$24,MATCH(Ext_SCC_Chloride!$X15,'Tables - Part 2'!$AV$6:$AV$13,0),MATCH(Ext_SCC_Chloride!$U15,'Tables - Part 2'!$AX$5:$BA$5,0))+INDEX('Tables - Part 2'!$BB$17:$BE$24,MATCH(Ext_SCC_Chloride!$X15,'Tables - Part 2'!$AV$6:$AV$13,0),MATCH(Ext_SCC_Chloride!$U15,'Tables - Part 2'!$AX$5:$BA$5,0)))/2)/2)+((INDEX('Tables - Part 2'!$AX$17:$BA$24,MATCH(Ext_SCC_Chloride!$X15,'Tables - Part 2'!$AV$6:$AV$13,0),MATCH(Ext_SCC_Chloride!$U15,'Tables - Part 2'!$AX$5:$BA$5,0))+INDEX('Tables - Part 2'!$BB$17:$BE$24,MATCH(Ext_SCC_Chloride!$X15,'Tables - Part 2'!$AV$6:$AV$13,0),MATCH(Ext_SCC_Chloride!$U15,'Tables - Part 2'!$AX$5:$BA$5,0)))/2))/2,0)</f>
        <v>0</v>
      </c>
      <c r="BK15" s="248">
        <f>IF($T15=$BK$3,(INDEX('Tables - Part 2'!$AX$17:$BA$24,MATCH(Ext_SCC_Chloride!$X15,'Tables - Part 2'!$AV$6:$AV$13,0),MATCH(Ext_SCC_Chloride!$U15,'Tables - Part 2'!$AX$5:$BA$5,0))+INDEX('Tables - Part 2'!$BB$17:$BE$24,MATCH(Ext_SCC_Chloride!$X15,'Tables - Part 2'!$AV$6:$AV$13,0),MATCH(Ext_SCC_Chloride!$U15,'Tables - Part 2'!$AX$5:$BA$5,0)))/2,0)</f>
        <v>0</v>
      </c>
      <c r="BL15" s="248">
        <f>IF($T15=$BL$3,(((INDEX('Tables - Part 2'!$AX$17:$BA$24,MATCH(Ext_SCC_Chloride!$X15,'Tables - Part 2'!$AV$6:$AV$13,0),MATCH(Ext_SCC_Chloride!$U15,'Tables - Part 2'!$AX$5:$BA$5,0))+INDEX('Tables - Part 2'!$BB$17:$BE$24,MATCH(Ext_SCC_Chloride!$X15,'Tables - Part 2'!$AV$6:$AV$13,0),MATCH(Ext_SCC_Chloride!$U15,'Tables - Part 2'!$AX$5:$BA$5,0)))/2)+((((INDEX('Tables - Part 2'!$AX$17:$BA$24,MATCH(Ext_SCC_Chloride!$X15,'Tables - Part 2'!$AV$6:$AV$13,0),MATCH(Ext_SCC_Chloride!$U15,'Tables - Part 2'!$AX$5:$BA$5,0))+INDEX('Tables - Part 2'!$BB$17:$BE$24,MATCH(Ext_SCC_Chloride!$X15,'Tables - Part 2'!$AV$6:$AV$13,0),MATCH(Ext_SCC_Chloride!$U15,'Tables - Part 2'!$AX$5:$BA$5,0)))/2)+INDEX('Tables - Part 2'!$BB$17:$BE$24,MATCH(Ext_SCC_Chloride!$X15,'Tables - Part 2'!$AV$6:$AV$13,0),MATCH(Ext_SCC_Chloride!$U15,'Tables - Part 2'!$AX$5:$BA$5,0)))/2))/2,0)</f>
        <v>0</v>
      </c>
      <c r="BM15" s="248">
        <f>IF($T15=$BM$3,(((INDEX('Tables - Part 2'!$AX$17:$BA$24,MATCH(Ext_SCC_Chloride!$X15,'Tables - Part 2'!$AV$6:$AV$13,0),MATCH(Ext_SCC_Chloride!$U15,'Tables - Part 2'!$AX$5:$BA$5,0))+INDEX('Tables - Part 2'!$BB$17:$BE$24,MATCH(Ext_SCC_Chloride!$X15,'Tables - Part 2'!$AV$6:$AV$13,0),MATCH(Ext_SCC_Chloride!$U15,'Tables - Part 2'!$AX$5:$BA$5,0)))/2)+INDEX('Tables - Part 2'!$BB$17:$BE$24,MATCH(Ext_SCC_Chloride!$X15,'Tables - Part 2'!$AV$6:$AV$13,0),MATCH(Ext_SCC_Chloride!$U15,'Tables - Part 2'!$AX$5:$BA$5,0)))/2,0)</f>
        <v>0</v>
      </c>
      <c r="BN15" s="248">
        <f>IF($T15=$BN$3,(((((INDEX('Tables - Part 2'!$AX$17:$BA$24,MATCH(Ext_SCC_Chloride!$X15,'Tables - Part 2'!$AV$6:$AV$13,0),MATCH(Ext_SCC_Chloride!$U15,'Tables - Part 2'!$AX$5:$BA$5,0))+INDEX('Tables - Part 2'!$BB$17:$BE$24,MATCH(Ext_SCC_Chloride!$X15,'Tables - Part 2'!$AV$6:$AV$13,0),MATCH(Ext_SCC_Chloride!$U15,'Tables - Part 2'!$AX$5:$BA$5,0)))/2)+INDEX('Tables - Part 2'!$BB$17:$BE$24,MATCH(Ext_SCC_Chloride!$X15,'Tables - Part 2'!$AV$6:$AV$13,0),MATCH(Ext_SCC_Chloride!$U15,'Tables - Part 2'!$AX$5:$BA$5,0)))/2)+(INDEX('Tables - Part 2'!$BB$17:$BE$24,MATCH(Ext_SCC_Chloride!$X15,'Tables - Part 2'!$AV$6:$AV$13,0),MATCH(Ext_SCC_Chloride!$U15,'Tables - Part 2'!$AX$5:$BA$5,0))))/2,0)</f>
        <v>0</v>
      </c>
      <c r="BO15" s="248">
        <f>IF($T15=$BO$3,INDEX('Tables - Part 2'!$BB$17:$BE$24,MATCH(Ext_SCC_Chloride!$X15,'Tables - Part 2'!$AV$6:$AV$13,0),MATCH(Ext_SCC_Chloride!$U15,'Tables - Part 2'!$AX$5:$BA$5,0)),0)</f>
        <v>0</v>
      </c>
      <c r="BP15" s="248">
        <f>IF($T15=$BP$3,((INDEX('Tables - Part 2'!$BB$17:$BE$24,MATCH(Ext_SCC_Chloride!$X15,'Tables - Part 2'!$AV$6:$AV$13,0),MATCH(Ext_SCC_Chloride!$U15,'Tables - Part 2'!$AX$5:$BA$5,0)))+(((INDEX('Tables - Part 2'!$BB$17:$BE$24,MATCH(Ext_SCC_Chloride!$X15,'Tables - Part 2'!$AV$6:$AV$13,0),MATCH(Ext_SCC_Chloride!$U15,'Tables - Part 2'!$AX$5:$BA$5,0)))+(INDEX('Tables - Part 2'!$BB$17:$BE$24,MATCH(Ext_SCC_Chloride!$X15,'Tables - Part 2'!$AV$6:$AV$13,0),MATCH(Ext_SCC_Chloride!$U15,'Tables - Part 2'!$AX$5:$BA$5,0))+INDEX('Tables - Part 2'!$BF$17:$BI$24,MATCH(Ext_SCC_Chloride!$X15,'Tables - Part 2'!$AV$6:$AV$13,0),MATCH(Ext_SCC_Chloride!$U15,'Tables - Part 2'!$AX$5:$BA$5,0)))/2)/2))/2,0)</f>
        <v>0</v>
      </c>
      <c r="BQ15" s="248">
        <f>IF($T15=$BQ$3,((INDEX('Tables - Part 2'!$BB$17:$BE$24,MATCH(Ext_SCC_Chloride!$X15,'Tables - Part 2'!$AV$6:$AV$13,0),MATCH(Ext_SCC_Chloride!$U15,'Tables - Part 2'!$AX$5:$BA$5,0)))+(INDEX('Tables - Part 2'!$BB$17:$BE$24,MATCH(Ext_SCC_Chloride!$X15,'Tables - Part 2'!$AV$6:$AV$13,0),MATCH(Ext_SCC_Chloride!$U15,'Tables - Part 2'!$AX$5:$BA$5,0))+INDEX('Tables - Part 2'!$BF$17:$BI$24,MATCH(Ext_SCC_Chloride!$X15,'Tables - Part 2'!$AV$6:$AV$13,0),MATCH(Ext_SCC_Chloride!$U15,'Tables - Part 2'!$AX$5:$BA$5,0)))/2)/2,0)</f>
        <v>0</v>
      </c>
      <c r="BR15" s="248">
        <f>IF($T15=$BR$3,((((INDEX('Tables - Part 2'!$BB$17:$BE$24,MATCH(Ext_SCC_Chloride!$X15,'Tables - Part 2'!$AV$6:$AV$13,0),MATCH(Ext_SCC_Chloride!$U15,'Tables - Part 2'!$AX$5:$BA$5,0)))+(INDEX('Tables - Part 2'!$BB$17:$BE$24,MATCH(Ext_SCC_Chloride!$X15,'Tables - Part 2'!$AV$6:$AV$13,0),MATCH(Ext_SCC_Chloride!$U15,'Tables - Part 2'!$AX$5:$BA$5,0))+INDEX('Tables - Part 2'!$BF$17:$BI$24,MATCH(Ext_SCC_Chloride!$X15,'Tables - Part 2'!$AV$6:$AV$13,0),MATCH(Ext_SCC_Chloride!$U15,'Tables - Part 2'!$AX$5:$BA$5,0)))/2)/2)+((INDEX('Tables - Part 2'!$BB$17:$BE$24,MATCH(Ext_SCC_Chloride!$X15,'Tables - Part 2'!$AV$6:$AV$13,0),MATCH(Ext_SCC_Chloride!$U15,'Tables - Part 2'!$AX$5:$BA$5,0))+INDEX('Tables - Part 2'!$BF$17:$BI$24,MATCH(Ext_SCC_Chloride!$X15,'Tables - Part 2'!$AV$6:$AV$13,0),MATCH(Ext_SCC_Chloride!$U15,'Tables - Part 2'!$AX$5:$BA$5,0)))/2))/2,0)</f>
        <v>0</v>
      </c>
      <c r="BS15" s="248">
        <f>IF($T15=$BS$3,(INDEX('Tables - Part 2'!$BB$17:$BE$24,MATCH(Ext_SCC_Chloride!$X15,'Tables - Part 2'!$AV$6:$AV$13,0),MATCH(Ext_SCC_Chloride!$U15,'Tables - Part 2'!$AX$5:$BA$5,0))+INDEX('Tables - Part 2'!$BF$17:$BI$24,MATCH(Ext_SCC_Chloride!$X15,'Tables - Part 2'!$AV$6:$AV$13,0),MATCH(Ext_SCC_Chloride!$U15,'Tables - Part 2'!$AX$5:$BA$5,0)))/2,0)</f>
        <v>0</v>
      </c>
      <c r="BT15" s="248">
        <f>IF($T15=$BT$3,(((INDEX('Tables - Part 2'!$BB$17:$BE$24,MATCH(Ext_SCC_Chloride!$X15,'Tables - Part 2'!$AV$6:$AV$13,0),MATCH(Ext_SCC_Chloride!$U15,'Tables - Part 2'!$AX$5:$BA$5,0))+INDEX('Tables - Part 2'!$BF$17:$BI$24,MATCH(Ext_SCC_Chloride!$X15,'Tables - Part 2'!$AV$6:$AV$13,0),MATCH(Ext_SCC_Chloride!$U15,'Tables - Part 2'!$AX$5:$BA$5,0)))/2)+((((INDEX('Tables - Part 2'!$BB$17:$BE$24,MATCH(Ext_SCC_Chloride!$X15,'Tables - Part 2'!$AV$6:$AV$13,0),MATCH(Ext_SCC_Chloride!$U15,'Tables - Part 2'!$AX$5:$BA$5,0))+INDEX('Tables - Part 2'!$BF$17:$BI$24,MATCH(Ext_SCC_Chloride!$X15,'Tables - Part 2'!$AV$6:$AV$13,0),MATCH(Ext_SCC_Chloride!$U15,'Tables - Part 2'!$AX$5:$BA$5,0)))/2)+INDEX('Tables - Part 2'!$BF$17:$BI$24,MATCH(Ext_SCC_Chloride!$X15,'Tables - Part 2'!$AV$6:$AV$13,0),MATCH(Ext_SCC_Chloride!$U15,'Tables - Part 2'!$AX$5:$BA$5,0)))/2))/2,0)</f>
        <v>0</v>
      </c>
      <c r="BU15" s="248">
        <f>IF($T15=$BU$3,(((INDEX('Tables - Part 2'!$BB$17:$BE$24,MATCH(Ext_SCC_Chloride!$X15,'Tables - Part 2'!$AV$6:$AV$13,0),MATCH(Ext_SCC_Chloride!$U15,'Tables - Part 2'!$AX$5:$BA$5,0))+INDEX('Tables - Part 2'!$BF$17:$BI$24,MATCH(Ext_SCC_Chloride!$X15,'Tables - Part 2'!$AV$6:$AV$13,0),MATCH(Ext_SCC_Chloride!$U15,'Tables - Part 2'!$AX$5:$BA$5,0)))/2)+INDEX('Tables - Part 2'!$BF$17:$BI$24,MATCH(Ext_SCC_Chloride!$X15,'Tables - Part 2'!$AV$6:$AV$13,0),MATCH(Ext_SCC_Chloride!$U15,'Tables - Part 2'!$AX$5:$BA$5,0)))/2,0)</f>
        <v>0</v>
      </c>
      <c r="BV15" s="248">
        <f>IF($T15=$BV$3,(((((INDEX('Tables - Part 2'!$BB$17:$BE$24,MATCH(Ext_SCC_Chloride!$X15,'Tables - Part 2'!$AV$6:$AV$13,0),MATCH(Ext_SCC_Chloride!$U15,'Tables - Part 2'!$AX$5:$BA$5,0))+INDEX('Tables - Part 2'!$BF$17:$BI$24,MATCH(Ext_SCC_Chloride!$X15,'Tables - Part 2'!$AV$6:$AV$13,0),MATCH(Ext_SCC_Chloride!$U15,'Tables - Part 2'!$AX$5:$BA$5,0)))/2)+INDEX('Tables - Part 2'!$BF$17:$BI$24,MATCH(Ext_SCC_Chloride!$X15,'Tables - Part 2'!$AV$6:$AV$13,0),MATCH(Ext_SCC_Chloride!$U15,'Tables - Part 2'!$AX$5:$BA$5,0)))/2)+(INDEX('Tables - Part 2'!$BF$17:$BI$24,MATCH(Ext_SCC_Chloride!$X15,'Tables - Part 2'!$AV$6:$AV$13,0),MATCH(Ext_SCC_Chloride!$U15,'Tables - Part 2'!$AX$5:$BA$5,0))))/2,0)</f>
        <v>0</v>
      </c>
      <c r="BW15" s="248">
        <f>IF($T15=$BW$3,INDEX('Tables - Part 2'!$BF$17:$BI$24,MATCH(Ext_SCC_Chloride!$X15,'Tables - Part 2'!$AV$6:$AV$13,0),MATCH(Ext_SCC_Chloride!$U15,'Tables - Part 2'!$AX$5:$BA$5,0)),0)</f>
        <v>0</v>
      </c>
      <c r="BX15" s="248">
        <f t="shared" si="5"/>
        <v>0</v>
      </c>
      <c r="BY15" s="238">
        <f t="shared" si="12"/>
        <v>0</v>
      </c>
      <c r="BZ15" s="238">
        <f t="shared" si="13"/>
        <v>0</v>
      </c>
    </row>
    <row r="16" spans="2:87" x14ac:dyDescent="0.35">
      <c r="B16" s="161" t="str">
        <f>'Tratamento de Dados'!B24</f>
        <v>V-6</v>
      </c>
      <c r="C16" s="161" t="str">
        <f>'Tratamento de Dados'!D24</f>
        <v>Casco</v>
      </c>
      <c r="D16" s="209" t="s">
        <v>245</v>
      </c>
      <c r="E16" s="209" t="s">
        <v>61</v>
      </c>
      <c r="F16" s="247">
        <f>'Tratamento de Dados'!S24</f>
        <v>2</v>
      </c>
      <c r="G16" s="209" t="s">
        <v>953</v>
      </c>
      <c r="H16" s="210">
        <v>35234</v>
      </c>
      <c r="I16" s="210">
        <v>43983</v>
      </c>
      <c r="J16" s="210">
        <v>39092</v>
      </c>
      <c r="K16" s="210">
        <f>'Tratamento de Dados'!CC24</f>
        <v>0</v>
      </c>
      <c r="L16" s="209">
        <f>'Tratamento de Dados'!CD24</f>
        <v>0</v>
      </c>
      <c r="M16" s="209" t="s">
        <v>905</v>
      </c>
      <c r="N16" s="209">
        <v>0</v>
      </c>
      <c r="O16" s="209">
        <v>1</v>
      </c>
      <c r="P16" s="209">
        <v>1</v>
      </c>
      <c r="Q16" s="209">
        <v>4</v>
      </c>
      <c r="R16" s="253">
        <f>'Tratamento de Dados'!DA24</f>
        <v>0</v>
      </c>
      <c r="S16" s="253">
        <f>'Tratamento de Dados'!DB24</f>
        <v>0</v>
      </c>
      <c r="T16" s="256">
        <f t="shared" si="0"/>
        <v>2.5</v>
      </c>
      <c r="U16" s="246" t="str">
        <f t="shared" si="1"/>
        <v>B</v>
      </c>
      <c r="V16" s="246" t="str">
        <f>IF(F16&lt;49,'Tables - Part 2'!$FH$5,IF(F16&lt;=93,'Tables - Part 2'!$FH$6,IF(F16&lt;=149,'Tables - Part 2'!$FH$7,'Tables - Part 2'!$FH$8)))</f>
        <v>&lt;49</v>
      </c>
      <c r="W16" s="467" t="str">
        <f>IF(D16=$CE$2,$CC$5,INDEX('Tables - Part 2'!$FI$5:$FL$8,MATCH(Ext_SCC_Chloride!V16,'Tables - Part 2'!$FH$5:$FH$8,0),MATCH(Ext_SCC_Chloride!M16,'Tables - Part 2'!$FI$4:$FL$4,0)))</f>
        <v>None</v>
      </c>
      <c r="X16" s="238">
        <f>IF(AND(D16=$CE$2,E16&lt;&gt;$CE$2),"Fitness-For-Service",INDEX('Tables - Part 2'!$FO$4:$FO$7,MATCH(Ext_SCC_Chloride!W16,'Tables - Part 2'!$FN$4:$FN$7,0),))</f>
        <v>0</v>
      </c>
      <c r="Y16" s="238">
        <f>IF(J16=0,(Thinning!G17-Thinning!F17)/365.25,(Thinning!G17-J16)/365.25)</f>
        <v>12.980150581793293</v>
      </c>
      <c r="Z16" s="248">
        <f t="shared" si="2"/>
        <v>0</v>
      </c>
      <c r="AA16" s="248">
        <f t="shared" si="3"/>
        <v>2.5</v>
      </c>
      <c r="AB16" s="247">
        <f t="shared" si="6"/>
        <v>3</v>
      </c>
      <c r="AC16" s="247">
        <f t="shared" si="4"/>
        <v>4</v>
      </c>
      <c r="AD16" s="247">
        <f t="shared" si="7"/>
        <v>120.41889117043121</v>
      </c>
      <c r="AE16" s="247">
        <f t="shared" si="8"/>
        <v>0</v>
      </c>
      <c r="AF16" s="247">
        <f t="shared" si="9"/>
        <v>0</v>
      </c>
      <c r="AG16" s="247">
        <f t="shared" si="10"/>
        <v>0</v>
      </c>
      <c r="AH16" s="247">
        <f t="shared" si="11"/>
        <v>12.980150581793293</v>
      </c>
      <c r="AI16" s="248">
        <f>IF($T16=$AI$3,INDEX('Tables - Part 2'!$AX$6:$BA$13,MATCH(Ext_SCC_Chloride!X16,'Tables - Part 2'!$AV$6:$AV$13,0),MATCH(Ext_SCC_Chloride!U16,'Tables - Part 2'!$AX$5:$BA$5,0)),0)</f>
        <v>0</v>
      </c>
      <c r="AJ16" s="248">
        <f>IF($T16=$AJ$3,(INDEX('Tables - Part 2'!$AX$6:$BA$13,MATCH(Ext_SCC_Chloride!X16,'Tables - Part 2'!$AV$6:$AV$13,0),MATCH(Ext_SCC_Chloride!U16,'Tables - Part 2'!$AX$5:$BA$5,0))+(INDEX('Tables - Part 2'!$AX$6:$BA$13,MATCH(Ext_SCC_Chloride!X16,'Tables - Part 2'!$AV$6:$AV$13,0),MATCH(Ext_SCC_Chloride!U16,'Tables - Part 2'!$AX$5:$BA$5,0))+((INDEX('Tables - Part 2'!$AX$6:$BA$13,MATCH(Ext_SCC_Chloride!X16,'Tables - Part 2'!$AV$6:$AV$13,0),MATCH(Ext_SCC_Chloride!U16,'Tables - Part 2'!$AX$5:$BA$5,0))+INDEX('Tables - Part 2'!$BB$6:$BE$13,MATCH(Ext_SCC_Chloride!$X16,'Tables - Part 2'!$AV$6:$AV$13,0),MATCH(Ext_SCC_Chloride!$U16,'Tables - Part 2'!$AX$5:$BA$5,0)))/2))/2)/2,0)</f>
        <v>0</v>
      </c>
      <c r="AK16" s="248">
        <f>IF($T16=$AK$3,(INDEX('Tables - Part 2'!$AX$6:$BA$13,MATCH(Ext_SCC_Chloride!X16,'Tables - Part 2'!$AV$6:$AV$13,0),MATCH(Ext_SCC_Chloride!U16,'Tables - Part 2'!$AX$5:$BA$5,0))+((INDEX('Tables - Part 2'!$AX$6:$BA$13,MATCH(Ext_SCC_Chloride!X16,'Tables - Part 2'!$AV$6:$AV$13,0),MATCH(Ext_SCC_Chloride!U16,'Tables - Part 2'!$AX$5:$BA$5,0))+INDEX('Tables - Part 2'!$BB$6:$BE$13,MATCH(Ext_SCC_Chloride!$X16,'Tables - Part 2'!$AV$6:$AV$13,0),MATCH(Ext_SCC_Chloride!$U16,'Tables - Part 2'!$AX$5:$BA$5,0)))/2))/2,0)</f>
        <v>0</v>
      </c>
      <c r="AL16" s="248">
        <f>IF($T16=$AL$3,(((INDEX('Tables - Part 2'!$AX$6:$BA$13,MATCH(Ext_SCC_Chloride!X16,'Tables - Part 2'!$AV$6:$AV$13,0),MATCH(Ext_SCC_Chloride!U16,'Tables - Part 2'!$AX$5:$BA$5,0))+((INDEX('Tables - Part 2'!$AX$6:$BA$13,MATCH(Ext_SCC_Chloride!X16,'Tables - Part 2'!$AV$6:$AV$13,0),MATCH(Ext_SCC_Chloride!U16,'Tables - Part 2'!$AX$5:$BA$5,0))+INDEX('Tables - Part 2'!$BB$6:$BE$13,MATCH(Ext_SCC_Chloride!$X16,'Tables - Part 2'!$AV$6:$AV$13,0),MATCH(Ext_SCC_Chloride!$U16,'Tables - Part 2'!$AX$5:$BA$5,0)))/2))/2)+(INDEX('Tables - Part 2'!$AX$6:$BA$13,MATCH(Ext_SCC_Chloride!X16,'Tables - Part 2'!$AV$6:$AV$13,0),MATCH(Ext_SCC_Chloride!U16,'Tables - Part 2'!$AX$5:$BA$5,0))+INDEX('Tables - Part 2'!$BB$6:$BE$13,MATCH(Ext_SCC_Chloride!$X16,'Tables - Part 2'!$AV$6:$AV$13,0),MATCH(Ext_SCC_Chloride!$U16,'Tables - Part 2'!$AX$5:$BA$5,0)))/2)/2,0)</f>
        <v>0</v>
      </c>
      <c r="AM16" s="248">
        <f>IF($T16=$AM$3,(INDEX('Tables - Part 2'!$AX$6:$BA$13,MATCH(Ext_SCC_Chloride!X16,'Tables - Part 2'!$AV$6:$AV$13,0),MATCH(Ext_SCC_Chloride!U16,'Tables - Part 2'!$AX$5:$BA$5,0))+INDEX('Tables - Part 2'!$BB$6:$BE$13,MATCH(Ext_SCC_Chloride!$X16,'Tables - Part 2'!$AV$6:$AV$13,0),MATCH(Ext_SCC_Chloride!$U16,'Tables - Part 2'!$AX$5:$BA$5,0)))/2,0)</f>
        <v>0</v>
      </c>
      <c r="AN16" s="248">
        <f>IF($T16=$AN$3,(((INDEX('Tables - Part 2'!$AX$6:$BA$13,MATCH(Ext_SCC_Chloride!X16,'Tables - Part 2'!$AV$6:$AV$13,0),MATCH(Ext_SCC_Chloride!U16,'Tables - Part 2'!$AX$5:$BA$5,0))+INDEX('Tables - Part 2'!$BB$6:$BE$13,MATCH(Ext_SCC_Chloride!$X16,'Tables - Part 2'!$AV$6:$AV$13,0),MATCH(Ext_SCC_Chloride!$U16,'Tables - Part 2'!$AX$5:$BA$5,0)))/2)+(((INDEX('Tables - Part 2'!$AX$6:$BA$13,MATCH(Ext_SCC_Chloride!X16,'Tables - Part 2'!$AV$6:$AV$13,0),MATCH(Ext_SCC_Chloride!U16,'Tables - Part 2'!$AX$5:$BA$5,0))+INDEX('Tables - Part 2'!$BB$6:$BE$13,MATCH(Ext_SCC_Chloride!$X16,'Tables - Part 2'!$AV$6:$AV$13,0),MATCH(Ext_SCC_Chloride!$U16,'Tables - Part 2'!$AX$5:$BA$5,0)))/2)+INDEX('Tables - Part 2'!$BB$6:$BE$13,MATCH(Ext_SCC_Chloride!$X16,'Tables - Part 2'!$AV$6:$AV$13,0),MATCH(Ext_SCC_Chloride!$U16,'Tables - Part 2'!$AX$5:$BA$5,0)))/2)/2,0)</f>
        <v>0</v>
      </c>
      <c r="AO16" s="248">
        <f>IF($T16=$AO$3,(((INDEX('Tables - Part 2'!$AX$6:$BA$13,MATCH(Ext_SCC_Chloride!X16,'Tables - Part 2'!$AV$6:$AV$13,0),MATCH(Ext_SCC_Chloride!U16,'Tables - Part 2'!$AX$5:$BA$5,0))+INDEX('Tables - Part 2'!$BB$6:$BE$13,MATCH(Ext_SCC_Chloride!$X16,'Tables - Part 2'!$AV$6:$AV$13,0),MATCH(Ext_SCC_Chloride!$U16,'Tables - Part 2'!$AX$5:$BA$5,0)))/2)+INDEX('Tables - Part 2'!$BB$6:$BE$13,MATCH(Ext_SCC_Chloride!$X16,'Tables - Part 2'!$AV$6:$AV$13,0),MATCH(Ext_SCC_Chloride!$U16,'Tables - Part 2'!$AX$5:$BA$5,0)))/2,0)</f>
        <v>0</v>
      </c>
      <c r="AP16" s="248">
        <f>IF($T16=$AP$3,(((((INDEX('Tables - Part 2'!$AX$6:$BA$13,MATCH(Ext_SCC_Chloride!X16,'Tables - Part 2'!$AV$6:$AV$13,0),MATCH(Ext_SCC_Chloride!U16,'Tables - Part 2'!$AX$5:$BA$5,0))+INDEX('Tables - Part 2'!$BB$6:$BE$13,MATCH(Ext_SCC_Chloride!$X16,'Tables - Part 2'!$AV$6:$AV$13,0),MATCH(Ext_SCC_Chloride!$U16,'Tables - Part 2'!$AX$5:$BA$5,0)))/2)+INDEX('Tables - Part 2'!$BB$6:$BE$13,MATCH(Ext_SCC_Chloride!$X16,'Tables - Part 2'!$AV$6:$AV$13,0),MATCH(Ext_SCC_Chloride!$U16,'Tables - Part 2'!$AX$5:$BA$5,0)))/2)+INDEX('Tables - Part 2'!$BB$6:$BE$13,MATCH(Ext_SCC_Chloride!$X16,'Tables - Part 2'!$AV$6:$AV$13,0),MATCH(Ext_SCC_Chloride!$U16,'Tables - Part 2'!$AX$5:$BA$5,0)))/2,0)</f>
        <v>0</v>
      </c>
      <c r="AQ16" s="248">
        <f>IF($T16=$AQ$3,INDEX('Tables - Part 2'!$BB$6:$BE$13,MATCH(Ext_SCC_Chloride!$X16,'Tables - Part 2'!$AV$6:$AV$13,0),MATCH(Ext_SCC_Chloride!$U16,'Tables - Part 2'!$AX$5:$BA$5,0)),0)</f>
        <v>0</v>
      </c>
      <c r="AR16" s="248">
        <f>IF($T16=$AR$3,((INDEX('Tables - Part 2'!$BB$6:$BE$13,MATCH(Ext_SCC_Chloride!$X16,'Tables - Part 2'!$AV$6:$AV$13,0),MATCH(Ext_SCC_Chloride!$U16,'Tables - Part 2'!$AX$5:$BA$5,0)))+(INDEX('Tables - Part 2'!$BB$6:$BE$13,MATCH(Ext_SCC_Chloride!$X16,'Tables - Part 2'!$AV$6:$AV$13,0),MATCH(Ext_SCC_Chloride!$U16,'Tables - Part 2'!$AX$5:$BA$5,0))+(INDEX('Tables - Part 2'!$BB$6:$BE$13,MATCH(Ext_SCC_Chloride!$X16,'Tables - Part 2'!$AV$6:$AV$13,0),MATCH(Ext_SCC_Chloride!$U16,'Tables - Part 2'!$AX$5:$BA$5,0))+INDEX('Tables - Part 2'!$BF$6:$BI$13,MATCH(Ext_SCC_Chloride!$X16,'Tables - Part 2'!$AV$6:$AV$13,0),MATCH(Ext_SCC_Chloride!$U16,'Tables - Part 2'!$AX$5:$BA$5,0)))/2)/2)/2,0)</f>
        <v>0</v>
      </c>
      <c r="AS16" s="248">
        <f>IF($T16=$AS$3,(INDEX('Tables - Part 2'!$BB$6:$BE$13,MATCH(Ext_SCC_Chloride!$X16,'Tables - Part 2'!$AV$6:$AV$13,0),MATCH(Ext_SCC_Chloride!$U16,'Tables - Part 2'!$AX$5:$BA$5,0))+(INDEX('Tables - Part 2'!$BB$6:$BE$13,MATCH(Ext_SCC_Chloride!$X16,'Tables - Part 2'!$AV$6:$AV$13,0),MATCH(Ext_SCC_Chloride!$U16,'Tables - Part 2'!$AX$5:$BA$5,0))+INDEX('Tables - Part 2'!$BF$6:$BI$13,MATCH(Ext_SCC_Chloride!$X16,'Tables - Part 2'!$AV$6:$AV$13,0),MATCH(Ext_SCC_Chloride!$U16,'Tables - Part 2'!$AX$5:$BA$5,0)))/2)/2,0)</f>
        <v>0</v>
      </c>
      <c r="AT16" s="248">
        <f>IF($T16=$AT$3,(((INDEX('Tables - Part 2'!$BB$6:$BE$13,MATCH(Ext_SCC_Chloride!$X16,'Tables - Part 2'!$AV$6:$AV$13,0),MATCH(Ext_SCC_Chloride!$U16,'Tables - Part 2'!$AX$5:$BA$5,0))+(INDEX('Tables - Part 2'!$BB$6:$BE$13,MATCH(Ext_SCC_Chloride!$X16,'Tables - Part 2'!$AV$6:$AV$13,0),MATCH(Ext_SCC_Chloride!$U16,'Tables - Part 2'!$AX$5:$BA$5,0))+INDEX('Tables - Part 2'!$BF$6:$BI$13,MATCH(Ext_SCC_Chloride!$X16,'Tables - Part 2'!$AV$6:$AV$13,0),MATCH(Ext_SCC_Chloride!$U16,'Tables - Part 2'!$AX$5:$BA$5,0)))/2)/2)+((INDEX('Tables - Part 2'!$BB$6:$BE$13,MATCH(Ext_SCC_Chloride!$X16,'Tables - Part 2'!$AV$6:$AV$13,0),MATCH(Ext_SCC_Chloride!$U16,'Tables - Part 2'!$AX$5:$BA$5,0))+INDEX('Tables - Part 2'!$BF$6:$BI$13,MATCH(Ext_SCC_Chloride!$X16,'Tables - Part 2'!$AV$6:$AV$13,0),MATCH(Ext_SCC_Chloride!$U16,'Tables - Part 2'!$AX$5:$BA$5,0)))/2))/2,0)</f>
        <v>0</v>
      </c>
      <c r="AU16" s="248">
        <f>IF($T16=$AU$3,(INDEX('Tables - Part 2'!$BB$6:$BE$13,MATCH(Ext_SCC_Chloride!$X16,'Tables - Part 2'!$AV$6:$AV$13,0),MATCH(Ext_SCC_Chloride!$U16,'Tables - Part 2'!$AX$5:$BA$5,0))+INDEX('Tables - Part 2'!$BF$6:$BI$13,MATCH(Ext_SCC_Chloride!$X16,'Tables - Part 2'!$AV$6:$AV$13,0),MATCH(Ext_SCC_Chloride!$U16,'Tables - Part 2'!$AX$5:$BA$5,0)))/2,0)</f>
        <v>0</v>
      </c>
      <c r="AV16" s="248">
        <f>IF($T16=$AV$3,(((INDEX('Tables - Part 2'!$BB$6:$BE$13,MATCH(Ext_SCC_Chloride!$X16,'Tables - Part 2'!$AV$6:$AV$13,0),MATCH(Ext_SCC_Chloride!$U16,'Tables - Part 2'!$AX$5:$BA$5,0))+INDEX('Tables - Part 2'!$BF$6:$BI$13,MATCH(Ext_SCC_Chloride!$X16,'Tables - Part 2'!$AV$6:$AV$13,0),MATCH(Ext_SCC_Chloride!$U16,'Tables - Part 2'!$AX$5:$BA$5,0)))/2)+((((INDEX('Tables - Part 2'!$BB$6:$BE$13,MATCH(Ext_SCC_Chloride!$X16,'Tables - Part 2'!$AV$6:$AV$13,0),MATCH(Ext_SCC_Chloride!$U16,'Tables - Part 2'!$AX$5:$BA$5,0))+INDEX('Tables - Part 2'!$BF$6:$BI$13,MATCH(Ext_SCC_Chloride!$X16,'Tables - Part 2'!$AV$6:$AV$13,0),MATCH(Ext_SCC_Chloride!$U16,'Tables - Part 2'!$AX$5:$BA$5,0)))/2)+INDEX('Tables - Part 2'!$BF$6:$BI$13,MATCH(Ext_SCC_Chloride!$X16,'Tables - Part 2'!$AV$6:$AV$13,0),MATCH(Ext_SCC_Chloride!$U16,'Tables - Part 2'!$AX$5:$BA$5,0)))/2))/2,0)</f>
        <v>0</v>
      </c>
      <c r="AW16" s="248">
        <f>IF($T16=$AW$3,(((INDEX('Tables - Part 2'!$BB$6:$BE$13,MATCH(Ext_SCC_Chloride!$X16,'Tables - Part 2'!$AV$6:$AV$13,0),MATCH(Ext_SCC_Chloride!$U16,'Tables - Part 2'!$AX$5:$BA$5,0))+INDEX('Tables - Part 2'!$BF$6:$BI$13,MATCH(Ext_SCC_Chloride!$X16,'Tables - Part 2'!$AV$6:$AV$13,0),MATCH(Ext_SCC_Chloride!$U16,'Tables - Part 2'!$AX$5:$BA$5,0)))/2)+INDEX('Tables - Part 2'!$BF$6:$BI$13,MATCH(Ext_SCC_Chloride!$X16,'Tables - Part 2'!$AV$6:$AV$13,0),MATCH(Ext_SCC_Chloride!$U16,'Tables - Part 2'!$AX$5:$BA$5,0)))/2,0)</f>
        <v>0</v>
      </c>
      <c r="AX16" s="248">
        <f>IF($T16=$AX$3,(((((INDEX('Tables - Part 2'!$BB$6:$BE$13,MATCH(Ext_SCC_Chloride!$X16,'Tables - Part 2'!$AV$6:$AV$13,0),MATCH(Ext_SCC_Chloride!$U16,'Tables - Part 2'!$AX$5:$BA$5,0))+INDEX('Tables - Part 2'!$BF$6:$BI$13,MATCH(Ext_SCC_Chloride!$X16,'Tables - Part 2'!$AV$6:$AV$13,0),MATCH(Ext_SCC_Chloride!$U16,'Tables - Part 2'!$AX$5:$BA$5,0)))/2)+INDEX('Tables - Part 2'!$BF$6:$BI$13,MATCH(Ext_SCC_Chloride!$X16,'Tables - Part 2'!$AV$6:$AV$13,0),MATCH(Ext_SCC_Chloride!$U16,'Tables - Part 2'!$AX$5:$BA$5,0)))/2)+INDEX('Tables - Part 2'!$BF$6:$BI$13,MATCH(Ext_SCC_Chloride!$X16,'Tables - Part 2'!$AV$6:$AV$13,0),MATCH(Ext_SCC_Chloride!$U16,'Tables - Part 2'!$AX$5:$BA$5,0)))/2,0)</f>
        <v>0</v>
      </c>
      <c r="AY16" s="248">
        <f>IF($T16=$AY$3,INDEX('Tables - Part 2'!$BF$6:$BI$13,MATCH(Ext_SCC_Chloride!$X16,'Tables - Part 2'!$AV$6:$AV$13,0),MATCH(Ext_SCC_Chloride!$U16,'Tables - Part 2'!$AX$5:$BA$5,0)),0)</f>
        <v>0</v>
      </c>
      <c r="AZ16" s="248">
        <f>IF($T16=$AZ$3,(INDEX('Tables - Part 2'!$BF$6:$BI$13,MATCH(Ext_SCC_Chloride!$X16,'Tables - Part 2'!$AV$6:$AV$13,0),MATCH(Ext_SCC_Chloride!$U16,'Tables - Part 2'!$AX$5:$BA$5,0))+((INDEX('Tables - Part 2'!$BF$6:$BI$13,MATCH(Ext_SCC_Chloride!$X16,'Tables - Part 2'!$AV$6:$AV$13,0),MATCH(Ext_SCC_Chloride!$U16,'Tables - Part 2'!$AX$5:$BA$5,0))+(INDEX('Tables - Part 2'!$BF$6:$BI$13,MATCH(Ext_SCC_Chloride!$X16,'Tables - Part 2'!$AV$6:$AV$13,0),MATCH(Ext_SCC_Chloride!$U16,'Tables - Part 2'!$AX$5:$BA$5,0))+INDEX('Tables - Part 2'!$AX$17:$BA$24,MATCH(Ext_SCC_Chloride!$X16,'Tables - Part 2'!$AV$6:$AV$13,0),MATCH(Ext_SCC_Chloride!$U16,'Tables - Part 2'!$AX$5:$BA$5,0)))/2)/2))/2,0)</f>
        <v>0</v>
      </c>
      <c r="BA16" s="248">
        <f>IF($T16=$BA$3,(INDEX('Tables - Part 2'!$BF$6:$BI$13,MATCH(Ext_SCC_Chloride!$X16,'Tables - Part 2'!$AV$6:$AV$13,0),MATCH(Ext_SCC_Chloride!$U16,'Tables - Part 2'!$AX$5:$BA$5,0))+(INDEX('Tables - Part 2'!$BF$6:$BI$13,MATCH(Ext_SCC_Chloride!$X16,'Tables - Part 2'!$AV$6:$AV$13,0),MATCH(Ext_SCC_Chloride!$U16,'Tables - Part 2'!$AX$5:$BA$5,0))+INDEX('Tables - Part 2'!$AX$17:$BA$24,MATCH(Ext_SCC_Chloride!$X16,'Tables - Part 2'!$AV$6:$AV$13,0),MATCH(Ext_SCC_Chloride!$U16,'Tables - Part 2'!$AX$5:$BA$5,0)))/2)/2,0)</f>
        <v>0</v>
      </c>
      <c r="BB16" s="248">
        <f>IF($T16=$BB$3,(((INDEX('Tables - Part 2'!$BF$6:$BI$13,MATCH(Ext_SCC_Chloride!$X16,'Tables - Part 2'!$AV$6:$AV$13,0),MATCH(Ext_SCC_Chloride!$U16,'Tables - Part 2'!$AX$5:$BA$5,0))+(INDEX('Tables - Part 2'!$BF$6:$BI$13,MATCH(Ext_SCC_Chloride!$X16,'Tables - Part 2'!$AV$6:$AV$13,0),MATCH(Ext_SCC_Chloride!$U16,'Tables - Part 2'!$AX$5:$BA$5,0))+INDEX('Tables - Part 2'!$AX$17:$BA$24,MATCH(Ext_SCC_Chloride!$X16,'Tables - Part 2'!$AV$6:$AV$13,0),MATCH(Ext_SCC_Chloride!$U16,'Tables - Part 2'!$AX$5:$BA$5,0)))/2)/2)+((INDEX('Tables - Part 2'!$BF$6:$BI$13,MATCH(Ext_SCC_Chloride!$X16,'Tables - Part 2'!$AV$6:$AV$13,0),MATCH(Ext_SCC_Chloride!$U16,'Tables - Part 2'!$AX$5:$BA$5,0))+INDEX('Tables - Part 2'!$AX$17:$BA$24,MATCH(Ext_SCC_Chloride!$X16,'Tables - Part 2'!$AV$6:$AV$13,0),MATCH(Ext_SCC_Chloride!$U16,'Tables - Part 2'!$AX$5:$BA$5,0)))/2))/2,0)</f>
        <v>0</v>
      </c>
      <c r="BC16" s="248">
        <f>IF($T16=$BC$3,(INDEX('Tables - Part 2'!$BF$6:$BI$13,MATCH(Ext_SCC_Chloride!$X16,'Tables - Part 2'!$AV$6:$AV$13,0),MATCH(Ext_SCC_Chloride!$U16,'Tables - Part 2'!$AX$5:$BA$5,0))+INDEX('Tables - Part 2'!$AX$17:$BA$24,MATCH(Ext_SCC_Chloride!$X16,'Tables - Part 2'!$AV$6:$AV$13,0),MATCH(Ext_SCC_Chloride!$U16,'Tables - Part 2'!$AX$5:$BA$5,0)))/2,0)</f>
        <v>0</v>
      </c>
      <c r="BD16" s="248">
        <f>IF($T16=$BD$3,(((INDEX('Tables - Part 2'!$BF$6:$BI$13,MATCH(Ext_SCC_Chloride!$X16,'Tables - Part 2'!$AV$6:$AV$13,0),MATCH(Ext_SCC_Chloride!$U16,'Tables - Part 2'!$AX$5:$BA$5,0))+INDEX('Tables - Part 2'!$AX$17:$BA$24,MATCH(Ext_SCC_Chloride!$X16,'Tables - Part 2'!$AV$6:$AV$13,0),MATCH(Ext_SCC_Chloride!$U16,'Tables - Part 2'!$AX$5:$BA$5,0)))/2)+((((INDEX('Tables - Part 2'!$BF$6:$BI$13,MATCH(Ext_SCC_Chloride!$X16,'Tables - Part 2'!$AV$6:$AV$13,0),MATCH(Ext_SCC_Chloride!$U16,'Tables - Part 2'!$AX$5:$BA$5,0))+INDEX('Tables - Part 2'!$AX$17:$BA$24,MATCH(Ext_SCC_Chloride!$X16,'Tables - Part 2'!$AV$6:$AV$13,0),MATCH(Ext_SCC_Chloride!$U16,'Tables - Part 2'!$AX$5:$BA$5,0)))/2)+INDEX('Tables - Part 2'!$AX$17:$BA$24,MATCH(Ext_SCC_Chloride!$X16,'Tables - Part 2'!$AV$6:$AV$13,0),MATCH(Ext_SCC_Chloride!$U16,'Tables - Part 2'!$AX$5:$BA$5,0)))/2))/2,0)</f>
        <v>0</v>
      </c>
      <c r="BE16" s="248">
        <f>IF($T16=$BE$3,(((INDEX('Tables - Part 2'!$BF$6:$BI$13,MATCH(Ext_SCC_Chloride!$X16,'Tables - Part 2'!$AV$6:$AV$13,0),MATCH(Ext_SCC_Chloride!$U16,'Tables - Part 2'!$AX$5:$BA$5,0))+INDEX('Tables - Part 2'!$AX$17:$BA$24,MATCH(Ext_SCC_Chloride!$X16,'Tables - Part 2'!$AV$6:$AV$13,0),MATCH(Ext_SCC_Chloride!$U16,'Tables - Part 2'!$AX$5:$BA$5,0)))/2)+INDEX('Tables - Part 2'!$AX$17:$BA$24,MATCH(Ext_SCC_Chloride!$X16,'Tables - Part 2'!$AV$6:$AV$13,0),MATCH(Ext_SCC_Chloride!$U16,'Tables - Part 2'!$AX$5:$BA$5,0)))/2,0)</f>
        <v>0</v>
      </c>
      <c r="BF16" s="248">
        <f>IF($T16=$BF$3,(((((INDEX('Tables - Part 2'!$BF$6:$BI$13,MATCH(Ext_SCC_Chloride!$X16,'Tables - Part 2'!$AV$6:$AV$13,0),MATCH(Ext_SCC_Chloride!$U16,'Tables - Part 2'!$AX$5:$BA$5,0))+INDEX('Tables - Part 2'!$AX$17:$BA$24,MATCH(Ext_SCC_Chloride!$X16,'Tables - Part 2'!$AV$6:$AV$13,0),MATCH(Ext_SCC_Chloride!$U16,'Tables - Part 2'!$AX$5:$BA$5,0)))/2)+INDEX('Tables - Part 2'!$AX$17:$BA$24,MATCH(Ext_SCC_Chloride!$X16,'Tables - Part 2'!$AV$6:$AV$13,0),MATCH(Ext_SCC_Chloride!$U16,'Tables - Part 2'!$AX$5:$BA$5,0)))/2)+(INDEX('Tables - Part 2'!$AX$17:$BA$24,MATCH(Ext_SCC_Chloride!$X16,'Tables - Part 2'!$AV$6:$AV$13,0),MATCH(Ext_SCC_Chloride!$U16,'Tables - Part 2'!$AX$5:$BA$5,0))))/2,0)</f>
        <v>0</v>
      </c>
      <c r="BG16" s="248">
        <f>IF($T16=$BG$3,INDEX('Tables - Part 2'!$AX$17:$BA$24,MATCH(Ext_SCC_Chloride!$X16,'Tables - Part 2'!$AV$6:$AV$13,0),MATCH(Ext_SCC_Chloride!$U16,'Tables - Part 2'!$AX$5:$BA$5,0)),0)</f>
        <v>0</v>
      </c>
      <c r="BH16" s="248">
        <f>IF($T16=$BH$3,((INDEX('Tables - Part 2'!$AX$17:$BA$24,MATCH(Ext_SCC_Chloride!$X16,'Tables - Part 2'!$AV$6:$AV$13,0),MATCH(Ext_SCC_Chloride!$U16,'Tables - Part 2'!$AX$5:$BA$5,0)))+(((INDEX('Tables - Part 2'!$AX$17:$BA$24,MATCH(Ext_SCC_Chloride!$X16,'Tables - Part 2'!$AV$6:$AV$13,0),MATCH(Ext_SCC_Chloride!$U16,'Tables - Part 2'!$AX$5:$BA$5,0)))+(INDEX('Tables - Part 2'!$AX$17:$BA$24,MATCH(Ext_SCC_Chloride!$X16,'Tables - Part 2'!$AV$6:$AV$13,0),MATCH(Ext_SCC_Chloride!$U16,'Tables - Part 2'!$AX$5:$BA$5,0))+INDEX('Tables - Part 2'!$BB$17:$BE$24,MATCH(Ext_SCC_Chloride!$X16,'Tables - Part 2'!$AV$6:$AV$13,0),MATCH(Ext_SCC_Chloride!$U16,'Tables - Part 2'!$AX$5:$BA$5,0)))/2)/2))/2,0)</f>
        <v>0</v>
      </c>
      <c r="BI16" s="248">
        <f>IF($T16=$BI$3,((INDEX('Tables - Part 2'!$AX$17:$BA$24,MATCH(Ext_SCC_Chloride!$X16,'Tables - Part 2'!$AV$6:$AV$13,0),MATCH(Ext_SCC_Chloride!$U16,'Tables - Part 2'!$AX$5:$BA$5,0)))+(INDEX('Tables - Part 2'!$AX$17:$BA$24,MATCH(Ext_SCC_Chloride!$X16,'Tables - Part 2'!$AV$6:$AV$13,0),MATCH(Ext_SCC_Chloride!$U16,'Tables - Part 2'!$AX$5:$BA$5,0))+INDEX('Tables - Part 2'!$BB$17:$BE$24,MATCH(Ext_SCC_Chloride!$X16,'Tables - Part 2'!$AV$6:$AV$13,0),MATCH(Ext_SCC_Chloride!$U16,'Tables - Part 2'!$AX$5:$BA$5,0)))/2)/2,0)</f>
        <v>0</v>
      </c>
      <c r="BJ16" s="248">
        <f>IF($T16=$BJ$3,((((INDEX('Tables - Part 2'!$AX$17:$BA$24,MATCH(Ext_SCC_Chloride!$X16,'Tables - Part 2'!$AV$6:$AV$13,0),MATCH(Ext_SCC_Chloride!$U16,'Tables - Part 2'!$AX$5:$BA$5,0)))+(INDEX('Tables - Part 2'!$AX$17:$BA$24,MATCH(Ext_SCC_Chloride!$X16,'Tables - Part 2'!$AV$6:$AV$13,0),MATCH(Ext_SCC_Chloride!$U16,'Tables - Part 2'!$AX$5:$BA$5,0))+INDEX('Tables - Part 2'!$BB$17:$BE$24,MATCH(Ext_SCC_Chloride!$X16,'Tables - Part 2'!$AV$6:$AV$13,0),MATCH(Ext_SCC_Chloride!$U16,'Tables - Part 2'!$AX$5:$BA$5,0)))/2)/2)+((INDEX('Tables - Part 2'!$AX$17:$BA$24,MATCH(Ext_SCC_Chloride!$X16,'Tables - Part 2'!$AV$6:$AV$13,0),MATCH(Ext_SCC_Chloride!$U16,'Tables - Part 2'!$AX$5:$BA$5,0))+INDEX('Tables - Part 2'!$BB$17:$BE$24,MATCH(Ext_SCC_Chloride!$X16,'Tables - Part 2'!$AV$6:$AV$13,0),MATCH(Ext_SCC_Chloride!$U16,'Tables - Part 2'!$AX$5:$BA$5,0)))/2))/2,0)</f>
        <v>0</v>
      </c>
      <c r="BK16" s="248">
        <f>IF($T16=$BK$3,(INDEX('Tables - Part 2'!$AX$17:$BA$24,MATCH(Ext_SCC_Chloride!$X16,'Tables - Part 2'!$AV$6:$AV$13,0),MATCH(Ext_SCC_Chloride!$U16,'Tables - Part 2'!$AX$5:$BA$5,0))+INDEX('Tables - Part 2'!$BB$17:$BE$24,MATCH(Ext_SCC_Chloride!$X16,'Tables - Part 2'!$AV$6:$AV$13,0),MATCH(Ext_SCC_Chloride!$U16,'Tables - Part 2'!$AX$5:$BA$5,0)))/2,0)</f>
        <v>0</v>
      </c>
      <c r="BL16" s="248">
        <f>IF($T16=$BL$3,(((INDEX('Tables - Part 2'!$AX$17:$BA$24,MATCH(Ext_SCC_Chloride!$X16,'Tables - Part 2'!$AV$6:$AV$13,0),MATCH(Ext_SCC_Chloride!$U16,'Tables - Part 2'!$AX$5:$BA$5,0))+INDEX('Tables - Part 2'!$BB$17:$BE$24,MATCH(Ext_SCC_Chloride!$X16,'Tables - Part 2'!$AV$6:$AV$13,0),MATCH(Ext_SCC_Chloride!$U16,'Tables - Part 2'!$AX$5:$BA$5,0)))/2)+((((INDEX('Tables - Part 2'!$AX$17:$BA$24,MATCH(Ext_SCC_Chloride!$X16,'Tables - Part 2'!$AV$6:$AV$13,0),MATCH(Ext_SCC_Chloride!$U16,'Tables - Part 2'!$AX$5:$BA$5,0))+INDEX('Tables - Part 2'!$BB$17:$BE$24,MATCH(Ext_SCC_Chloride!$X16,'Tables - Part 2'!$AV$6:$AV$13,0),MATCH(Ext_SCC_Chloride!$U16,'Tables - Part 2'!$AX$5:$BA$5,0)))/2)+INDEX('Tables - Part 2'!$BB$17:$BE$24,MATCH(Ext_SCC_Chloride!$X16,'Tables - Part 2'!$AV$6:$AV$13,0),MATCH(Ext_SCC_Chloride!$U16,'Tables - Part 2'!$AX$5:$BA$5,0)))/2))/2,0)</f>
        <v>0</v>
      </c>
      <c r="BM16" s="248">
        <f>IF($T16=$BM$3,(((INDEX('Tables - Part 2'!$AX$17:$BA$24,MATCH(Ext_SCC_Chloride!$X16,'Tables - Part 2'!$AV$6:$AV$13,0),MATCH(Ext_SCC_Chloride!$U16,'Tables - Part 2'!$AX$5:$BA$5,0))+INDEX('Tables - Part 2'!$BB$17:$BE$24,MATCH(Ext_SCC_Chloride!$X16,'Tables - Part 2'!$AV$6:$AV$13,0),MATCH(Ext_SCC_Chloride!$U16,'Tables - Part 2'!$AX$5:$BA$5,0)))/2)+INDEX('Tables - Part 2'!$BB$17:$BE$24,MATCH(Ext_SCC_Chloride!$X16,'Tables - Part 2'!$AV$6:$AV$13,0),MATCH(Ext_SCC_Chloride!$U16,'Tables - Part 2'!$AX$5:$BA$5,0)))/2,0)</f>
        <v>0</v>
      </c>
      <c r="BN16" s="248">
        <f>IF($T16=$BN$3,(((((INDEX('Tables - Part 2'!$AX$17:$BA$24,MATCH(Ext_SCC_Chloride!$X16,'Tables - Part 2'!$AV$6:$AV$13,0),MATCH(Ext_SCC_Chloride!$U16,'Tables - Part 2'!$AX$5:$BA$5,0))+INDEX('Tables - Part 2'!$BB$17:$BE$24,MATCH(Ext_SCC_Chloride!$X16,'Tables - Part 2'!$AV$6:$AV$13,0),MATCH(Ext_SCC_Chloride!$U16,'Tables - Part 2'!$AX$5:$BA$5,0)))/2)+INDEX('Tables - Part 2'!$BB$17:$BE$24,MATCH(Ext_SCC_Chloride!$X16,'Tables - Part 2'!$AV$6:$AV$13,0),MATCH(Ext_SCC_Chloride!$U16,'Tables - Part 2'!$AX$5:$BA$5,0)))/2)+(INDEX('Tables - Part 2'!$BB$17:$BE$24,MATCH(Ext_SCC_Chloride!$X16,'Tables - Part 2'!$AV$6:$AV$13,0),MATCH(Ext_SCC_Chloride!$U16,'Tables - Part 2'!$AX$5:$BA$5,0))))/2,0)</f>
        <v>0</v>
      </c>
      <c r="BO16" s="248">
        <f>IF($T16=$BO$3,INDEX('Tables - Part 2'!$BB$17:$BE$24,MATCH(Ext_SCC_Chloride!$X16,'Tables - Part 2'!$AV$6:$AV$13,0),MATCH(Ext_SCC_Chloride!$U16,'Tables - Part 2'!$AX$5:$BA$5,0)),0)</f>
        <v>0</v>
      </c>
      <c r="BP16" s="248">
        <f>IF($T16=$BP$3,((INDEX('Tables - Part 2'!$BB$17:$BE$24,MATCH(Ext_SCC_Chloride!$X16,'Tables - Part 2'!$AV$6:$AV$13,0),MATCH(Ext_SCC_Chloride!$U16,'Tables - Part 2'!$AX$5:$BA$5,0)))+(((INDEX('Tables - Part 2'!$BB$17:$BE$24,MATCH(Ext_SCC_Chloride!$X16,'Tables - Part 2'!$AV$6:$AV$13,0),MATCH(Ext_SCC_Chloride!$U16,'Tables - Part 2'!$AX$5:$BA$5,0)))+(INDEX('Tables - Part 2'!$BB$17:$BE$24,MATCH(Ext_SCC_Chloride!$X16,'Tables - Part 2'!$AV$6:$AV$13,0),MATCH(Ext_SCC_Chloride!$U16,'Tables - Part 2'!$AX$5:$BA$5,0))+INDEX('Tables - Part 2'!$BF$17:$BI$24,MATCH(Ext_SCC_Chloride!$X16,'Tables - Part 2'!$AV$6:$AV$13,0),MATCH(Ext_SCC_Chloride!$U16,'Tables - Part 2'!$AX$5:$BA$5,0)))/2)/2))/2,0)</f>
        <v>0</v>
      </c>
      <c r="BQ16" s="248">
        <f>IF($T16=$BQ$3,((INDEX('Tables - Part 2'!$BB$17:$BE$24,MATCH(Ext_SCC_Chloride!$X16,'Tables - Part 2'!$AV$6:$AV$13,0),MATCH(Ext_SCC_Chloride!$U16,'Tables - Part 2'!$AX$5:$BA$5,0)))+(INDEX('Tables - Part 2'!$BB$17:$BE$24,MATCH(Ext_SCC_Chloride!$X16,'Tables - Part 2'!$AV$6:$AV$13,0),MATCH(Ext_SCC_Chloride!$U16,'Tables - Part 2'!$AX$5:$BA$5,0))+INDEX('Tables - Part 2'!$BF$17:$BI$24,MATCH(Ext_SCC_Chloride!$X16,'Tables - Part 2'!$AV$6:$AV$13,0),MATCH(Ext_SCC_Chloride!$U16,'Tables - Part 2'!$AX$5:$BA$5,0)))/2)/2,0)</f>
        <v>0</v>
      </c>
      <c r="BR16" s="248">
        <f>IF($T16=$BR$3,((((INDEX('Tables - Part 2'!$BB$17:$BE$24,MATCH(Ext_SCC_Chloride!$X16,'Tables - Part 2'!$AV$6:$AV$13,0),MATCH(Ext_SCC_Chloride!$U16,'Tables - Part 2'!$AX$5:$BA$5,0)))+(INDEX('Tables - Part 2'!$BB$17:$BE$24,MATCH(Ext_SCC_Chloride!$X16,'Tables - Part 2'!$AV$6:$AV$13,0),MATCH(Ext_SCC_Chloride!$U16,'Tables - Part 2'!$AX$5:$BA$5,0))+INDEX('Tables - Part 2'!$BF$17:$BI$24,MATCH(Ext_SCC_Chloride!$X16,'Tables - Part 2'!$AV$6:$AV$13,0),MATCH(Ext_SCC_Chloride!$U16,'Tables - Part 2'!$AX$5:$BA$5,0)))/2)/2)+((INDEX('Tables - Part 2'!$BB$17:$BE$24,MATCH(Ext_SCC_Chloride!$X16,'Tables - Part 2'!$AV$6:$AV$13,0),MATCH(Ext_SCC_Chloride!$U16,'Tables - Part 2'!$AX$5:$BA$5,0))+INDEX('Tables - Part 2'!$BF$17:$BI$24,MATCH(Ext_SCC_Chloride!$X16,'Tables - Part 2'!$AV$6:$AV$13,0),MATCH(Ext_SCC_Chloride!$U16,'Tables - Part 2'!$AX$5:$BA$5,0)))/2))/2,0)</f>
        <v>0</v>
      </c>
      <c r="BS16" s="248">
        <f>IF($T16=$BS$3,(INDEX('Tables - Part 2'!$BB$17:$BE$24,MATCH(Ext_SCC_Chloride!$X16,'Tables - Part 2'!$AV$6:$AV$13,0),MATCH(Ext_SCC_Chloride!$U16,'Tables - Part 2'!$AX$5:$BA$5,0))+INDEX('Tables - Part 2'!$BF$17:$BI$24,MATCH(Ext_SCC_Chloride!$X16,'Tables - Part 2'!$AV$6:$AV$13,0),MATCH(Ext_SCC_Chloride!$U16,'Tables - Part 2'!$AX$5:$BA$5,0)))/2,0)</f>
        <v>0</v>
      </c>
      <c r="BT16" s="248">
        <f>IF($T16=$BT$3,(((INDEX('Tables - Part 2'!$BB$17:$BE$24,MATCH(Ext_SCC_Chloride!$X16,'Tables - Part 2'!$AV$6:$AV$13,0),MATCH(Ext_SCC_Chloride!$U16,'Tables - Part 2'!$AX$5:$BA$5,0))+INDEX('Tables - Part 2'!$BF$17:$BI$24,MATCH(Ext_SCC_Chloride!$X16,'Tables - Part 2'!$AV$6:$AV$13,0),MATCH(Ext_SCC_Chloride!$U16,'Tables - Part 2'!$AX$5:$BA$5,0)))/2)+((((INDEX('Tables - Part 2'!$BB$17:$BE$24,MATCH(Ext_SCC_Chloride!$X16,'Tables - Part 2'!$AV$6:$AV$13,0),MATCH(Ext_SCC_Chloride!$U16,'Tables - Part 2'!$AX$5:$BA$5,0))+INDEX('Tables - Part 2'!$BF$17:$BI$24,MATCH(Ext_SCC_Chloride!$X16,'Tables - Part 2'!$AV$6:$AV$13,0),MATCH(Ext_SCC_Chloride!$U16,'Tables - Part 2'!$AX$5:$BA$5,0)))/2)+INDEX('Tables - Part 2'!$BF$17:$BI$24,MATCH(Ext_SCC_Chloride!$X16,'Tables - Part 2'!$AV$6:$AV$13,0),MATCH(Ext_SCC_Chloride!$U16,'Tables - Part 2'!$AX$5:$BA$5,0)))/2))/2,0)</f>
        <v>0</v>
      </c>
      <c r="BU16" s="248">
        <f>IF($T16=$BU$3,(((INDEX('Tables - Part 2'!$BB$17:$BE$24,MATCH(Ext_SCC_Chloride!$X16,'Tables - Part 2'!$AV$6:$AV$13,0),MATCH(Ext_SCC_Chloride!$U16,'Tables - Part 2'!$AX$5:$BA$5,0))+INDEX('Tables - Part 2'!$BF$17:$BI$24,MATCH(Ext_SCC_Chloride!$X16,'Tables - Part 2'!$AV$6:$AV$13,0),MATCH(Ext_SCC_Chloride!$U16,'Tables - Part 2'!$AX$5:$BA$5,0)))/2)+INDEX('Tables - Part 2'!$BF$17:$BI$24,MATCH(Ext_SCC_Chloride!$X16,'Tables - Part 2'!$AV$6:$AV$13,0),MATCH(Ext_SCC_Chloride!$U16,'Tables - Part 2'!$AX$5:$BA$5,0)))/2,0)</f>
        <v>0</v>
      </c>
      <c r="BV16" s="248">
        <f>IF($T16=$BV$3,(((((INDEX('Tables - Part 2'!$BB$17:$BE$24,MATCH(Ext_SCC_Chloride!$X16,'Tables - Part 2'!$AV$6:$AV$13,0),MATCH(Ext_SCC_Chloride!$U16,'Tables - Part 2'!$AX$5:$BA$5,0))+INDEX('Tables - Part 2'!$BF$17:$BI$24,MATCH(Ext_SCC_Chloride!$X16,'Tables - Part 2'!$AV$6:$AV$13,0),MATCH(Ext_SCC_Chloride!$U16,'Tables - Part 2'!$AX$5:$BA$5,0)))/2)+INDEX('Tables - Part 2'!$BF$17:$BI$24,MATCH(Ext_SCC_Chloride!$X16,'Tables - Part 2'!$AV$6:$AV$13,0),MATCH(Ext_SCC_Chloride!$U16,'Tables - Part 2'!$AX$5:$BA$5,0)))/2)+(INDEX('Tables - Part 2'!$BF$17:$BI$24,MATCH(Ext_SCC_Chloride!$X16,'Tables - Part 2'!$AV$6:$AV$13,0),MATCH(Ext_SCC_Chloride!$U16,'Tables - Part 2'!$AX$5:$BA$5,0))))/2,0)</f>
        <v>0</v>
      </c>
      <c r="BW16" s="248">
        <f>IF($T16=$BW$3,INDEX('Tables - Part 2'!$BF$17:$BI$24,MATCH(Ext_SCC_Chloride!$X16,'Tables - Part 2'!$AV$6:$AV$13,0),MATCH(Ext_SCC_Chloride!$U16,'Tables - Part 2'!$AX$5:$BA$5,0)),0)</f>
        <v>0</v>
      </c>
      <c r="BX16" s="248">
        <f t="shared" si="5"/>
        <v>0</v>
      </c>
      <c r="BY16" s="238">
        <f t="shared" si="12"/>
        <v>0</v>
      </c>
      <c r="BZ16" s="238">
        <f t="shared" si="13"/>
        <v>0</v>
      </c>
    </row>
    <row r="17" spans="2:78" x14ac:dyDescent="0.35">
      <c r="B17" s="161" t="str">
        <f>'Tratamento de Dados'!B25</f>
        <v>V-7</v>
      </c>
      <c r="C17" s="161" t="str">
        <f>'Tratamento de Dados'!D25</f>
        <v>Casco</v>
      </c>
      <c r="D17" s="209" t="s">
        <v>245</v>
      </c>
      <c r="E17" s="209" t="s">
        <v>61</v>
      </c>
      <c r="F17" s="247">
        <f>'Tratamento de Dados'!S25</f>
        <v>2</v>
      </c>
      <c r="G17" s="209" t="s">
        <v>953</v>
      </c>
      <c r="H17" s="210">
        <v>35234</v>
      </c>
      <c r="I17" s="210">
        <v>43983</v>
      </c>
      <c r="J17" s="210">
        <v>39092</v>
      </c>
      <c r="K17" s="210">
        <f>'Tratamento de Dados'!CC25</f>
        <v>0</v>
      </c>
      <c r="L17" s="209">
        <f>'Tratamento de Dados'!CD25</f>
        <v>0</v>
      </c>
      <c r="M17" s="209" t="s">
        <v>905</v>
      </c>
      <c r="N17" s="209">
        <v>0</v>
      </c>
      <c r="O17" s="209">
        <v>1</v>
      </c>
      <c r="P17" s="209">
        <v>1</v>
      </c>
      <c r="Q17" s="209">
        <v>4</v>
      </c>
      <c r="R17" s="253">
        <f>'Tratamento de Dados'!DA25</f>
        <v>0</v>
      </c>
      <c r="S17" s="253">
        <f>'Tratamento de Dados'!DB25</f>
        <v>0</v>
      </c>
      <c r="T17" s="256">
        <f t="shared" si="0"/>
        <v>2.5</v>
      </c>
      <c r="U17" s="246" t="str">
        <f t="shared" si="1"/>
        <v>B</v>
      </c>
      <c r="V17" s="246" t="str">
        <f>IF(F17&lt;49,'Tables - Part 2'!$FH$5,IF(F17&lt;=93,'Tables - Part 2'!$FH$6,IF(F17&lt;=149,'Tables - Part 2'!$FH$7,'Tables - Part 2'!$FH$8)))</f>
        <v>&lt;49</v>
      </c>
      <c r="W17" s="467" t="str">
        <f>IF(D17=$CE$2,$CC$5,INDEX('Tables - Part 2'!$FI$5:$FL$8,MATCH(Ext_SCC_Chloride!V17,'Tables - Part 2'!$FH$5:$FH$8,0),MATCH(Ext_SCC_Chloride!M17,'Tables - Part 2'!$FI$4:$FL$4,0)))</f>
        <v>None</v>
      </c>
      <c r="X17" s="238">
        <f>IF(AND(D17=$CE$2,E17&lt;&gt;$CE$2),"Fitness-For-Service",INDEX('Tables - Part 2'!$FO$4:$FO$7,MATCH(Ext_SCC_Chloride!W17,'Tables - Part 2'!$FN$4:$FN$7,0),))</f>
        <v>0</v>
      </c>
      <c r="Y17" s="238">
        <f>IF(J17=0,(Thinning!G18-Thinning!F18)/365.25,(Thinning!G18-J17)/365.25)</f>
        <v>12.980150581793293</v>
      </c>
      <c r="Z17" s="248">
        <f t="shared" si="2"/>
        <v>0</v>
      </c>
      <c r="AA17" s="248">
        <f t="shared" si="3"/>
        <v>2.5</v>
      </c>
      <c r="AB17" s="247">
        <f t="shared" si="6"/>
        <v>3</v>
      </c>
      <c r="AC17" s="247">
        <f t="shared" si="4"/>
        <v>4</v>
      </c>
      <c r="AD17" s="247">
        <f t="shared" si="7"/>
        <v>120.41889117043121</v>
      </c>
      <c r="AE17" s="247">
        <f t="shared" si="8"/>
        <v>0</v>
      </c>
      <c r="AF17" s="247">
        <f t="shared" si="9"/>
        <v>0</v>
      </c>
      <c r="AG17" s="247">
        <f t="shared" si="10"/>
        <v>0</v>
      </c>
      <c r="AH17" s="247">
        <f t="shared" si="11"/>
        <v>12.980150581793293</v>
      </c>
      <c r="AI17" s="248">
        <f>IF($T17=$AI$3,INDEX('Tables - Part 2'!$AX$6:$BA$13,MATCH(Ext_SCC_Chloride!X17,'Tables - Part 2'!$AV$6:$AV$13,0),MATCH(Ext_SCC_Chloride!U17,'Tables - Part 2'!$AX$5:$BA$5,0)),0)</f>
        <v>0</v>
      </c>
      <c r="AJ17" s="248">
        <f>IF($T17=$AJ$3,(INDEX('Tables - Part 2'!$AX$6:$BA$13,MATCH(Ext_SCC_Chloride!X17,'Tables - Part 2'!$AV$6:$AV$13,0),MATCH(Ext_SCC_Chloride!U17,'Tables - Part 2'!$AX$5:$BA$5,0))+(INDEX('Tables - Part 2'!$AX$6:$BA$13,MATCH(Ext_SCC_Chloride!X17,'Tables - Part 2'!$AV$6:$AV$13,0),MATCH(Ext_SCC_Chloride!U17,'Tables - Part 2'!$AX$5:$BA$5,0))+((INDEX('Tables - Part 2'!$AX$6:$BA$13,MATCH(Ext_SCC_Chloride!X17,'Tables - Part 2'!$AV$6:$AV$13,0),MATCH(Ext_SCC_Chloride!U17,'Tables - Part 2'!$AX$5:$BA$5,0))+INDEX('Tables - Part 2'!$BB$6:$BE$13,MATCH(Ext_SCC_Chloride!$X17,'Tables - Part 2'!$AV$6:$AV$13,0),MATCH(Ext_SCC_Chloride!$U17,'Tables - Part 2'!$AX$5:$BA$5,0)))/2))/2)/2,0)</f>
        <v>0</v>
      </c>
      <c r="AK17" s="248">
        <f>IF($T17=$AK$3,(INDEX('Tables - Part 2'!$AX$6:$BA$13,MATCH(Ext_SCC_Chloride!X17,'Tables - Part 2'!$AV$6:$AV$13,0),MATCH(Ext_SCC_Chloride!U17,'Tables - Part 2'!$AX$5:$BA$5,0))+((INDEX('Tables - Part 2'!$AX$6:$BA$13,MATCH(Ext_SCC_Chloride!X17,'Tables - Part 2'!$AV$6:$AV$13,0),MATCH(Ext_SCC_Chloride!U17,'Tables - Part 2'!$AX$5:$BA$5,0))+INDEX('Tables - Part 2'!$BB$6:$BE$13,MATCH(Ext_SCC_Chloride!$X17,'Tables - Part 2'!$AV$6:$AV$13,0),MATCH(Ext_SCC_Chloride!$U17,'Tables - Part 2'!$AX$5:$BA$5,0)))/2))/2,0)</f>
        <v>0</v>
      </c>
      <c r="AL17" s="248">
        <f>IF($T17=$AL$3,(((INDEX('Tables - Part 2'!$AX$6:$BA$13,MATCH(Ext_SCC_Chloride!X17,'Tables - Part 2'!$AV$6:$AV$13,0),MATCH(Ext_SCC_Chloride!U17,'Tables - Part 2'!$AX$5:$BA$5,0))+((INDEX('Tables - Part 2'!$AX$6:$BA$13,MATCH(Ext_SCC_Chloride!X17,'Tables - Part 2'!$AV$6:$AV$13,0),MATCH(Ext_SCC_Chloride!U17,'Tables - Part 2'!$AX$5:$BA$5,0))+INDEX('Tables - Part 2'!$BB$6:$BE$13,MATCH(Ext_SCC_Chloride!$X17,'Tables - Part 2'!$AV$6:$AV$13,0),MATCH(Ext_SCC_Chloride!$U17,'Tables - Part 2'!$AX$5:$BA$5,0)))/2))/2)+(INDEX('Tables - Part 2'!$AX$6:$BA$13,MATCH(Ext_SCC_Chloride!X17,'Tables - Part 2'!$AV$6:$AV$13,0),MATCH(Ext_SCC_Chloride!U17,'Tables - Part 2'!$AX$5:$BA$5,0))+INDEX('Tables - Part 2'!$BB$6:$BE$13,MATCH(Ext_SCC_Chloride!$X17,'Tables - Part 2'!$AV$6:$AV$13,0),MATCH(Ext_SCC_Chloride!$U17,'Tables - Part 2'!$AX$5:$BA$5,0)))/2)/2,0)</f>
        <v>0</v>
      </c>
      <c r="AM17" s="248">
        <f>IF($T17=$AM$3,(INDEX('Tables - Part 2'!$AX$6:$BA$13,MATCH(Ext_SCC_Chloride!X17,'Tables - Part 2'!$AV$6:$AV$13,0),MATCH(Ext_SCC_Chloride!U17,'Tables - Part 2'!$AX$5:$BA$5,0))+INDEX('Tables - Part 2'!$BB$6:$BE$13,MATCH(Ext_SCC_Chloride!$X17,'Tables - Part 2'!$AV$6:$AV$13,0),MATCH(Ext_SCC_Chloride!$U17,'Tables - Part 2'!$AX$5:$BA$5,0)))/2,0)</f>
        <v>0</v>
      </c>
      <c r="AN17" s="248">
        <f>IF($T17=$AN$3,(((INDEX('Tables - Part 2'!$AX$6:$BA$13,MATCH(Ext_SCC_Chloride!X17,'Tables - Part 2'!$AV$6:$AV$13,0),MATCH(Ext_SCC_Chloride!U17,'Tables - Part 2'!$AX$5:$BA$5,0))+INDEX('Tables - Part 2'!$BB$6:$BE$13,MATCH(Ext_SCC_Chloride!$X17,'Tables - Part 2'!$AV$6:$AV$13,0),MATCH(Ext_SCC_Chloride!$U17,'Tables - Part 2'!$AX$5:$BA$5,0)))/2)+(((INDEX('Tables - Part 2'!$AX$6:$BA$13,MATCH(Ext_SCC_Chloride!X17,'Tables - Part 2'!$AV$6:$AV$13,0),MATCH(Ext_SCC_Chloride!U17,'Tables - Part 2'!$AX$5:$BA$5,0))+INDEX('Tables - Part 2'!$BB$6:$BE$13,MATCH(Ext_SCC_Chloride!$X17,'Tables - Part 2'!$AV$6:$AV$13,0),MATCH(Ext_SCC_Chloride!$U17,'Tables - Part 2'!$AX$5:$BA$5,0)))/2)+INDEX('Tables - Part 2'!$BB$6:$BE$13,MATCH(Ext_SCC_Chloride!$X17,'Tables - Part 2'!$AV$6:$AV$13,0),MATCH(Ext_SCC_Chloride!$U17,'Tables - Part 2'!$AX$5:$BA$5,0)))/2)/2,0)</f>
        <v>0</v>
      </c>
      <c r="AO17" s="248">
        <f>IF($T17=$AO$3,(((INDEX('Tables - Part 2'!$AX$6:$BA$13,MATCH(Ext_SCC_Chloride!X17,'Tables - Part 2'!$AV$6:$AV$13,0),MATCH(Ext_SCC_Chloride!U17,'Tables - Part 2'!$AX$5:$BA$5,0))+INDEX('Tables - Part 2'!$BB$6:$BE$13,MATCH(Ext_SCC_Chloride!$X17,'Tables - Part 2'!$AV$6:$AV$13,0),MATCH(Ext_SCC_Chloride!$U17,'Tables - Part 2'!$AX$5:$BA$5,0)))/2)+INDEX('Tables - Part 2'!$BB$6:$BE$13,MATCH(Ext_SCC_Chloride!$X17,'Tables - Part 2'!$AV$6:$AV$13,0),MATCH(Ext_SCC_Chloride!$U17,'Tables - Part 2'!$AX$5:$BA$5,0)))/2,0)</f>
        <v>0</v>
      </c>
      <c r="AP17" s="248">
        <f>IF($T17=$AP$3,(((((INDEX('Tables - Part 2'!$AX$6:$BA$13,MATCH(Ext_SCC_Chloride!X17,'Tables - Part 2'!$AV$6:$AV$13,0),MATCH(Ext_SCC_Chloride!U17,'Tables - Part 2'!$AX$5:$BA$5,0))+INDEX('Tables - Part 2'!$BB$6:$BE$13,MATCH(Ext_SCC_Chloride!$X17,'Tables - Part 2'!$AV$6:$AV$13,0),MATCH(Ext_SCC_Chloride!$U17,'Tables - Part 2'!$AX$5:$BA$5,0)))/2)+INDEX('Tables - Part 2'!$BB$6:$BE$13,MATCH(Ext_SCC_Chloride!$X17,'Tables - Part 2'!$AV$6:$AV$13,0),MATCH(Ext_SCC_Chloride!$U17,'Tables - Part 2'!$AX$5:$BA$5,0)))/2)+INDEX('Tables - Part 2'!$BB$6:$BE$13,MATCH(Ext_SCC_Chloride!$X17,'Tables - Part 2'!$AV$6:$AV$13,0),MATCH(Ext_SCC_Chloride!$U17,'Tables - Part 2'!$AX$5:$BA$5,0)))/2,0)</f>
        <v>0</v>
      </c>
      <c r="AQ17" s="248">
        <f>IF($T17=$AQ$3,INDEX('Tables - Part 2'!$BB$6:$BE$13,MATCH(Ext_SCC_Chloride!$X17,'Tables - Part 2'!$AV$6:$AV$13,0),MATCH(Ext_SCC_Chloride!$U17,'Tables - Part 2'!$AX$5:$BA$5,0)),0)</f>
        <v>0</v>
      </c>
      <c r="AR17" s="248">
        <f>IF($T17=$AR$3,((INDEX('Tables - Part 2'!$BB$6:$BE$13,MATCH(Ext_SCC_Chloride!$X17,'Tables - Part 2'!$AV$6:$AV$13,0),MATCH(Ext_SCC_Chloride!$U17,'Tables - Part 2'!$AX$5:$BA$5,0)))+(INDEX('Tables - Part 2'!$BB$6:$BE$13,MATCH(Ext_SCC_Chloride!$X17,'Tables - Part 2'!$AV$6:$AV$13,0),MATCH(Ext_SCC_Chloride!$U17,'Tables - Part 2'!$AX$5:$BA$5,0))+(INDEX('Tables - Part 2'!$BB$6:$BE$13,MATCH(Ext_SCC_Chloride!$X17,'Tables - Part 2'!$AV$6:$AV$13,0),MATCH(Ext_SCC_Chloride!$U17,'Tables - Part 2'!$AX$5:$BA$5,0))+INDEX('Tables - Part 2'!$BF$6:$BI$13,MATCH(Ext_SCC_Chloride!$X17,'Tables - Part 2'!$AV$6:$AV$13,0),MATCH(Ext_SCC_Chloride!$U17,'Tables - Part 2'!$AX$5:$BA$5,0)))/2)/2)/2,0)</f>
        <v>0</v>
      </c>
      <c r="AS17" s="248">
        <f>IF($T17=$AS$3,(INDEX('Tables - Part 2'!$BB$6:$BE$13,MATCH(Ext_SCC_Chloride!$X17,'Tables - Part 2'!$AV$6:$AV$13,0),MATCH(Ext_SCC_Chloride!$U17,'Tables - Part 2'!$AX$5:$BA$5,0))+(INDEX('Tables - Part 2'!$BB$6:$BE$13,MATCH(Ext_SCC_Chloride!$X17,'Tables - Part 2'!$AV$6:$AV$13,0),MATCH(Ext_SCC_Chloride!$U17,'Tables - Part 2'!$AX$5:$BA$5,0))+INDEX('Tables - Part 2'!$BF$6:$BI$13,MATCH(Ext_SCC_Chloride!$X17,'Tables - Part 2'!$AV$6:$AV$13,0),MATCH(Ext_SCC_Chloride!$U17,'Tables - Part 2'!$AX$5:$BA$5,0)))/2)/2,0)</f>
        <v>0</v>
      </c>
      <c r="AT17" s="248">
        <f>IF($T17=$AT$3,(((INDEX('Tables - Part 2'!$BB$6:$BE$13,MATCH(Ext_SCC_Chloride!$X17,'Tables - Part 2'!$AV$6:$AV$13,0),MATCH(Ext_SCC_Chloride!$U17,'Tables - Part 2'!$AX$5:$BA$5,0))+(INDEX('Tables - Part 2'!$BB$6:$BE$13,MATCH(Ext_SCC_Chloride!$X17,'Tables - Part 2'!$AV$6:$AV$13,0),MATCH(Ext_SCC_Chloride!$U17,'Tables - Part 2'!$AX$5:$BA$5,0))+INDEX('Tables - Part 2'!$BF$6:$BI$13,MATCH(Ext_SCC_Chloride!$X17,'Tables - Part 2'!$AV$6:$AV$13,0),MATCH(Ext_SCC_Chloride!$U17,'Tables - Part 2'!$AX$5:$BA$5,0)))/2)/2)+((INDEX('Tables - Part 2'!$BB$6:$BE$13,MATCH(Ext_SCC_Chloride!$X17,'Tables - Part 2'!$AV$6:$AV$13,0),MATCH(Ext_SCC_Chloride!$U17,'Tables - Part 2'!$AX$5:$BA$5,0))+INDEX('Tables - Part 2'!$BF$6:$BI$13,MATCH(Ext_SCC_Chloride!$X17,'Tables - Part 2'!$AV$6:$AV$13,0),MATCH(Ext_SCC_Chloride!$U17,'Tables - Part 2'!$AX$5:$BA$5,0)))/2))/2,0)</f>
        <v>0</v>
      </c>
      <c r="AU17" s="248">
        <f>IF($T17=$AU$3,(INDEX('Tables - Part 2'!$BB$6:$BE$13,MATCH(Ext_SCC_Chloride!$X17,'Tables - Part 2'!$AV$6:$AV$13,0),MATCH(Ext_SCC_Chloride!$U17,'Tables - Part 2'!$AX$5:$BA$5,0))+INDEX('Tables - Part 2'!$BF$6:$BI$13,MATCH(Ext_SCC_Chloride!$X17,'Tables - Part 2'!$AV$6:$AV$13,0),MATCH(Ext_SCC_Chloride!$U17,'Tables - Part 2'!$AX$5:$BA$5,0)))/2,0)</f>
        <v>0</v>
      </c>
      <c r="AV17" s="248">
        <f>IF($T17=$AV$3,(((INDEX('Tables - Part 2'!$BB$6:$BE$13,MATCH(Ext_SCC_Chloride!$X17,'Tables - Part 2'!$AV$6:$AV$13,0),MATCH(Ext_SCC_Chloride!$U17,'Tables - Part 2'!$AX$5:$BA$5,0))+INDEX('Tables - Part 2'!$BF$6:$BI$13,MATCH(Ext_SCC_Chloride!$X17,'Tables - Part 2'!$AV$6:$AV$13,0),MATCH(Ext_SCC_Chloride!$U17,'Tables - Part 2'!$AX$5:$BA$5,0)))/2)+((((INDEX('Tables - Part 2'!$BB$6:$BE$13,MATCH(Ext_SCC_Chloride!$X17,'Tables - Part 2'!$AV$6:$AV$13,0),MATCH(Ext_SCC_Chloride!$U17,'Tables - Part 2'!$AX$5:$BA$5,0))+INDEX('Tables - Part 2'!$BF$6:$BI$13,MATCH(Ext_SCC_Chloride!$X17,'Tables - Part 2'!$AV$6:$AV$13,0),MATCH(Ext_SCC_Chloride!$U17,'Tables - Part 2'!$AX$5:$BA$5,0)))/2)+INDEX('Tables - Part 2'!$BF$6:$BI$13,MATCH(Ext_SCC_Chloride!$X17,'Tables - Part 2'!$AV$6:$AV$13,0),MATCH(Ext_SCC_Chloride!$U17,'Tables - Part 2'!$AX$5:$BA$5,0)))/2))/2,0)</f>
        <v>0</v>
      </c>
      <c r="AW17" s="248">
        <f>IF($T17=$AW$3,(((INDEX('Tables - Part 2'!$BB$6:$BE$13,MATCH(Ext_SCC_Chloride!$X17,'Tables - Part 2'!$AV$6:$AV$13,0),MATCH(Ext_SCC_Chloride!$U17,'Tables - Part 2'!$AX$5:$BA$5,0))+INDEX('Tables - Part 2'!$BF$6:$BI$13,MATCH(Ext_SCC_Chloride!$X17,'Tables - Part 2'!$AV$6:$AV$13,0),MATCH(Ext_SCC_Chloride!$U17,'Tables - Part 2'!$AX$5:$BA$5,0)))/2)+INDEX('Tables - Part 2'!$BF$6:$BI$13,MATCH(Ext_SCC_Chloride!$X17,'Tables - Part 2'!$AV$6:$AV$13,0),MATCH(Ext_SCC_Chloride!$U17,'Tables - Part 2'!$AX$5:$BA$5,0)))/2,0)</f>
        <v>0</v>
      </c>
      <c r="AX17" s="248">
        <f>IF($T17=$AX$3,(((((INDEX('Tables - Part 2'!$BB$6:$BE$13,MATCH(Ext_SCC_Chloride!$X17,'Tables - Part 2'!$AV$6:$AV$13,0),MATCH(Ext_SCC_Chloride!$U17,'Tables - Part 2'!$AX$5:$BA$5,0))+INDEX('Tables - Part 2'!$BF$6:$BI$13,MATCH(Ext_SCC_Chloride!$X17,'Tables - Part 2'!$AV$6:$AV$13,0),MATCH(Ext_SCC_Chloride!$U17,'Tables - Part 2'!$AX$5:$BA$5,0)))/2)+INDEX('Tables - Part 2'!$BF$6:$BI$13,MATCH(Ext_SCC_Chloride!$X17,'Tables - Part 2'!$AV$6:$AV$13,0),MATCH(Ext_SCC_Chloride!$U17,'Tables - Part 2'!$AX$5:$BA$5,0)))/2)+INDEX('Tables - Part 2'!$BF$6:$BI$13,MATCH(Ext_SCC_Chloride!$X17,'Tables - Part 2'!$AV$6:$AV$13,0),MATCH(Ext_SCC_Chloride!$U17,'Tables - Part 2'!$AX$5:$BA$5,0)))/2,0)</f>
        <v>0</v>
      </c>
      <c r="AY17" s="248">
        <f>IF($T17=$AY$3,INDEX('Tables - Part 2'!$BF$6:$BI$13,MATCH(Ext_SCC_Chloride!$X17,'Tables - Part 2'!$AV$6:$AV$13,0),MATCH(Ext_SCC_Chloride!$U17,'Tables - Part 2'!$AX$5:$BA$5,0)),0)</f>
        <v>0</v>
      </c>
      <c r="AZ17" s="248">
        <f>IF($T17=$AZ$3,(INDEX('Tables - Part 2'!$BF$6:$BI$13,MATCH(Ext_SCC_Chloride!$X17,'Tables - Part 2'!$AV$6:$AV$13,0),MATCH(Ext_SCC_Chloride!$U17,'Tables - Part 2'!$AX$5:$BA$5,0))+((INDEX('Tables - Part 2'!$BF$6:$BI$13,MATCH(Ext_SCC_Chloride!$X17,'Tables - Part 2'!$AV$6:$AV$13,0),MATCH(Ext_SCC_Chloride!$U17,'Tables - Part 2'!$AX$5:$BA$5,0))+(INDEX('Tables - Part 2'!$BF$6:$BI$13,MATCH(Ext_SCC_Chloride!$X17,'Tables - Part 2'!$AV$6:$AV$13,0),MATCH(Ext_SCC_Chloride!$U17,'Tables - Part 2'!$AX$5:$BA$5,0))+INDEX('Tables - Part 2'!$AX$17:$BA$24,MATCH(Ext_SCC_Chloride!$X17,'Tables - Part 2'!$AV$6:$AV$13,0),MATCH(Ext_SCC_Chloride!$U17,'Tables - Part 2'!$AX$5:$BA$5,0)))/2)/2))/2,0)</f>
        <v>0</v>
      </c>
      <c r="BA17" s="248">
        <f>IF($T17=$BA$3,(INDEX('Tables - Part 2'!$BF$6:$BI$13,MATCH(Ext_SCC_Chloride!$X17,'Tables - Part 2'!$AV$6:$AV$13,0),MATCH(Ext_SCC_Chloride!$U17,'Tables - Part 2'!$AX$5:$BA$5,0))+(INDEX('Tables - Part 2'!$BF$6:$BI$13,MATCH(Ext_SCC_Chloride!$X17,'Tables - Part 2'!$AV$6:$AV$13,0),MATCH(Ext_SCC_Chloride!$U17,'Tables - Part 2'!$AX$5:$BA$5,0))+INDEX('Tables - Part 2'!$AX$17:$BA$24,MATCH(Ext_SCC_Chloride!$X17,'Tables - Part 2'!$AV$6:$AV$13,0),MATCH(Ext_SCC_Chloride!$U17,'Tables - Part 2'!$AX$5:$BA$5,0)))/2)/2,0)</f>
        <v>0</v>
      </c>
      <c r="BB17" s="248">
        <f>IF($T17=$BB$3,(((INDEX('Tables - Part 2'!$BF$6:$BI$13,MATCH(Ext_SCC_Chloride!$X17,'Tables - Part 2'!$AV$6:$AV$13,0),MATCH(Ext_SCC_Chloride!$U17,'Tables - Part 2'!$AX$5:$BA$5,0))+(INDEX('Tables - Part 2'!$BF$6:$BI$13,MATCH(Ext_SCC_Chloride!$X17,'Tables - Part 2'!$AV$6:$AV$13,0),MATCH(Ext_SCC_Chloride!$U17,'Tables - Part 2'!$AX$5:$BA$5,0))+INDEX('Tables - Part 2'!$AX$17:$BA$24,MATCH(Ext_SCC_Chloride!$X17,'Tables - Part 2'!$AV$6:$AV$13,0),MATCH(Ext_SCC_Chloride!$U17,'Tables - Part 2'!$AX$5:$BA$5,0)))/2)/2)+((INDEX('Tables - Part 2'!$BF$6:$BI$13,MATCH(Ext_SCC_Chloride!$X17,'Tables - Part 2'!$AV$6:$AV$13,0),MATCH(Ext_SCC_Chloride!$U17,'Tables - Part 2'!$AX$5:$BA$5,0))+INDEX('Tables - Part 2'!$AX$17:$BA$24,MATCH(Ext_SCC_Chloride!$X17,'Tables - Part 2'!$AV$6:$AV$13,0),MATCH(Ext_SCC_Chloride!$U17,'Tables - Part 2'!$AX$5:$BA$5,0)))/2))/2,0)</f>
        <v>0</v>
      </c>
      <c r="BC17" s="248">
        <f>IF($T17=$BC$3,(INDEX('Tables - Part 2'!$BF$6:$BI$13,MATCH(Ext_SCC_Chloride!$X17,'Tables - Part 2'!$AV$6:$AV$13,0),MATCH(Ext_SCC_Chloride!$U17,'Tables - Part 2'!$AX$5:$BA$5,0))+INDEX('Tables - Part 2'!$AX$17:$BA$24,MATCH(Ext_SCC_Chloride!$X17,'Tables - Part 2'!$AV$6:$AV$13,0),MATCH(Ext_SCC_Chloride!$U17,'Tables - Part 2'!$AX$5:$BA$5,0)))/2,0)</f>
        <v>0</v>
      </c>
      <c r="BD17" s="248">
        <f>IF($T17=$BD$3,(((INDEX('Tables - Part 2'!$BF$6:$BI$13,MATCH(Ext_SCC_Chloride!$X17,'Tables - Part 2'!$AV$6:$AV$13,0),MATCH(Ext_SCC_Chloride!$U17,'Tables - Part 2'!$AX$5:$BA$5,0))+INDEX('Tables - Part 2'!$AX$17:$BA$24,MATCH(Ext_SCC_Chloride!$X17,'Tables - Part 2'!$AV$6:$AV$13,0),MATCH(Ext_SCC_Chloride!$U17,'Tables - Part 2'!$AX$5:$BA$5,0)))/2)+((((INDEX('Tables - Part 2'!$BF$6:$BI$13,MATCH(Ext_SCC_Chloride!$X17,'Tables - Part 2'!$AV$6:$AV$13,0),MATCH(Ext_SCC_Chloride!$U17,'Tables - Part 2'!$AX$5:$BA$5,0))+INDEX('Tables - Part 2'!$AX$17:$BA$24,MATCH(Ext_SCC_Chloride!$X17,'Tables - Part 2'!$AV$6:$AV$13,0),MATCH(Ext_SCC_Chloride!$U17,'Tables - Part 2'!$AX$5:$BA$5,0)))/2)+INDEX('Tables - Part 2'!$AX$17:$BA$24,MATCH(Ext_SCC_Chloride!$X17,'Tables - Part 2'!$AV$6:$AV$13,0),MATCH(Ext_SCC_Chloride!$U17,'Tables - Part 2'!$AX$5:$BA$5,0)))/2))/2,0)</f>
        <v>0</v>
      </c>
      <c r="BE17" s="248">
        <f>IF($T17=$BE$3,(((INDEX('Tables - Part 2'!$BF$6:$BI$13,MATCH(Ext_SCC_Chloride!$X17,'Tables - Part 2'!$AV$6:$AV$13,0),MATCH(Ext_SCC_Chloride!$U17,'Tables - Part 2'!$AX$5:$BA$5,0))+INDEX('Tables - Part 2'!$AX$17:$BA$24,MATCH(Ext_SCC_Chloride!$X17,'Tables - Part 2'!$AV$6:$AV$13,0),MATCH(Ext_SCC_Chloride!$U17,'Tables - Part 2'!$AX$5:$BA$5,0)))/2)+INDEX('Tables - Part 2'!$AX$17:$BA$24,MATCH(Ext_SCC_Chloride!$X17,'Tables - Part 2'!$AV$6:$AV$13,0),MATCH(Ext_SCC_Chloride!$U17,'Tables - Part 2'!$AX$5:$BA$5,0)))/2,0)</f>
        <v>0</v>
      </c>
      <c r="BF17" s="248">
        <f>IF($T17=$BF$3,(((((INDEX('Tables - Part 2'!$BF$6:$BI$13,MATCH(Ext_SCC_Chloride!$X17,'Tables - Part 2'!$AV$6:$AV$13,0),MATCH(Ext_SCC_Chloride!$U17,'Tables - Part 2'!$AX$5:$BA$5,0))+INDEX('Tables - Part 2'!$AX$17:$BA$24,MATCH(Ext_SCC_Chloride!$X17,'Tables - Part 2'!$AV$6:$AV$13,0),MATCH(Ext_SCC_Chloride!$U17,'Tables - Part 2'!$AX$5:$BA$5,0)))/2)+INDEX('Tables - Part 2'!$AX$17:$BA$24,MATCH(Ext_SCC_Chloride!$X17,'Tables - Part 2'!$AV$6:$AV$13,0),MATCH(Ext_SCC_Chloride!$U17,'Tables - Part 2'!$AX$5:$BA$5,0)))/2)+(INDEX('Tables - Part 2'!$AX$17:$BA$24,MATCH(Ext_SCC_Chloride!$X17,'Tables - Part 2'!$AV$6:$AV$13,0),MATCH(Ext_SCC_Chloride!$U17,'Tables - Part 2'!$AX$5:$BA$5,0))))/2,0)</f>
        <v>0</v>
      </c>
      <c r="BG17" s="248">
        <f>IF($T17=$BG$3,INDEX('Tables - Part 2'!$AX$17:$BA$24,MATCH(Ext_SCC_Chloride!$X17,'Tables - Part 2'!$AV$6:$AV$13,0),MATCH(Ext_SCC_Chloride!$U17,'Tables - Part 2'!$AX$5:$BA$5,0)),0)</f>
        <v>0</v>
      </c>
      <c r="BH17" s="248">
        <f>IF($T17=$BH$3,((INDEX('Tables - Part 2'!$AX$17:$BA$24,MATCH(Ext_SCC_Chloride!$X17,'Tables - Part 2'!$AV$6:$AV$13,0),MATCH(Ext_SCC_Chloride!$U17,'Tables - Part 2'!$AX$5:$BA$5,0)))+(((INDEX('Tables - Part 2'!$AX$17:$BA$24,MATCH(Ext_SCC_Chloride!$X17,'Tables - Part 2'!$AV$6:$AV$13,0),MATCH(Ext_SCC_Chloride!$U17,'Tables - Part 2'!$AX$5:$BA$5,0)))+(INDEX('Tables - Part 2'!$AX$17:$BA$24,MATCH(Ext_SCC_Chloride!$X17,'Tables - Part 2'!$AV$6:$AV$13,0),MATCH(Ext_SCC_Chloride!$U17,'Tables - Part 2'!$AX$5:$BA$5,0))+INDEX('Tables - Part 2'!$BB$17:$BE$24,MATCH(Ext_SCC_Chloride!$X17,'Tables - Part 2'!$AV$6:$AV$13,0),MATCH(Ext_SCC_Chloride!$U17,'Tables - Part 2'!$AX$5:$BA$5,0)))/2)/2))/2,0)</f>
        <v>0</v>
      </c>
      <c r="BI17" s="248">
        <f>IF($T17=$BI$3,((INDEX('Tables - Part 2'!$AX$17:$BA$24,MATCH(Ext_SCC_Chloride!$X17,'Tables - Part 2'!$AV$6:$AV$13,0),MATCH(Ext_SCC_Chloride!$U17,'Tables - Part 2'!$AX$5:$BA$5,0)))+(INDEX('Tables - Part 2'!$AX$17:$BA$24,MATCH(Ext_SCC_Chloride!$X17,'Tables - Part 2'!$AV$6:$AV$13,0),MATCH(Ext_SCC_Chloride!$U17,'Tables - Part 2'!$AX$5:$BA$5,0))+INDEX('Tables - Part 2'!$BB$17:$BE$24,MATCH(Ext_SCC_Chloride!$X17,'Tables - Part 2'!$AV$6:$AV$13,0),MATCH(Ext_SCC_Chloride!$U17,'Tables - Part 2'!$AX$5:$BA$5,0)))/2)/2,0)</f>
        <v>0</v>
      </c>
      <c r="BJ17" s="248">
        <f>IF($T17=$BJ$3,((((INDEX('Tables - Part 2'!$AX$17:$BA$24,MATCH(Ext_SCC_Chloride!$X17,'Tables - Part 2'!$AV$6:$AV$13,0),MATCH(Ext_SCC_Chloride!$U17,'Tables - Part 2'!$AX$5:$BA$5,0)))+(INDEX('Tables - Part 2'!$AX$17:$BA$24,MATCH(Ext_SCC_Chloride!$X17,'Tables - Part 2'!$AV$6:$AV$13,0),MATCH(Ext_SCC_Chloride!$U17,'Tables - Part 2'!$AX$5:$BA$5,0))+INDEX('Tables - Part 2'!$BB$17:$BE$24,MATCH(Ext_SCC_Chloride!$X17,'Tables - Part 2'!$AV$6:$AV$13,0),MATCH(Ext_SCC_Chloride!$U17,'Tables - Part 2'!$AX$5:$BA$5,0)))/2)/2)+((INDEX('Tables - Part 2'!$AX$17:$BA$24,MATCH(Ext_SCC_Chloride!$X17,'Tables - Part 2'!$AV$6:$AV$13,0),MATCH(Ext_SCC_Chloride!$U17,'Tables - Part 2'!$AX$5:$BA$5,0))+INDEX('Tables - Part 2'!$BB$17:$BE$24,MATCH(Ext_SCC_Chloride!$X17,'Tables - Part 2'!$AV$6:$AV$13,0),MATCH(Ext_SCC_Chloride!$U17,'Tables - Part 2'!$AX$5:$BA$5,0)))/2))/2,0)</f>
        <v>0</v>
      </c>
      <c r="BK17" s="248">
        <f>IF($T17=$BK$3,(INDEX('Tables - Part 2'!$AX$17:$BA$24,MATCH(Ext_SCC_Chloride!$X17,'Tables - Part 2'!$AV$6:$AV$13,0),MATCH(Ext_SCC_Chloride!$U17,'Tables - Part 2'!$AX$5:$BA$5,0))+INDEX('Tables - Part 2'!$BB$17:$BE$24,MATCH(Ext_SCC_Chloride!$X17,'Tables - Part 2'!$AV$6:$AV$13,0),MATCH(Ext_SCC_Chloride!$U17,'Tables - Part 2'!$AX$5:$BA$5,0)))/2,0)</f>
        <v>0</v>
      </c>
      <c r="BL17" s="248">
        <f>IF($T17=$BL$3,(((INDEX('Tables - Part 2'!$AX$17:$BA$24,MATCH(Ext_SCC_Chloride!$X17,'Tables - Part 2'!$AV$6:$AV$13,0),MATCH(Ext_SCC_Chloride!$U17,'Tables - Part 2'!$AX$5:$BA$5,0))+INDEX('Tables - Part 2'!$BB$17:$BE$24,MATCH(Ext_SCC_Chloride!$X17,'Tables - Part 2'!$AV$6:$AV$13,0),MATCH(Ext_SCC_Chloride!$U17,'Tables - Part 2'!$AX$5:$BA$5,0)))/2)+((((INDEX('Tables - Part 2'!$AX$17:$BA$24,MATCH(Ext_SCC_Chloride!$X17,'Tables - Part 2'!$AV$6:$AV$13,0),MATCH(Ext_SCC_Chloride!$U17,'Tables - Part 2'!$AX$5:$BA$5,0))+INDEX('Tables - Part 2'!$BB$17:$BE$24,MATCH(Ext_SCC_Chloride!$X17,'Tables - Part 2'!$AV$6:$AV$13,0),MATCH(Ext_SCC_Chloride!$U17,'Tables - Part 2'!$AX$5:$BA$5,0)))/2)+INDEX('Tables - Part 2'!$BB$17:$BE$24,MATCH(Ext_SCC_Chloride!$X17,'Tables - Part 2'!$AV$6:$AV$13,0),MATCH(Ext_SCC_Chloride!$U17,'Tables - Part 2'!$AX$5:$BA$5,0)))/2))/2,0)</f>
        <v>0</v>
      </c>
      <c r="BM17" s="248">
        <f>IF($T17=$BM$3,(((INDEX('Tables - Part 2'!$AX$17:$BA$24,MATCH(Ext_SCC_Chloride!$X17,'Tables - Part 2'!$AV$6:$AV$13,0),MATCH(Ext_SCC_Chloride!$U17,'Tables - Part 2'!$AX$5:$BA$5,0))+INDEX('Tables - Part 2'!$BB$17:$BE$24,MATCH(Ext_SCC_Chloride!$X17,'Tables - Part 2'!$AV$6:$AV$13,0),MATCH(Ext_SCC_Chloride!$U17,'Tables - Part 2'!$AX$5:$BA$5,0)))/2)+INDEX('Tables - Part 2'!$BB$17:$BE$24,MATCH(Ext_SCC_Chloride!$X17,'Tables - Part 2'!$AV$6:$AV$13,0),MATCH(Ext_SCC_Chloride!$U17,'Tables - Part 2'!$AX$5:$BA$5,0)))/2,0)</f>
        <v>0</v>
      </c>
      <c r="BN17" s="248">
        <f>IF($T17=$BN$3,(((((INDEX('Tables - Part 2'!$AX$17:$BA$24,MATCH(Ext_SCC_Chloride!$X17,'Tables - Part 2'!$AV$6:$AV$13,0),MATCH(Ext_SCC_Chloride!$U17,'Tables - Part 2'!$AX$5:$BA$5,0))+INDEX('Tables - Part 2'!$BB$17:$BE$24,MATCH(Ext_SCC_Chloride!$X17,'Tables - Part 2'!$AV$6:$AV$13,0),MATCH(Ext_SCC_Chloride!$U17,'Tables - Part 2'!$AX$5:$BA$5,0)))/2)+INDEX('Tables - Part 2'!$BB$17:$BE$24,MATCH(Ext_SCC_Chloride!$X17,'Tables - Part 2'!$AV$6:$AV$13,0),MATCH(Ext_SCC_Chloride!$U17,'Tables - Part 2'!$AX$5:$BA$5,0)))/2)+(INDEX('Tables - Part 2'!$BB$17:$BE$24,MATCH(Ext_SCC_Chloride!$X17,'Tables - Part 2'!$AV$6:$AV$13,0),MATCH(Ext_SCC_Chloride!$U17,'Tables - Part 2'!$AX$5:$BA$5,0))))/2,0)</f>
        <v>0</v>
      </c>
      <c r="BO17" s="248">
        <f>IF($T17=$BO$3,INDEX('Tables - Part 2'!$BB$17:$BE$24,MATCH(Ext_SCC_Chloride!$X17,'Tables - Part 2'!$AV$6:$AV$13,0),MATCH(Ext_SCC_Chloride!$U17,'Tables - Part 2'!$AX$5:$BA$5,0)),0)</f>
        <v>0</v>
      </c>
      <c r="BP17" s="248">
        <f>IF($T17=$BP$3,((INDEX('Tables - Part 2'!$BB$17:$BE$24,MATCH(Ext_SCC_Chloride!$X17,'Tables - Part 2'!$AV$6:$AV$13,0),MATCH(Ext_SCC_Chloride!$U17,'Tables - Part 2'!$AX$5:$BA$5,0)))+(((INDEX('Tables - Part 2'!$BB$17:$BE$24,MATCH(Ext_SCC_Chloride!$X17,'Tables - Part 2'!$AV$6:$AV$13,0),MATCH(Ext_SCC_Chloride!$U17,'Tables - Part 2'!$AX$5:$BA$5,0)))+(INDEX('Tables - Part 2'!$BB$17:$BE$24,MATCH(Ext_SCC_Chloride!$X17,'Tables - Part 2'!$AV$6:$AV$13,0),MATCH(Ext_SCC_Chloride!$U17,'Tables - Part 2'!$AX$5:$BA$5,0))+INDEX('Tables - Part 2'!$BF$17:$BI$24,MATCH(Ext_SCC_Chloride!$X17,'Tables - Part 2'!$AV$6:$AV$13,0),MATCH(Ext_SCC_Chloride!$U17,'Tables - Part 2'!$AX$5:$BA$5,0)))/2)/2))/2,0)</f>
        <v>0</v>
      </c>
      <c r="BQ17" s="248">
        <f>IF($T17=$BQ$3,((INDEX('Tables - Part 2'!$BB$17:$BE$24,MATCH(Ext_SCC_Chloride!$X17,'Tables - Part 2'!$AV$6:$AV$13,0),MATCH(Ext_SCC_Chloride!$U17,'Tables - Part 2'!$AX$5:$BA$5,0)))+(INDEX('Tables - Part 2'!$BB$17:$BE$24,MATCH(Ext_SCC_Chloride!$X17,'Tables - Part 2'!$AV$6:$AV$13,0),MATCH(Ext_SCC_Chloride!$U17,'Tables - Part 2'!$AX$5:$BA$5,0))+INDEX('Tables - Part 2'!$BF$17:$BI$24,MATCH(Ext_SCC_Chloride!$X17,'Tables - Part 2'!$AV$6:$AV$13,0),MATCH(Ext_SCC_Chloride!$U17,'Tables - Part 2'!$AX$5:$BA$5,0)))/2)/2,0)</f>
        <v>0</v>
      </c>
      <c r="BR17" s="248">
        <f>IF($T17=$BR$3,((((INDEX('Tables - Part 2'!$BB$17:$BE$24,MATCH(Ext_SCC_Chloride!$X17,'Tables - Part 2'!$AV$6:$AV$13,0),MATCH(Ext_SCC_Chloride!$U17,'Tables - Part 2'!$AX$5:$BA$5,0)))+(INDEX('Tables - Part 2'!$BB$17:$BE$24,MATCH(Ext_SCC_Chloride!$X17,'Tables - Part 2'!$AV$6:$AV$13,0),MATCH(Ext_SCC_Chloride!$U17,'Tables - Part 2'!$AX$5:$BA$5,0))+INDEX('Tables - Part 2'!$BF$17:$BI$24,MATCH(Ext_SCC_Chloride!$X17,'Tables - Part 2'!$AV$6:$AV$13,0),MATCH(Ext_SCC_Chloride!$U17,'Tables - Part 2'!$AX$5:$BA$5,0)))/2)/2)+((INDEX('Tables - Part 2'!$BB$17:$BE$24,MATCH(Ext_SCC_Chloride!$X17,'Tables - Part 2'!$AV$6:$AV$13,0),MATCH(Ext_SCC_Chloride!$U17,'Tables - Part 2'!$AX$5:$BA$5,0))+INDEX('Tables - Part 2'!$BF$17:$BI$24,MATCH(Ext_SCC_Chloride!$X17,'Tables - Part 2'!$AV$6:$AV$13,0),MATCH(Ext_SCC_Chloride!$U17,'Tables - Part 2'!$AX$5:$BA$5,0)))/2))/2,0)</f>
        <v>0</v>
      </c>
      <c r="BS17" s="248">
        <f>IF($T17=$BS$3,(INDEX('Tables - Part 2'!$BB$17:$BE$24,MATCH(Ext_SCC_Chloride!$X17,'Tables - Part 2'!$AV$6:$AV$13,0),MATCH(Ext_SCC_Chloride!$U17,'Tables - Part 2'!$AX$5:$BA$5,0))+INDEX('Tables - Part 2'!$BF$17:$BI$24,MATCH(Ext_SCC_Chloride!$X17,'Tables - Part 2'!$AV$6:$AV$13,0),MATCH(Ext_SCC_Chloride!$U17,'Tables - Part 2'!$AX$5:$BA$5,0)))/2,0)</f>
        <v>0</v>
      </c>
      <c r="BT17" s="248">
        <f>IF($T17=$BT$3,(((INDEX('Tables - Part 2'!$BB$17:$BE$24,MATCH(Ext_SCC_Chloride!$X17,'Tables - Part 2'!$AV$6:$AV$13,0),MATCH(Ext_SCC_Chloride!$U17,'Tables - Part 2'!$AX$5:$BA$5,0))+INDEX('Tables - Part 2'!$BF$17:$BI$24,MATCH(Ext_SCC_Chloride!$X17,'Tables - Part 2'!$AV$6:$AV$13,0),MATCH(Ext_SCC_Chloride!$U17,'Tables - Part 2'!$AX$5:$BA$5,0)))/2)+((((INDEX('Tables - Part 2'!$BB$17:$BE$24,MATCH(Ext_SCC_Chloride!$X17,'Tables - Part 2'!$AV$6:$AV$13,0),MATCH(Ext_SCC_Chloride!$U17,'Tables - Part 2'!$AX$5:$BA$5,0))+INDEX('Tables - Part 2'!$BF$17:$BI$24,MATCH(Ext_SCC_Chloride!$X17,'Tables - Part 2'!$AV$6:$AV$13,0),MATCH(Ext_SCC_Chloride!$U17,'Tables - Part 2'!$AX$5:$BA$5,0)))/2)+INDEX('Tables - Part 2'!$BF$17:$BI$24,MATCH(Ext_SCC_Chloride!$X17,'Tables - Part 2'!$AV$6:$AV$13,0),MATCH(Ext_SCC_Chloride!$U17,'Tables - Part 2'!$AX$5:$BA$5,0)))/2))/2,0)</f>
        <v>0</v>
      </c>
      <c r="BU17" s="248">
        <f>IF($T17=$BU$3,(((INDEX('Tables - Part 2'!$BB$17:$BE$24,MATCH(Ext_SCC_Chloride!$X17,'Tables - Part 2'!$AV$6:$AV$13,0),MATCH(Ext_SCC_Chloride!$U17,'Tables - Part 2'!$AX$5:$BA$5,0))+INDEX('Tables - Part 2'!$BF$17:$BI$24,MATCH(Ext_SCC_Chloride!$X17,'Tables - Part 2'!$AV$6:$AV$13,0),MATCH(Ext_SCC_Chloride!$U17,'Tables - Part 2'!$AX$5:$BA$5,0)))/2)+INDEX('Tables - Part 2'!$BF$17:$BI$24,MATCH(Ext_SCC_Chloride!$X17,'Tables - Part 2'!$AV$6:$AV$13,0),MATCH(Ext_SCC_Chloride!$U17,'Tables - Part 2'!$AX$5:$BA$5,0)))/2,0)</f>
        <v>0</v>
      </c>
      <c r="BV17" s="248">
        <f>IF($T17=$BV$3,(((((INDEX('Tables - Part 2'!$BB$17:$BE$24,MATCH(Ext_SCC_Chloride!$X17,'Tables - Part 2'!$AV$6:$AV$13,0),MATCH(Ext_SCC_Chloride!$U17,'Tables - Part 2'!$AX$5:$BA$5,0))+INDEX('Tables - Part 2'!$BF$17:$BI$24,MATCH(Ext_SCC_Chloride!$X17,'Tables - Part 2'!$AV$6:$AV$13,0),MATCH(Ext_SCC_Chloride!$U17,'Tables - Part 2'!$AX$5:$BA$5,0)))/2)+INDEX('Tables - Part 2'!$BF$17:$BI$24,MATCH(Ext_SCC_Chloride!$X17,'Tables - Part 2'!$AV$6:$AV$13,0),MATCH(Ext_SCC_Chloride!$U17,'Tables - Part 2'!$AX$5:$BA$5,0)))/2)+(INDEX('Tables - Part 2'!$BF$17:$BI$24,MATCH(Ext_SCC_Chloride!$X17,'Tables - Part 2'!$AV$6:$AV$13,0),MATCH(Ext_SCC_Chloride!$U17,'Tables - Part 2'!$AX$5:$BA$5,0))))/2,0)</f>
        <v>0</v>
      </c>
      <c r="BW17" s="248">
        <f>IF($T17=$BW$3,INDEX('Tables - Part 2'!$BF$17:$BI$24,MATCH(Ext_SCC_Chloride!$X17,'Tables - Part 2'!$AV$6:$AV$13,0),MATCH(Ext_SCC_Chloride!$U17,'Tables - Part 2'!$AX$5:$BA$5,0)),0)</f>
        <v>0</v>
      </c>
      <c r="BX17" s="248">
        <f t="shared" si="5"/>
        <v>0</v>
      </c>
      <c r="BY17" s="238">
        <f t="shared" si="12"/>
        <v>0</v>
      </c>
      <c r="BZ17" s="238">
        <f t="shared" si="13"/>
        <v>0</v>
      </c>
    </row>
    <row r="18" spans="2:78" x14ac:dyDescent="0.35">
      <c r="B18" s="161" t="str">
        <f>'Tratamento de Dados'!B26</f>
        <v>V-80</v>
      </c>
      <c r="C18" s="161" t="str">
        <f>'Tratamento de Dados'!D26</f>
        <v>Casco</v>
      </c>
      <c r="D18" s="209" t="s">
        <v>245</v>
      </c>
      <c r="E18" s="209" t="s">
        <v>61</v>
      </c>
      <c r="F18" s="247">
        <f>'Tratamento de Dados'!S26</f>
        <v>2</v>
      </c>
      <c r="G18" s="209" t="s">
        <v>953</v>
      </c>
      <c r="H18" s="210">
        <v>35234</v>
      </c>
      <c r="I18" s="210">
        <v>43983</v>
      </c>
      <c r="J18" s="210">
        <v>39092</v>
      </c>
      <c r="K18" s="210">
        <f>'Tratamento de Dados'!CC26</f>
        <v>0</v>
      </c>
      <c r="L18" s="209">
        <f>'Tratamento de Dados'!CD26</f>
        <v>0</v>
      </c>
      <c r="M18" s="209" t="s">
        <v>905</v>
      </c>
      <c r="N18" s="209">
        <v>0</v>
      </c>
      <c r="O18" s="209">
        <v>1</v>
      </c>
      <c r="P18" s="209">
        <v>1</v>
      </c>
      <c r="Q18" s="209">
        <v>4</v>
      </c>
      <c r="R18" s="253">
        <f>'Tratamento de Dados'!DA26</f>
        <v>0</v>
      </c>
      <c r="S18" s="253">
        <f>'Tratamento de Dados'!DB26</f>
        <v>0</v>
      </c>
      <c r="T18" s="256">
        <f t="shared" si="0"/>
        <v>2.5</v>
      </c>
      <c r="U18" s="246" t="str">
        <f t="shared" si="1"/>
        <v>B</v>
      </c>
      <c r="V18" s="246" t="str">
        <f>IF(F18&lt;49,'Tables - Part 2'!$FH$5,IF(F18&lt;=93,'Tables - Part 2'!$FH$6,IF(F18&lt;=149,'Tables - Part 2'!$FH$7,'Tables - Part 2'!$FH$8)))</f>
        <v>&lt;49</v>
      </c>
      <c r="W18" s="467" t="str">
        <f>IF(D18=$CE$2,$CC$5,INDEX('Tables - Part 2'!$FI$5:$FL$8,MATCH(Ext_SCC_Chloride!V18,'Tables - Part 2'!$FH$5:$FH$8,0),MATCH(Ext_SCC_Chloride!M18,'Tables - Part 2'!$FI$4:$FL$4,0)))</f>
        <v>None</v>
      </c>
      <c r="X18" s="238">
        <f>IF(AND(D18=$CE$2,E18&lt;&gt;$CE$2),"Fitness-For-Service",INDEX('Tables - Part 2'!$FO$4:$FO$7,MATCH(Ext_SCC_Chloride!W18,'Tables - Part 2'!$FN$4:$FN$7,0),))</f>
        <v>0</v>
      </c>
      <c r="Y18" s="238">
        <f>IF(J18=0,(Thinning!G19-Thinning!F19)/365.25,(Thinning!G19-J18)/365.25)</f>
        <v>12.980150581793293</v>
      </c>
      <c r="Z18" s="248">
        <f t="shared" si="2"/>
        <v>0</v>
      </c>
      <c r="AA18" s="248">
        <f t="shared" si="3"/>
        <v>2.5</v>
      </c>
      <c r="AB18" s="247">
        <f t="shared" si="6"/>
        <v>3</v>
      </c>
      <c r="AC18" s="247">
        <f t="shared" si="4"/>
        <v>4</v>
      </c>
      <c r="AD18" s="247">
        <f t="shared" si="7"/>
        <v>120.41889117043121</v>
      </c>
      <c r="AE18" s="247">
        <f t="shared" si="8"/>
        <v>0</v>
      </c>
      <c r="AF18" s="247">
        <f t="shared" si="9"/>
        <v>0</v>
      </c>
      <c r="AG18" s="247">
        <f t="shared" si="10"/>
        <v>0</v>
      </c>
      <c r="AH18" s="247">
        <f t="shared" si="11"/>
        <v>12.980150581793293</v>
      </c>
      <c r="AI18" s="248">
        <f>IF($T18=$AI$3,INDEX('Tables - Part 2'!$AX$6:$BA$13,MATCH(Ext_SCC_Chloride!X18,'Tables - Part 2'!$AV$6:$AV$13,0),MATCH(Ext_SCC_Chloride!U18,'Tables - Part 2'!$AX$5:$BA$5,0)),0)</f>
        <v>0</v>
      </c>
      <c r="AJ18" s="248">
        <f>IF($T18=$AJ$3,(INDEX('Tables - Part 2'!$AX$6:$BA$13,MATCH(Ext_SCC_Chloride!X18,'Tables - Part 2'!$AV$6:$AV$13,0),MATCH(Ext_SCC_Chloride!U18,'Tables - Part 2'!$AX$5:$BA$5,0))+(INDEX('Tables - Part 2'!$AX$6:$BA$13,MATCH(Ext_SCC_Chloride!X18,'Tables - Part 2'!$AV$6:$AV$13,0),MATCH(Ext_SCC_Chloride!U18,'Tables - Part 2'!$AX$5:$BA$5,0))+((INDEX('Tables - Part 2'!$AX$6:$BA$13,MATCH(Ext_SCC_Chloride!X18,'Tables - Part 2'!$AV$6:$AV$13,0),MATCH(Ext_SCC_Chloride!U18,'Tables - Part 2'!$AX$5:$BA$5,0))+INDEX('Tables - Part 2'!$BB$6:$BE$13,MATCH(Ext_SCC_Chloride!$X18,'Tables - Part 2'!$AV$6:$AV$13,0),MATCH(Ext_SCC_Chloride!$U18,'Tables - Part 2'!$AX$5:$BA$5,0)))/2))/2)/2,0)</f>
        <v>0</v>
      </c>
      <c r="AK18" s="248">
        <f>IF($T18=$AK$3,(INDEX('Tables - Part 2'!$AX$6:$BA$13,MATCH(Ext_SCC_Chloride!X18,'Tables - Part 2'!$AV$6:$AV$13,0),MATCH(Ext_SCC_Chloride!U18,'Tables - Part 2'!$AX$5:$BA$5,0))+((INDEX('Tables - Part 2'!$AX$6:$BA$13,MATCH(Ext_SCC_Chloride!X18,'Tables - Part 2'!$AV$6:$AV$13,0),MATCH(Ext_SCC_Chloride!U18,'Tables - Part 2'!$AX$5:$BA$5,0))+INDEX('Tables - Part 2'!$BB$6:$BE$13,MATCH(Ext_SCC_Chloride!$X18,'Tables - Part 2'!$AV$6:$AV$13,0),MATCH(Ext_SCC_Chloride!$U18,'Tables - Part 2'!$AX$5:$BA$5,0)))/2))/2,0)</f>
        <v>0</v>
      </c>
      <c r="AL18" s="248">
        <f>IF($T18=$AL$3,(((INDEX('Tables - Part 2'!$AX$6:$BA$13,MATCH(Ext_SCC_Chloride!X18,'Tables - Part 2'!$AV$6:$AV$13,0),MATCH(Ext_SCC_Chloride!U18,'Tables - Part 2'!$AX$5:$BA$5,0))+((INDEX('Tables - Part 2'!$AX$6:$BA$13,MATCH(Ext_SCC_Chloride!X18,'Tables - Part 2'!$AV$6:$AV$13,0),MATCH(Ext_SCC_Chloride!U18,'Tables - Part 2'!$AX$5:$BA$5,0))+INDEX('Tables - Part 2'!$BB$6:$BE$13,MATCH(Ext_SCC_Chloride!$X18,'Tables - Part 2'!$AV$6:$AV$13,0),MATCH(Ext_SCC_Chloride!$U18,'Tables - Part 2'!$AX$5:$BA$5,0)))/2))/2)+(INDEX('Tables - Part 2'!$AX$6:$BA$13,MATCH(Ext_SCC_Chloride!X18,'Tables - Part 2'!$AV$6:$AV$13,0),MATCH(Ext_SCC_Chloride!U18,'Tables - Part 2'!$AX$5:$BA$5,0))+INDEX('Tables - Part 2'!$BB$6:$BE$13,MATCH(Ext_SCC_Chloride!$X18,'Tables - Part 2'!$AV$6:$AV$13,0),MATCH(Ext_SCC_Chloride!$U18,'Tables - Part 2'!$AX$5:$BA$5,0)))/2)/2,0)</f>
        <v>0</v>
      </c>
      <c r="AM18" s="248">
        <f>IF($T18=$AM$3,(INDEX('Tables - Part 2'!$AX$6:$BA$13,MATCH(Ext_SCC_Chloride!X18,'Tables - Part 2'!$AV$6:$AV$13,0),MATCH(Ext_SCC_Chloride!U18,'Tables - Part 2'!$AX$5:$BA$5,0))+INDEX('Tables - Part 2'!$BB$6:$BE$13,MATCH(Ext_SCC_Chloride!$X18,'Tables - Part 2'!$AV$6:$AV$13,0),MATCH(Ext_SCC_Chloride!$U18,'Tables - Part 2'!$AX$5:$BA$5,0)))/2,0)</f>
        <v>0</v>
      </c>
      <c r="AN18" s="248">
        <f>IF($T18=$AN$3,(((INDEX('Tables - Part 2'!$AX$6:$BA$13,MATCH(Ext_SCC_Chloride!X18,'Tables - Part 2'!$AV$6:$AV$13,0),MATCH(Ext_SCC_Chloride!U18,'Tables - Part 2'!$AX$5:$BA$5,0))+INDEX('Tables - Part 2'!$BB$6:$BE$13,MATCH(Ext_SCC_Chloride!$X18,'Tables - Part 2'!$AV$6:$AV$13,0),MATCH(Ext_SCC_Chloride!$U18,'Tables - Part 2'!$AX$5:$BA$5,0)))/2)+(((INDEX('Tables - Part 2'!$AX$6:$BA$13,MATCH(Ext_SCC_Chloride!X18,'Tables - Part 2'!$AV$6:$AV$13,0),MATCH(Ext_SCC_Chloride!U18,'Tables - Part 2'!$AX$5:$BA$5,0))+INDEX('Tables - Part 2'!$BB$6:$BE$13,MATCH(Ext_SCC_Chloride!$X18,'Tables - Part 2'!$AV$6:$AV$13,0),MATCH(Ext_SCC_Chloride!$U18,'Tables - Part 2'!$AX$5:$BA$5,0)))/2)+INDEX('Tables - Part 2'!$BB$6:$BE$13,MATCH(Ext_SCC_Chloride!$X18,'Tables - Part 2'!$AV$6:$AV$13,0),MATCH(Ext_SCC_Chloride!$U18,'Tables - Part 2'!$AX$5:$BA$5,0)))/2)/2,0)</f>
        <v>0</v>
      </c>
      <c r="AO18" s="248">
        <f>IF($T18=$AO$3,(((INDEX('Tables - Part 2'!$AX$6:$BA$13,MATCH(Ext_SCC_Chloride!X18,'Tables - Part 2'!$AV$6:$AV$13,0),MATCH(Ext_SCC_Chloride!U18,'Tables - Part 2'!$AX$5:$BA$5,0))+INDEX('Tables - Part 2'!$BB$6:$BE$13,MATCH(Ext_SCC_Chloride!$X18,'Tables - Part 2'!$AV$6:$AV$13,0),MATCH(Ext_SCC_Chloride!$U18,'Tables - Part 2'!$AX$5:$BA$5,0)))/2)+INDEX('Tables - Part 2'!$BB$6:$BE$13,MATCH(Ext_SCC_Chloride!$X18,'Tables - Part 2'!$AV$6:$AV$13,0),MATCH(Ext_SCC_Chloride!$U18,'Tables - Part 2'!$AX$5:$BA$5,0)))/2,0)</f>
        <v>0</v>
      </c>
      <c r="AP18" s="248">
        <f>IF($T18=$AP$3,(((((INDEX('Tables - Part 2'!$AX$6:$BA$13,MATCH(Ext_SCC_Chloride!X18,'Tables - Part 2'!$AV$6:$AV$13,0),MATCH(Ext_SCC_Chloride!U18,'Tables - Part 2'!$AX$5:$BA$5,0))+INDEX('Tables - Part 2'!$BB$6:$BE$13,MATCH(Ext_SCC_Chloride!$X18,'Tables - Part 2'!$AV$6:$AV$13,0),MATCH(Ext_SCC_Chloride!$U18,'Tables - Part 2'!$AX$5:$BA$5,0)))/2)+INDEX('Tables - Part 2'!$BB$6:$BE$13,MATCH(Ext_SCC_Chloride!$X18,'Tables - Part 2'!$AV$6:$AV$13,0),MATCH(Ext_SCC_Chloride!$U18,'Tables - Part 2'!$AX$5:$BA$5,0)))/2)+INDEX('Tables - Part 2'!$BB$6:$BE$13,MATCH(Ext_SCC_Chloride!$X18,'Tables - Part 2'!$AV$6:$AV$13,0),MATCH(Ext_SCC_Chloride!$U18,'Tables - Part 2'!$AX$5:$BA$5,0)))/2,0)</f>
        <v>0</v>
      </c>
      <c r="AQ18" s="248">
        <f>IF($T18=$AQ$3,INDEX('Tables - Part 2'!$BB$6:$BE$13,MATCH(Ext_SCC_Chloride!$X18,'Tables - Part 2'!$AV$6:$AV$13,0),MATCH(Ext_SCC_Chloride!$U18,'Tables - Part 2'!$AX$5:$BA$5,0)),0)</f>
        <v>0</v>
      </c>
      <c r="AR18" s="248">
        <f>IF($T18=$AR$3,((INDEX('Tables - Part 2'!$BB$6:$BE$13,MATCH(Ext_SCC_Chloride!$X18,'Tables - Part 2'!$AV$6:$AV$13,0),MATCH(Ext_SCC_Chloride!$U18,'Tables - Part 2'!$AX$5:$BA$5,0)))+(INDEX('Tables - Part 2'!$BB$6:$BE$13,MATCH(Ext_SCC_Chloride!$X18,'Tables - Part 2'!$AV$6:$AV$13,0),MATCH(Ext_SCC_Chloride!$U18,'Tables - Part 2'!$AX$5:$BA$5,0))+(INDEX('Tables - Part 2'!$BB$6:$BE$13,MATCH(Ext_SCC_Chloride!$X18,'Tables - Part 2'!$AV$6:$AV$13,0),MATCH(Ext_SCC_Chloride!$U18,'Tables - Part 2'!$AX$5:$BA$5,0))+INDEX('Tables - Part 2'!$BF$6:$BI$13,MATCH(Ext_SCC_Chloride!$X18,'Tables - Part 2'!$AV$6:$AV$13,0),MATCH(Ext_SCC_Chloride!$U18,'Tables - Part 2'!$AX$5:$BA$5,0)))/2)/2)/2,0)</f>
        <v>0</v>
      </c>
      <c r="AS18" s="248">
        <f>IF($T18=$AS$3,(INDEX('Tables - Part 2'!$BB$6:$BE$13,MATCH(Ext_SCC_Chloride!$X18,'Tables - Part 2'!$AV$6:$AV$13,0),MATCH(Ext_SCC_Chloride!$U18,'Tables - Part 2'!$AX$5:$BA$5,0))+(INDEX('Tables - Part 2'!$BB$6:$BE$13,MATCH(Ext_SCC_Chloride!$X18,'Tables - Part 2'!$AV$6:$AV$13,0),MATCH(Ext_SCC_Chloride!$U18,'Tables - Part 2'!$AX$5:$BA$5,0))+INDEX('Tables - Part 2'!$BF$6:$BI$13,MATCH(Ext_SCC_Chloride!$X18,'Tables - Part 2'!$AV$6:$AV$13,0),MATCH(Ext_SCC_Chloride!$U18,'Tables - Part 2'!$AX$5:$BA$5,0)))/2)/2,0)</f>
        <v>0</v>
      </c>
      <c r="AT18" s="248">
        <f>IF($T18=$AT$3,(((INDEX('Tables - Part 2'!$BB$6:$BE$13,MATCH(Ext_SCC_Chloride!$X18,'Tables - Part 2'!$AV$6:$AV$13,0),MATCH(Ext_SCC_Chloride!$U18,'Tables - Part 2'!$AX$5:$BA$5,0))+(INDEX('Tables - Part 2'!$BB$6:$BE$13,MATCH(Ext_SCC_Chloride!$X18,'Tables - Part 2'!$AV$6:$AV$13,0),MATCH(Ext_SCC_Chloride!$U18,'Tables - Part 2'!$AX$5:$BA$5,0))+INDEX('Tables - Part 2'!$BF$6:$BI$13,MATCH(Ext_SCC_Chloride!$X18,'Tables - Part 2'!$AV$6:$AV$13,0),MATCH(Ext_SCC_Chloride!$U18,'Tables - Part 2'!$AX$5:$BA$5,0)))/2)/2)+((INDEX('Tables - Part 2'!$BB$6:$BE$13,MATCH(Ext_SCC_Chloride!$X18,'Tables - Part 2'!$AV$6:$AV$13,0),MATCH(Ext_SCC_Chloride!$U18,'Tables - Part 2'!$AX$5:$BA$5,0))+INDEX('Tables - Part 2'!$BF$6:$BI$13,MATCH(Ext_SCC_Chloride!$X18,'Tables - Part 2'!$AV$6:$AV$13,0),MATCH(Ext_SCC_Chloride!$U18,'Tables - Part 2'!$AX$5:$BA$5,0)))/2))/2,0)</f>
        <v>0</v>
      </c>
      <c r="AU18" s="248">
        <f>IF($T18=$AU$3,(INDEX('Tables - Part 2'!$BB$6:$BE$13,MATCH(Ext_SCC_Chloride!$X18,'Tables - Part 2'!$AV$6:$AV$13,0),MATCH(Ext_SCC_Chloride!$U18,'Tables - Part 2'!$AX$5:$BA$5,0))+INDEX('Tables - Part 2'!$BF$6:$BI$13,MATCH(Ext_SCC_Chloride!$X18,'Tables - Part 2'!$AV$6:$AV$13,0),MATCH(Ext_SCC_Chloride!$U18,'Tables - Part 2'!$AX$5:$BA$5,0)))/2,0)</f>
        <v>0</v>
      </c>
      <c r="AV18" s="248">
        <f>IF($T18=$AV$3,(((INDEX('Tables - Part 2'!$BB$6:$BE$13,MATCH(Ext_SCC_Chloride!$X18,'Tables - Part 2'!$AV$6:$AV$13,0),MATCH(Ext_SCC_Chloride!$U18,'Tables - Part 2'!$AX$5:$BA$5,0))+INDEX('Tables - Part 2'!$BF$6:$BI$13,MATCH(Ext_SCC_Chloride!$X18,'Tables - Part 2'!$AV$6:$AV$13,0),MATCH(Ext_SCC_Chloride!$U18,'Tables - Part 2'!$AX$5:$BA$5,0)))/2)+((((INDEX('Tables - Part 2'!$BB$6:$BE$13,MATCH(Ext_SCC_Chloride!$X18,'Tables - Part 2'!$AV$6:$AV$13,0),MATCH(Ext_SCC_Chloride!$U18,'Tables - Part 2'!$AX$5:$BA$5,0))+INDEX('Tables - Part 2'!$BF$6:$BI$13,MATCH(Ext_SCC_Chloride!$X18,'Tables - Part 2'!$AV$6:$AV$13,0),MATCH(Ext_SCC_Chloride!$U18,'Tables - Part 2'!$AX$5:$BA$5,0)))/2)+INDEX('Tables - Part 2'!$BF$6:$BI$13,MATCH(Ext_SCC_Chloride!$X18,'Tables - Part 2'!$AV$6:$AV$13,0),MATCH(Ext_SCC_Chloride!$U18,'Tables - Part 2'!$AX$5:$BA$5,0)))/2))/2,0)</f>
        <v>0</v>
      </c>
      <c r="AW18" s="248">
        <f>IF($T18=$AW$3,(((INDEX('Tables - Part 2'!$BB$6:$BE$13,MATCH(Ext_SCC_Chloride!$X18,'Tables - Part 2'!$AV$6:$AV$13,0),MATCH(Ext_SCC_Chloride!$U18,'Tables - Part 2'!$AX$5:$BA$5,0))+INDEX('Tables - Part 2'!$BF$6:$BI$13,MATCH(Ext_SCC_Chloride!$X18,'Tables - Part 2'!$AV$6:$AV$13,0),MATCH(Ext_SCC_Chloride!$U18,'Tables - Part 2'!$AX$5:$BA$5,0)))/2)+INDEX('Tables - Part 2'!$BF$6:$BI$13,MATCH(Ext_SCC_Chloride!$X18,'Tables - Part 2'!$AV$6:$AV$13,0),MATCH(Ext_SCC_Chloride!$U18,'Tables - Part 2'!$AX$5:$BA$5,0)))/2,0)</f>
        <v>0</v>
      </c>
      <c r="AX18" s="248">
        <f>IF($T18=$AX$3,(((((INDEX('Tables - Part 2'!$BB$6:$BE$13,MATCH(Ext_SCC_Chloride!$X18,'Tables - Part 2'!$AV$6:$AV$13,0),MATCH(Ext_SCC_Chloride!$U18,'Tables - Part 2'!$AX$5:$BA$5,0))+INDEX('Tables - Part 2'!$BF$6:$BI$13,MATCH(Ext_SCC_Chloride!$X18,'Tables - Part 2'!$AV$6:$AV$13,0),MATCH(Ext_SCC_Chloride!$U18,'Tables - Part 2'!$AX$5:$BA$5,0)))/2)+INDEX('Tables - Part 2'!$BF$6:$BI$13,MATCH(Ext_SCC_Chloride!$X18,'Tables - Part 2'!$AV$6:$AV$13,0),MATCH(Ext_SCC_Chloride!$U18,'Tables - Part 2'!$AX$5:$BA$5,0)))/2)+INDEX('Tables - Part 2'!$BF$6:$BI$13,MATCH(Ext_SCC_Chloride!$X18,'Tables - Part 2'!$AV$6:$AV$13,0),MATCH(Ext_SCC_Chloride!$U18,'Tables - Part 2'!$AX$5:$BA$5,0)))/2,0)</f>
        <v>0</v>
      </c>
      <c r="AY18" s="248">
        <f>IF($T18=$AY$3,INDEX('Tables - Part 2'!$BF$6:$BI$13,MATCH(Ext_SCC_Chloride!$X18,'Tables - Part 2'!$AV$6:$AV$13,0),MATCH(Ext_SCC_Chloride!$U18,'Tables - Part 2'!$AX$5:$BA$5,0)),0)</f>
        <v>0</v>
      </c>
      <c r="AZ18" s="248">
        <f>IF($T18=$AZ$3,(INDEX('Tables - Part 2'!$BF$6:$BI$13,MATCH(Ext_SCC_Chloride!$X18,'Tables - Part 2'!$AV$6:$AV$13,0),MATCH(Ext_SCC_Chloride!$U18,'Tables - Part 2'!$AX$5:$BA$5,0))+((INDEX('Tables - Part 2'!$BF$6:$BI$13,MATCH(Ext_SCC_Chloride!$X18,'Tables - Part 2'!$AV$6:$AV$13,0),MATCH(Ext_SCC_Chloride!$U18,'Tables - Part 2'!$AX$5:$BA$5,0))+(INDEX('Tables - Part 2'!$BF$6:$BI$13,MATCH(Ext_SCC_Chloride!$X18,'Tables - Part 2'!$AV$6:$AV$13,0),MATCH(Ext_SCC_Chloride!$U18,'Tables - Part 2'!$AX$5:$BA$5,0))+INDEX('Tables - Part 2'!$AX$17:$BA$24,MATCH(Ext_SCC_Chloride!$X18,'Tables - Part 2'!$AV$6:$AV$13,0),MATCH(Ext_SCC_Chloride!$U18,'Tables - Part 2'!$AX$5:$BA$5,0)))/2)/2))/2,0)</f>
        <v>0</v>
      </c>
      <c r="BA18" s="248">
        <f>IF($T18=$BA$3,(INDEX('Tables - Part 2'!$BF$6:$BI$13,MATCH(Ext_SCC_Chloride!$X18,'Tables - Part 2'!$AV$6:$AV$13,0),MATCH(Ext_SCC_Chloride!$U18,'Tables - Part 2'!$AX$5:$BA$5,0))+(INDEX('Tables - Part 2'!$BF$6:$BI$13,MATCH(Ext_SCC_Chloride!$X18,'Tables - Part 2'!$AV$6:$AV$13,0),MATCH(Ext_SCC_Chloride!$U18,'Tables - Part 2'!$AX$5:$BA$5,0))+INDEX('Tables - Part 2'!$AX$17:$BA$24,MATCH(Ext_SCC_Chloride!$X18,'Tables - Part 2'!$AV$6:$AV$13,0),MATCH(Ext_SCC_Chloride!$U18,'Tables - Part 2'!$AX$5:$BA$5,0)))/2)/2,0)</f>
        <v>0</v>
      </c>
      <c r="BB18" s="248">
        <f>IF($T18=$BB$3,(((INDEX('Tables - Part 2'!$BF$6:$BI$13,MATCH(Ext_SCC_Chloride!$X18,'Tables - Part 2'!$AV$6:$AV$13,0),MATCH(Ext_SCC_Chloride!$U18,'Tables - Part 2'!$AX$5:$BA$5,0))+(INDEX('Tables - Part 2'!$BF$6:$BI$13,MATCH(Ext_SCC_Chloride!$X18,'Tables - Part 2'!$AV$6:$AV$13,0),MATCH(Ext_SCC_Chloride!$U18,'Tables - Part 2'!$AX$5:$BA$5,0))+INDEX('Tables - Part 2'!$AX$17:$BA$24,MATCH(Ext_SCC_Chloride!$X18,'Tables - Part 2'!$AV$6:$AV$13,0),MATCH(Ext_SCC_Chloride!$U18,'Tables - Part 2'!$AX$5:$BA$5,0)))/2)/2)+((INDEX('Tables - Part 2'!$BF$6:$BI$13,MATCH(Ext_SCC_Chloride!$X18,'Tables - Part 2'!$AV$6:$AV$13,0),MATCH(Ext_SCC_Chloride!$U18,'Tables - Part 2'!$AX$5:$BA$5,0))+INDEX('Tables - Part 2'!$AX$17:$BA$24,MATCH(Ext_SCC_Chloride!$X18,'Tables - Part 2'!$AV$6:$AV$13,0),MATCH(Ext_SCC_Chloride!$U18,'Tables - Part 2'!$AX$5:$BA$5,0)))/2))/2,0)</f>
        <v>0</v>
      </c>
      <c r="BC18" s="248">
        <f>IF($T18=$BC$3,(INDEX('Tables - Part 2'!$BF$6:$BI$13,MATCH(Ext_SCC_Chloride!$X18,'Tables - Part 2'!$AV$6:$AV$13,0),MATCH(Ext_SCC_Chloride!$U18,'Tables - Part 2'!$AX$5:$BA$5,0))+INDEX('Tables - Part 2'!$AX$17:$BA$24,MATCH(Ext_SCC_Chloride!$X18,'Tables - Part 2'!$AV$6:$AV$13,0),MATCH(Ext_SCC_Chloride!$U18,'Tables - Part 2'!$AX$5:$BA$5,0)))/2,0)</f>
        <v>0</v>
      </c>
      <c r="BD18" s="248">
        <f>IF($T18=$BD$3,(((INDEX('Tables - Part 2'!$BF$6:$BI$13,MATCH(Ext_SCC_Chloride!$X18,'Tables - Part 2'!$AV$6:$AV$13,0),MATCH(Ext_SCC_Chloride!$U18,'Tables - Part 2'!$AX$5:$BA$5,0))+INDEX('Tables - Part 2'!$AX$17:$BA$24,MATCH(Ext_SCC_Chloride!$X18,'Tables - Part 2'!$AV$6:$AV$13,0),MATCH(Ext_SCC_Chloride!$U18,'Tables - Part 2'!$AX$5:$BA$5,0)))/2)+((((INDEX('Tables - Part 2'!$BF$6:$BI$13,MATCH(Ext_SCC_Chloride!$X18,'Tables - Part 2'!$AV$6:$AV$13,0),MATCH(Ext_SCC_Chloride!$U18,'Tables - Part 2'!$AX$5:$BA$5,0))+INDEX('Tables - Part 2'!$AX$17:$BA$24,MATCH(Ext_SCC_Chloride!$X18,'Tables - Part 2'!$AV$6:$AV$13,0),MATCH(Ext_SCC_Chloride!$U18,'Tables - Part 2'!$AX$5:$BA$5,0)))/2)+INDEX('Tables - Part 2'!$AX$17:$BA$24,MATCH(Ext_SCC_Chloride!$X18,'Tables - Part 2'!$AV$6:$AV$13,0),MATCH(Ext_SCC_Chloride!$U18,'Tables - Part 2'!$AX$5:$BA$5,0)))/2))/2,0)</f>
        <v>0</v>
      </c>
      <c r="BE18" s="248">
        <f>IF($T18=$BE$3,(((INDEX('Tables - Part 2'!$BF$6:$BI$13,MATCH(Ext_SCC_Chloride!$X18,'Tables - Part 2'!$AV$6:$AV$13,0),MATCH(Ext_SCC_Chloride!$U18,'Tables - Part 2'!$AX$5:$BA$5,0))+INDEX('Tables - Part 2'!$AX$17:$BA$24,MATCH(Ext_SCC_Chloride!$X18,'Tables - Part 2'!$AV$6:$AV$13,0),MATCH(Ext_SCC_Chloride!$U18,'Tables - Part 2'!$AX$5:$BA$5,0)))/2)+INDEX('Tables - Part 2'!$AX$17:$BA$24,MATCH(Ext_SCC_Chloride!$X18,'Tables - Part 2'!$AV$6:$AV$13,0),MATCH(Ext_SCC_Chloride!$U18,'Tables - Part 2'!$AX$5:$BA$5,0)))/2,0)</f>
        <v>0</v>
      </c>
      <c r="BF18" s="248">
        <f>IF($T18=$BF$3,(((((INDEX('Tables - Part 2'!$BF$6:$BI$13,MATCH(Ext_SCC_Chloride!$X18,'Tables - Part 2'!$AV$6:$AV$13,0),MATCH(Ext_SCC_Chloride!$U18,'Tables - Part 2'!$AX$5:$BA$5,0))+INDEX('Tables - Part 2'!$AX$17:$BA$24,MATCH(Ext_SCC_Chloride!$X18,'Tables - Part 2'!$AV$6:$AV$13,0),MATCH(Ext_SCC_Chloride!$U18,'Tables - Part 2'!$AX$5:$BA$5,0)))/2)+INDEX('Tables - Part 2'!$AX$17:$BA$24,MATCH(Ext_SCC_Chloride!$X18,'Tables - Part 2'!$AV$6:$AV$13,0),MATCH(Ext_SCC_Chloride!$U18,'Tables - Part 2'!$AX$5:$BA$5,0)))/2)+(INDEX('Tables - Part 2'!$AX$17:$BA$24,MATCH(Ext_SCC_Chloride!$X18,'Tables - Part 2'!$AV$6:$AV$13,0),MATCH(Ext_SCC_Chloride!$U18,'Tables - Part 2'!$AX$5:$BA$5,0))))/2,0)</f>
        <v>0</v>
      </c>
      <c r="BG18" s="248">
        <f>IF($T18=$BG$3,INDEX('Tables - Part 2'!$AX$17:$BA$24,MATCH(Ext_SCC_Chloride!$X18,'Tables - Part 2'!$AV$6:$AV$13,0),MATCH(Ext_SCC_Chloride!$U18,'Tables - Part 2'!$AX$5:$BA$5,0)),0)</f>
        <v>0</v>
      </c>
      <c r="BH18" s="248">
        <f>IF($T18=$BH$3,((INDEX('Tables - Part 2'!$AX$17:$BA$24,MATCH(Ext_SCC_Chloride!$X18,'Tables - Part 2'!$AV$6:$AV$13,0),MATCH(Ext_SCC_Chloride!$U18,'Tables - Part 2'!$AX$5:$BA$5,0)))+(((INDEX('Tables - Part 2'!$AX$17:$BA$24,MATCH(Ext_SCC_Chloride!$X18,'Tables - Part 2'!$AV$6:$AV$13,0),MATCH(Ext_SCC_Chloride!$U18,'Tables - Part 2'!$AX$5:$BA$5,0)))+(INDEX('Tables - Part 2'!$AX$17:$BA$24,MATCH(Ext_SCC_Chloride!$X18,'Tables - Part 2'!$AV$6:$AV$13,0),MATCH(Ext_SCC_Chloride!$U18,'Tables - Part 2'!$AX$5:$BA$5,0))+INDEX('Tables - Part 2'!$BB$17:$BE$24,MATCH(Ext_SCC_Chloride!$X18,'Tables - Part 2'!$AV$6:$AV$13,0),MATCH(Ext_SCC_Chloride!$U18,'Tables - Part 2'!$AX$5:$BA$5,0)))/2)/2))/2,0)</f>
        <v>0</v>
      </c>
      <c r="BI18" s="248">
        <f>IF($T18=$BI$3,((INDEX('Tables - Part 2'!$AX$17:$BA$24,MATCH(Ext_SCC_Chloride!$X18,'Tables - Part 2'!$AV$6:$AV$13,0),MATCH(Ext_SCC_Chloride!$U18,'Tables - Part 2'!$AX$5:$BA$5,0)))+(INDEX('Tables - Part 2'!$AX$17:$BA$24,MATCH(Ext_SCC_Chloride!$X18,'Tables - Part 2'!$AV$6:$AV$13,0),MATCH(Ext_SCC_Chloride!$U18,'Tables - Part 2'!$AX$5:$BA$5,0))+INDEX('Tables - Part 2'!$BB$17:$BE$24,MATCH(Ext_SCC_Chloride!$X18,'Tables - Part 2'!$AV$6:$AV$13,0),MATCH(Ext_SCC_Chloride!$U18,'Tables - Part 2'!$AX$5:$BA$5,0)))/2)/2,0)</f>
        <v>0</v>
      </c>
      <c r="BJ18" s="248">
        <f>IF($T18=$BJ$3,((((INDEX('Tables - Part 2'!$AX$17:$BA$24,MATCH(Ext_SCC_Chloride!$X18,'Tables - Part 2'!$AV$6:$AV$13,0),MATCH(Ext_SCC_Chloride!$U18,'Tables - Part 2'!$AX$5:$BA$5,0)))+(INDEX('Tables - Part 2'!$AX$17:$BA$24,MATCH(Ext_SCC_Chloride!$X18,'Tables - Part 2'!$AV$6:$AV$13,0),MATCH(Ext_SCC_Chloride!$U18,'Tables - Part 2'!$AX$5:$BA$5,0))+INDEX('Tables - Part 2'!$BB$17:$BE$24,MATCH(Ext_SCC_Chloride!$X18,'Tables - Part 2'!$AV$6:$AV$13,0),MATCH(Ext_SCC_Chloride!$U18,'Tables - Part 2'!$AX$5:$BA$5,0)))/2)/2)+((INDEX('Tables - Part 2'!$AX$17:$BA$24,MATCH(Ext_SCC_Chloride!$X18,'Tables - Part 2'!$AV$6:$AV$13,0),MATCH(Ext_SCC_Chloride!$U18,'Tables - Part 2'!$AX$5:$BA$5,0))+INDEX('Tables - Part 2'!$BB$17:$BE$24,MATCH(Ext_SCC_Chloride!$X18,'Tables - Part 2'!$AV$6:$AV$13,0),MATCH(Ext_SCC_Chloride!$U18,'Tables - Part 2'!$AX$5:$BA$5,0)))/2))/2,0)</f>
        <v>0</v>
      </c>
      <c r="BK18" s="248">
        <f>IF($T18=$BK$3,(INDEX('Tables - Part 2'!$AX$17:$BA$24,MATCH(Ext_SCC_Chloride!$X18,'Tables - Part 2'!$AV$6:$AV$13,0),MATCH(Ext_SCC_Chloride!$U18,'Tables - Part 2'!$AX$5:$BA$5,0))+INDEX('Tables - Part 2'!$BB$17:$BE$24,MATCH(Ext_SCC_Chloride!$X18,'Tables - Part 2'!$AV$6:$AV$13,0),MATCH(Ext_SCC_Chloride!$U18,'Tables - Part 2'!$AX$5:$BA$5,0)))/2,0)</f>
        <v>0</v>
      </c>
      <c r="BL18" s="248">
        <f>IF($T18=$BL$3,(((INDEX('Tables - Part 2'!$AX$17:$BA$24,MATCH(Ext_SCC_Chloride!$X18,'Tables - Part 2'!$AV$6:$AV$13,0),MATCH(Ext_SCC_Chloride!$U18,'Tables - Part 2'!$AX$5:$BA$5,0))+INDEX('Tables - Part 2'!$BB$17:$BE$24,MATCH(Ext_SCC_Chloride!$X18,'Tables - Part 2'!$AV$6:$AV$13,0),MATCH(Ext_SCC_Chloride!$U18,'Tables - Part 2'!$AX$5:$BA$5,0)))/2)+((((INDEX('Tables - Part 2'!$AX$17:$BA$24,MATCH(Ext_SCC_Chloride!$X18,'Tables - Part 2'!$AV$6:$AV$13,0),MATCH(Ext_SCC_Chloride!$U18,'Tables - Part 2'!$AX$5:$BA$5,0))+INDEX('Tables - Part 2'!$BB$17:$BE$24,MATCH(Ext_SCC_Chloride!$X18,'Tables - Part 2'!$AV$6:$AV$13,0),MATCH(Ext_SCC_Chloride!$U18,'Tables - Part 2'!$AX$5:$BA$5,0)))/2)+INDEX('Tables - Part 2'!$BB$17:$BE$24,MATCH(Ext_SCC_Chloride!$X18,'Tables - Part 2'!$AV$6:$AV$13,0),MATCH(Ext_SCC_Chloride!$U18,'Tables - Part 2'!$AX$5:$BA$5,0)))/2))/2,0)</f>
        <v>0</v>
      </c>
      <c r="BM18" s="248">
        <f>IF($T18=$BM$3,(((INDEX('Tables - Part 2'!$AX$17:$BA$24,MATCH(Ext_SCC_Chloride!$X18,'Tables - Part 2'!$AV$6:$AV$13,0),MATCH(Ext_SCC_Chloride!$U18,'Tables - Part 2'!$AX$5:$BA$5,0))+INDEX('Tables - Part 2'!$BB$17:$BE$24,MATCH(Ext_SCC_Chloride!$X18,'Tables - Part 2'!$AV$6:$AV$13,0),MATCH(Ext_SCC_Chloride!$U18,'Tables - Part 2'!$AX$5:$BA$5,0)))/2)+INDEX('Tables - Part 2'!$BB$17:$BE$24,MATCH(Ext_SCC_Chloride!$X18,'Tables - Part 2'!$AV$6:$AV$13,0),MATCH(Ext_SCC_Chloride!$U18,'Tables - Part 2'!$AX$5:$BA$5,0)))/2,0)</f>
        <v>0</v>
      </c>
      <c r="BN18" s="248">
        <f>IF($T18=$BN$3,(((((INDEX('Tables - Part 2'!$AX$17:$BA$24,MATCH(Ext_SCC_Chloride!$X18,'Tables - Part 2'!$AV$6:$AV$13,0),MATCH(Ext_SCC_Chloride!$U18,'Tables - Part 2'!$AX$5:$BA$5,0))+INDEX('Tables - Part 2'!$BB$17:$BE$24,MATCH(Ext_SCC_Chloride!$X18,'Tables - Part 2'!$AV$6:$AV$13,0),MATCH(Ext_SCC_Chloride!$U18,'Tables - Part 2'!$AX$5:$BA$5,0)))/2)+INDEX('Tables - Part 2'!$BB$17:$BE$24,MATCH(Ext_SCC_Chloride!$X18,'Tables - Part 2'!$AV$6:$AV$13,0),MATCH(Ext_SCC_Chloride!$U18,'Tables - Part 2'!$AX$5:$BA$5,0)))/2)+(INDEX('Tables - Part 2'!$BB$17:$BE$24,MATCH(Ext_SCC_Chloride!$X18,'Tables - Part 2'!$AV$6:$AV$13,0),MATCH(Ext_SCC_Chloride!$U18,'Tables - Part 2'!$AX$5:$BA$5,0))))/2,0)</f>
        <v>0</v>
      </c>
      <c r="BO18" s="248">
        <f>IF($T18=$BO$3,INDEX('Tables - Part 2'!$BB$17:$BE$24,MATCH(Ext_SCC_Chloride!$X18,'Tables - Part 2'!$AV$6:$AV$13,0),MATCH(Ext_SCC_Chloride!$U18,'Tables - Part 2'!$AX$5:$BA$5,0)),0)</f>
        <v>0</v>
      </c>
      <c r="BP18" s="248">
        <f>IF($T18=$BP$3,((INDEX('Tables - Part 2'!$BB$17:$BE$24,MATCH(Ext_SCC_Chloride!$X18,'Tables - Part 2'!$AV$6:$AV$13,0),MATCH(Ext_SCC_Chloride!$U18,'Tables - Part 2'!$AX$5:$BA$5,0)))+(((INDEX('Tables - Part 2'!$BB$17:$BE$24,MATCH(Ext_SCC_Chloride!$X18,'Tables - Part 2'!$AV$6:$AV$13,0),MATCH(Ext_SCC_Chloride!$U18,'Tables - Part 2'!$AX$5:$BA$5,0)))+(INDEX('Tables - Part 2'!$BB$17:$BE$24,MATCH(Ext_SCC_Chloride!$X18,'Tables - Part 2'!$AV$6:$AV$13,0),MATCH(Ext_SCC_Chloride!$U18,'Tables - Part 2'!$AX$5:$BA$5,0))+INDEX('Tables - Part 2'!$BF$17:$BI$24,MATCH(Ext_SCC_Chloride!$X18,'Tables - Part 2'!$AV$6:$AV$13,0),MATCH(Ext_SCC_Chloride!$U18,'Tables - Part 2'!$AX$5:$BA$5,0)))/2)/2))/2,0)</f>
        <v>0</v>
      </c>
      <c r="BQ18" s="248">
        <f>IF($T18=$BQ$3,((INDEX('Tables - Part 2'!$BB$17:$BE$24,MATCH(Ext_SCC_Chloride!$X18,'Tables - Part 2'!$AV$6:$AV$13,0),MATCH(Ext_SCC_Chloride!$U18,'Tables - Part 2'!$AX$5:$BA$5,0)))+(INDEX('Tables - Part 2'!$BB$17:$BE$24,MATCH(Ext_SCC_Chloride!$X18,'Tables - Part 2'!$AV$6:$AV$13,0),MATCH(Ext_SCC_Chloride!$U18,'Tables - Part 2'!$AX$5:$BA$5,0))+INDEX('Tables - Part 2'!$BF$17:$BI$24,MATCH(Ext_SCC_Chloride!$X18,'Tables - Part 2'!$AV$6:$AV$13,0),MATCH(Ext_SCC_Chloride!$U18,'Tables - Part 2'!$AX$5:$BA$5,0)))/2)/2,0)</f>
        <v>0</v>
      </c>
      <c r="BR18" s="248">
        <f>IF($T18=$BR$3,((((INDEX('Tables - Part 2'!$BB$17:$BE$24,MATCH(Ext_SCC_Chloride!$X18,'Tables - Part 2'!$AV$6:$AV$13,0),MATCH(Ext_SCC_Chloride!$U18,'Tables - Part 2'!$AX$5:$BA$5,0)))+(INDEX('Tables - Part 2'!$BB$17:$BE$24,MATCH(Ext_SCC_Chloride!$X18,'Tables - Part 2'!$AV$6:$AV$13,0),MATCH(Ext_SCC_Chloride!$U18,'Tables - Part 2'!$AX$5:$BA$5,0))+INDEX('Tables - Part 2'!$BF$17:$BI$24,MATCH(Ext_SCC_Chloride!$X18,'Tables - Part 2'!$AV$6:$AV$13,0),MATCH(Ext_SCC_Chloride!$U18,'Tables - Part 2'!$AX$5:$BA$5,0)))/2)/2)+((INDEX('Tables - Part 2'!$BB$17:$BE$24,MATCH(Ext_SCC_Chloride!$X18,'Tables - Part 2'!$AV$6:$AV$13,0),MATCH(Ext_SCC_Chloride!$U18,'Tables - Part 2'!$AX$5:$BA$5,0))+INDEX('Tables - Part 2'!$BF$17:$BI$24,MATCH(Ext_SCC_Chloride!$X18,'Tables - Part 2'!$AV$6:$AV$13,0),MATCH(Ext_SCC_Chloride!$U18,'Tables - Part 2'!$AX$5:$BA$5,0)))/2))/2,0)</f>
        <v>0</v>
      </c>
      <c r="BS18" s="248">
        <f>IF($T18=$BS$3,(INDEX('Tables - Part 2'!$BB$17:$BE$24,MATCH(Ext_SCC_Chloride!$X18,'Tables - Part 2'!$AV$6:$AV$13,0),MATCH(Ext_SCC_Chloride!$U18,'Tables - Part 2'!$AX$5:$BA$5,0))+INDEX('Tables - Part 2'!$BF$17:$BI$24,MATCH(Ext_SCC_Chloride!$X18,'Tables - Part 2'!$AV$6:$AV$13,0),MATCH(Ext_SCC_Chloride!$U18,'Tables - Part 2'!$AX$5:$BA$5,0)))/2,0)</f>
        <v>0</v>
      </c>
      <c r="BT18" s="248">
        <f>IF($T18=$BT$3,(((INDEX('Tables - Part 2'!$BB$17:$BE$24,MATCH(Ext_SCC_Chloride!$X18,'Tables - Part 2'!$AV$6:$AV$13,0),MATCH(Ext_SCC_Chloride!$U18,'Tables - Part 2'!$AX$5:$BA$5,0))+INDEX('Tables - Part 2'!$BF$17:$BI$24,MATCH(Ext_SCC_Chloride!$X18,'Tables - Part 2'!$AV$6:$AV$13,0),MATCH(Ext_SCC_Chloride!$U18,'Tables - Part 2'!$AX$5:$BA$5,0)))/2)+((((INDEX('Tables - Part 2'!$BB$17:$BE$24,MATCH(Ext_SCC_Chloride!$X18,'Tables - Part 2'!$AV$6:$AV$13,0),MATCH(Ext_SCC_Chloride!$U18,'Tables - Part 2'!$AX$5:$BA$5,0))+INDEX('Tables - Part 2'!$BF$17:$BI$24,MATCH(Ext_SCC_Chloride!$X18,'Tables - Part 2'!$AV$6:$AV$13,0),MATCH(Ext_SCC_Chloride!$U18,'Tables - Part 2'!$AX$5:$BA$5,0)))/2)+INDEX('Tables - Part 2'!$BF$17:$BI$24,MATCH(Ext_SCC_Chloride!$X18,'Tables - Part 2'!$AV$6:$AV$13,0),MATCH(Ext_SCC_Chloride!$U18,'Tables - Part 2'!$AX$5:$BA$5,0)))/2))/2,0)</f>
        <v>0</v>
      </c>
      <c r="BU18" s="248">
        <f>IF($T18=$BU$3,(((INDEX('Tables - Part 2'!$BB$17:$BE$24,MATCH(Ext_SCC_Chloride!$X18,'Tables - Part 2'!$AV$6:$AV$13,0),MATCH(Ext_SCC_Chloride!$U18,'Tables - Part 2'!$AX$5:$BA$5,0))+INDEX('Tables - Part 2'!$BF$17:$BI$24,MATCH(Ext_SCC_Chloride!$X18,'Tables - Part 2'!$AV$6:$AV$13,0),MATCH(Ext_SCC_Chloride!$U18,'Tables - Part 2'!$AX$5:$BA$5,0)))/2)+INDEX('Tables - Part 2'!$BF$17:$BI$24,MATCH(Ext_SCC_Chloride!$X18,'Tables - Part 2'!$AV$6:$AV$13,0),MATCH(Ext_SCC_Chloride!$U18,'Tables - Part 2'!$AX$5:$BA$5,0)))/2,0)</f>
        <v>0</v>
      </c>
      <c r="BV18" s="248">
        <f>IF($T18=$BV$3,(((((INDEX('Tables - Part 2'!$BB$17:$BE$24,MATCH(Ext_SCC_Chloride!$X18,'Tables - Part 2'!$AV$6:$AV$13,0),MATCH(Ext_SCC_Chloride!$U18,'Tables - Part 2'!$AX$5:$BA$5,0))+INDEX('Tables - Part 2'!$BF$17:$BI$24,MATCH(Ext_SCC_Chloride!$X18,'Tables - Part 2'!$AV$6:$AV$13,0),MATCH(Ext_SCC_Chloride!$U18,'Tables - Part 2'!$AX$5:$BA$5,0)))/2)+INDEX('Tables - Part 2'!$BF$17:$BI$24,MATCH(Ext_SCC_Chloride!$X18,'Tables - Part 2'!$AV$6:$AV$13,0),MATCH(Ext_SCC_Chloride!$U18,'Tables - Part 2'!$AX$5:$BA$5,0)))/2)+(INDEX('Tables - Part 2'!$BF$17:$BI$24,MATCH(Ext_SCC_Chloride!$X18,'Tables - Part 2'!$AV$6:$AV$13,0),MATCH(Ext_SCC_Chloride!$U18,'Tables - Part 2'!$AX$5:$BA$5,0))))/2,0)</f>
        <v>0</v>
      </c>
      <c r="BW18" s="248">
        <f>IF($T18=$BW$3,INDEX('Tables - Part 2'!$BF$17:$BI$24,MATCH(Ext_SCC_Chloride!$X18,'Tables - Part 2'!$AV$6:$AV$13,0),MATCH(Ext_SCC_Chloride!$U18,'Tables - Part 2'!$AX$5:$BA$5,0)),0)</f>
        <v>0</v>
      </c>
      <c r="BX18" s="248">
        <f t="shared" si="5"/>
        <v>0</v>
      </c>
      <c r="BY18" s="238">
        <f t="shared" si="12"/>
        <v>0</v>
      </c>
      <c r="BZ18" s="238">
        <f t="shared" si="13"/>
        <v>0</v>
      </c>
    </row>
    <row r="19" spans="2:78" x14ac:dyDescent="0.35">
      <c r="B19" s="161" t="str">
        <f>'Tratamento de Dados'!B27</f>
        <v>V-8</v>
      </c>
      <c r="C19" s="161" t="str">
        <f>'Tratamento de Dados'!D27</f>
        <v>Casco</v>
      </c>
      <c r="D19" s="209" t="s">
        <v>245</v>
      </c>
      <c r="E19" s="209" t="s">
        <v>61</v>
      </c>
      <c r="F19" s="247">
        <f>'Tratamento de Dados'!S27</f>
        <v>2</v>
      </c>
      <c r="G19" s="209" t="s">
        <v>953</v>
      </c>
      <c r="H19" s="210">
        <v>35234</v>
      </c>
      <c r="I19" s="210">
        <v>43983</v>
      </c>
      <c r="J19" s="210">
        <v>39092</v>
      </c>
      <c r="K19" s="210">
        <f>'Tratamento de Dados'!CC27</f>
        <v>0</v>
      </c>
      <c r="L19" s="209">
        <f>'Tratamento de Dados'!CD27</f>
        <v>0</v>
      </c>
      <c r="M19" s="209" t="s">
        <v>905</v>
      </c>
      <c r="N19" s="209">
        <v>0</v>
      </c>
      <c r="O19" s="209">
        <v>1</v>
      </c>
      <c r="P19" s="209">
        <v>1</v>
      </c>
      <c r="Q19" s="209">
        <v>4</v>
      </c>
      <c r="R19" s="253">
        <f>'Tratamento de Dados'!DA27</f>
        <v>0</v>
      </c>
      <c r="S19" s="253">
        <f>'Tratamento de Dados'!DB27</f>
        <v>0</v>
      </c>
      <c r="T19" s="256">
        <f t="shared" si="0"/>
        <v>2.5</v>
      </c>
      <c r="U19" s="246" t="str">
        <f t="shared" si="1"/>
        <v>B</v>
      </c>
      <c r="V19" s="246" t="str">
        <f>IF(F19&lt;49,'Tables - Part 2'!$FH$5,IF(F19&lt;=93,'Tables - Part 2'!$FH$6,IF(F19&lt;=149,'Tables - Part 2'!$FH$7,'Tables - Part 2'!$FH$8)))</f>
        <v>&lt;49</v>
      </c>
      <c r="W19" s="467" t="str">
        <f>IF(D19=$CE$2,$CC$5,INDEX('Tables - Part 2'!$FI$5:$FL$8,MATCH(Ext_SCC_Chloride!V19,'Tables - Part 2'!$FH$5:$FH$8,0),MATCH(Ext_SCC_Chloride!M19,'Tables - Part 2'!$FI$4:$FL$4,0)))</f>
        <v>None</v>
      </c>
      <c r="X19" s="238">
        <f>IF(AND(D19=$CE$2,E19&lt;&gt;$CE$2),"Fitness-For-Service",INDEX('Tables - Part 2'!$FO$4:$FO$7,MATCH(Ext_SCC_Chloride!W19,'Tables - Part 2'!$FN$4:$FN$7,0),))</f>
        <v>0</v>
      </c>
      <c r="Y19" s="238">
        <f>IF(J19=0,(Thinning!G20-Thinning!F20)/365.25,(Thinning!G20-J19)/365.25)</f>
        <v>12.980150581793293</v>
      </c>
      <c r="Z19" s="248">
        <f t="shared" si="2"/>
        <v>0</v>
      </c>
      <c r="AA19" s="248">
        <f t="shared" si="3"/>
        <v>2.5</v>
      </c>
      <c r="AB19" s="247">
        <f t="shared" si="6"/>
        <v>3</v>
      </c>
      <c r="AC19" s="247">
        <f t="shared" si="4"/>
        <v>4</v>
      </c>
      <c r="AD19" s="247">
        <f t="shared" si="7"/>
        <v>120.41889117043121</v>
      </c>
      <c r="AE19" s="247">
        <f t="shared" si="8"/>
        <v>0</v>
      </c>
      <c r="AF19" s="247">
        <f t="shared" si="9"/>
        <v>0</v>
      </c>
      <c r="AG19" s="247">
        <f t="shared" si="10"/>
        <v>0</v>
      </c>
      <c r="AH19" s="247">
        <f t="shared" si="11"/>
        <v>12.980150581793293</v>
      </c>
      <c r="AI19" s="248">
        <f>IF($T19=$AI$3,INDEX('Tables - Part 2'!$AX$6:$BA$13,MATCH(Ext_SCC_Chloride!X19,'Tables - Part 2'!$AV$6:$AV$13,0),MATCH(Ext_SCC_Chloride!U19,'Tables - Part 2'!$AX$5:$BA$5,0)),0)</f>
        <v>0</v>
      </c>
      <c r="AJ19" s="248">
        <f>IF($T19=$AJ$3,(INDEX('Tables - Part 2'!$AX$6:$BA$13,MATCH(Ext_SCC_Chloride!X19,'Tables - Part 2'!$AV$6:$AV$13,0),MATCH(Ext_SCC_Chloride!U19,'Tables - Part 2'!$AX$5:$BA$5,0))+(INDEX('Tables - Part 2'!$AX$6:$BA$13,MATCH(Ext_SCC_Chloride!X19,'Tables - Part 2'!$AV$6:$AV$13,0),MATCH(Ext_SCC_Chloride!U19,'Tables - Part 2'!$AX$5:$BA$5,0))+((INDEX('Tables - Part 2'!$AX$6:$BA$13,MATCH(Ext_SCC_Chloride!X19,'Tables - Part 2'!$AV$6:$AV$13,0),MATCH(Ext_SCC_Chloride!U19,'Tables - Part 2'!$AX$5:$BA$5,0))+INDEX('Tables - Part 2'!$BB$6:$BE$13,MATCH(Ext_SCC_Chloride!$X19,'Tables - Part 2'!$AV$6:$AV$13,0),MATCH(Ext_SCC_Chloride!$U19,'Tables - Part 2'!$AX$5:$BA$5,0)))/2))/2)/2,0)</f>
        <v>0</v>
      </c>
      <c r="AK19" s="248">
        <f>IF($T19=$AK$3,(INDEX('Tables - Part 2'!$AX$6:$BA$13,MATCH(Ext_SCC_Chloride!X19,'Tables - Part 2'!$AV$6:$AV$13,0),MATCH(Ext_SCC_Chloride!U19,'Tables - Part 2'!$AX$5:$BA$5,0))+((INDEX('Tables - Part 2'!$AX$6:$BA$13,MATCH(Ext_SCC_Chloride!X19,'Tables - Part 2'!$AV$6:$AV$13,0),MATCH(Ext_SCC_Chloride!U19,'Tables - Part 2'!$AX$5:$BA$5,0))+INDEX('Tables - Part 2'!$BB$6:$BE$13,MATCH(Ext_SCC_Chloride!$X19,'Tables - Part 2'!$AV$6:$AV$13,0),MATCH(Ext_SCC_Chloride!$U19,'Tables - Part 2'!$AX$5:$BA$5,0)))/2))/2,0)</f>
        <v>0</v>
      </c>
      <c r="AL19" s="248">
        <f>IF($T19=$AL$3,(((INDEX('Tables - Part 2'!$AX$6:$BA$13,MATCH(Ext_SCC_Chloride!X19,'Tables - Part 2'!$AV$6:$AV$13,0),MATCH(Ext_SCC_Chloride!U19,'Tables - Part 2'!$AX$5:$BA$5,0))+((INDEX('Tables - Part 2'!$AX$6:$BA$13,MATCH(Ext_SCC_Chloride!X19,'Tables - Part 2'!$AV$6:$AV$13,0),MATCH(Ext_SCC_Chloride!U19,'Tables - Part 2'!$AX$5:$BA$5,0))+INDEX('Tables - Part 2'!$BB$6:$BE$13,MATCH(Ext_SCC_Chloride!$X19,'Tables - Part 2'!$AV$6:$AV$13,0),MATCH(Ext_SCC_Chloride!$U19,'Tables - Part 2'!$AX$5:$BA$5,0)))/2))/2)+(INDEX('Tables - Part 2'!$AX$6:$BA$13,MATCH(Ext_SCC_Chloride!X19,'Tables - Part 2'!$AV$6:$AV$13,0),MATCH(Ext_SCC_Chloride!U19,'Tables - Part 2'!$AX$5:$BA$5,0))+INDEX('Tables - Part 2'!$BB$6:$BE$13,MATCH(Ext_SCC_Chloride!$X19,'Tables - Part 2'!$AV$6:$AV$13,0),MATCH(Ext_SCC_Chloride!$U19,'Tables - Part 2'!$AX$5:$BA$5,0)))/2)/2,0)</f>
        <v>0</v>
      </c>
      <c r="AM19" s="248">
        <f>IF($T19=$AM$3,(INDEX('Tables - Part 2'!$AX$6:$BA$13,MATCH(Ext_SCC_Chloride!X19,'Tables - Part 2'!$AV$6:$AV$13,0),MATCH(Ext_SCC_Chloride!U19,'Tables - Part 2'!$AX$5:$BA$5,0))+INDEX('Tables - Part 2'!$BB$6:$BE$13,MATCH(Ext_SCC_Chloride!$X19,'Tables - Part 2'!$AV$6:$AV$13,0),MATCH(Ext_SCC_Chloride!$U19,'Tables - Part 2'!$AX$5:$BA$5,0)))/2,0)</f>
        <v>0</v>
      </c>
      <c r="AN19" s="248">
        <f>IF($T19=$AN$3,(((INDEX('Tables - Part 2'!$AX$6:$BA$13,MATCH(Ext_SCC_Chloride!X19,'Tables - Part 2'!$AV$6:$AV$13,0),MATCH(Ext_SCC_Chloride!U19,'Tables - Part 2'!$AX$5:$BA$5,0))+INDEX('Tables - Part 2'!$BB$6:$BE$13,MATCH(Ext_SCC_Chloride!$X19,'Tables - Part 2'!$AV$6:$AV$13,0),MATCH(Ext_SCC_Chloride!$U19,'Tables - Part 2'!$AX$5:$BA$5,0)))/2)+(((INDEX('Tables - Part 2'!$AX$6:$BA$13,MATCH(Ext_SCC_Chloride!X19,'Tables - Part 2'!$AV$6:$AV$13,0),MATCH(Ext_SCC_Chloride!U19,'Tables - Part 2'!$AX$5:$BA$5,0))+INDEX('Tables - Part 2'!$BB$6:$BE$13,MATCH(Ext_SCC_Chloride!$X19,'Tables - Part 2'!$AV$6:$AV$13,0),MATCH(Ext_SCC_Chloride!$U19,'Tables - Part 2'!$AX$5:$BA$5,0)))/2)+INDEX('Tables - Part 2'!$BB$6:$BE$13,MATCH(Ext_SCC_Chloride!$X19,'Tables - Part 2'!$AV$6:$AV$13,0),MATCH(Ext_SCC_Chloride!$U19,'Tables - Part 2'!$AX$5:$BA$5,0)))/2)/2,0)</f>
        <v>0</v>
      </c>
      <c r="AO19" s="248">
        <f>IF($T19=$AO$3,(((INDEX('Tables - Part 2'!$AX$6:$BA$13,MATCH(Ext_SCC_Chloride!X19,'Tables - Part 2'!$AV$6:$AV$13,0),MATCH(Ext_SCC_Chloride!U19,'Tables - Part 2'!$AX$5:$BA$5,0))+INDEX('Tables - Part 2'!$BB$6:$BE$13,MATCH(Ext_SCC_Chloride!$X19,'Tables - Part 2'!$AV$6:$AV$13,0),MATCH(Ext_SCC_Chloride!$U19,'Tables - Part 2'!$AX$5:$BA$5,0)))/2)+INDEX('Tables - Part 2'!$BB$6:$BE$13,MATCH(Ext_SCC_Chloride!$X19,'Tables - Part 2'!$AV$6:$AV$13,0),MATCH(Ext_SCC_Chloride!$U19,'Tables - Part 2'!$AX$5:$BA$5,0)))/2,0)</f>
        <v>0</v>
      </c>
      <c r="AP19" s="248">
        <f>IF($T19=$AP$3,(((((INDEX('Tables - Part 2'!$AX$6:$BA$13,MATCH(Ext_SCC_Chloride!X19,'Tables - Part 2'!$AV$6:$AV$13,0),MATCH(Ext_SCC_Chloride!U19,'Tables - Part 2'!$AX$5:$BA$5,0))+INDEX('Tables - Part 2'!$BB$6:$BE$13,MATCH(Ext_SCC_Chloride!$X19,'Tables - Part 2'!$AV$6:$AV$13,0),MATCH(Ext_SCC_Chloride!$U19,'Tables - Part 2'!$AX$5:$BA$5,0)))/2)+INDEX('Tables - Part 2'!$BB$6:$BE$13,MATCH(Ext_SCC_Chloride!$X19,'Tables - Part 2'!$AV$6:$AV$13,0),MATCH(Ext_SCC_Chloride!$U19,'Tables - Part 2'!$AX$5:$BA$5,0)))/2)+INDEX('Tables - Part 2'!$BB$6:$BE$13,MATCH(Ext_SCC_Chloride!$X19,'Tables - Part 2'!$AV$6:$AV$13,0),MATCH(Ext_SCC_Chloride!$U19,'Tables - Part 2'!$AX$5:$BA$5,0)))/2,0)</f>
        <v>0</v>
      </c>
      <c r="AQ19" s="248">
        <f>IF($T19=$AQ$3,INDEX('Tables - Part 2'!$BB$6:$BE$13,MATCH(Ext_SCC_Chloride!$X19,'Tables - Part 2'!$AV$6:$AV$13,0),MATCH(Ext_SCC_Chloride!$U19,'Tables - Part 2'!$AX$5:$BA$5,0)),0)</f>
        <v>0</v>
      </c>
      <c r="AR19" s="248">
        <f>IF($T19=$AR$3,((INDEX('Tables - Part 2'!$BB$6:$BE$13,MATCH(Ext_SCC_Chloride!$X19,'Tables - Part 2'!$AV$6:$AV$13,0),MATCH(Ext_SCC_Chloride!$U19,'Tables - Part 2'!$AX$5:$BA$5,0)))+(INDEX('Tables - Part 2'!$BB$6:$BE$13,MATCH(Ext_SCC_Chloride!$X19,'Tables - Part 2'!$AV$6:$AV$13,0),MATCH(Ext_SCC_Chloride!$U19,'Tables - Part 2'!$AX$5:$BA$5,0))+(INDEX('Tables - Part 2'!$BB$6:$BE$13,MATCH(Ext_SCC_Chloride!$X19,'Tables - Part 2'!$AV$6:$AV$13,0),MATCH(Ext_SCC_Chloride!$U19,'Tables - Part 2'!$AX$5:$BA$5,0))+INDEX('Tables - Part 2'!$BF$6:$BI$13,MATCH(Ext_SCC_Chloride!$X19,'Tables - Part 2'!$AV$6:$AV$13,0),MATCH(Ext_SCC_Chloride!$U19,'Tables - Part 2'!$AX$5:$BA$5,0)))/2)/2)/2,0)</f>
        <v>0</v>
      </c>
      <c r="AS19" s="248">
        <f>IF($T19=$AS$3,(INDEX('Tables - Part 2'!$BB$6:$BE$13,MATCH(Ext_SCC_Chloride!$X19,'Tables - Part 2'!$AV$6:$AV$13,0),MATCH(Ext_SCC_Chloride!$U19,'Tables - Part 2'!$AX$5:$BA$5,0))+(INDEX('Tables - Part 2'!$BB$6:$BE$13,MATCH(Ext_SCC_Chloride!$X19,'Tables - Part 2'!$AV$6:$AV$13,0),MATCH(Ext_SCC_Chloride!$U19,'Tables - Part 2'!$AX$5:$BA$5,0))+INDEX('Tables - Part 2'!$BF$6:$BI$13,MATCH(Ext_SCC_Chloride!$X19,'Tables - Part 2'!$AV$6:$AV$13,0),MATCH(Ext_SCC_Chloride!$U19,'Tables - Part 2'!$AX$5:$BA$5,0)))/2)/2,0)</f>
        <v>0</v>
      </c>
      <c r="AT19" s="248">
        <f>IF($T19=$AT$3,(((INDEX('Tables - Part 2'!$BB$6:$BE$13,MATCH(Ext_SCC_Chloride!$X19,'Tables - Part 2'!$AV$6:$AV$13,0),MATCH(Ext_SCC_Chloride!$U19,'Tables - Part 2'!$AX$5:$BA$5,0))+(INDEX('Tables - Part 2'!$BB$6:$BE$13,MATCH(Ext_SCC_Chloride!$X19,'Tables - Part 2'!$AV$6:$AV$13,0),MATCH(Ext_SCC_Chloride!$U19,'Tables - Part 2'!$AX$5:$BA$5,0))+INDEX('Tables - Part 2'!$BF$6:$BI$13,MATCH(Ext_SCC_Chloride!$X19,'Tables - Part 2'!$AV$6:$AV$13,0),MATCH(Ext_SCC_Chloride!$U19,'Tables - Part 2'!$AX$5:$BA$5,0)))/2)/2)+((INDEX('Tables - Part 2'!$BB$6:$BE$13,MATCH(Ext_SCC_Chloride!$X19,'Tables - Part 2'!$AV$6:$AV$13,0),MATCH(Ext_SCC_Chloride!$U19,'Tables - Part 2'!$AX$5:$BA$5,0))+INDEX('Tables - Part 2'!$BF$6:$BI$13,MATCH(Ext_SCC_Chloride!$X19,'Tables - Part 2'!$AV$6:$AV$13,0),MATCH(Ext_SCC_Chloride!$U19,'Tables - Part 2'!$AX$5:$BA$5,0)))/2))/2,0)</f>
        <v>0</v>
      </c>
      <c r="AU19" s="248">
        <f>IF($T19=$AU$3,(INDEX('Tables - Part 2'!$BB$6:$BE$13,MATCH(Ext_SCC_Chloride!$X19,'Tables - Part 2'!$AV$6:$AV$13,0),MATCH(Ext_SCC_Chloride!$U19,'Tables - Part 2'!$AX$5:$BA$5,0))+INDEX('Tables - Part 2'!$BF$6:$BI$13,MATCH(Ext_SCC_Chloride!$X19,'Tables - Part 2'!$AV$6:$AV$13,0),MATCH(Ext_SCC_Chloride!$U19,'Tables - Part 2'!$AX$5:$BA$5,0)))/2,0)</f>
        <v>0</v>
      </c>
      <c r="AV19" s="248">
        <f>IF($T19=$AV$3,(((INDEX('Tables - Part 2'!$BB$6:$BE$13,MATCH(Ext_SCC_Chloride!$X19,'Tables - Part 2'!$AV$6:$AV$13,0),MATCH(Ext_SCC_Chloride!$U19,'Tables - Part 2'!$AX$5:$BA$5,0))+INDEX('Tables - Part 2'!$BF$6:$BI$13,MATCH(Ext_SCC_Chloride!$X19,'Tables - Part 2'!$AV$6:$AV$13,0),MATCH(Ext_SCC_Chloride!$U19,'Tables - Part 2'!$AX$5:$BA$5,0)))/2)+((((INDEX('Tables - Part 2'!$BB$6:$BE$13,MATCH(Ext_SCC_Chloride!$X19,'Tables - Part 2'!$AV$6:$AV$13,0),MATCH(Ext_SCC_Chloride!$U19,'Tables - Part 2'!$AX$5:$BA$5,0))+INDEX('Tables - Part 2'!$BF$6:$BI$13,MATCH(Ext_SCC_Chloride!$X19,'Tables - Part 2'!$AV$6:$AV$13,0),MATCH(Ext_SCC_Chloride!$U19,'Tables - Part 2'!$AX$5:$BA$5,0)))/2)+INDEX('Tables - Part 2'!$BF$6:$BI$13,MATCH(Ext_SCC_Chloride!$X19,'Tables - Part 2'!$AV$6:$AV$13,0),MATCH(Ext_SCC_Chloride!$U19,'Tables - Part 2'!$AX$5:$BA$5,0)))/2))/2,0)</f>
        <v>0</v>
      </c>
      <c r="AW19" s="248">
        <f>IF($T19=$AW$3,(((INDEX('Tables - Part 2'!$BB$6:$BE$13,MATCH(Ext_SCC_Chloride!$X19,'Tables - Part 2'!$AV$6:$AV$13,0),MATCH(Ext_SCC_Chloride!$U19,'Tables - Part 2'!$AX$5:$BA$5,0))+INDEX('Tables - Part 2'!$BF$6:$BI$13,MATCH(Ext_SCC_Chloride!$X19,'Tables - Part 2'!$AV$6:$AV$13,0),MATCH(Ext_SCC_Chloride!$U19,'Tables - Part 2'!$AX$5:$BA$5,0)))/2)+INDEX('Tables - Part 2'!$BF$6:$BI$13,MATCH(Ext_SCC_Chloride!$X19,'Tables - Part 2'!$AV$6:$AV$13,0),MATCH(Ext_SCC_Chloride!$U19,'Tables - Part 2'!$AX$5:$BA$5,0)))/2,0)</f>
        <v>0</v>
      </c>
      <c r="AX19" s="248">
        <f>IF($T19=$AX$3,(((((INDEX('Tables - Part 2'!$BB$6:$BE$13,MATCH(Ext_SCC_Chloride!$X19,'Tables - Part 2'!$AV$6:$AV$13,0),MATCH(Ext_SCC_Chloride!$U19,'Tables - Part 2'!$AX$5:$BA$5,0))+INDEX('Tables - Part 2'!$BF$6:$BI$13,MATCH(Ext_SCC_Chloride!$X19,'Tables - Part 2'!$AV$6:$AV$13,0),MATCH(Ext_SCC_Chloride!$U19,'Tables - Part 2'!$AX$5:$BA$5,0)))/2)+INDEX('Tables - Part 2'!$BF$6:$BI$13,MATCH(Ext_SCC_Chloride!$X19,'Tables - Part 2'!$AV$6:$AV$13,0),MATCH(Ext_SCC_Chloride!$U19,'Tables - Part 2'!$AX$5:$BA$5,0)))/2)+INDEX('Tables - Part 2'!$BF$6:$BI$13,MATCH(Ext_SCC_Chloride!$X19,'Tables - Part 2'!$AV$6:$AV$13,0),MATCH(Ext_SCC_Chloride!$U19,'Tables - Part 2'!$AX$5:$BA$5,0)))/2,0)</f>
        <v>0</v>
      </c>
      <c r="AY19" s="248">
        <f>IF($T19=$AY$3,INDEX('Tables - Part 2'!$BF$6:$BI$13,MATCH(Ext_SCC_Chloride!$X19,'Tables - Part 2'!$AV$6:$AV$13,0),MATCH(Ext_SCC_Chloride!$U19,'Tables - Part 2'!$AX$5:$BA$5,0)),0)</f>
        <v>0</v>
      </c>
      <c r="AZ19" s="248">
        <f>IF($T19=$AZ$3,(INDEX('Tables - Part 2'!$BF$6:$BI$13,MATCH(Ext_SCC_Chloride!$X19,'Tables - Part 2'!$AV$6:$AV$13,0),MATCH(Ext_SCC_Chloride!$U19,'Tables - Part 2'!$AX$5:$BA$5,0))+((INDEX('Tables - Part 2'!$BF$6:$BI$13,MATCH(Ext_SCC_Chloride!$X19,'Tables - Part 2'!$AV$6:$AV$13,0),MATCH(Ext_SCC_Chloride!$U19,'Tables - Part 2'!$AX$5:$BA$5,0))+(INDEX('Tables - Part 2'!$BF$6:$BI$13,MATCH(Ext_SCC_Chloride!$X19,'Tables - Part 2'!$AV$6:$AV$13,0),MATCH(Ext_SCC_Chloride!$U19,'Tables - Part 2'!$AX$5:$BA$5,0))+INDEX('Tables - Part 2'!$AX$17:$BA$24,MATCH(Ext_SCC_Chloride!$X19,'Tables - Part 2'!$AV$6:$AV$13,0),MATCH(Ext_SCC_Chloride!$U19,'Tables - Part 2'!$AX$5:$BA$5,0)))/2)/2))/2,0)</f>
        <v>0</v>
      </c>
      <c r="BA19" s="248">
        <f>IF($T19=$BA$3,(INDEX('Tables - Part 2'!$BF$6:$BI$13,MATCH(Ext_SCC_Chloride!$X19,'Tables - Part 2'!$AV$6:$AV$13,0),MATCH(Ext_SCC_Chloride!$U19,'Tables - Part 2'!$AX$5:$BA$5,0))+(INDEX('Tables - Part 2'!$BF$6:$BI$13,MATCH(Ext_SCC_Chloride!$X19,'Tables - Part 2'!$AV$6:$AV$13,0),MATCH(Ext_SCC_Chloride!$U19,'Tables - Part 2'!$AX$5:$BA$5,0))+INDEX('Tables - Part 2'!$AX$17:$BA$24,MATCH(Ext_SCC_Chloride!$X19,'Tables - Part 2'!$AV$6:$AV$13,0),MATCH(Ext_SCC_Chloride!$U19,'Tables - Part 2'!$AX$5:$BA$5,0)))/2)/2,0)</f>
        <v>0</v>
      </c>
      <c r="BB19" s="248">
        <f>IF($T19=$BB$3,(((INDEX('Tables - Part 2'!$BF$6:$BI$13,MATCH(Ext_SCC_Chloride!$X19,'Tables - Part 2'!$AV$6:$AV$13,0),MATCH(Ext_SCC_Chloride!$U19,'Tables - Part 2'!$AX$5:$BA$5,0))+(INDEX('Tables - Part 2'!$BF$6:$BI$13,MATCH(Ext_SCC_Chloride!$X19,'Tables - Part 2'!$AV$6:$AV$13,0),MATCH(Ext_SCC_Chloride!$U19,'Tables - Part 2'!$AX$5:$BA$5,0))+INDEX('Tables - Part 2'!$AX$17:$BA$24,MATCH(Ext_SCC_Chloride!$X19,'Tables - Part 2'!$AV$6:$AV$13,0),MATCH(Ext_SCC_Chloride!$U19,'Tables - Part 2'!$AX$5:$BA$5,0)))/2)/2)+((INDEX('Tables - Part 2'!$BF$6:$BI$13,MATCH(Ext_SCC_Chloride!$X19,'Tables - Part 2'!$AV$6:$AV$13,0),MATCH(Ext_SCC_Chloride!$U19,'Tables - Part 2'!$AX$5:$BA$5,0))+INDEX('Tables - Part 2'!$AX$17:$BA$24,MATCH(Ext_SCC_Chloride!$X19,'Tables - Part 2'!$AV$6:$AV$13,0),MATCH(Ext_SCC_Chloride!$U19,'Tables - Part 2'!$AX$5:$BA$5,0)))/2))/2,0)</f>
        <v>0</v>
      </c>
      <c r="BC19" s="248">
        <f>IF($T19=$BC$3,(INDEX('Tables - Part 2'!$BF$6:$BI$13,MATCH(Ext_SCC_Chloride!$X19,'Tables - Part 2'!$AV$6:$AV$13,0),MATCH(Ext_SCC_Chloride!$U19,'Tables - Part 2'!$AX$5:$BA$5,0))+INDEX('Tables - Part 2'!$AX$17:$BA$24,MATCH(Ext_SCC_Chloride!$X19,'Tables - Part 2'!$AV$6:$AV$13,0),MATCH(Ext_SCC_Chloride!$U19,'Tables - Part 2'!$AX$5:$BA$5,0)))/2,0)</f>
        <v>0</v>
      </c>
      <c r="BD19" s="248">
        <f>IF($T19=$BD$3,(((INDEX('Tables - Part 2'!$BF$6:$BI$13,MATCH(Ext_SCC_Chloride!$X19,'Tables - Part 2'!$AV$6:$AV$13,0),MATCH(Ext_SCC_Chloride!$U19,'Tables - Part 2'!$AX$5:$BA$5,0))+INDEX('Tables - Part 2'!$AX$17:$BA$24,MATCH(Ext_SCC_Chloride!$X19,'Tables - Part 2'!$AV$6:$AV$13,0),MATCH(Ext_SCC_Chloride!$U19,'Tables - Part 2'!$AX$5:$BA$5,0)))/2)+((((INDEX('Tables - Part 2'!$BF$6:$BI$13,MATCH(Ext_SCC_Chloride!$X19,'Tables - Part 2'!$AV$6:$AV$13,0),MATCH(Ext_SCC_Chloride!$U19,'Tables - Part 2'!$AX$5:$BA$5,0))+INDEX('Tables - Part 2'!$AX$17:$BA$24,MATCH(Ext_SCC_Chloride!$X19,'Tables - Part 2'!$AV$6:$AV$13,0),MATCH(Ext_SCC_Chloride!$U19,'Tables - Part 2'!$AX$5:$BA$5,0)))/2)+INDEX('Tables - Part 2'!$AX$17:$BA$24,MATCH(Ext_SCC_Chloride!$X19,'Tables - Part 2'!$AV$6:$AV$13,0),MATCH(Ext_SCC_Chloride!$U19,'Tables - Part 2'!$AX$5:$BA$5,0)))/2))/2,0)</f>
        <v>0</v>
      </c>
      <c r="BE19" s="248">
        <f>IF($T19=$BE$3,(((INDEX('Tables - Part 2'!$BF$6:$BI$13,MATCH(Ext_SCC_Chloride!$X19,'Tables - Part 2'!$AV$6:$AV$13,0),MATCH(Ext_SCC_Chloride!$U19,'Tables - Part 2'!$AX$5:$BA$5,0))+INDEX('Tables - Part 2'!$AX$17:$BA$24,MATCH(Ext_SCC_Chloride!$X19,'Tables - Part 2'!$AV$6:$AV$13,0),MATCH(Ext_SCC_Chloride!$U19,'Tables - Part 2'!$AX$5:$BA$5,0)))/2)+INDEX('Tables - Part 2'!$AX$17:$BA$24,MATCH(Ext_SCC_Chloride!$X19,'Tables - Part 2'!$AV$6:$AV$13,0),MATCH(Ext_SCC_Chloride!$U19,'Tables - Part 2'!$AX$5:$BA$5,0)))/2,0)</f>
        <v>0</v>
      </c>
      <c r="BF19" s="248">
        <f>IF($T19=$BF$3,(((((INDEX('Tables - Part 2'!$BF$6:$BI$13,MATCH(Ext_SCC_Chloride!$X19,'Tables - Part 2'!$AV$6:$AV$13,0),MATCH(Ext_SCC_Chloride!$U19,'Tables - Part 2'!$AX$5:$BA$5,0))+INDEX('Tables - Part 2'!$AX$17:$BA$24,MATCH(Ext_SCC_Chloride!$X19,'Tables - Part 2'!$AV$6:$AV$13,0),MATCH(Ext_SCC_Chloride!$U19,'Tables - Part 2'!$AX$5:$BA$5,0)))/2)+INDEX('Tables - Part 2'!$AX$17:$BA$24,MATCH(Ext_SCC_Chloride!$X19,'Tables - Part 2'!$AV$6:$AV$13,0),MATCH(Ext_SCC_Chloride!$U19,'Tables - Part 2'!$AX$5:$BA$5,0)))/2)+(INDEX('Tables - Part 2'!$AX$17:$BA$24,MATCH(Ext_SCC_Chloride!$X19,'Tables - Part 2'!$AV$6:$AV$13,0),MATCH(Ext_SCC_Chloride!$U19,'Tables - Part 2'!$AX$5:$BA$5,0))))/2,0)</f>
        <v>0</v>
      </c>
      <c r="BG19" s="248">
        <f>IF($T19=$BG$3,INDEX('Tables - Part 2'!$AX$17:$BA$24,MATCH(Ext_SCC_Chloride!$X19,'Tables - Part 2'!$AV$6:$AV$13,0),MATCH(Ext_SCC_Chloride!$U19,'Tables - Part 2'!$AX$5:$BA$5,0)),0)</f>
        <v>0</v>
      </c>
      <c r="BH19" s="248">
        <f>IF($T19=$BH$3,((INDEX('Tables - Part 2'!$AX$17:$BA$24,MATCH(Ext_SCC_Chloride!$X19,'Tables - Part 2'!$AV$6:$AV$13,0),MATCH(Ext_SCC_Chloride!$U19,'Tables - Part 2'!$AX$5:$BA$5,0)))+(((INDEX('Tables - Part 2'!$AX$17:$BA$24,MATCH(Ext_SCC_Chloride!$X19,'Tables - Part 2'!$AV$6:$AV$13,0),MATCH(Ext_SCC_Chloride!$U19,'Tables - Part 2'!$AX$5:$BA$5,0)))+(INDEX('Tables - Part 2'!$AX$17:$BA$24,MATCH(Ext_SCC_Chloride!$X19,'Tables - Part 2'!$AV$6:$AV$13,0),MATCH(Ext_SCC_Chloride!$U19,'Tables - Part 2'!$AX$5:$BA$5,0))+INDEX('Tables - Part 2'!$BB$17:$BE$24,MATCH(Ext_SCC_Chloride!$X19,'Tables - Part 2'!$AV$6:$AV$13,0),MATCH(Ext_SCC_Chloride!$U19,'Tables - Part 2'!$AX$5:$BA$5,0)))/2)/2))/2,0)</f>
        <v>0</v>
      </c>
      <c r="BI19" s="248">
        <f>IF($T19=$BI$3,((INDEX('Tables - Part 2'!$AX$17:$BA$24,MATCH(Ext_SCC_Chloride!$X19,'Tables - Part 2'!$AV$6:$AV$13,0),MATCH(Ext_SCC_Chloride!$U19,'Tables - Part 2'!$AX$5:$BA$5,0)))+(INDEX('Tables - Part 2'!$AX$17:$BA$24,MATCH(Ext_SCC_Chloride!$X19,'Tables - Part 2'!$AV$6:$AV$13,0),MATCH(Ext_SCC_Chloride!$U19,'Tables - Part 2'!$AX$5:$BA$5,0))+INDEX('Tables - Part 2'!$BB$17:$BE$24,MATCH(Ext_SCC_Chloride!$X19,'Tables - Part 2'!$AV$6:$AV$13,0),MATCH(Ext_SCC_Chloride!$U19,'Tables - Part 2'!$AX$5:$BA$5,0)))/2)/2,0)</f>
        <v>0</v>
      </c>
      <c r="BJ19" s="248">
        <f>IF($T19=$BJ$3,((((INDEX('Tables - Part 2'!$AX$17:$BA$24,MATCH(Ext_SCC_Chloride!$X19,'Tables - Part 2'!$AV$6:$AV$13,0),MATCH(Ext_SCC_Chloride!$U19,'Tables - Part 2'!$AX$5:$BA$5,0)))+(INDEX('Tables - Part 2'!$AX$17:$BA$24,MATCH(Ext_SCC_Chloride!$X19,'Tables - Part 2'!$AV$6:$AV$13,0),MATCH(Ext_SCC_Chloride!$U19,'Tables - Part 2'!$AX$5:$BA$5,0))+INDEX('Tables - Part 2'!$BB$17:$BE$24,MATCH(Ext_SCC_Chloride!$X19,'Tables - Part 2'!$AV$6:$AV$13,0),MATCH(Ext_SCC_Chloride!$U19,'Tables - Part 2'!$AX$5:$BA$5,0)))/2)/2)+((INDEX('Tables - Part 2'!$AX$17:$BA$24,MATCH(Ext_SCC_Chloride!$X19,'Tables - Part 2'!$AV$6:$AV$13,0),MATCH(Ext_SCC_Chloride!$U19,'Tables - Part 2'!$AX$5:$BA$5,0))+INDEX('Tables - Part 2'!$BB$17:$BE$24,MATCH(Ext_SCC_Chloride!$X19,'Tables - Part 2'!$AV$6:$AV$13,0),MATCH(Ext_SCC_Chloride!$U19,'Tables - Part 2'!$AX$5:$BA$5,0)))/2))/2,0)</f>
        <v>0</v>
      </c>
      <c r="BK19" s="248">
        <f>IF($T19=$BK$3,(INDEX('Tables - Part 2'!$AX$17:$BA$24,MATCH(Ext_SCC_Chloride!$X19,'Tables - Part 2'!$AV$6:$AV$13,0),MATCH(Ext_SCC_Chloride!$U19,'Tables - Part 2'!$AX$5:$BA$5,0))+INDEX('Tables - Part 2'!$BB$17:$BE$24,MATCH(Ext_SCC_Chloride!$X19,'Tables - Part 2'!$AV$6:$AV$13,0),MATCH(Ext_SCC_Chloride!$U19,'Tables - Part 2'!$AX$5:$BA$5,0)))/2,0)</f>
        <v>0</v>
      </c>
      <c r="BL19" s="248">
        <f>IF($T19=$BL$3,(((INDEX('Tables - Part 2'!$AX$17:$BA$24,MATCH(Ext_SCC_Chloride!$X19,'Tables - Part 2'!$AV$6:$AV$13,0),MATCH(Ext_SCC_Chloride!$U19,'Tables - Part 2'!$AX$5:$BA$5,0))+INDEX('Tables - Part 2'!$BB$17:$BE$24,MATCH(Ext_SCC_Chloride!$X19,'Tables - Part 2'!$AV$6:$AV$13,0),MATCH(Ext_SCC_Chloride!$U19,'Tables - Part 2'!$AX$5:$BA$5,0)))/2)+((((INDEX('Tables - Part 2'!$AX$17:$BA$24,MATCH(Ext_SCC_Chloride!$X19,'Tables - Part 2'!$AV$6:$AV$13,0),MATCH(Ext_SCC_Chloride!$U19,'Tables - Part 2'!$AX$5:$BA$5,0))+INDEX('Tables - Part 2'!$BB$17:$BE$24,MATCH(Ext_SCC_Chloride!$X19,'Tables - Part 2'!$AV$6:$AV$13,0),MATCH(Ext_SCC_Chloride!$U19,'Tables - Part 2'!$AX$5:$BA$5,0)))/2)+INDEX('Tables - Part 2'!$BB$17:$BE$24,MATCH(Ext_SCC_Chloride!$X19,'Tables - Part 2'!$AV$6:$AV$13,0),MATCH(Ext_SCC_Chloride!$U19,'Tables - Part 2'!$AX$5:$BA$5,0)))/2))/2,0)</f>
        <v>0</v>
      </c>
      <c r="BM19" s="248">
        <f>IF($T19=$BM$3,(((INDEX('Tables - Part 2'!$AX$17:$BA$24,MATCH(Ext_SCC_Chloride!$X19,'Tables - Part 2'!$AV$6:$AV$13,0),MATCH(Ext_SCC_Chloride!$U19,'Tables - Part 2'!$AX$5:$BA$5,0))+INDEX('Tables - Part 2'!$BB$17:$BE$24,MATCH(Ext_SCC_Chloride!$X19,'Tables - Part 2'!$AV$6:$AV$13,0),MATCH(Ext_SCC_Chloride!$U19,'Tables - Part 2'!$AX$5:$BA$5,0)))/2)+INDEX('Tables - Part 2'!$BB$17:$BE$24,MATCH(Ext_SCC_Chloride!$X19,'Tables - Part 2'!$AV$6:$AV$13,0),MATCH(Ext_SCC_Chloride!$U19,'Tables - Part 2'!$AX$5:$BA$5,0)))/2,0)</f>
        <v>0</v>
      </c>
      <c r="BN19" s="248">
        <f>IF($T19=$BN$3,(((((INDEX('Tables - Part 2'!$AX$17:$BA$24,MATCH(Ext_SCC_Chloride!$X19,'Tables - Part 2'!$AV$6:$AV$13,0),MATCH(Ext_SCC_Chloride!$U19,'Tables - Part 2'!$AX$5:$BA$5,0))+INDEX('Tables - Part 2'!$BB$17:$BE$24,MATCH(Ext_SCC_Chloride!$X19,'Tables - Part 2'!$AV$6:$AV$13,0),MATCH(Ext_SCC_Chloride!$U19,'Tables - Part 2'!$AX$5:$BA$5,0)))/2)+INDEX('Tables - Part 2'!$BB$17:$BE$24,MATCH(Ext_SCC_Chloride!$X19,'Tables - Part 2'!$AV$6:$AV$13,0),MATCH(Ext_SCC_Chloride!$U19,'Tables - Part 2'!$AX$5:$BA$5,0)))/2)+(INDEX('Tables - Part 2'!$BB$17:$BE$24,MATCH(Ext_SCC_Chloride!$X19,'Tables - Part 2'!$AV$6:$AV$13,0),MATCH(Ext_SCC_Chloride!$U19,'Tables - Part 2'!$AX$5:$BA$5,0))))/2,0)</f>
        <v>0</v>
      </c>
      <c r="BO19" s="248">
        <f>IF($T19=$BO$3,INDEX('Tables - Part 2'!$BB$17:$BE$24,MATCH(Ext_SCC_Chloride!$X19,'Tables - Part 2'!$AV$6:$AV$13,0),MATCH(Ext_SCC_Chloride!$U19,'Tables - Part 2'!$AX$5:$BA$5,0)),0)</f>
        <v>0</v>
      </c>
      <c r="BP19" s="248">
        <f>IF($T19=$BP$3,((INDEX('Tables - Part 2'!$BB$17:$BE$24,MATCH(Ext_SCC_Chloride!$X19,'Tables - Part 2'!$AV$6:$AV$13,0),MATCH(Ext_SCC_Chloride!$U19,'Tables - Part 2'!$AX$5:$BA$5,0)))+(((INDEX('Tables - Part 2'!$BB$17:$BE$24,MATCH(Ext_SCC_Chloride!$X19,'Tables - Part 2'!$AV$6:$AV$13,0),MATCH(Ext_SCC_Chloride!$U19,'Tables - Part 2'!$AX$5:$BA$5,0)))+(INDEX('Tables - Part 2'!$BB$17:$BE$24,MATCH(Ext_SCC_Chloride!$X19,'Tables - Part 2'!$AV$6:$AV$13,0),MATCH(Ext_SCC_Chloride!$U19,'Tables - Part 2'!$AX$5:$BA$5,0))+INDEX('Tables - Part 2'!$BF$17:$BI$24,MATCH(Ext_SCC_Chloride!$X19,'Tables - Part 2'!$AV$6:$AV$13,0),MATCH(Ext_SCC_Chloride!$U19,'Tables - Part 2'!$AX$5:$BA$5,0)))/2)/2))/2,0)</f>
        <v>0</v>
      </c>
      <c r="BQ19" s="248">
        <f>IF($T19=$BQ$3,((INDEX('Tables - Part 2'!$BB$17:$BE$24,MATCH(Ext_SCC_Chloride!$X19,'Tables - Part 2'!$AV$6:$AV$13,0),MATCH(Ext_SCC_Chloride!$U19,'Tables - Part 2'!$AX$5:$BA$5,0)))+(INDEX('Tables - Part 2'!$BB$17:$BE$24,MATCH(Ext_SCC_Chloride!$X19,'Tables - Part 2'!$AV$6:$AV$13,0),MATCH(Ext_SCC_Chloride!$U19,'Tables - Part 2'!$AX$5:$BA$5,0))+INDEX('Tables - Part 2'!$BF$17:$BI$24,MATCH(Ext_SCC_Chloride!$X19,'Tables - Part 2'!$AV$6:$AV$13,0),MATCH(Ext_SCC_Chloride!$U19,'Tables - Part 2'!$AX$5:$BA$5,0)))/2)/2,0)</f>
        <v>0</v>
      </c>
      <c r="BR19" s="248">
        <f>IF($T19=$BR$3,((((INDEX('Tables - Part 2'!$BB$17:$BE$24,MATCH(Ext_SCC_Chloride!$X19,'Tables - Part 2'!$AV$6:$AV$13,0),MATCH(Ext_SCC_Chloride!$U19,'Tables - Part 2'!$AX$5:$BA$5,0)))+(INDEX('Tables - Part 2'!$BB$17:$BE$24,MATCH(Ext_SCC_Chloride!$X19,'Tables - Part 2'!$AV$6:$AV$13,0),MATCH(Ext_SCC_Chloride!$U19,'Tables - Part 2'!$AX$5:$BA$5,0))+INDEX('Tables - Part 2'!$BF$17:$BI$24,MATCH(Ext_SCC_Chloride!$X19,'Tables - Part 2'!$AV$6:$AV$13,0),MATCH(Ext_SCC_Chloride!$U19,'Tables - Part 2'!$AX$5:$BA$5,0)))/2)/2)+((INDEX('Tables - Part 2'!$BB$17:$BE$24,MATCH(Ext_SCC_Chloride!$X19,'Tables - Part 2'!$AV$6:$AV$13,0),MATCH(Ext_SCC_Chloride!$U19,'Tables - Part 2'!$AX$5:$BA$5,0))+INDEX('Tables - Part 2'!$BF$17:$BI$24,MATCH(Ext_SCC_Chloride!$X19,'Tables - Part 2'!$AV$6:$AV$13,0),MATCH(Ext_SCC_Chloride!$U19,'Tables - Part 2'!$AX$5:$BA$5,0)))/2))/2,0)</f>
        <v>0</v>
      </c>
      <c r="BS19" s="248">
        <f>IF($T19=$BS$3,(INDEX('Tables - Part 2'!$BB$17:$BE$24,MATCH(Ext_SCC_Chloride!$X19,'Tables - Part 2'!$AV$6:$AV$13,0),MATCH(Ext_SCC_Chloride!$U19,'Tables - Part 2'!$AX$5:$BA$5,0))+INDEX('Tables - Part 2'!$BF$17:$BI$24,MATCH(Ext_SCC_Chloride!$X19,'Tables - Part 2'!$AV$6:$AV$13,0),MATCH(Ext_SCC_Chloride!$U19,'Tables - Part 2'!$AX$5:$BA$5,0)))/2,0)</f>
        <v>0</v>
      </c>
      <c r="BT19" s="248">
        <f>IF($T19=$BT$3,(((INDEX('Tables - Part 2'!$BB$17:$BE$24,MATCH(Ext_SCC_Chloride!$X19,'Tables - Part 2'!$AV$6:$AV$13,0),MATCH(Ext_SCC_Chloride!$U19,'Tables - Part 2'!$AX$5:$BA$5,0))+INDEX('Tables - Part 2'!$BF$17:$BI$24,MATCH(Ext_SCC_Chloride!$X19,'Tables - Part 2'!$AV$6:$AV$13,0),MATCH(Ext_SCC_Chloride!$U19,'Tables - Part 2'!$AX$5:$BA$5,0)))/2)+((((INDEX('Tables - Part 2'!$BB$17:$BE$24,MATCH(Ext_SCC_Chloride!$X19,'Tables - Part 2'!$AV$6:$AV$13,0),MATCH(Ext_SCC_Chloride!$U19,'Tables - Part 2'!$AX$5:$BA$5,0))+INDEX('Tables - Part 2'!$BF$17:$BI$24,MATCH(Ext_SCC_Chloride!$X19,'Tables - Part 2'!$AV$6:$AV$13,0),MATCH(Ext_SCC_Chloride!$U19,'Tables - Part 2'!$AX$5:$BA$5,0)))/2)+INDEX('Tables - Part 2'!$BF$17:$BI$24,MATCH(Ext_SCC_Chloride!$X19,'Tables - Part 2'!$AV$6:$AV$13,0),MATCH(Ext_SCC_Chloride!$U19,'Tables - Part 2'!$AX$5:$BA$5,0)))/2))/2,0)</f>
        <v>0</v>
      </c>
      <c r="BU19" s="248">
        <f>IF($T19=$BU$3,(((INDEX('Tables - Part 2'!$BB$17:$BE$24,MATCH(Ext_SCC_Chloride!$X19,'Tables - Part 2'!$AV$6:$AV$13,0),MATCH(Ext_SCC_Chloride!$U19,'Tables - Part 2'!$AX$5:$BA$5,0))+INDEX('Tables - Part 2'!$BF$17:$BI$24,MATCH(Ext_SCC_Chloride!$X19,'Tables - Part 2'!$AV$6:$AV$13,0),MATCH(Ext_SCC_Chloride!$U19,'Tables - Part 2'!$AX$5:$BA$5,0)))/2)+INDEX('Tables - Part 2'!$BF$17:$BI$24,MATCH(Ext_SCC_Chloride!$X19,'Tables - Part 2'!$AV$6:$AV$13,0),MATCH(Ext_SCC_Chloride!$U19,'Tables - Part 2'!$AX$5:$BA$5,0)))/2,0)</f>
        <v>0</v>
      </c>
      <c r="BV19" s="248">
        <f>IF($T19=$BV$3,(((((INDEX('Tables - Part 2'!$BB$17:$BE$24,MATCH(Ext_SCC_Chloride!$X19,'Tables - Part 2'!$AV$6:$AV$13,0),MATCH(Ext_SCC_Chloride!$U19,'Tables - Part 2'!$AX$5:$BA$5,0))+INDEX('Tables - Part 2'!$BF$17:$BI$24,MATCH(Ext_SCC_Chloride!$X19,'Tables - Part 2'!$AV$6:$AV$13,0),MATCH(Ext_SCC_Chloride!$U19,'Tables - Part 2'!$AX$5:$BA$5,0)))/2)+INDEX('Tables - Part 2'!$BF$17:$BI$24,MATCH(Ext_SCC_Chloride!$X19,'Tables - Part 2'!$AV$6:$AV$13,0),MATCH(Ext_SCC_Chloride!$U19,'Tables - Part 2'!$AX$5:$BA$5,0)))/2)+(INDEX('Tables - Part 2'!$BF$17:$BI$24,MATCH(Ext_SCC_Chloride!$X19,'Tables - Part 2'!$AV$6:$AV$13,0),MATCH(Ext_SCC_Chloride!$U19,'Tables - Part 2'!$AX$5:$BA$5,0))))/2,0)</f>
        <v>0</v>
      </c>
      <c r="BW19" s="248">
        <f>IF($T19=$BW$3,INDEX('Tables - Part 2'!$BF$17:$BI$24,MATCH(Ext_SCC_Chloride!$X19,'Tables - Part 2'!$AV$6:$AV$13,0),MATCH(Ext_SCC_Chloride!$U19,'Tables - Part 2'!$AX$5:$BA$5,0)),0)</f>
        <v>0</v>
      </c>
      <c r="BX19" s="248">
        <f t="shared" si="5"/>
        <v>0</v>
      </c>
      <c r="BY19" s="238">
        <f t="shared" si="12"/>
        <v>0</v>
      </c>
      <c r="BZ19" s="238">
        <f t="shared" si="13"/>
        <v>0</v>
      </c>
    </row>
    <row r="20" spans="2:78" x14ac:dyDescent="0.35">
      <c r="B20" s="161" t="str">
        <f>'Tratamento de Dados'!B28</f>
        <v>V-90</v>
      </c>
      <c r="C20" s="161" t="str">
        <f>'Tratamento de Dados'!D28</f>
        <v>Casco</v>
      </c>
      <c r="D20" s="209" t="s">
        <v>245</v>
      </c>
      <c r="E20" s="209" t="s">
        <v>61</v>
      </c>
      <c r="F20" s="247">
        <f>'Tratamento de Dados'!S28</f>
        <v>2</v>
      </c>
      <c r="G20" s="209" t="s">
        <v>953</v>
      </c>
      <c r="H20" s="210">
        <v>35234</v>
      </c>
      <c r="I20" s="210">
        <v>43983</v>
      </c>
      <c r="J20" s="210">
        <v>39092</v>
      </c>
      <c r="K20" s="210">
        <f>'Tratamento de Dados'!CC28</f>
        <v>0</v>
      </c>
      <c r="L20" s="209">
        <f>'Tratamento de Dados'!CD28</f>
        <v>0</v>
      </c>
      <c r="M20" s="209" t="s">
        <v>905</v>
      </c>
      <c r="N20" s="209">
        <v>0</v>
      </c>
      <c r="O20" s="209">
        <v>1</v>
      </c>
      <c r="P20" s="209">
        <v>1</v>
      </c>
      <c r="Q20" s="209">
        <v>4</v>
      </c>
      <c r="R20" s="253">
        <f>'Tratamento de Dados'!DA28</f>
        <v>0</v>
      </c>
      <c r="S20" s="253">
        <f>'Tratamento de Dados'!DB28</f>
        <v>0</v>
      </c>
      <c r="T20" s="256">
        <f t="shared" si="0"/>
        <v>2.5</v>
      </c>
      <c r="U20" s="246" t="str">
        <f t="shared" si="1"/>
        <v>B</v>
      </c>
      <c r="V20" s="246" t="str">
        <f>IF(F20&lt;49,'Tables - Part 2'!$FH$5,IF(F20&lt;=93,'Tables - Part 2'!$FH$6,IF(F20&lt;=149,'Tables - Part 2'!$FH$7,'Tables - Part 2'!$FH$8)))</f>
        <v>&lt;49</v>
      </c>
      <c r="W20" s="467" t="str">
        <f>IF(D20=$CE$2,$CC$5,INDEX('Tables - Part 2'!$FI$5:$FL$8,MATCH(Ext_SCC_Chloride!V20,'Tables - Part 2'!$FH$5:$FH$8,0),MATCH(Ext_SCC_Chloride!M20,'Tables - Part 2'!$FI$4:$FL$4,0)))</f>
        <v>None</v>
      </c>
      <c r="X20" s="238">
        <f>IF(AND(D20=$CE$2,E20&lt;&gt;$CE$2),"Fitness-For-Service",INDEX('Tables - Part 2'!$FO$4:$FO$7,MATCH(Ext_SCC_Chloride!W20,'Tables - Part 2'!$FN$4:$FN$7,0),))</f>
        <v>0</v>
      </c>
      <c r="Y20" s="238">
        <f>IF(J20=0,(Thinning!G21-Thinning!F21)/365.25,(Thinning!G21-J20)/365.25)</f>
        <v>12.980150581793293</v>
      </c>
      <c r="Z20" s="248">
        <f t="shared" si="2"/>
        <v>0</v>
      </c>
      <c r="AA20" s="248">
        <f t="shared" si="3"/>
        <v>2.5</v>
      </c>
      <c r="AB20" s="247">
        <f t="shared" si="6"/>
        <v>3</v>
      </c>
      <c r="AC20" s="247">
        <f t="shared" si="4"/>
        <v>4</v>
      </c>
      <c r="AD20" s="247">
        <f t="shared" si="7"/>
        <v>120.41889117043121</v>
      </c>
      <c r="AE20" s="247">
        <f t="shared" si="8"/>
        <v>0</v>
      </c>
      <c r="AF20" s="247">
        <f t="shared" si="9"/>
        <v>0</v>
      </c>
      <c r="AG20" s="247">
        <f t="shared" si="10"/>
        <v>0</v>
      </c>
      <c r="AH20" s="247">
        <f t="shared" si="11"/>
        <v>12.980150581793293</v>
      </c>
      <c r="AI20" s="248">
        <f>IF($T20=$AI$3,INDEX('Tables - Part 2'!$AX$6:$BA$13,MATCH(Ext_SCC_Chloride!X20,'Tables - Part 2'!$AV$6:$AV$13,0),MATCH(Ext_SCC_Chloride!U20,'Tables - Part 2'!$AX$5:$BA$5,0)),0)</f>
        <v>0</v>
      </c>
      <c r="AJ20" s="248">
        <f>IF($T20=$AJ$3,(INDEX('Tables - Part 2'!$AX$6:$BA$13,MATCH(Ext_SCC_Chloride!X20,'Tables - Part 2'!$AV$6:$AV$13,0),MATCH(Ext_SCC_Chloride!U20,'Tables - Part 2'!$AX$5:$BA$5,0))+(INDEX('Tables - Part 2'!$AX$6:$BA$13,MATCH(Ext_SCC_Chloride!X20,'Tables - Part 2'!$AV$6:$AV$13,0),MATCH(Ext_SCC_Chloride!U20,'Tables - Part 2'!$AX$5:$BA$5,0))+((INDEX('Tables - Part 2'!$AX$6:$BA$13,MATCH(Ext_SCC_Chloride!X20,'Tables - Part 2'!$AV$6:$AV$13,0),MATCH(Ext_SCC_Chloride!U20,'Tables - Part 2'!$AX$5:$BA$5,0))+INDEX('Tables - Part 2'!$BB$6:$BE$13,MATCH(Ext_SCC_Chloride!$X20,'Tables - Part 2'!$AV$6:$AV$13,0),MATCH(Ext_SCC_Chloride!$U20,'Tables - Part 2'!$AX$5:$BA$5,0)))/2))/2)/2,0)</f>
        <v>0</v>
      </c>
      <c r="AK20" s="248">
        <f>IF($T20=$AK$3,(INDEX('Tables - Part 2'!$AX$6:$BA$13,MATCH(Ext_SCC_Chloride!X20,'Tables - Part 2'!$AV$6:$AV$13,0),MATCH(Ext_SCC_Chloride!U20,'Tables - Part 2'!$AX$5:$BA$5,0))+((INDEX('Tables - Part 2'!$AX$6:$BA$13,MATCH(Ext_SCC_Chloride!X20,'Tables - Part 2'!$AV$6:$AV$13,0),MATCH(Ext_SCC_Chloride!U20,'Tables - Part 2'!$AX$5:$BA$5,0))+INDEX('Tables - Part 2'!$BB$6:$BE$13,MATCH(Ext_SCC_Chloride!$X20,'Tables - Part 2'!$AV$6:$AV$13,0),MATCH(Ext_SCC_Chloride!$U20,'Tables - Part 2'!$AX$5:$BA$5,0)))/2))/2,0)</f>
        <v>0</v>
      </c>
      <c r="AL20" s="248">
        <f>IF($T20=$AL$3,(((INDEX('Tables - Part 2'!$AX$6:$BA$13,MATCH(Ext_SCC_Chloride!X20,'Tables - Part 2'!$AV$6:$AV$13,0),MATCH(Ext_SCC_Chloride!U20,'Tables - Part 2'!$AX$5:$BA$5,0))+((INDEX('Tables - Part 2'!$AX$6:$BA$13,MATCH(Ext_SCC_Chloride!X20,'Tables - Part 2'!$AV$6:$AV$13,0),MATCH(Ext_SCC_Chloride!U20,'Tables - Part 2'!$AX$5:$BA$5,0))+INDEX('Tables - Part 2'!$BB$6:$BE$13,MATCH(Ext_SCC_Chloride!$X20,'Tables - Part 2'!$AV$6:$AV$13,0),MATCH(Ext_SCC_Chloride!$U20,'Tables - Part 2'!$AX$5:$BA$5,0)))/2))/2)+(INDEX('Tables - Part 2'!$AX$6:$BA$13,MATCH(Ext_SCC_Chloride!X20,'Tables - Part 2'!$AV$6:$AV$13,0),MATCH(Ext_SCC_Chloride!U20,'Tables - Part 2'!$AX$5:$BA$5,0))+INDEX('Tables - Part 2'!$BB$6:$BE$13,MATCH(Ext_SCC_Chloride!$X20,'Tables - Part 2'!$AV$6:$AV$13,0),MATCH(Ext_SCC_Chloride!$U20,'Tables - Part 2'!$AX$5:$BA$5,0)))/2)/2,0)</f>
        <v>0</v>
      </c>
      <c r="AM20" s="248">
        <f>IF($T20=$AM$3,(INDEX('Tables - Part 2'!$AX$6:$BA$13,MATCH(Ext_SCC_Chloride!X20,'Tables - Part 2'!$AV$6:$AV$13,0),MATCH(Ext_SCC_Chloride!U20,'Tables - Part 2'!$AX$5:$BA$5,0))+INDEX('Tables - Part 2'!$BB$6:$BE$13,MATCH(Ext_SCC_Chloride!$X20,'Tables - Part 2'!$AV$6:$AV$13,0),MATCH(Ext_SCC_Chloride!$U20,'Tables - Part 2'!$AX$5:$BA$5,0)))/2,0)</f>
        <v>0</v>
      </c>
      <c r="AN20" s="248">
        <f>IF($T20=$AN$3,(((INDEX('Tables - Part 2'!$AX$6:$BA$13,MATCH(Ext_SCC_Chloride!X20,'Tables - Part 2'!$AV$6:$AV$13,0),MATCH(Ext_SCC_Chloride!U20,'Tables - Part 2'!$AX$5:$BA$5,0))+INDEX('Tables - Part 2'!$BB$6:$BE$13,MATCH(Ext_SCC_Chloride!$X20,'Tables - Part 2'!$AV$6:$AV$13,0),MATCH(Ext_SCC_Chloride!$U20,'Tables - Part 2'!$AX$5:$BA$5,0)))/2)+(((INDEX('Tables - Part 2'!$AX$6:$BA$13,MATCH(Ext_SCC_Chloride!X20,'Tables - Part 2'!$AV$6:$AV$13,0),MATCH(Ext_SCC_Chloride!U20,'Tables - Part 2'!$AX$5:$BA$5,0))+INDEX('Tables - Part 2'!$BB$6:$BE$13,MATCH(Ext_SCC_Chloride!$X20,'Tables - Part 2'!$AV$6:$AV$13,0),MATCH(Ext_SCC_Chloride!$U20,'Tables - Part 2'!$AX$5:$BA$5,0)))/2)+INDEX('Tables - Part 2'!$BB$6:$BE$13,MATCH(Ext_SCC_Chloride!$X20,'Tables - Part 2'!$AV$6:$AV$13,0),MATCH(Ext_SCC_Chloride!$U20,'Tables - Part 2'!$AX$5:$BA$5,0)))/2)/2,0)</f>
        <v>0</v>
      </c>
      <c r="AO20" s="248">
        <f>IF($T20=$AO$3,(((INDEX('Tables - Part 2'!$AX$6:$BA$13,MATCH(Ext_SCC_Chloride!X20,'Tables - Part 2'!$AV$6:$AV$13,0),MATCH(Ext_SCC_Chloride!U20,'Tables - Part 2'!$AX$5:$BA$5,0))+INDEX('Tables - Part 2'!$BB$6:$BE$13,MATCH(Ext_SCC_Chloride!$X20,'Tables - Part 2'!$AV$6:$AV$13,0),MATCH(Ext_SCC_Chloride!$U20,'Tables - Part 2'!$AX$5:$BA$5,0)))/2)+INDEX('Tables - Part 2'!$BB$6:$BE$13,MATCH(Ext_SCC_Chloride!$X20,'Tables - Part 2'!$AV$6:$AV$13,0),MATCH(Ext_SCC_Chloride!$U20,'Tables - Part 2'!$AX$5:$BA$5,0)))/2,0)</f>
        <v>0</v>
      </c>
      <c r="AP20" s="248">
        <f>IF($T20=$AP$3,(((((INDEX('Tables - Part 2'!$AX$6:$BA$13,MATCH(Ext_SCC_Chloride!X20,'Tables - Part 2'!$AV$6:$AV$13,0),MATCH(Ext_SCC_Chloride!U20,'Tables - Part 2'!$AX$5:$BA$5,0))+INDEX('Tables - Part 2'!$BB$6:$BE$13,MATCH(Ext_SCC_Chloride!$X20,'Tables - Part 2'!$AV$6:$AV$13,0),MATCH(Ext_SCC_Chloride!$U20,'Tables - Part 2'!$AX$5:$BA$5,0)))/2)+INDEX('Tables - Part 2'!$BB$6:$BE$13,MATCH(Ext_SCC_Chloride!$X20,'Tables - Part 2'!$AV$6:$AV$13,0),MATCH(Ext_SCC_Chloride!$U20,'Tables - Part 2'!$AX$5:$BA$5,0)))/2)+INDEX('Tables - Part 2'!$BB$6:$BE$13,MATCH(Ext_SCC_Chloride!$X20,'Tables - Part 2'!$AV$6:$AV$13,0),MATCH(Ext_SCC_Chloride!$U20,'Tables - Part 2'!$AX$5:$BA$5,0)))/2,0)</f>
        <v>0</v>
      </c>
      <c r="AQ20" s="248">
        <f>IF($T20=$AQ$3,INDEX('Tables - Part 2'!$BB$6:$BE$13,MATCH(Ext_SCC_Chloride!$X20,'Tables - Part 2'!$AV$6:$AV$13,0),MATCH(Ext_SCC_Chloride!$U20,'Tables - Part 2'!$AX$5:$BA$5,0)),0)</f>
        <v>0</v>
      </c>
      <c r="AR20" s="248">
        <f>IF($T20=$AR$3,((INDEX('Tables - Part 2'!$BB$6:$BE$13,MATCH(Ext_SCC_Chloride!$X20,'Tables - Part 2'!$AV$6:$AV$13,0),MATCH(Ext_SCC_Chloride!$U20,'Tables - Part 2'!$AX$5:$BA$5,0)))+(INDEX('Tables - Part 2'!$BB$6:$BE$13,MATCH(Ext_SCC_Chloride!$X20,'Tables - Part 2'!$AV$6:$AV$13,0),MATCH(Ext_SCC_Chloride!$U20,'Tables - Part 2'!$AX$5:$BA$5,0))+(INDEX('Tables - Part 2'!$BB$6:$BE$13,MATCH(Ext_SCC_Chloride!$X20,'Tables - Part 2'!$AV$6:$AV$13,0),MATCH(Ext_SCC_Chloride!$U20,'Tables - Part 2'!$AX$5:$BA$5,0))+INDEX('Tables - Part 2'!$BF$6:$BI$13,MATCH(Ext_SCC_Chloride!$X20,'Tables - Part 2'!$AV$6:$AV$13,0),MATCH(Ext_SCC_Chloride!$U20,'Tables - Part 2'!$AX$5:$BA$5,0)))/2)/2)/2,0)</f>
        <v>0</v>
      </c>
      <c r="AS20" s="248">
        <f>IF($T20=$AS$3,(INDEX('Tables - Part 2'!$BB$6:$BE$13,MATCH(Ext_SCC_Chloride!$X20,'Tables - Part 2'!$AV$6:$AV$13,0),MATCH(Ext_SCC_Chloride!$U20,'Tables - Part 2'!$AX$5:$BA$5,0))+(INDEX('Tables - Part 2'!$BB$6:$BE$13,MATCH(Ext_SCC_Chloride!$X20,'Tables - Part 2'!$AV$6:$AV$13,0),MATCH(Ext_SCC_Chloride!$U20,'Tables - Part 2'!$AX$5:$BA$5,0))+INDEX('Tables - Part 2'!$BF$6:$BI$13,MATCH(Ext_SCC_Chloride!$X20,'Tables - Part 2'!$AV$6:$AV$13,0),MATCH(Ext_SCC_Chloride!$U20,'Tables - Part 2'!$AX$5:$BA$5,0)))/2)/2,0)</f>
        <v>0</v>
      </c>
      <c r="AT20" s="248">
        <f>IF($T20=$AT$3,(((INDEX('Tables - Part 2'!$BB$6:$BE$13,MATCH(Ext_SCC_Chloride!$X20,'Tables - Part 2'!$AV$6:$AV$13,0),MATCH(Ext_SCC_Chloride!$U20,'Tables - Part 2'!$AX$5:$BA$5,0))+(INDEX('Tables - Part 2'!$BB$6:$BE$13,MATCH(Ext_SCC_Chloride!$X20,'Tables - Part 2'!$AV$6:$AV$13,0),MATCH(Ext_SCC_Chloride!$U20,'Tables - Part 2'!$AX$5:$BA$5,0))+INDEX('Tables - Part 2'!$BF$6:$BI$13,MATCH(Ext_SCC_Chloride!$X20,'Tables - Part 2'!$AV$6:$AV$13,0),MATCH(Ext_SCC_Chloride!$U20,'Tables - Part 2'!$AX$5:$BA$5,0)))/2)/2)+((INDEX('Tables - Part 2'!$BB$6:$BE$13,MATCH(Ext_SCC_Chloride!$X20,'Tables - Part 2'!$AV$6:$AV$13,0),MATCH(Ext_SCC_Chloride!$U20,'Tables - Part 2'!$AX$5:$BA$5,0))+INDEX('Tables - Part 2'!$BF$6:$BI$13,MATCH(Ext_SCC_Chloride!$X20,'Tables - Part 2'!$AV$6:$AV$13,0),MATCH(Ext_SCC_Chloride!$U20,'Tables - Part 2'!$AX$5:$BA$5,0)))/2))/2,0)</f>
        <v>0</v>
      </c>
      <c r="AU20" s="248">
        <f>IF($T20=$AU$3,(INDEX('Tables - Part 2'!$BB$6:$BE$13,MATCH(Ext_SCC_Chloride!$X20,'Tables - Part 2'!$AV$6:$AV$13,0),MATCH(Ext_SCC_Chloride!$U20,'Tables - Part 2'!$AX$5:$BA$5,0))+INDEX('Tables - Part 2'!$BF$6:$BI$13,MATCH(Ext_SCC_Chloride!$X20,'Tables - Part 2'!$AV$6:$AV$13,0),MATCH(Ext_SCC_Chloride!$U20,'Tables - Part 2'!$AX$5:$BA$5,0)))/2,0)</f>
        <v>0</v>
      </c>
      <c r="AV20" s="248">
        <f>IF($T20=$AV$3,(((INDEX('Tables - Part 2'!$BB$6:$BE$13,MATCH(Ext_SCC_Chloride!$X20,'Tables - Part 2'!$AV$6:$AV$13,0),MATCH(Ext_SCC_Chloride!$U20,'Tables - Part 2'!$AX$5:$BA$5,0))+INDEX('Tables - Part 2'!$BF$6:$BI$13,MATCH(Ext_SCC_Chloride!$X20,'Tables - Part 2'!$AV$6:$AV$13,0),MATCH(Ext_SCC_Chloride!$U20,'Tables - Part 2'!$AX$5:$BA$5,0)))/2)+((((INDEX('Tables - Part 2'!$BB$6:$BE$13,MATCH(Ext_SCC_Chloride!$X20,'Tables - Part 2'!$AV$6:$AV$13,0),MATCH(Ext_SCC_Chloride!$U20,'Tables - Part 2'!$AX$5:$BA$5,0))+INDEX('Tables - Part 2'!$BF$6:$BI$13,MATCH(Ext_SCC_Chloride!$X20,'Tables - Part 2'!$AV$6:$AV$13,0),MATCH(Ext_SCC_Chloride!$U20,'Tables - Part 2'!$AX$5:$BA$5,0)))/2)+INDEX('Tables - Part 2'!$BF$6:$BI$13,MATCH(Ext_SCC_Chloride!$X20,'Tables - Part 2'!$AV$6:$AV$13,0),MATCH(Ext_SCC_Chloride!$U20,'Tables - Part 2'!$AX$5:$BA$5,0)))/2))/2,0)</f>
        <v>0</v>
      </c>
      <c r="AW20" s="248">
        <f>IF($T20=$AW$3,(((INDEX('Tables - Part 2'!$BB$6:$BE$13,MATCH(Ext_SCC_Chloride!$X20,'Tables - Part 2'!$AV$6:$AV$13,0),MATCH(Ext_SCC_Chloride!$U20,'Tables - Part 2'!$AX$5:$BA$5,0))+INDEX('Tables - Part 2'!$BF$6:$BI$13,MATCH(Ext_SCC_Chloride!$X20,'Tables - Part 2'!$AV$6:$AV$13,0),MATCH(Ext_SCC_Chloride!$U20,'Tables - Part 2'!$AX$5:$BA$5,0)))/2)+INDEX('Tables - Part 2'!$BF$6:$BI$13,MATCH(Ext_SCC_Chloride!$X20,'Tables - Part 2'!$AV$6:$AV$13,0),MATCH(Ext_SCC_Chloride!$U20,'Tables - Part 2'!$AX$5:$BA$5,0)))/2,0)</f>
        <v>0</v>
      </c>
      <c r="AX20" s="248">
        <f>IF($T20=$AX$3,(((((INDEX('Tables - Part 2'!$BB$6:$BE$13,MATCH(Ext_SCC_Chloride!$X20,'Tables - Part 2'!$AV$6:$AV$13,0),MATCH(Ext_SCC_Chloride!$U20,'Tables - Part 2'!$AX$5:$BA$5,0))+INDEX('Tables - Part 2'!$BF$6:$BI$13,MATCH(Ext_SCC_Chloride!$X20,'Tables - Part 2'!$AV$6:$AV$13,0),MATCH(Ext_SCC_Chloride!$U20,'Tables - Part 2'!$AX$5:$BA$5,0)))/2)+INDEX('Tables - Part 2'!$BF$6:$BI$13,MATCH(Ext_SCC_Chloride!$X20,'Tables - Part 2'!$AV$6:$AV$13,0),MATCH(Ext_SCC_Chloride!$U20,'Tables - Part 2'!$AX$5:$BA$5,0)))/2)+INDEX('Tables - Part 2'!$BF$6:$BI$13,MATCH(Ext_SCC_Chloride!$X20,'Tables - Part 2'!$AV$6:$AV$13,0),MATCH(Ext_SCC_Chloride!$U20,'Tables - Part 2'!$AX$5:$BA$5,0)))/2,0)</f>
        <v>0</v>
      </c>
      <c r="AY20" s="248">
        <f>IF($T20=$AY$3,INDEX('Tables - Part 2'!$BF$6:$BI$13,MATCH(Ext_SCC_Chloride!$X20,'Tables - Part 2'!$AV$6:$AV$13,0),MATCH(Ext_SCC_Chloride!$U20,'Tables - Part 2'!$AX$5:$BA$5,0)),0)</f>
        <v>0</v>
      </c>
      <c r="AZ20" s="248">
        <f>IF($T20=$AZ$3,(INDEX('Tables - Part 2'!$BF$6:$BI$13,MATCH(Ext_SCC_Chloride!$X20,'Tables - Part 2'!$AV$6:$AV$13,0),MATCH(Ext_SCC_Chloride!$U20,'Tables - Part 2'!$AX$5:$BA$5,0))+((INDEX('Tables - Part 2'!$BF$6:$BI$13,MATCH(Ext_SCC_Chloride!$X20,'Tables - Part 2'!$AV$6:$AV$13,0),MATCH(Ext_SCC_Chloride!$U20,'Tables - Part 2'!$AX$5:$BA$5,0))+(INDEX('Tables - Part 2'!$BF$6:$BI$13,MATCH(Ext_SCC_Chloride!$X20,'Tables - Part 2'!$AV$6:$AV$13,0),MATCH(Ext_SCC_Chloride!$U20,'Tables - Part 2'!$AX$5:$BA$5,0))+INDEX('Tables - Part 2'!$AX$17:$BA$24,MATCH(Ext_SCC_Chloride!$X20,'Tables - Part 2'!$AV$6:$AV$13,0),MATCH(Ext_SCC_Chloride!$U20,'Tables - Part 2'!$AX$5:$BA$5,0)))/2)/2))/2,0)</f>
        <v>0</v>
      </c>
      <c r="BA20" s="248">
        <f>IF($T20=$BA$3,(INDEX('Tables - Part 2'!$BF$6:$BI$13,MATCH(Ext_SCC_Chloride!$X20,'Tables - Part 2'!$AV$6:$AV$13,0),MATCH(Ext_SCC_Chloride!$U20,'Tables - Part 2'!$AX$5:$BA$5,0))+(INDEX('Tables - Part 2'!$BF$6:$BI$13,MATCH(Ext_SCC_Chloride!$X20,'Tables - Part 2'!$AV$6:$AV$13,0),MATCH(Ext_SCC_Chloride!$U20,'Tables - Part 2'!$AX$5:$BA$5,0))+INDEX('Tables - Part 2'!$AX$17:$BA$24,MATCH(Ext_SCC_Chloride!$X20,'Tables - Part 2'!$AV$6:$AV$13,0),MATCH(Ext_SCC_Chloride!$U20,'Tables - Part 2'!$AX$5:$BA$5,0)))/2)/2,0)</f>
        <v>0</v>
      </c>
      <c r="BB20" s="248">
        <f>IF($T20=$BB$3,(((INDEX('Tables - Part 2'!$BF$6:$BI$13,MATCH(Ext_SCC_Chloride!$X20,'Tables - Part 2'!$AV$6:$AV$13,0),MATCH(Ext_SCC_Chloride!$U20,'Tables - Part 2'!$AX$5:$BA$5,0))+(INDEX('Tables - Part 2'!$BF$6:$BI$13,MATCH(Ext_SCC_Chloride!$X20,'Tables - Part 2'!$AV$6:$AV$13,0),MATCH(Ext_SCC_Chloride!$U20,'Tables - Part 2'!$AX$5:$BA$5,0))+INDEX('Tables - Part 2'!$AX$17:$BA$24,MATCH(Ext_SCC_Chloride!$X20,'Tables - Part 2'!$AV$6:$AV$13,0),MATCH(Ext_SCC_Chloride!$U20,'Tables - Part 2'!$AX$5:$BA$5,0)))/2)/2)+((INDEX('Tables - Part 2'!$BF$6:$BI$13,MATCH(Ext_SCC_Chloride!$X20,'Tables - Part 2'!$AV$6:$AV$13,0),MATCH(Ext_SCC_Chloride!$U20,'Tables - Part 2'!$AX$5:$BA$5,0))+INDEX('Tables - Part 2'!$AX$17:$BA$24,MATCH(Ext_SCC_Chloride!$X20,'Tables - Part 2'!$AV$6:$AV$13,0),MATCH(Ext_SCC_Chloride!$U20,'Tables - Part 2'!$AX$5:$BA$5,0)))/2))/2,0)</f>
        <v>0</v>
      </c>
      <c r="BC20" s="248">
        <f>IF($T20=$BC$3,(INDEX('Tables - Part 2'!$BF$6:$BI$13,MATCH(Ext_SCC_Chloride!$X20,'Tables - Part 2'!$AV$6:$AV$13,0),MATCH(Ext_SCC_Chloride!$U20,'Tables - Part 2'!$AX$5:$BA$5,0))+INDEX('Tables - Part 2'!$AX$17:$BA$24,MATCH(Ext_SCC_Chloride!$X20,'Tables - Part 2'!$AV$6:$AV$13,0),MATCH(Ext_SCC_Chloride!$U20,'Tables - Part 2'!$AX$5:$BA$5,0)))/2,0)</f>
        <v>0</v>
      </c>
      <c r="BD20" s="248">
        <f>IF($T20=$BD$3,(((INDEX('Tables - Part 2'!$BF$6:$BI$13,MATCH(Ext_SCC_Chloride!$X20,'Tables - Part 2'!$AV$6:$AV$13,0),MATCH(Ext_SCC_Chloride!$U20,'Tables - Part 2'!$AX$5:$BA$5,0))+INDEX('Tables - Part 2'!$AX$17:$BA$24,MATCH(Ext_SCC_Chloride!$X20,'Tables - Part 2'!$AV$6:$AV$13,0),MATCH(Ext_SCC_Chloride!$U20,'Tables - Part 2'!$AX$5:$BA$5,0)))/2)+((((INDEX('Tables - Part 2'!$BF$6:$BI$13,MATCH(Ext_SCC_Chloride!$X20,'Tables - Part 2'!$AV$6:$AV$13,0),MATCH(Ext_SCC_Chloride!$U20,'Tables - Part 2'!$AX$5:$BA$5,0))+INDEX('Tables - Part 2'!$AX$17:$BA$24,MATCH(Ext_SCC_Chloride!$X20,'Tables - Part 2'!$AV$6:$AV$13,0),MATCH(Ext_SCC_Chloride!$U20,'Tables - Part 2'!$AX$5:$BA$5,0)))/2)+INDEX('Tables - Part 2'!$AX$17:$BA$24,MATCH(Ext_SCC_Chloride!$X20,'Tables - Part 2'!$AV$6:$AV$13,0),MATCH(Ext_SCC_Chloride!$U20,'Tables - Part 2'!$AX$5:$BA$5,0)))/2))/2,0)</f>
        <v>0</v>
      </c>
      <c r="BE20" s="248">
        <f>IF($T20=$BE$3,(((INDEX('Tables - Part 2'!$BF$6:$BI$13,MATCH(Ext_SCC_Chloride!$X20,'Tables - Part 2'!$AV$6:$AV$13,0),MATCH(Ext_SCC_Chloride!$U20,'Tables - Part 2'!$AX$5:$BA$5,0))+INDEX('Tables - Part 2'!$AX$17:$BA$24,MATCH(Ext_SCC_Chloride!$X20,'Tables - Part 2'!$AV$6:$AV$13,0),MATCH(Ext_SCC_Chloride!$U20,'Tables - Part 2'!$AX$5:$BA$5,0)))/2)+INDEX('Tables - Part 2'!$AX$17:$BA$24,MATCH(Ext_SCC_Chloride!$X20,'Tables - Part 2'!$AV$6:$AV$13,0),MATCH(Ext_SCC_Chloride!$U20,'Tables - Part 2'!$AX$5:$BA$5,0)))/2,0)</f>
        <v>0</v>
      </c>
      <c r="BF20" s="248">
        <f>IF($T20=$BF$3,(((((INDEX('Tables - Part 2'!$BF$6:$BI$13,MATCH(Ext_SCC_Chloride!$X20,'Tables - Part 2'!$AV$6:$AV$13,0),MATCH(Ext_SCC_Chloride!$U20,'Tables - Part 2'!$AX$5:$BA$5,0))+INDEX('Tables - Part 2'!$AX$17:$BA$24,MATCH(Ext_SCC_Chloride!$X20,'Tables - Part 2'!$AV$6:$AV$13,0),MATCH(Ext_SCC_Chloride!$U20,'Tables - Part 2'!$AX$5:$BA$5,0)))/2)+INDEX('Tables - Part 2'!$AX$17:$BA$24,MATCH(Ext_SCC_Chloride!$X20,'Tables - Part 2'!$AV$6:$AV$13,0),MATCH(Ext_SCC_Chloride!$U20,'Tables - Part 2'!$AX$5:$BA$5,0)))/2)+(INDEX('Tables - Part 2'!$AX$17:$BA$24,MATCH(Ext_SCC_Chloride!$X20,'Tables - Part 2'!$AV$6:$AV$13,0),MATCH(Ext_SCC_Chloride!$U20,'Tables - Part 2'!$AX$5:$BA$5,0))))/2,0)</f>
        <v>0</v>
      </c>
      <c r="BG20" s="248">
        <f>IF($T20=$BG$3,INDEX('Tables - Part 2'!$AX$17:$BA$24,MATCH(Ext_SCC_Chloride!$X20,'Tables - Part 2'!$AV$6:$AV$13,0),MATCH(Ext_SCC_Chloride!$U20,'Tables - Part 2'!$AX$5:$BA$5,0)),0)</f>
        <v>0</v>
      </c>
      <c r="BH20" s="248">
        <f>IF($T20=$BH$3,((INDEX('Tables - Part 2'!$AX$17:$BA$24,MATCH(Ext_SCC_Chloride!$X20,'Tables - Part 2'!$AV$6:$AV$13,0),MATCH(Ext_SCC_Chloride!$U20,'Tables - Part 2'!$AX$5:$BA$5,0)))+(((INDEX('Tables - Part 2'!$AX$17:$BA$24,MATCH(Ext_SCC_Chloride!$X20,'Tables - Part 2'!$AV$6:$AV$13,0),MATCH(Ext_SCC_Chloride!$U20,'Tables - Part 2'!$AX$5:$BA$5,0)))+(INDEX('Tables - Part 2'!$AX$17:$BA$24,MATCH(Ext_SCC_Chloride!$X20,'Tables - Part 2'!$AV$6:$AV$13,0),MATCH(Ext_SCC_Chloride!$U20,'Tables - Part 2'!$AX$5:$BA$5,0))+INDEX('Tables - Part 2'!$BB$17:$BE$24,MATCH(Ext_SCC_Chloride!$X20,'Tables - Part 2'!$AV$6:$AV$13,0),MATCH(Ext_SCC_Chloride!$U20,'Tables - Part 2'!$AX$5:$BA$5,0)))/2)/2))/2,0)</f>
        <v>0</v>
      </c>
      <c r="BI20" s="248">
        <f>IF($T20=$BI$3,((INDEX('Tables - Part 2'!$AX$17:$BA$24,MATCH(Ext_SCC_Chloride!$X20,'Tables - Part 2'!$AV$6:$AV$13,0),MATCH(Ext_SCC_Chloride!$U20,'Tables - Part 2'!$AX$5:$BA$5,0)))+(INDEX('Tables - Part 2'!$AX$17:$BA$24,MATCH(Ext_SCC_Chloride!$X20,'Tables - Part 2'!$AV$6:$AV$13,0),MATCH(Ext_SCC_Chloride!$U20,'Tables - Part 2'!$AX$5:$BA$5,0))+INDEX('Tables - Part 2'!$BB$17:$BE$24,MATCH(Ext_SCC_Chloride!$X20,'Tables - Part 2'!$AV$6:$AV$13,0),MATCH(Ext_SCC_Chloride!$U20,'Tables - Part 2'!$AX$5:$BA$5,0)))/2)/2,0)</f>
        <v>0</v>
      </c>
      <c r="BJ20" s="248">
        <f>IF($T20=$BJ$3,((((INDEX('Tables - Part 2'!$AX$17:$BA$24,MATCH(Ext_SCC_Chloride!$X20,'Tables - Part 2'!$AV$6:$AV$13,0),MATCH(Ext_SCC_Chloride!$U20,'Tables - Part 2'!$AX$5:$BA$5,0)))+(INDEX('Tables - Part 2'!$AX$17:$BA$24,MATCH(Ext_SCC_Chloride!$X20,'Tables - Part 2'!$AV$6:$AV$13,0),MATCH(Ext_SCC_Chloride!$U20,'Tables - Part 2'!$AX$5:$BA$5,0))+INDEX('Tables - Part 2'!$BB$17:$BE$24,MATCH(Ext_SCC_Chloride!$X20,'Tables - Part 2'!$AV$6:$AV$13,0),MATCH(Ext_SCC_Chloride!$U20,'Tables - Part 2'!$AX$5:$BA$5,0)))/2)/2)+((INDEX('Tables - Part 2'!$AX$17:$BA$24,MATCH(Ext_SCC_Chloride!$X20,'Tables - Part 2'!$AV$6:$AV$13,0),MATCH(Ext_SCC_Chloride!$U20,'Tables - Part 2'!$AX$5:$BA$5,0))+INDEX('Tables - Part 2'!$BB$17:$BE$24,MATCH(Ext_SCC_Chloride!$X20,'Tables - Part 2'!$AV$6:$AV$13,0),MATCH(Ext_SCC_Chloride!$U20,'Tables - Part 2'!$AX$5:$BA$5,0)))/2))/2,0)</f>
        <v>0</v>
      </c>
      <c r="BK20" s="248">
        <f>IF($T20=$BK$3,(INDEX('Tables - Part 2'!$AX$17:$BA$24,MATCH(Ext_SCC_Chloride!$X20,'Tables - Part 2'!$AV$6:$AV$13,0),MATCH(Ext_SCC_Chloride!$U20,'Tables - Part 2'!$AX$5:$BA$5,0))+INDEX('Tables - Part 2'!$BB$17:$BE$24,MATCH(Ext_SCC_Chloride!$X20,'Tables - Part 2'!$AV$6:$AV$13,0),MATCH(Ext_SCC_Chloride!$U20,'Tables - Part 2'!$AX$5:$BA$5,0)))/2,0)</f>
        <v>0</v>
      </c>
      <c r="BL20" s="248">
        <f>IF($T20=$BL$3,(((INDEX('Tables - Part 2'!$AX$17:$BA$24,MATCH(Ext_SCC_Chloride!$X20,'Tables - Part 2'!$AV$6:$AV$13,0),MATCH(Ext_SCC_Chloride!$U20,'Tables - Part 2'!$AX$5:$BA$5,0))+INDEX('Tables - Part 2'!$BB$17:$BE$24,MATCH(Ext_SCC_Chloride!$X20,'Tables - Part 2'!$AV$6:$AV$13,0),MATCH(Ext_SCC_Chloride!$U20,'Tables - Part 2'!$AX$5:$BA$5,0)))/2)+((((INDEX('Tables - Part 2'!$AX$17:$BA$24,MATCH(Ext_SCC_Chloride!$X20,'Tables - Part 2'!$AV$6:$AV$13,0),MATCH(Ext_SCC_Chloride!$U20,'Tables - Part 2'!$AX$5:$BA$5,0))+INDEX('Tables - Part 2'!$BB$17:$BE$24,MATCH(Ext_SCC_Chloride!$X20,'Tables - Part 2'!$AV$6:$AV$13,0),MATCH(Ext_SCC_Chloride!$U20,'Tables - Part 2'!$AX$5:$BA$5,0)))/2)+INDEX('Tables - Part 2'!$BB$17:$BE$24,MATCH(Ext_SCC_Chloride!$X20,'Tables - Part 2'!$AV$6:$AV$13,0),MATCH(Ext_SCC_Chloride!$U20,'Tables - Part 2'!$AX$5:$BA$5,0)))/2))/2,0)</f>
        <v>0</v>
      </c>
      <c r="BM20" s="248">
        <f>IF($T20=$BM$3,(((INDEX('Tables - Part 2'!$AX$17:$BA$24,MATCH(Ext_SCC_Chloride!$X20,'Tables - Part 2'!$AV$6:$AV$13,0),MATCH(Ext_SCC_Chloride!$U20,'Tables - Part 2'!$AX$5:$BA$5,0))+INDEX('Tables - Part 2'!$BB$17:$BE$24,MATCH(Ext_SCC_Chloride!$X20,'Tables - Part 2'!$AV$6:$AV$13,0),MATCH(Ext_SCC_Chloride!$U20,'Tables - Part 2'!$AX$5:$BA$5,0)))/2)+INDEX('Tables - Part 2'!$BB$17:$BE$24,MATCH(Ext_SCC_Chloride!$X20,'Tables - Part 2'!$AV$6:$AV$13,0),MATCH(Ext_SCC_Chloride!$U20,'Tables - Part 2'!$AX$5:$BA$5,0)))/2,0)</f>
        <v>0</v>
      </c>
      <c r="BN20" s="248">
        <f>IF($T20=$BN$3,(((((INDEX('Tables - Part 2'!$AX$17:$BA$24,MATCH(Ext_SCC_Chloride!$X20,'Tables - Part 2'!$AV$6:$AV$13,0),MATCH(Ext_SCC_Chloride!$U20,'Tables - Part 2'!$AX$5:$BA$5,0))+INDEX('Tables - Part 2'!$BB$17:$BE$24,MATCH(Ext_SCC_Chloride!$X20,'Tables - Part 2'!$AV$6:$AV$13,0),MATCH(Ext_SCC_Chloride!$U20,'Tables - Part 2'!$AX$5:$BA$5,0)))/2)+INDEX('Tables - Part 2'!$BB$17:$BE$24,MATCH(Ext_SCC_Chloride!$X20,'Tables - Part 2'!$AV$6:$AV$13,0),MATCH(Ext_SCC_Chloride!$U20,'Tables - Part 2'!$AX$5:$BA$5,0)))/2)+(INDEX('Tables - Part 2'!$BB$17:$BE$24,MATCH(Ext_SCC_Chloride!$X20,'Tables - Part 2'!$AV$6:$AV$13,0),MATCH(Ext_SCC_Chloride!$U20,'Tables - Part 2'!$AX$5:$BA$5,0))))/2,0)</f>
        <v>0</v>
      </c>
      <c r="BO20" s="248">
        <f>IF($T20=$BO$3,INDEX('Tables - Part 2'!$BB$17:$BE$24,MATCH(Ext_SCC_Chloride!$X20,'Tables - Part 2'!$AV$6:$AV$13,0),MATCH(Ext_SCC_Chloride!$U20,'Tables - Part 2'!$AX$5:$BA$5,0)),0)</f>
        <v>0</v>
      </c>
      <c r="BP20" s="248">
        <f>IF($T20=$BP$3,((INDEX('Tables - Part 2'!$BB$17:$BE$24,MATCH(Ext_SCC_Chloride!$X20,'Tables - Part 2'!$AV$6:$AV$13,0),MATCH(Ext_SCC_Chloride!$U20,'Tables - Part 2'!$AX$5:$BA$5,0)))+(((INDEX('Tables - Part 2'!$BB$17:$BE$24,MATCH(Ext_SCC_Chloride!$X20,'Tables - Part 2'!$AV$6:$AV$13,0),MATCH(Ext_SCC_Chloride!$U20,'Tables - Part 2'!$AX$5:$BA$5,0)))+(INDEX('Tables - Part 2'!$BB$17:$BE$24,MATCH(Ext_SCC_Chloride!$X20,'Tables - Part 2'!$AV$6:$AV$13,0),MATCH(Ext_SCC_Chloride!$U20,'Tables - Part 2'!$AX$5:$BA$5,0))+INDEX('Tables - Part 2'!$BF$17:$BI$24,MATCH(Ext_SCC_Chloride!$X20,'Tables - Part 2'!$AV$6:$AV$13,0),MATCH(Ext_SCC_Chloride!$U20,'Tables - Part 2'!$AX$5:$BA$5,0)))/2)/2))/2,0)</f>
        <v>0</v>
      </c>
      <c r="BQ20" s="248">
        <f>IF($T20=$BQ$3,((INDEX('Tables - Part 2'!$BB$17:$BE$24,MATCH(Ext_SCC_Chloride!$X20,'Tables - Part 2'!$AV$6:$AV$13,0),MATCH(Ext_SCC_Chloride!$U20,'Tables - Part 2'!$AX$5:$BA$5,0)))+(INDEX('Tables - Part 2'!$BB$17:$BE$24,MATCH(Ext_SCC_Chloride!$X20,'Tables - Part 2'!$AV$6:$AV$13,0),MATCH(Ext_SCC_Chloride!$U20,'Tables - Part 2'!$AX$5:$BA$5,0))+INDEX('Tables - Part 2'!$BF$17:$BI$24,MATCH(Ext_SCC_Chloride!$X20,'Tables - Part 2'!$AV$6:$AV$13,0),MATCH(Ext_SCC_Chloride!$U20,'Tables - Part 2'!$AX$5:$BA$5,0)))/2)/2,0)</f>
        <v>0</v>
      </c>
      <c r="BR20" s="248">
        <f>IF($T20=$BR$3,((((INDEX('Tables - Part 2'!$BB$17:$BE$24,MATCH(Ext_SCC_Chloride!$X20,'Tables - Part 2'!$AV$6:$AV$13,0),MATCH(Ext_SCC_Chloride!$U20,'Tables - Part 2'!$AX$5:$BA$5,0)))+(INDEX('Tables - Part 2'!$BB$17:$BE$24,MATCH(Ext_SCC_Chloride!$X20,'Tables - Part 2'!$AV$6:$AV$13,0),MATCH(Ext_SCC_Chloride!$U20,'Tables - Part 2'!$AX$5:$BA$5,0))+INDEX('Tables - Part 2'!$BF$17:$BI$24,MATCH(Ext_SCC_Chloride!$X20,'Tables - Part 2'!$AV$6:$AV$13,0),MATCH(Ext_SCC_Chloride!$U20,'Tables - Part 2'!$AX$5:$BA$5,0)))/2)/2)+((INDEX('Tables - Part 2'!$BB$17:$BE$24,MATCH(Ext_SCC_Chloride!$X20,'Tables - Part 2'!$AV$6:$AV$13,0),MATCH(Ext_SCC_Chloride!$U20,'Tables - Part 2'!$AX$5:$BA$5,0))+INDEX('Tables - Part 2'!$BF$17:$BI$24,MATCH(Ext_SCC_Chloride!$X20,'Tables - Part 2'!$AV$6:$AV$13,0),MATCH(Ext_SCC_Chloride!$U20,'Tables - Part 2'!$AX$5:$BA$5,0)))/2))/2,0)</f>
        <v>0</v>
      </c>
      <c r="BS20" s="248">
        <f>IF($T20=$BS$3,(INDEX('Tables - Part 2'!$BB$17:$BE$24,MATCH(Ext_SCC_Chloride!$X20,'Tables - Part 2'!$AV$6:$AV$13,0),MATCH(Ext_SCC_Chloride!$U20,'Tables - Part 2'!$AX$5:$BA$5,0))+INDEX('Tables - Part 2'!$BF$17:$BI$24,MATCH(Ext_SCC_Chloride!$X20,'Tables - Part 2'!$AV$6:$AV$13,0),MATCH(Ext_SCC_Chloride!$U20,'Tables - Part 2'!$AX$5:$BA$5,0)))/2,0)</f>
        <v>0</v>
      </c>
      <c r="BT20" s="248">
        <f>IF($T20=$BT$3,(((INDEX('Tables - Part 2'!$BB$17:$BE$24,MATCH(Ext_SCC_Chloride!$X20,'Tables - Part 2'!$AV$6:$AV$13,0),MATCH(Ext_SCC_Chloride!$U20,'Tables - Part 2'!$AX$5:$BA$5,0))+INDEX('Tables - Part 2'!$BF$17:$BI$24,MATCH(Ext_SCC_Chloride!$X20,'Tables - Part 2'!$AV$6:$AV$13,0),MATCH(Ext_SCC_Chloride!$U20,'Tables - Part 2'!$AX$5:$BA$5,0)))/2)+((((INDEX('Tables - Part 2'!$BB$17:$BE$24,MATCH(Ext_SCC_Chloride!$X20,'Tables - Part 2'!$AV$6:$AV$13,0),MATCH(Ext_SCC_Chloride!$U20,'Tables - Part 2'!$AX$5:$BA$5,0))+INDEX('Tables - Part 2'!$BF$17:$BI$24,MATCH(Ext_SCC_Chloride!$X20,'Tables - Part 2'!$AV$6:$AV$13,0),MATCH(Ext_SCC_Chloride!$U20,'Tables - Part 2'!$AX$5:$BA$5,0)))/2)+INDEX('Tables - Part 2'!$BF$17:$BI$24,MATCH(Ext_SCC_Chloride!$X20,'Tables - Part 2'!$AV$6:$AV$13,0),MATCH(Ext_SCC_Chloride!$U20,'Tables - Part 2'!$AX$5:$BA$5,0)))/2))/2,0)</f>
        <v>0</v>
      </c>
      <c r="BU20" s="248">
        <f>IF($T20=$BU$3,(((INDEX('Tables - Part 2'!$BB$17:$BE$24,MATCH(Ext_SCC_Chloride!$X20,'Tables - Part 2'!$AV$6:$AV$13,0),MATCH(Ext_SCC_Chloride!$U20,'Tables - Part 2'!$AX$5:$BA$5,0))+INDEX('Tables - Part 2'!$BF$17:$BI$24,MATCH(Ext_SCC_Chloride!$X20,'Tables - Part 2'!$AV$6:$AV$13,0),MATCH(Ext_SCC_Chloride!$U20,'Tables - Part 2'!$AX$5:$BA$5,0)))/2)+INDEX('Tables - Part 2'!$BF$17:$BI$24,MATCH(Ext_SCC_Chloride!$X20,'Tables - Part 2'!$AV$6:$AV$13,0),MATCH(Ext_SCC_Chloride!$U20,'Tables - Part 2'!$AX$5:$BA$5,0)))/2,0)</f>
        <v>0</v>
      </c>
      <c r="BV20" s="248">
        <f>IF($T20=$BV$3,(((((INDEX('Tables - Part 2'!$BB$17:$BE$24,MATCH(Ext_SCC_Chloride!$X20,'Tables - Part 2'!$AV$6:$AV$13,0),MATCH(Ext_SCC_Chloride!$U20,'Tables - Part 2'!$AX$5:$BA$5,0))+INDEX('Tables - Part 2'!$BF$17:$BI$24,MATCH(Ext_SCC_Chloride!$X20,'Tables - Part 2'!$AV$6:$AV$13,0),MATCH(Ext_SCC_Chloride!$U20,'Tables - Part 2'!$AX$5:$BA$5,0)))/2)+INDEX('Tables - Part 2'!$BF$17:$BI$24,MATCH(Ext_SCC_Chloride!$X20,'Tables - Part 2'!$AV$6:$AV$13,0),MATCH(Ext_SCC_Chloride!$U20,'Tables - Part 2'!$AX$5:$BA$5,0)))/2)+(INDEX('Tables - Part 2'!$BF$17:$BI$24,MATCH(Ext_SCC_Chloride!$X20,'Tables - Part 2'!$AV$6:$AV$13,0),MATCH(Ext_SCC_Chloride!$U20,'Tables - Part 2'!$AX$5:$BA$5,0))))/2,0)</f>
        <v>0</v>
      </c>
      <c r="BW20" s="248">
        <f>IF($T20=$BW$3,INDEX('Tables - Part 2'!$BF$17:$BI$24,MATCH(Ext_SCC_Chloride!$X20,'Tables - Part 2'!$AV$6:$AV$13,0),MATCH(Ext_SCC_Chloride!$U20,'Tables - Part 2'!$AX$5:$BA$5,0)),0)</f>
        <v>0</v>
      </c>
      <c r="BX20" s="248">
        <f t="shared" si="5"/>
        <v>0</v>
      </c>
      <c r="BY20" s="238">
        <f t="shared" si="12"/>
        <v>0</v>
      </c>
      <c r="BZ20" s="238">
        <f t="shared" si="13"/>
        <v>0</v>
      </c>
    </row>
    <row r="21" spans="2:78" x14ac:dyDescent="0.35">
      <c r="B21" s="161" t="str">
        <f>'Tratamento de Dados'!B29</f>
        <v>V-9</v>
      </c>
      <c r="C21" s="161" t="str">
        <f>'Tratamento de Dados'!D29</f>
        <v>Casco</v>
      </c>
      <c r="D21" s="209" t="s">
        <v>245</v>
      </c>
      <c r="E21" s="209" t="s">
        <v>61</v>
      </c>
      <c r="F21" s="247">
        <f>'Tratamento de Dados'!S29</f>
        <v>2</v>
      </c>
      <c r="G21" s="209" t="s">
        <v>953</v>
      </c>
      <c r="H21" s="210">
        <v>35234</v>
      </c>
      <c r="I21" s="210">
        <v>43983</v>
      </c>
      <c r="J21" s="210">
        <v>39092</v>
      </c>
      <c r="K21" s="210">
        <f>'Tratamento de Dados'!CC29</f>
        <v>0</v>
      </c>
      <c r="L21" s="209">
        <f>'Tratamento de Dados'!CD29</f>
        <v>0</v>
      </c>
      <c r="M21" s="209" t="s">
        <v>904</v>
      </c>
      <c r="N21" s="209">
        <v>0</v>
      </c>
      <c r="O21" s="209">
        <v>1</v>
      </c>
      <c r="P21" s="209">
        <v>1</v>
      </c>
      <c r="Q21" s="209">
        <v>4</v>
      </c>
      <c r="R21" s="253">
        <f>'Tratamento de Dados'!DA29</f>
        <v>0</v>
      </c>
      <c r="S21" s="253">
        <f>'Tratamento de Dados'!DB29</f>
        <v>0</v>
      </c>
      <c r="T21" s="256">
        <f t="shared" si="0"/>
        <v>2.5</v>
      </c>
      <c r="U21" s="246" t="str">
        <f t="shared" si="1"/>
        <v>B</v>
      </c>
      <c r="V21" s="246" t="str">
        <f>IF(F21&lt;49,'Tables - Part 2'!$FH$5,IF(F21&lt;=93,'Tables - Part 2'!$FH$6,IF(F21&lt;=149,'Tables - Part 2'!$FH$7,'Tables - Part 2'!$FH$8)))</f>
        <v>&lt;49</v>
      </c>
      <c r="W21" s="467" t="str">
        <f>IF(D21=$CE$2,$CC$5,INDEX('Tables - Part 2'!$FI$5:$FL$8,MATCH(Ext_SCC_Chloride!V21,'Tables - Part 2'!$FH$5:$FH$8,0),MATCH(Ext_SCC_Chloride!M21,'Tables - Part 2'!$FI$4:$FL$4,0)))</f>
        <v>None</v>
      </c>
      <c r="X21" s="238">
        <f>IF(AND(D21=$CE$2,E21&lt;&gt;$CE$2),"Fitness-For-Service",INDEX('Tables - Part 2'!$FO$4:$FO$7,MATCH(Ext_SCC_Chloride!W21,'Tables - Part 2'!$FN$4:$FN$7,0),))</f>
        <v>0</v>
      </c>
      <c r="Y21" s="238">
        <f>IF(J21=0,(Thinning!G22-Thinning!F22)/365.25,(Thinning!G22-J21)/365.25)</f>
        <v>12.980150581793293</v>
      </c>
      <c r="Z21" s="248">
        <f t="shared" si="2"/>
        <v>0</v>
      </c>
      <c r="AA21" s="248">
        <f t="shared" si="3"/>
        <v>2.5</v>
      </c>
      <c r="AB21" s="247">
        <f t="shared" si="6"/>
        <v>3</v>
      </c>
      <c r="AC21" s="247">
        <f t="shared" si="4"/>
        <v>4</v>
      </c>
      <c r="AD21" s="247">
        <f t="shared" si="7"/>
        <v>120.41889117043121</v>
      </c>
      <c r="AE21" s="247">
        <f t="shared" si="8"/>
        <v>0</v>
      </c>
      <c r="AF21" s="247">
        <f t="shared" si="9"/>
        <v>0</v>
      </c>
      <c r="AG21" s="247">
        <f t="shared" si="10"/>
        <v>0</v>
      </c>
      <c r="AH21" s="247">
        <f t="shared" si="11"/>
        <v>12.980150581793293</v>
      </c>
      <c r="AI21" s="248">
        <f>IF($T21=$AI$3,INDEX('Tables - Part 2'!$AX$6:$BA$13,MATCH(Ext_SCC_Chloride!X21,'Tables - Part 2'!$AV$6:$AV$13,0),MATCH(Ext_SCC_Chloride!U21,'Tables - Part 2'!$AX$5:$BA$5,0)),0)</f>
        <v>0</v>
      </c>
      <c r="AJ21" s="248">
        <f>IF($T21=$AJ$3,(INDEX('Tables - Part 2'!$AX$6:$BA$13,MATCH(Ext_SCC_Chloride!X21,'Tables - Part 2'!$AV$6:$AV$13,0),MATCH(Ext_SCC_Chloride!U21,'Tables - Part 2'!$AX$5:$BA$5,0))+(INDEX('Tables - Part 2'!$AX$6:$BA$13,MATCH(Ext_SCC_Chloride!X21,'Tables - Part 2'!$AV$6:$AV$13,0),MATCH(Ext_SCC_Chloride!U21,'Tables - Part 2'!$AX$5:$BA$5,0))+((INDEX('Tables - Part 2'!$AX$6:$BA$13,MATCH(Ext_SCC_Chloride!X21,'Tables - Part 2'!$AV$6:$AV$13,0),MATCH(Ext_SCC_Chloride!U21,'Tables - Part 2'!$AX$5:$BA$5,0))+INDEX('Tables - Part 2'!$BB$6:$BE$13,MATCH(Ext_SCC_Chloride!$X21,'Tables - Part 2'!$AV$6:$AV$13,0),MATCH(Ext_SCC_Chloride!$U21,'Tables - Part 2'!$AX$5:$BA$5,0)))/2))/2)/2,0)</f>
        <v>0</v>
      </c>
      <c r="AK21" s="248">
        <f>IF($T21=$AK$3,(INDEX('Tables - Part 2'!$AX$6:$BA$13,MATCH(Ext_SCC_Chloride!X21,'Tables - Part 2'!$AV$6:$AV$13,0),MATCH(Ext_SCC_Chloride!U21,'Tables - Part 2'!$AX$5:$BA$5,0))+((INDEX('Tables - Part 2'!$AX$6:$BA$13,MATCH(Ext_SCC_Chloride!X21,'Tables - Part 2'!$AV$6:$AV$13,0),MATCH(Ext_SCC_Chloride!U21,'Tables - Part 2'!$AX$5:$BA$5,0))+INDEX('Tables - Part 2'!$BB$6:$BE$13,MATCH(Ext_SCC_Chloride!$X21,'Tables - Part 2'!$AV$6:$AV$13,0),MATCH(Ext_SCC_Chloride!$U21,'Tables - Part 2'!$AX$5:$BA$5,0)))/2))/2,0)</f>
        <v>0</v>
      </c>
      <c r="AL21" s="248">
        <f>IF($T21=$AL$3,(((INDEX('Tables - Part 2'!$AX$6:$BA$13,MATCH(Ext_SCC_Chloride!X21,'Tables - Part 2'!$AV$6:$AV$13,0),MATCH(Ext_SCC_Chloride!U21,'Tables - Part 2'!$AX$5:$BA$5,0))+((INDEX('Tables - Part 2'!$AX$6:$BA$13,MATCH(Ext_SCC_Chloride!X21,'Tables - Part 2'!$AV$6:$AV$13,0),MATCH(Ext_SCC_Chloride!U21,'Tables - Part 2'!$AX$5:$BA$5,0))+INDEX('Tables - Part 2'!$BB$6:$BE$13,MATCH(Ext_SCC_Chloride!$X21,'Tables - Part 2'!$AV$6:$AV$13,0),MATCH(Ext_SCC_Chloride!$U21,'Tables - Part 2'!$AX$5:$BA$5,0)))/2))/2)+(INDEX('Tables - Part 2'!$AX$6:$BA$13,MATCH(Ext_SCC_Chloride!X21,'Tables - Part 2'!$AV$6:$AV$13,0),MATCH(Ext_SCC_Chloride!U21,'Tables - Part 2'!$AX$5:$BA$5,0))+INDEX('Tables - Part 2'!$BB$6:$BE$13,MATCH(Ext_SCC_Chloride!$X21,'Tables - Part 2'!$AV$6:$AV$13,0),MATCH(Ext_SCC_Chloride!$U21,'Tables - Part 2'!$AX$5:$BA$5,0)))/2)/2,0)</f>
        <v>0</v>
      </c>
      <c r="AM21" s="248">
        <f>IF($T21=$AM$3,(INDEX('Tables - Part 2'!$AX$6:$BA$13,MATCH(Ext_SCC_Chloride!X21,'Tables - Part 2'!$AV$6:$AV$13,0),MATCH(Ext_SCC_Chloride!U21,'Tables - Part 2'!$AX$5:$BA$5,0))+INDEX('Tables - Part 2'!$BB$6:$BE$13,MATCH(Ext_SCC_Chloride!$X21,'Tables - Part 2'!$AV$6:$AV$13,0),MATCH(Ext_SCC_Chloride!$U21,'Tables - Part 2'!$AX$5:$BA$5,0)))/2,0)</f>
        <v>0</v>
      </c>
      <c r="AN21" s="248">
        <f>IF($T21=$AN$3,(((INDEX('Tables - Part 2'!$AX$6:$BA$13,MATCH(Ext_SCC_Chloride!X21,'Tables - Part 2'!$AV$6:$AV$13,0),MATCH(Ext_SCC_Chloride!U21,'Tables - Part 2'!$AX$5:$BA$5,0))+INDEX('Tables - Part 2'!$BB$6:$BE$13,MATCH(Ext_SCC_Chloride!$X21,'Tables - Part 2'!$AV$6:$AV$13,0),MATCH(Ext_SCC_Chloride!$U21,'Tables - Part 2'!$AX$5:$BA$5,0)))/2)+(((INDEX('Tables - Part 2'!$AX$6:$BA$13,MATCH(Ext_SCC_Chloride!X21,'Tables - Part 2'!$AV$6:$AV$13,0),MATCH(Ext_SCC_Chloride!U21,'Tables - Part 2'!$AX$5:$BA$5,0))+INDEX('Tables - Part 2'!$BB$6:$BE$13,MATCH(Ext_SCC_Chloride!$X21,'Tables - Part 2'!$AV$6:$AV$13,0),MATCH(Ext_SCC_Chloride!$U21,'Tables - Part 2'!$AX$5:$BA$5,0)))/2)+INDEX('Tables - Part 2'!$BB$6:$BE$13,MATCH(Ext_SCC_Chloride!$X21,'Tables - Part 2'!$AV$6:$AV$13,0),MATCH(Ext_SCC_Chloride!$U21,'Tables - Part 2'!$AX$5:$BA$5,0)))/2)/2,0)</f>
        <v>0</v>
      </c>
      <c r="AO21" s="248">
        <f>IF($T21=$AO$3,(((INDEX('Tables - Part 2'!$AX$6:$BA$13,MATCH(Ext_SCC_Chloride!X21,'Tables - Part 2'!$AV$6:$AV$13,0),MATCH(Ext_SCC_Chloride!U21,'Tables - Part 2'!$AX$5:$BA$5,0))+INDEX('Tables - Part 2'!$BB$6:$BE$13,MATCH(Ext_SCC_Chloride!$X21,'Tables - Part 2'!$AV$6:$AV$13,0),MATCH(Ext_SCC_Chloride!$U21,'Tables - Part 2'!$AX$5:$BA$5,0)))/2)+INDEX('Tables - Part 2'!$BB$6:$BE$13,MATCH(Ext_SCC_Chloride!$X21,'Tables - Part 2'!$AV$6:$AV$13,0),MATCH(Ext_SCC_Chloride!$U21,'Tables - Part 2'!$AX$5:$BA$5,0)))/2,0)</f>
        <v>0</v>
      </c>
      <c r="AP21" s="248">
        <f>IF($T21=$AP$3,(((((INDEX('Tables - Part 2'!$AX$6:$BA$13,MATCH(Ext_SCC_Chloride!X21,'Tables - Part 2'!$AV$6:$AV$13,0),MATCH(Ext_SCC_Chloride!U21,'Tables - Part 2'!$AX$5:$BA$5,0))+INDEX('Tables - Part 2'!$BB$6:$BE$13,MATCH(Ext_SCC_Chloride!$X21,'Tables - Part 2'!$AV$6:$AV$13,0),MATCH(Ext_SCC_Chloride!$U21,'Tables - Part 2'!$AX$5:$BA$5,0)))/2)+INDEX('Tables - Part 2'!$BB$6:$BE$13,MATCH(Ext_SCC_Chloride!$X21,'Tables - Part 2'!$AV$6:$AV$13,0),MATCH(Ext_SCC_Chloride!$U21,'Tables - Part 2'!$AX$5:$BA$5,0)))/2)+INDEX('Tables - Part 2'!$BB$6:$BE$13,MATCH(Ext_SCC_Chloride!$X21,'Tables - Part 2'!$AV$6:$AV$13,0),MATCH(Ext_SCC_Chloride!$U21,'Tables - Part 2'!$AX$5:$BA$5,0)))/2,0)</f>
        <v>0</v>
      </c>
      <c r="AQ21" s="248">
        <f>IF($T21=$AQ$3,INDEX('Tables - Part 2'!$BB$6:$BE$13,MATCH(Ext_SCC_Chloride!$X21,'Tables - Part 2'!$AV$6:$AV$13,0),MATCH(Ext_SCC_Chloride!$U21,'Tables - Part 2'!$AX$5:$BA$5,0)),0)</f>
        <v>0</v>
      </c>
      <c r="AR21" s="248">
        <f>IF($T21=$AR$3,((INDEX('Tables - Part 2'!$BB$6:$BE$13,MATCH(Ext_SCC_Chloride!$X21,'Tables - Part 2'!$AV$6:$AV$13,0),MATCH(Ext_SCC_Chloride!$U21,'Tables - Part 2'!$AX$5:$BA$5,0)))+(INDEX('Tables - Part 2'!$BB$6:$BE$13,MATCH(Ext_SCC_Chloride!$X21,'Tables - Part 2'!$AV$6:$AV$13,0),MATCH(Ext_SCC_Chloride!$U21,'Tables - Part 2'!$AX$5:$BA$5,0))+(INDEX('Tables - Part 2'!$BB$6:$BE$13,MATCH(Ext_SCC_Chloride!$X21,'Tables - Part 2'!$AV$6:$AV$13,0),MATCH(Ext_SCC_Chloride!$U21,'Tables - Part 2'!$AX$5:$BA$5,0))+INDEX('Tables - Part 2'!$BF$6:$BI$13,MATCH(Ext_SCC_Chloride!$X21,'Tables - Part 2'!$AV$6:$AV$13,0),MATCH(Ext_SCC_Chloride!$U21,'Tables - Part 2'!$AX$5:$BA$5,0)))/2)/2)/2,0)</f>
        <v>0</v>
      </c>
      <c r="AS21" s="248">
        <f>IF($T21=$AS$3,(INDEX('Tables - Part 2'!$BB$6:$BE$13,MATCH(Ext_SCC_Chloride!$X21,'Tables - Part 2'!$AV$6:$AV$13,0),MATCH(Ext_SCC_Chloride!$U21,'Tables - Part 2'!$AX$5:$BA$5,0))+(INDEX('Tables - Part 2'!$BB$6:$BE$13,MATCH(Ext_SCC_Chloride!$X21,'Tables - Part 2'!$AV$6:$AV$13,0),MATCH(Ext_SCC_Chloride!$U21,'Tables - Part 2'!$AX$5:$BA$5,0))+INDEX('Tables - Part 2'!$BF$6:$BI$13,MATCH(Ext_SCC_Chloride!$X21,'Tables - Part 2'!$AV$6:$AV$13,0),MATCH(Ext_SCC_Chloride!$U21,'Tables - Part 2'!$AX$5:$BA$5,0)))/2)/2,0)</f>
        <v>0</v>
      </c>
      <c r="AT21" s="248">
        <f>IF($T21=$AT$3,(((INDEX('Tables - Part 2'!$BB$6:$BE$13,MATCH(Ext_SCC_Chloride!$X21,'Tables - Part 2'!$AV$6:$AV$13,0),MATCH(Ext_SCC_Chloride!$U21,'Tables - Part 2'!$AX$5:$BA$5,0))+(INDEX('Tables - Part 2'!$BB$6:$BE$13,MATCH(Ext_SCC_Chloride!$X21,'Tables - Part 2'!$AV$6:$AV$13,0),MATCH(Ext_SCC_Chloride!$U21,'Tables - Part 2'!$AX$5:$BA$5,0))+INDEX('Tables - Part 2'!$BF$6:$BI$13,MATCH(Ext_SCC_Chloride!$X21,'Tables - Part 2'!$AV$6:$AV$13,0),MATCH(Ext_SCC_Chloride!$U21,'Tables - Part 2'!$AX$5:$BA$5,0)))/2)/2)+((INDEX('Tables - Part 2'!$BB$6:$BE$13,MATCH(Ext_SCC_Chloride!$X21,'Tables - Part 2'!$AV$6:$AV$13,0),MATCH(Ext_SCC_Chloride!$U21,'Tables - Part 2'!$AX$5:$BA$5,0))+INDEX('Tables - Part 2'!$BF$6:$BI$13,MATCH(Ext_SCC_Chloride!$X21,'Tables - Part 2'!$AV$6:$AV$13,0),MATCH(Ext_SCC_Chloride!$U21,'Tables - Part 2'!$AX$5:$BA$5,0)))/2))/2,0)</f>
        <v>0</v>
      </c>
      <c r="AU21" s="248">
        <f>IF($T21=$AU$3,(INDEX('Tables - Part 2'!$BB$6:$BE$13,MATCH(Ext_SCC_Chloride!$X21,'Tables - Part 2'!$AV$6:$AV$13,0),MATCH(Ext_SCC_Chloride!$U21,'Tables - Part 2'!$AX$5:$BA$5,0))+INDEX('Tables - Part 2'!$BF$6:$BI$13,MATCH(Ext_SCC_Chloride!$X21,'Tables - Part 2'!$AV$6:$AV$13,0),MATCH(Ext_SCC_Chloride!$U21,'Tables - Part 2'!$AX$5:$BA$5,0)))/2,0)</f>
        <v>0</v>
      </c>
      <c r="AV21" s="248">
        <f>IF($T21=$AV$3,(((INDEX('Tables - Part 2'!$BB$6:$BE$13,MATCH(Ext_SCC_Chloride!$X21,'Tables - Part 2'!$AV$6:$AV$13,0),MATCH(Ext_SCC_Chloride!$U21,'Tables - Part 2'!$AX$5:$BA$5,0))+INDEX('Tables - Part 2'!$BF$6:$BI$13,MATCH(Ext_SCC_Chloride!$X21,'Tables - Part 2'!$AV$6:$AV$13,0),MATCH(Ext_SCC_Chloride!$U21,'Tables - Part 2'!$AX$5:$BA$5,0)))/2)+((((INDEX('Tables - Part 2'!$BB$6:$BE$13,MATCH(Ext_SCC_Chloride!$X21,'Tables - Part 2'!$AV$6:$AV$13,0),MATCH(Ext_SCC_Chloride!$U21,'Tables - Part 2'!$AX$5:$BA$5,0))+INDEX('Tables - Part 2'!$BF$6:$BI$13,MATCH(Ext_SCC_Chloride!$X21,'Tables - Part 2'!$AV$6:$AV$13,0),MATCH(Ext_SCC_Chloride!$U21,'Tables - Part 2'!$AX$5:$BA$5,0)))/2)+INDEX('Tables - Part 2'!$BF$6:$BI$13,MATCH(Ext_SCC_Chloride!$X21,'Tables - Part 2'!$AV$6:$AV$13,0),MATCH(Ext_SCC_Chloride!$U21,'Tables - Part 2'!$AX$5:$BA$5,0)))/2))/2,0)</f>
        <v>0</v>
      </c>
      <c r="AW21" s="248">
        <f>IF($T21=$AW$3,(((INDEX('Tables - Part 2'!$BB$6:$BE$13,MATCH(Ext_SCC_Chloride!$X21,'Tables - Part 2'!$AV$6:$AV$13,0),MATCH(Ext_SCC_Chloride!$U21,'Tables - Part 2'!$AX$5:$BA$5,0))+INDEX('Tables - Part 2'!$BF$6:$BI$13,MATCH(Ext_SCC_Chloride!$X21,'Tables - Part 2'!$AV$6:$AV$13,0),MATCH(Ext_SCC_Chloride!$U21,'Tables - Part 2'!$AX$5:$BA$5,0)))/2)+INDEX('Tables - Part 2'!$BF$6:$BI$13,MATCH(Ext_SCC_Chloride!$X21,'Tables - Part 2'!$AV$6:$AV$13,0),MATCH(Ext_SCC_Chloride!$U21,'Tables - Part 2'!$AX$5:$BA$5,0)))/2,0)</f>
        <v>0</v>
      </c>
      <c r="AX21" s="248">
        <f>IF($T21=$AX$3,(((((INDEX('Tables - Part 2'!$BB$6:$BE$13,MATCH(Ext_SCC_Chloride!$X21,'Tables - Part 2'!$AV$6:$AV$13,0),MATCH(Ext_SCC_Chloride!$U21,'Tables - Part 2'!$AX$5:$BA$5,0))+INDEX('Tables - Part 2'!$BF$6:$BI$13,MATCH(Ext_SCC_Chloride!$X21,'Tables - Part 2'!$AV$6:$AV$13,0),MATCH(Ext_SCC_Chloride!$U21,'Tables - Part 2'!$AX$5:$BA$5,0)))/2)+INDEX('Tables - Part 2'!$BF$6:$BI$13,MATCH(Ext_SCC_Chloride!$X21,'Tables - Part 2'!$AV$6:$AV$13,0),MATCH(Ext_SCC_Chloride!$U21,'Tables - Part 2'!$AX$5:$BA$5,0)))/2)+INDEX('Tables - Part 2'!$BF$6:$BI$13,MATCH(Ext_SCC_Chloride!$X21,'Tables - Part 2'!$AV$6:$AV$13,0),MATCH(Ext_SCC_Chloride!$U21,'Tables - Part 2'!$AX$5:$BA$5,0)))/2,0)</f>
        <v>0</v>
      </c>
      <c r="AY21" s="248">
        <f>IF($T21=$AY$3,INDEX('Tables - Part 2'!$BF$6:$BI$13,MATCH(Ext_SCC_Chloride!$X21,'Tables - Part 2'!$AV$6:$AV$13,0),MATCH(Ext_SCC_Chloride!$U21,'Tables - Part 2'!$AX$5:$BA$5,0)),0)</f>
        <v>0</v>
      </c>
      <c r="AZ21" s="248">
        <f>IF($T21=$AZ$3,(INDEX('Tables - Part 2'!$BF$6:$BI$13,MATCH(Ext_SCC_Chloride!$X21,'Tables - Part 2'!$AV$6:$AV$13,0),MATCH(Ext_SCC_Chloride!$U21,'Tables - Part 2'!$AX$5:$BA$5,0))+((INDEX('Tables - Part 2'!$BF$6:$BI$13,MATCH(Ext_SCC_Chloride!$X21,'Tables - Part 2'!$AV$6:$AV$13,0),MATCH(Ext_SCC_Chloride!$U21,'Tables - Part 2'!$AX$5:$BA$5,0))+(INDEX('Tables - Part 2'!$BF$6:$BI$13,MATCH(Ext_SCC_Chloride!$X21,'Tables - Part 2'!$AV$6:$AV$13,0),MATCH(Ext_SCC_Chloride!$U21,'Tables - Part 2'!$AX$5:$BA$5,0))+INDEX('Tables - Part 2'!$AX$17:$BA$24,MATCH(Ext_SCC_Chloride!$X21,'Tables - Part 2'!$AV$6:$AV$13,0),MATCH(Ext_SCC_Chloride!$U21,'Tables - Part 2'!$AX$5:$BA$5,0)))/2)/2))/2,0)</f>
        <v>0</v>
      </c>
      <c r="BA21" s="248">
        <f>IF($T21=$BA$3,(INDEX('Tables - Part 2'!$BF$6:$BI$13,MATCH(Ext_SCC_Chloride!$X21,'Tables - Part 2'!$AV$6:$AV$13,0),MATCH(Ext_SCC_Chloride!$U21,'Tables - Part 2'!$AX$5:$BA$5,0))+(INDEX('Tables - Part 2'!$BF$6:$BI$13,MATCH(Ext_SCC_Chloride!$X21,'Tables - Part 2'!$AV$6:$AV$13,0),MATCH(Ext_SCC_Chloride!$U21,'Tables - Part 2'!$AX$5:$BA$5,0))+INDEX('Tables - Part 2'!$AX$17:$BA$24,MATCH(Ext_SCC_Chloride!$X21,'Tables - Part 2'!$AV$6:$AV$13,0),MATCH(Ext_SCC_Chloride!$U21,'Tables - Part 2'!$AX$5:$BA$5,0)))/2)/2,0)</f>
        <v>0</v>
      </c>
      <c r="BB21" s="248">
        <f>IF($T21=$BB$3,(((INDEX('Tables - Part 2'!$BF$6:$BI$13,MATCH(Ext_SCC_Chloride!$X21,'Tables - Part 2'!$AV$6:$AV$13,0),MATCH(Ext_SCC_Chloride!$U21,'Tables - Part 2'!$AX$5:$BA$5,0))+(INDEX('Tables - Part 2'!$BF$6:$BI$13,MATCH(Ext_SCC_Chloride!$X21,'Tables - Part 2'!$AV$6:$AV$13,0),MATCH(Ext_SCC_Chloride!$U21,'Tables - Part 2'!$AX$5:$BA$5,0))+INDEX('Tables - Part 2'!$AX$17:$BA$24,MATCH(Ext_SCC_Chloride!$X21,'Tables - Part 2'!$AV$6:$AV$13,0),MATCH(Ext_SCC_Chloride!$U21,'Tables - Part 2'!$AX$5:$BA$5,0)))/2)/2)+((INDEX('Tables - Part 2'!$BF$6:$BI$13,MATCH(Ext_SCC_Chloride!$X21,'Tables - Part 2'!$AV$6:$AV$13,0),MATCH(Ext_SCC_Chloride!$U21,'Tables - Part 2'!$AX$5:$BA$5,0))+INDEX('Tables - Part 2'!$AX$17:$BA$24,MATCH(Ext_SCC_Chloride!$X21,'Tables - Part 2'!$AV$6:$AV$13,0),MATCH(Ext_SCC_Chloride!$U21,'Tables - Part 2'!$AX$5:$BA$5,0)))/2))/2,0)</f>
        <v>0</v>
      </c>
      <c r="BC21" s="248">
        <f>IF($T21=$BC$3,(INDEX('Tables - Part 2'!$BF$6:$BI$13,MATCH(Ext_SCC_Chloride!$X21,'Tables - Part 2'!$AV$6:$AV$13,0),MATCH(Ext_SCC_Chloride!$U21,'Tables - Part 2'!$AX$5:$BA$5,0))+INDEX('Tables - Part 2'!$AX$17:$BA$24,MATCH(Ext_SCC_Chloride!$X21,'Tables - Part 2'!$AV$6:$AV$13,0),MATCH(Ext_SCC_Chloride!$U21,'Tables - Part 2'!$AX$5:$BA$5,0)))/2,0)</f>
        <v>0</v>
      </c>
      <c r="BD21" s="248">
        <f>IF($T21=$BD$3,(((INDEX('Tables - Part 2'!$BF$6:$BI$13,MATCH(Ext_SCC_Chloride!$X21,'Tables - Part 2'!$AV$6:$AV$13,0),MATCH(Ext_SCC_Chloride!$U21,'Tables - Part 2'!$AX$5:$BA$5,0))+INDEX('Tables - Part 2'!$AX$17:$BA$24,MATCH(Ext_SCC_Chloride!$X21,'Tables - Part 2'!$AV$6:$AV$13,0),MATCH(Ext_SCC_Chloride!$U21,'Tables - Part 2'!$AX$5:$BA$5,0)))/2)+((((INDEX('Tables - Part 2'!$BF$6:$BI$13,MATCH(Ext_SCC_Chloride!$X21,'Tables - Part 2'!$AV$6:$AV$13,0),MATCH(Ext_SCC_Chloride!$U21,'Tables - Part 2'!$AX$5:$BA$5,0))+INDEX('Tables - Part 2'!$AX$17:$BA$24,MATCH(Ext_SCC_Chloride!$X21,'Tables - Part 2'!$AV$6:$AV$13,0),MATCH(Ext_SCC_Chloride!$U21,'Tables - Part 2'!$AX$5:$BA$5,0)))/2)+INDEX('Tables - Part 2'!$AX$17:$BA$24,MATCH(Ext_SCC_Chloride!$X21,'Tables - Part 2'!$AV$6:$AV$13,0),MATCH(Ext_SCC_Chloride!$U21,'Tables - Part 2'!$AX$5:$BA$5,0)))/2))/2,0)</f>
        <v>0</v>
      </c>
      <c r="BE21" s="248">
        <f>IF($T21=$BE$3,(((INDEX('Tables - Part 2'!$BF$6:$BI$13,MATCH(Ext_SCC_Chloride!$X21,'Tables - Part 2'!$AV$6:$AV$13,0),MATCH(Ext_SCC_Chloride!$U21,'Tables - Part 2'!$AX$5:$BA$5,0))+INDEX('Tables - Part 2'!$AX$17:$BA$24,MATCH(Ext_SCC_Chloride!$X21,'Tables - Part 2'!$AV$6:$AV$13,0),MATCH(Ext_SCC_Chloride!$U21,'Tables - Part 2'!$AX$5:$BA$5,0)))/2)+INDEX('Tables - Part 2'!$AX$17:$BA$24,MATCH(Ext_SCC_Chloride!$X21,'Tables - Part 2'!$AV$6:$AV$13,0),MATCH(Ext_SCC_Chloride!$U21,'Tables - Part 2'!$AX$5:$BA$5,0)))/2,0)</f>
        <v>0</v>
      </c>
      <c r="BF21" s="248">
        <f>IF($T21=$BF$3,(((((INDEX('Tables - Part 2'!$BF$6:$BI$13,MATCH(Ext_SCC_Chloride!$X21,'Tables - Part 2'!$AV$6:$AV$13,0),MATCH(Ext_SCC_Chloride!$U21,'Tables - Part 2'!$AX$5:$BA$5,0))+INDEX('Tables - Part 2'!$AX$17:$BA$24,MATCH(Ext_SCC_Chloride!$X21,'Tables - Part 2'!$AV$6:$AV$13,0),MATCH(Ext_SCC_Chloride!$U21,'Tables - Part 2'!$AX$5:$BA$5,0)))/2)+INDEX('Tables - Part 2'!$AX$17:$BA$24,MATCH(Ext_SCC_Chloride!$X21,'Tables - Part 2'!$AV$6:$AV$13,0),MATCH(Ext_SCC_Chloride!$U21,'Tables - Part 2'!$AX$5:$BA$5,0)))/2)+(INDEX('Tables - Part 2'!$AX$17:$BA$24,MATCH(Ext_SCC_Chloride!$X21,'Tables - Part 2'!$AV$6:$AV$13,0),MATCH(Ext_SCC_Chloride!$U21,'Tables - Part 2'!$AX$5:$BA$5,0))))/2,0)</f>
        <v>0</v>
      </c>
      <c r="BG21" s="248">
        <f>IF($T21=$BG$3,INDEX('Tables - Part 2'!$AX$17:$BA$24,MATCH(Ext_SCC_Chloride!$X21,'Tables - Part 2'!$AV$6:$AV$13,0),MATCH(Ext_SCC_Chloride!$U21,'Tables - Part 2'!$AX$5:$BA$5,0)),0)</f>
        <v>0</v>
      </c>
      <c r="BH21" s="248">
        <f>IF($T21=$BH$3,((INDEX('Tables - Part 2'!$AX$17:$BA$24,MATCH(Ext_SCC_Chloride!$X21,'Tables - Part 2'!$AV$6:$AV$13,0),MATCH(Ext_SCC_Chloride!$U21,'Tables - Part 2'!$AX$5:$BA$5,0)))+(((INDEX('Tables - Part 2'!$AX$17:$BA$24,MATCH(Ext_SCC_Chloride!$X21,'Tables - Part 2'!$AV$6:$AV$13,0),MATCH(Ext_SCC_Chloride!$U21,'Tables - Part 2'!$AX$5:$BA$5,0)))+(INDEX('Tables - Part 2'!$AX$17:$BA$24,MATCH(Ext_SCC_Chloride!$X21,'Tables - Part 2'!$AV$6:$AV$13,0),MATCH(Ext_SCC_Chloride!$U21,'Tables - Part 2'!$AX$5:$BA$5,0))+INDEX('Tables - Part 2'!$BB$17:$BE$24,MATCH(Ext_SCC_Chloride!$X21,'Tables - Part 2'!$AV$6:$AV$13,0),MATCH(Ext_SCC_Chloride!$U21,'Tables - Part 2'!$AX$5:$BA$5,0)))/2)/2))/2,0)</f>
        <v>0</v>
      </c>
      <c r="BI21" s="248">
        <f>IF($T21=$BI$3,((INDEX('Tables - Part 2'!$AX$17:$BA$24,MATCH(Ext_SCC_Chloride!$X21,'Tables - Part 2'!$AV$6:$AV$13,0),MATCH(Ext_SCC_Chloride!$U21,'Tables - Part 2'!$AX$5:$BA$5,0)))+(INDEX('Tables - Part 2'!$AX$17:$BA$24,MATCH(Ext_SCC_Chloride!$X21,'Tables - Part 2'!$AV$6:$AV$13,0),MATCH(Ext_SCC_Chloride!$U21,'Tables - Part 2'!$AX$5:$BA$5,0))+INDEX('Tables - Part 2'!$BB$17:$BE$24,MATCH(Ext_SCC_Chloride!$X21,'Tables - Part 2'!$AV$6:$AV$13,0),MATCH(Ext_SCC_Chloride!$U21,'Tables - Part 2'!$AX$5:$BA$5,0)))/2)/2,0)</f>
        <v>0</v>
      </c>
      <c r="BJ21" s="248">
        <f>IF($T21=$BJ$3,((((INDEX('Tables - Part 2'!$AX$17:$BA$24,MATCH(Ext_SCC_Chloride!$X21,'Tables - Part 2'!$AV$6:$AV$13,0),MATCH(Ext_SCC_Chloride!$U21,'Tables - Part 2'!$AX$5:$BA$5,0)))+(INDEX('Tables - Part 2'!$AX$17:$BA$24,MATCH(Ext_SCC_Chloride!$X21,'Tables - Part 2'!$AV$6:$AV$13,0),MATCH(Ext_SCC_Chloride!$U21,'Tables - Part 2'!$AX$5:$BA$5,0))+INDEX('Tables - Part 2'!$BB$17:$BE$24,MATCH(Ext_SCC_Chloride!$X21,'Tables - Part 2'!$AV$6:$AV$13,0),MATCH(Ext_SCC_Chloride!$U21,'Tables - Part 2'!$AX$5:$BA$5,0)))/2)/2)+((INDEX('Tables - Part 2'!$AX$17:$BA$24,MATCH(Ext_SCC_Chloride!$X21,'Tables - Part 2'!$AV$6:$AV$13,0),MATCH(Ext_SCC_Chloride!$U21,'Tables - Part 2'!$AX$5:$BA$5,0))+INDEX('Tables - Part 2'!$BB$17:$BE$24,MATCH(Ext_SCC_Chloride!$X21,'Tables - Part 2'!$AV$6:$AV$13,0),MATCH(Ext_SCC_Chloride!$U21,'Tables - Part 2'!$AX$5:$BA$5,0)))/2))/2,0)</f>
        <v>0</v>
      </c>
      <c r="BK21" s="248">
        <f>IF($T21=$BK$3,(INDEX('Tables - Part 2'!$AX$17:$BA$24,MATCH(Ext_SCC_Chloride!$X21,'Tables - Part 2'!$AV$6:$AV$13,0),MATCH(Ext_SCC_Chloride!$U21,'Tables - Part 2'!$AX$5:$BA$5,0))+INDEX('Tables - Part 2'!$BB$17:$BE$24,MATCH(Ext_SCC_Chloride!$X21,'Tables - Part 2'!$AV$6:$AV$13,0),MATCH(Ext_SCC_Chloride!$U21,'Tables - Part 2'!$AX$5:$BA$5,0)))/2,0)</f>
        <v>0</v>
      </c>
      <c r="BL21" s="248">
        <f>IF($T21=$BL$3,(((INDEX('Tables - Part 2'!$AX$17:$BA$24,MATCH(Ext_SCC_Chloride!$X21,'Tables - Part 2'!$AV$6:$AV$13,0),MATCH(Ext_SCC_Chloride!$U21,'Tables - Part 2'!$AX$5:$BA$5,0))+INDEX('Tables - Part 2'!$BB$17:$BE$24,MATCH(Ext_SCC_Chloride!$X21,'Tables - Part 2'!$AV$6:$AV$13,0),MATCH(Ext_SCC_Chloride!$U21,'Tables - Part 2'!$AX$5:$BA$5,0)))/2)+((((INDEX('Tables - Part 2'!$AX$17:$BA$24,MATCH(Ext_SCC_Chloride!$X21,'Tables - Part 2'!$AV$6:$AV$13,0),MATCH(Ext_SCC_Chloride!$U21,'Tables - Part 2'!$AX$5:$BA$5,0))+INDEX('Tables - Part 2'!$BB$17:$BE$24,MATCH(Ext_SCC_Chloride!$X21,'Tables - Part 2'!$AV$6:$AV$13,0),MATCH(Ext_SCC_Chloride!$U21,'Tables - Part 2'!$AX$5:$BA$5,0)))/2)+INDEX('Tables - Part 2'!$BB$17:$BE$24,MATCH(Ext_SCC_Chloride!$X21,'Tables - Part 2'!$AV$6:$AV$13,0),MATCH(Ext_SCC_Chloride!$U21,'Tables - Part 2'!$AX$5:$BA$5,0)))/2))/2,0)</f>
        <v>0</v>
      </c>
      <c r="BM21" s="248">
        <f>IF($T21=$BM$3,(((INDEX('Tables - Part 2'!$AX$17:$BA$24,MATCH(Ext_SCC_Chloride!$X21,'Tables - Part 2'!$AV$6:$AV$13,0),MATCH(Ext_SCC_Chloride!$U21,'Tables - Part 2'!$AX$5:$BA$5,0))+INDEX('Tables - Part 2'!$BB$17:$BE$24,MATCH(Ext_SCC_Chloride!$X21,'Tables - Part 2'!$AV$6:$AV$13,0),MATCH(Ext_SCC_Chloride!$U21,'Tables - Part 2'!$AX$5:$BA$5,0)))/2)+INDEX('Tables - Part 2'!$BB$17:$BE$24,MATCH(Ext_SCC_Chloride!$X21,'Tables - Part 2'!$AV$6:$AV$13,0),MATCH(Ext_SCC_Chloride!$U21,'Tables - Part 2'!$AX$5:$BA$5,0)))/2,0)</f>
        <v>0</v>
      </c>
      <c r="BN21" s="248">
        <f>IF($T21=$BN$3,(((((INDEX('Tables - Part 2'!$AX$17:$BA$24,MATCH(Ext_SCC_Chloride!$X21,'Tables - Part 2'!$AV$6:$AV$13,0),MATCH(Ext_SCC_Chloride!$U21,'Tables - Part 2'!$AX$5:$BA$5,0))+INDEX('Tables - Part 2'!$BB$17:$BE$24,MATCH(Ext_SCC_Chloride!$X21,'Tables - Part 2'!$AV$6:$AV$13,0),MATCH(Ext_SCC_Chloride!$U21,'Tables - Part 2'!$AX$5:$BA$5,0)))/2)+INDEX('Tables - Part 2'!$BB$17:$BE$24,MATCH(Ext_SCC_Chloride!$X21,'Tables - Part 2'!$AV$6:$AV$13,0),MATCH(Ext_SCC_Chloride!$U21,'Tables - Part 2'!$AX$5:$BA$5,0)))/2)+(INDEX('Tables - Part 2'!$BB$17:$BE$24,MATCH(Ext_SCC_Chloride!$X21,'Tables - Part 2'!$AV$6:$AV$13,0),MATCH(Ext_SCC_Chloride!$U21,'Tables - Part 2'!$AX$5:$BA$5,0))))/2,0)</f>
        <v>0</v>
      </c>
      <c r="BO21" s="248">
        <f>IF($T21=$BO$3,INDEX('Tables - Part 2'!$BB$17:$BE$24,MATCH(Ext_SCC_Chloride!$X21,'Tables - Part 2'!$AV$6:$AV$13,0),MATCH(Ext_SCC_Chloride!$U21,'Tables - Part 2'!$AX$5:$BA$5,0)),0)</f>
        <v>0</v>
      </c>
      <c r="BP21" s="248">
        <f>IF($T21=$BP$3,((INDEX('Tables - Part 2'!$BB$17:$BE$24,MATCH(Ext_SCC_Chloride!$X21,'Tables - Part 2'!$AV$6:$AV$13,0),MATCH(Ext_SCC_Chloride!$U21,'Tables - Part 2'!$AX$5:$BA$5,0)))+(((INDEX('Tables - Part 2'!$BB$17:$BE$24,MATCH(Ext_SCC_Chloride!$X21,'Tables - Part 2'!$AV$6:$AV$13,0),MATCH(Ext_SCC_Chloride!$U21,'Tables - Part 2'!$AX$5:$BA$5,0)))+(INDEX('Tables - Part 2'!$BB$17:$BE$24,MATCH(Ext_SCC_Chloride!$X21,'Tables - Part 2'!$AV$6:$AV$13,0),MATCH(Ext_SCC_Chloride!$U21,'Tables - Part 2'!$AX$5:$BA$5,0))+INDEX('Tables - Part 2'!$BF$17:$BI$24,MATCH(Ext_SCC_Chloride!$X21,'Tables - Part 2'!$AV$6:$AV$13,0),MATCH(Ext_SCC_Chloride!$U21,'Tables - Part 2'!$AX$5:$BA$5,0)))/2)/2))/2,0)</f>
        <v>0</v>
      </c>
      <c r="BQ21" s="248">
        <f>IF($T21=$BQ$3,((INDEX('Tables - Part 2'!$BB$17:$BE$24,MATCH(Ext_SCC_Chloride!$X21,'Tables - Part 2'!$AV$6:$AV$13,0),MATCH(Ext_SCC_Chloride!$U21,'Tables - Part 2'!$AX$5:$BA$5,0)))+(INDEX('Tables - Part 2'!$BB$17:$BE$24,MATCH(Ext_SCC_Chloride!$X21,'Tables - Part 2'!$AV$6:$AV$13,0),MATCH(Ext_SCC_Chloride!$U21,'Tables - Part 2'!$AX$5:$BA$5,0))+INDEX('Tables - Part 2'!$BF$17:$BI$24,MATCH(Ext_SCC_Chloride!$X21,'Tables - Part 2'!$AV$6:$AV$13,0),MATCH(Ext_SCC_Chloride!$U21,'Tables - Part 2'!$AX$5:$BA$5,0)))/2)/2,0)</f>
        <v>0</v>
      </c>
      <c r="BR21" s="248">
        <f>IF($T21=$BR$3,((((INDEX('Tables - Part 2'!$BB$17:$BE$24,MATCH(Ext_SCC_Chloride!$X21,'Tables - Part 2'!$AV$6:$AV$13,0),MATCH(Ext_SCC_Chloride!$U21,'Tables - Part 2'!$AX$5:$BA$5,0)))+(INDEX('Tables - Part 2'!$BB$17:$BE$24,MATCH(Ext_SCC_Chloride!$X21,'Tables - Part 2'!$AV$6:$AV$13,0),MATCH(Ext_SCC_Chloride!$U21,'Tables - Part 2'!$AX$5:$BA$5,0))+INDEX('Tables - Part 2'!$BF$17:$BI$24,MATCH(Ext_SCC_Chloride!$X21,'Tables - Part 2'!$AV$6:$AV$13,0),MATCH(Ext_SCC_Chloride!$U21,'Tables - Part 2'!$AX$5:$BA$5,0)))/2)/2)+((INDEX('Tables - Part 2'!$BB$17:$BE$24,MATCH(Ext_SCC_Chloride!$X21,'Tables - Part 2'!$AV$6:$AV$13,0),MATCH(Ext_SCC_Chloride!$U21,'Tables - Part 2'!$AX$5:$BA$5,0))+INDEX('Tables - Part 2'!$BF$17:$BI$24,MATCH(Ext_SCC_Chloride!$X21,'Tables - Part 2'!$AV$6:$AV$13,0),MATCH(Ext_SCC_Chloride!$U21,'Tables - Part 2'!$AX$5:$BA$5,0)))/2))/2,0)</f>
        <v>0</v>
      </c>
      <c r="BS21" s="248">
        <f>IF($T21=$BS$3,(INDEX('Tables - Part 2'!$BB$17:$BE$24,MATCH(Ext_SCC_Chloride!$X21,'Tables - Part 2'!$AV$6:$AV$13,0),MATCH(Ext_SCC_Chloride!$U21,'Tables - Part 2'!$AX$5:$BA$5,0))+INDEX('Tables - Part 2'!$BF$17:$BI$24,MATCH(Ext_SCC_Chloride!$X21,'Tables - Part 2'!$AV$6:$AV$13,0),MATCH(Ext_SCC_Chloride!$U21,'Tables - Part 2'!$AX$5:$BA$5,0)))/2,0)</f>
        <v>0</v>
      </c>
      <c r="BT21" s="248">
        <f>IF($T21=$BT$3,(((INDEX('Tables - Part 2'!$BB$17:$BE$24,MATCH(Ext_SCC_Chloride!$X21,'Tables - Part 2'!$AV$6:$AV$13,0),MATCH(Ext_SCC_Chloride!$U21,'Tables - Part 2'!$AX$5:$BA$5,0))+INDEX('Tables - Part 2'!$BF$17:$BI$24,MATCH(Ext_SCC_Chloride!$X21,'Tables - Part 2'!$AV$6:$AV$13,0),MATCH(Ext_SCC_Chloride!$U21,'Tables - Part 2'!$AX$5:$BA$5,0)))/2)+((((INDEX('Tables - Part 2'!$BB$17:$BE$24,MATCH(Ext_SCC_Chloride!$X21,'Tables - Part 2'!$AV$6:$AV$13,0),MATCH(Ext_SCC_Chloride!$U21,'Tables - Part 2'!$AX$5:$BA$5,0))+INDEX('Tables - Part 2'!$BF$17:$BI$24,MATCH(Ext_SCC_Chloride!$X21,'Tables - Part 2'!$AV$6:$AV$13,0),MATCH(Ext_SCC_Chloride!$U21,'Tables - Part 2'!$AX$5:$BA$5,0)))/2)+INDEX('Tables - Part 2'!$BF$17:$BI$24,MATCH(Ext_SCC_Chloride!$X21,'Tables - Part 2'!$AV$6:$AV$13,0),MATCH(Ext_SCC_Chloride!$U21,'Tables - Part 2'!$AX$5:$BA$5,0)))/2))/2,0)</f>
        <v>0</v>
      </c>
      <c r="BU21" s="248">
        <f>IF($T21=$BU$3,(((INDEX('Tables - Part 2'!$BB$17:$BE$24,MATCH(Ext_SCC_Chloride!$X21,'Tables - Part 2'!$AV$6:$AV$13,0),MATCH(Ext_SCC_Chloride!$U21,'Tables - Part 2'!$AX$5:$BA$5,0))+INDEX('Tables - Part 2'!$BF$17:$BI$24,MATCH(Ext_SCC_Chloride!$X21,'Tables - Part 2'!$AV$6:$AV$13,0),MATCH(Ext_SCC_Chloride!$U21,'Tables - Part 2'!$AX$5:$BA$5,0)))/2)+INDEX('Tables - Part 2'!$BF$17:$BI$24,MATCH(Ext_SCC_Chloride!$X21,'Tables - Part 2'!$AV$6:$AV$13,0),MATCH(Ext_SCC_Chloride!$U21,'Tables - Part 2'!$AX$5:$BA$5,0)))/2,0)</f>
        <v>0</v>
      </c>
      <c r="BV21" s="248">
        <f>IF($T21=$BV$3,(((((INDEX('Tables - Part 2'!$BB$17:$BE$24,MATCH(Ext_SCC_Chloride!$X21,'Tables - Part 2'!$AV$6:$AV$13,0),MATCH(Ext_SCC_Chloride!$U21,'Tables - Part 2'!$AX$5:$BA$5,0))+INDEX('Tables - Part 2'!$BF$17:$BI$24,MATCH(Ext_SCC_Chloride!$X21,'Tables - Part 2'!$AV$6:$AV$13,0),MATCH(Ext_SCC_Chloride!$U21,'Tables - Part 2'!$AX$5:$BA$5,0)))/2)+INDEX('Tables - Part 2'!$BF$17:$BI$24,MATCH(Ext_SCC_Chloride!$X21,'Tables - Part 2'!$AV$6:$AV$13,0),MATCH(Ext_SCC_Chloride!$U21,'Tables - Part 2'!$AX$5:$BA$5,0)))/2)+(INDEX('Tables - Part 2'!$BF$17:$BI$24,MATCH(Ext_SCC_Chloride!$X21,'Tables - Part 2'!$AV$6:$AV$13,0),MATCH(Ext_SCC_Chloride!$U21,'Tables - Part 2'!$AX$5:$BA$5,0))))/2,0)</f>
        <v>0</v>
      </c>
      <c r="BW21" s="248">
        <f>IF($T21=$BW$3,INDEX('Tables - Part 2'!$BF$17:$BI$24,MATCH(Ext_SCC_Chloride!$X21,'Tables - Part 2'!$AV$6:$AV$13,0),MATCH(Ext_SCC_Chloride!$U21,'Tables - Part 2'!$AX$5:$BA$5,0)),0)</f>
        <v>0</v>
      </c>
      <c r="BX21" s="248">
        <f t="shared" si="5"/>
        <v>0</v>
      </c>
      <c r="BY21" s="238">
        <f t="shared" si="12"/>
        <v>0</v>
      </c>
      <c r="BZ21" s="238">
        <f t="shared" si="13"/>
        <v>0</v>
      </c>
    </row>
  </sheetData>
  <mergeCells count="1">
    <mergeCell ref="Z2:AC2"/>
  </mergeCells>
  <dataValidations count="2">
    <dataValidation type="list" allowBlank="1" showInputMessage="1" showErrorMessage="1" sqref="D4:D21" xr:uid="{00000000-0002-0000-1A00-000000000000}">
      <formula1>$CE$2:$CE$3</formula1>
    </dataValidation>
    <dataValidation type="list" allowBlank="1" showInputMessage="1" showErrorMessage="1" sqref="E4:E21" xr:uid="{00000000-0002-0000-1A00-000001000000}">
      <formula1>$CE$2:$CE$4</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A00-000002000000}">
          <x14:formula1>
            <xm:f>POF!$BC$2:$BC$3</xm:f>
          </x14:formula1>
          <xm:sqref>G4:G21</xm:sqref>
        </x14:dataValidation>
        <x14:dataValidation type="list" allowBlank="1" showInputMessage="1" showErrorMessage="1" xr:uid="{00000000-0002-0000-1A00-000003000000}">
          <x14:formula1>
            <xm:f>'Tables - Part 2'!$FI$4:$FL$4</xm:f>
          </x14:formula1>
          <xm:sqref>M4:M21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31">
    <tabColor rgb="FFFFFF00"/>
  </sheetPr>
  <dimension ref="B1:CQ21"/>
  <sheetViews>
    <sheetView zoomScale="70" zoomScaleNormal="70" workbookViewId="0">
      <selection activeCell="L12" sqref="L12"/>
    </sheetView>
  </sheetViews>
  <sheetFormatPr defaultRowHeight="14.5" x14ac:dyDescent="0.35"/>
  <cols>
    <col min="1" max="1" width="1.26953125" customWidth="1"/>
    <col min="2" max="3" width="18.26953125" customWidth="1"/>
    <col min="4" max="4" width="21.26953125" customWidth="1"/>
    <col min="5" max="5" width="10.453125" customWidth="1"/>
    <col min="6" max="9" width="21.7265625" customWidth="1"/>
    <col min="10" max="10" width="23.54296875" customWidth="1"/>
    <col min="11" max="11" width="22.7265625" customWidth="1"/>
    <col min="12" max="12" width="33.26953125" customWidth="1"/>
    <col min="13" max="15" width="14.7265625" customWidth="1"/>
    <col min="16" max="16" width="19.453125" customWidth="1"/>
    <col min="17" max="17" width="13.453125" customWidth="1"/>
    <col min="18" max="20" width="12.81640625" customWidth="1"/>
    <col min="21" max="21" width="16.1796875" customWidth="1"/>
    <col min="22" max="22" width="12.81640625" customWidth="1"/>
    <col min="23" max="23" width="16.453125" customWidth="1"/>
    <col min="24" max="25" width="12.1796875" customWidth="1"/>
    <col min="26" max="26" width="25.81640625" bestFit="1" customWidth="1"/>
    <col min="27" max="32" width="25.81640625" customWidth="1"/>
    <col min="33" max="33" width="20.26953125" bestFit="1" customWidth="1"/>
    <col min="34" max="34" width="11" customWidth="1"/>
    <col min="35" max="44" width="19.81640625" customWidth="1"/>
    <col min="45" max="45" width="5.7265625" bestFit="1" customWidth="1"/>
    <col min="46" max="46" width="6" customWidth="1"/>
    <col min="47" max="47" width="5.54296875" customWidth="1"/>
    <col min="48" max="48" width="6.7265625" customWidth="1"/>
    <col min="49" max="49" width="6" customWidth="1"/>
    <col min="50" max="50" width="6.7265625" customWidth="1"/>
    <col min="51" max="51" width="5.54296875" customWidth="1"/>
    <col min="52" max="52" width="6" customWidth="1"/>
    <col min="53" max="53" width="5.7265625" bestFit="1" customWidth="1"/>
    <col min="54" max="54" width="6.7265625" customWidth="1"/>
    <col min="55" max="55" width="6" customWidth="1"/>
    <col min="56" max="56" width="6.7265625" customWidth="1"/>
    <col min="57" max="57" width="6" bestFit="1" customWidth="1"/>
    <col min="58" max="58" width="6" customWidth="1"/>
    <col min="59" max="59" width="5.54296875" customWidth="1"/>
    <col min="60" max="60" width="6.7265625" customWidth="1"/>
    <col min="61" max="61" width="6" customWidth="1"/>
    <col min="62" max="62" width="6.7265625" customWidth="1"/>
    <col min="63" max="65" width="6" customWidth="1"/>
    <col min="66" max="66" width="6.7265625" customWidth="1"/>
    <col min="67" max="67" width="6" customWidth="1"/>
    <col min="68" max="68" width="6.7265625" customWidth="1"/>
    <col min="69" max="71" width="6" customWidth="1"/>
    <col min="72" max="72" width="6.7265625" customWidth="1"/>
    <col min="73" max="73" width="6" customWidth="1"/>
    <col min="74" max="74" width="6.7265625" customWidth="1"/>
    <col min="75" max="77" width="6" customWidth="1"/>
    <col min="78" max="78" width="6.7265625" customWidth="1"/>
    <col min="79" max="79" width="6" customWidth="1"/>
    <col min="80" max="80" width="6.7265625" customWidth="1"/>
    <col min="81" max="81" width="4.81640625" customWidth="1"/>
    <col min="82" max="82" width="6" customWidth="1"/>
    <col min="83" max="83" width="5.54296875" customWidth="1"/>
    <col min="84" max="84" width="6.7265625" customWidth="1"/>
    <col min="85" max="86" width="4.81640625" customWidth="1"/>
    <col min="87" max="87" width="24.81640625" bestFit="1" customWidth="1"/>
    <col min="88" max="88" width="23" bestFit="1" customWidth="1"/>
    <col min="89" max="90" width="9.1796875" customWidth="1"/>
    <col min="91" max="91" width="26.81640625" customWidth="1"/>
    <col min="92" max="92" width="23.54296875" customWidth="1"/>
    <col min="93" max="93" width="35.54296875" customWidth="1"/>
    <col min="95" max="95" width="14.54296875" bestFit="1" customWidth="1"/>
  </cols>
  <sheetData>
    <row r="1" spans="2:95" ht="3.75" customHeight="1" x14ac:dyDescent="0.35"/>
    <row r="2" spans="2:95" x14ac:dyDescent="0.35">
      <c r="Q2" s="418"/>
      <c r="AJ2" s="702" t="s">
        <v>897</v>
      </c>
      <c r="AK2" s="702"/>
      <c r="AL2" s="702"/>
      <c r="AM2" s="702"/>
      <c r="AN2" s="499"/>
      <c r="AO2" s="499"/>
      <c r="AP2" s="499"/>
      <c r="AQ2" s="499"/>
      <c r="AR2" s="499"/>
      <c r="AS2" s="449"/>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0"/>
      <c r="BS2" s="450"/>
      <c r="BT2" s="450"/>
      <c r="BU2" s="450"/>
      <c r="BV2" s="450"/>
      <c r="BW2" s="450"/>
      <c r="BX2" s="450"/>
      <c r="BY2" s="450"/>
      <c r="BZ2" s="450"/>
      <c r="CA2" s="450"/>
      <c r="CB2" s="450"/>
      <c r="CC2" s="450"/>
      <c r="CD2" s="450"/>
      <c r="CE2" s="450"/>
      <c r="CF2" s="450"/>
      <c r="CG2" s="450"/>
      <c r="CH2" s="450"/>
      <c r="CI2" s="451"/>
      <c r="CL2">
        <v>0</v>
      </c>
      <c r="CM2" s="438" t="s">
        <v>898</v>
      </c>
      <c r="CO2" s="158" t="s">
        <v>244</v>
      </c>
      <c r="CP2" s="208"/>
      <c r="CQ2" s="208" t="s">
        <v>1225</v>
      </c>
    </row>
    <row r="3" spans="2:95" ht="29.25" customHeight="1" x14ac:dyDescent="0.35">
      <c r="B3" s="346" t="s">
        <v>968</v>
      </c>
      <c r="C3" s="346" t="s">
        <v>969</v>
      </c>
      <c r="D3" s="139" t="s">
        <v>843</v>
      </c>
      <c r="E3" s="139" t="s">
        <v>860</v>
      </c>
      <c r="F3" s="139" t="s">
        <v>1152</v>
      </c>
      <c r="G3" s="346" t="s">
        <v>951</v>
      </c>
      <c r="H3" s="346" t="s">
        <v>920</v>
      </c>
      <c r="I3" s="346" t="s">
        <v>754</v>
      </c>
      <c r="J3" s="139" t="s">
        <v>867</v>
      </c>
      <c r="K3" s="346" t="s">
        <v>922</v>
      </c>
      <c r="L3" s="346" t="s">
        <v>923</v>
      </c>
      <c r="M3" s="346" t="s">
        <v>903</v>
      </c>
      <c r="N3" s="346" t="s">
        <v>1223</v>
      </c>
      <c r="O3" s="346" t="s">
        <v>1224</v>
      </c>
      <c r="P3" s="139" t="s">
        <v>1307</v>
      </c>
      <c r="Q3" s="139" t="s">
        <v>893</v>
      </c>
      <c r="R3" s="139" t="s">
        <v>894</v>
      </c>
      <c r="S3" s="139" t="s">
        <v>895</v>
      </c>
      <c r="T3" s="139" t="s">
        <v>896</v>
      </c>
      <c r="U3" s="139" t="s">
        <v>882</v>
      </c>
      <c r="V3" s="139" t="s">
        <v>880</v>
      </c>
      <c r="W3" s="139" t="s">
        <v>882</v>
      </c>
      <c r="X3" s="139" t="s">
        <v>880</v>
      </c>
      <c r="Y3" s="139" t="s">
        <v>1306</v>
      </c>
      <c r="Z3" s="346" t="s">
        <v>1095</v>
      </c>
      <c r="AA3" s="346" t="s">
        <v>1309</v>
      </c>
      <c r="AB3" s="346" t="s">
        <v>1312</v>
      </c>
      <c r="AC3" s="346" t="s">
        <v>1310</v>
      </c>
      <c r="AD3" s="346" t="s">
        <v>1313</v>
      </c>
      <c r="AE3" s="346" t="s">
        <v>1311</v>
      </c>
      <c r="AF3" s="346" t="s">
        <v>1314</v>
      </c>
      <c r="AG3" s="346" t="s">
        <v>1308</v>
      </c>
      <c r="AH3" s="244" t="s">
        <v>861</v>
      </c>
      <c r="AI3" s="346" t="s">
        <v>1300</v>
      </c>
      <c r="AJ3" s="346" t="s">
        <v>278</v>
      </c>
      <c r="AK3" s="346" t="s">
        <v>279</v>
      </c>
      <c r="AL3" s="346" t="s">
        <v>280</v>
      </c>
      <c r="AM3" s="346" t="s">
        <v>274</v>
      </c>
      <c r="AN3" s="346" t="s">
        <v>921</v>
      </c>
      <c r="AO3" s="346" t="s">
        <v>925</v>
      </c>
      <c r="AP3" s="346" t="s">
        <v>926</v>
      </c>
      <c r="AQ3" s="346" t="s">
        <v>927</v>
      </c>
      <c r="AR3" s="346" t="s">
        <v>756</v>
      </c>
      <c r="AS3" s="346">
        <v>1</v>
      </c>
      <c r="AT3" s="252">
        <v>1.125</v>
      </c>
      <c r="AU3" s="346">
        <v>1.25</v>
      </c>
      <c r="AV3" s="346">
        <v>1.375</v>
      </c>
      <c r="AW3" s="254">
        <v>1.5</v>
      </c>
      <c r="AX3" s="346">
        <v>1.625</v>
      </c>
      <c r="AY3" s="346">
        <v>1.75</v>
      </c>
      <c r="AZ3" s="252">
        <v>1.875</v>
      </c>
      <c r="BA3" s="346">
        <v>2</v>
      </c>
      <c r="BB3" s="346">
        <v>2.125</v>
      </c>
      <c r="BC3" s="252">
        <v>2.25</v>
      </c>
      <c r="BD3" s="346">
        <v>2.375</v>
      </c>
      <c r="BE3" s="346">
        <v>2.5</v>
      </c>
      <c r="BF3" s="252">
        <v>2.625</v>
      </c>
      <c r="BG3" s="346">
        <v>2.75</v>
      </c>
      <c r="BH3" s="346">
        <v>2.875</v>
      </c>
      <c r="BI3" s="255">
        <v>3</v>
      </c>
      <c r="BJ3" s="346">
        <v>3.125</v>
      </c>
      <c r="BK3" s="346">
        <v>3.25</v>
      </c>
      <c r="BL3" s="252">
        <v>3.375</v>
      </c>
      <c r="BM3" s="346">
        <v>3.5</v>
      </c>
      <c r="BN3" s="346">
        <v>3.625</v>
      </c>
      <c r="BO3" s="252">
        <v>3.75</v>
      </c>
      <c r="BP3" s="346">
        <v>3.875</v>
      </c>
      <c r="BQ3" s="346">
        <v>4</v>
      </c>
      <c r="BR3" s="252">
        <v>4.125</v>
      </c>
      <c r="BS3" s="346">
        <v>4.25</v>
      </c>
      <c r="BT3" s="346">
        <v>4.375</v>
      </c>
      <c r="BU3" s="254">
        <v>4.5</v>
      </c>
      <c r="BV3" s="346">
        <v>4.625</v>
      </c>
      <c r="BW3" s="346">
        <v>4.75</v>
      </c>
      <c r="BX3" s="252">
        <v>4.875</v>
      </c>
      <c r="BY3" s="346">
        <v>5</v>
      </c>
      <c r="BZ3" s="346">
        <v>5.125</v>
      </c>
      <c r="CA3" s="252">
        <v>5.25</v>
      </c>
      <c r="CB3" s="346">
        <v>5.375</v>
      </c>
      <c r="CC3" s="346">
        <v>5.5</v>
      </c>
      <c r="CD3" s="252">
        <v>5.625</v>
      </c>
      <c r="CE3" s="346">
        <v>5.75</v>
      </c>
      <c r="CF3" s="346">
        <v>5.875</v>
      </c>
      <c r="CG3" s="346">
        <v>6</v>
      </c>
      <c r="CH3" s="346" t="s">
        <v>281</v>
      </c>
      <c r="CI3" s="346" t="s">
        <v>1315</v>
      </c>
      <c r="CJ3" s="141" t="s">
        <v>1316</v>
      </c>
      <c r="CL3">
        <v>1</v>
      </c>
      <c r="CM3" s="237" t="s">
        <v>839</v>
      </c>
      <c r="CO3" s="158" t="s">
        <v>245</v>
      </c>
      <c r="CQ3" t="s">
        <v>1081</v>
      </c>
    </row>
    <row r="4" spans="2:95" x14ac:dyDescent="0.35">
      <c r="B4" s="161" t="str">
        <f>'Tratamento de Dados'!B12</f>
        <v>V-90</v>
      </c>
      <c r="C4" s="161" t="str">
        <f>'Tratamento de Dados'!D12</f>
        <v>Casco</v>
      </c>
      <c r="D4" s="209" t="s">
        <v>245</v>
      </c>
      <c r="E4" s="209" t="s">
        <v>61</v>
      </c>
      <c r="F4" s="247">
        <f>'Tratamento de Dados'!S12</f>
        <v>2</v>
      </c>
      <c r="G4" s="209" t="s">
        <v>953</v>
      </c>
      <c r="H4" s="210">
        <v>35234</v>
      </c>
      <c r="I4" s="210">
        <v>43983</v>
      </c>
      <c r="J4" s="210">
        <v>39092</v>
      </c>
      <c r="K4" s="210">
        <f>'Tratamento de Dados'!CC12</f>
        <v>0</v>
      </c>
      <c r="L4" s="209">
        <f>'Tratamento de Dados'!CD12</f>
        <v>0</v>
      </c>
      <c r="M4" s="209" t="s">
        <v>905</v>
      </c>
      <c r="N4" s="209" t="s">
        <v>1081</v>
      </c>
      <c r="O4" s="209" t="s">
        <v>1081</v>
      </c>
      <c r="P4" s="209" t="s">
        <v>244</v>
      </c>
      <c r="Q4" s="209">
        <v>0</v>
      </c>
      <c r="R4" s="209">
        <v>1</v>
      </c>
      <c r="S4" s="209">
        <v>1</v>
      </c>
      <c r="T4" s="209">
        <v>4</v>
      </c>
      <c r="U4" s="253">
        <f>'Tratamento de Dados'!DA12</f>
        <v>0</v>
      </c>
      <c r="V4" s="253">
        <f>'Tratamento de Dados'!DB12</f>
        <v>0</v>
      </c>
      <c r="W4" s="256">
        <f t="shared" ref="W4:W21" si="0">IF(U4=0,IF(AJ4&gt;=1,AJ4,IF(AK4&gt;=1,AK4,IF(AL4&gt;=1,AL4,IF(AM4&gt;=1,AM4,0)))),U4)</f>
        <v>2.5</v>
      </c>
      <c r="X4" s="246" t="str">
        <f t="shared" ref="X4:X21" si="1">IF(V4=0,IF(AJ4&gt;=1,$AJ$3,IF(AK4&gt;=1,$AK$3,IF(AL4&gt;=1,$AL$3,IF(AM4&gt;=1,$AM$3,"E")))),V4)</f>
        <v>B</v>
      </c>
      <c r="Y4" s="246" t="str">
        <f>IF(F4&lt;49,'Tables - Part 2'!$FH$5,IF(F4&lt;=93,'Tables - Part 2'!$FH$6,IF(F4&lt;=149,'Tables - Part 2'!$FH$7,'Tables - Part 2'!$FH$8)))</f>
        <v>&lt;49</v>
      </c>
      <c r="Z4" s="246" t="str">
        <f>IF(D4=$CO$2,$CM$5,INDEX('Tables - Part 2'!$FR$5:$FU$8,MATCH(CUI_SCC_Chloride!Y4,'Tables - Part 2'!$FQ$5:$FQ$8,0),MATCH(CUI_SCC_Chloride!M4,'Tables - Part 2'!$FR$4:$FU$4,0)))</f>
        <v>None</v>
      </c>
      <c r="AA4" s="246" t="str">
        <f>IF(N4=$CQ$2,INDEX($CM$2:$CM$5,MATCH(MAX(AB4-1,0),$CL$2:$CL$5,0)),IF(N4=$CQ$4,INDEX($CM$2:$CM$5,MATCH(MIN(AB4+1,3),$CL$2:$CL$5,0)),Z4))</f>
        <v>None</v>
      </c>
      <c r="AB4" s="219">
        <f>INDEX($CL$2:$CL$5,MATCH(Z4,$CM$2:$CM$5,0))</f>
        <v>0</v>
      </c>
      <c r="AC4" s="246" t="str">
        <f>IF(O4=$CQ$4,INDEX($CM$2:$CM$5,MATCH(MAX(AD4-1,0),$CL$2:$CL$5,0)),IF(O4=$CQ$2,INDEX($CM$2:$CM$5,MATCH(MIN(AD4+1,3),$CL$2:$CL$5,0)),AA4))</f>
        <v>None</v>
      </c>
      <c r="AD4" s="219">
        <f>INDEX($CL$2:$CL$5,MATCH(AA4,$CM$2:$CM$5,0))</f>
        <v>0</v>
      </c>
      <c r="AE4" s="246" t="str">
        <f>IF(P4=$CO$2,AC4,INDEX($CM$2:$CM$5,MATCH(MAX(AF4-1,0),$CL$2:$CL$5,0)))</f>
        <v>None</v>
      </c>
      <c r="AF4" s="219">
        <f>INDEX($CL$2:$CL$5,MATCH(AC4,$CM$2:$CM$5,0))</f>
        <v>0</v>
      </c>
      <c r="AG4" s="467" t="str">
        <f>IF(D4=$CO$2,$CM$5,AE4)</f>
        <v>None</v>
      </c>
      <c r="AH4" s="238">
        <f>IF(AND(D4=$CO$2,E4&lt;&gt;$CO$2),"Fitness-For-Service",INDEX('Tables - Part 2'!$FO$4:$FO$7,MATCH(CUI_SCC_Chloride!AG4,'Tables - Part 2'!$FN$4:$FN$7,0),))</f>
        <v>0</v>
      </c>
      <c r="AI4" s="238">
        <f>IF(J4=0,(Thinning!G5-Thinning!F5)/365.25,(Thinning!G5-J4)/365.25)</f>
        <v>12.980150581793293</v>
      </c>
      <c r="AJ4" s="248">
        <f t="shared" ref="AJ4:AJ21" si="2">IF(Q4=0,0,_xlfn.FLOOR.MATH((AK4/2)+Q4,0.25))</f>
        <v>0</v>
      </c>
      <c r="AK4" s="248">
        <f t="shared" ref="AK4:AK21" si="3">IF(AND(Q4=0,R4=0),0,_xlfn.FLOOR.MATH((AL4/2)+R4,0.25))</f>
        <v>2.5</v>
      </c>
      <c r="AL4" s="248">
        <f>_xlfn.FLOOR.MATH((AM4/2)+S4,0.25)</f>
        <v>3</v>
      </c>
      <c r="AM4" s="247">
        <f t="shared" ref="AM4:AM21" si="4">T4</f>
        <v>4</v>
      </c>
      <c r="AN4" s="247">
        <f>(I4-K4)/365.25</f>
        <v>120.41889117043121</v>
      </c>
      <c r="AO4" s="247">
        <f>IF(L4=$AO$3,IF(AI4&gt;=AN4,MIN(5,AN4),MIN(5,AN4)-MIN(5,AN4-AI4)),0)</f>
        <v>0</v>
      </c>
      <c r="AP4" s="247">
        <f>IF(L4=$AP$3,IF(AI4&gt;=AN4,MIN(15,AN4),MIN(15,AN4)-MIN(15,AN4-AI4)),0)</f>
        <v>0</v>
      </c>
      <c r="AQ4" s="247">
        <f>SUM(AO4:AP4)</f>
        <v>0</v>
      </c>
      <c r="AR4" s="247">
        <f>AI4-AQ4</f>
        <v>12.980150581793293</v>
      </c>
      <c r="AS4" s="248">
        <f>IF($W4=$AS$3,INDEX('Tables - Part 2'!$AX$6:$BA$13,MATCH(CUI_SCC_Chloride!AH4,'Tables - Part 2'!$AV$6:$AV$13,0),MATCH(CUI_SCC_Chloride!X4,'Tables - Part 2'!$AX$5:$BA$5,0)),0)</f>
        <v>0</v>
      </c>
      <c r="AT4" s="248">
        <f>IF($W4=$AT$3,(INDEX('Tables - Part 2'!$AX$6:$BA$13,MATCH(CUI_SCC_Chloride!AH4,'Tables - Part 2'!$AV$6:$AV$13,0),MATCH(CUI_SCC_Chloride!X4,'Tables - Part 2'!$AX$5:$BA$5,0))+(INDEX('Tables - Part 2'!$AX$6:$BA$13,MATCH(CUI_SCC_Chloride!AH4,'Tables - Part 2'!$AV$6:$AV$13,0),MATCH(CUI_SCC_Chloride!X4,'Tables - Part 2'!$AX$5:$BA$5,0))+((INDEX('Tables - Part 2'!$AX$6:$BA$13,MATCH(CUI_SCC_Chloride!AH4,'Tables - Part 2'!$AV$6:$AV$13,0),MATCH(CUI_SCC_Chloride!X4,'Tables - Part 2'!$AX$5:$BA$5,0))+INDEX('Tables - Part 2'!$BB$6:$BE$13,MATCH(CUI_SCC_Chloride!$AH4,'Tables - Part 2'!$AV$6:$AV$13,0),MATCH(CUI_SCC_Chloride!$X4,'Tables - Part 2'!$AX$5:$BA$5,0)))/2))/2)/2,0)</f>
        <v>0</v>
      </c>
      <c r="AU4" s="248">
        <f>IF($W4=$AU$3,(INDEX('Tables - Part 2'!$AX$6:$BA$13,MATCH(CUI_SCC_Chloride!AH4,'Tables - Part 2'!$AV$6:$AV$13,0),MATCH(CUI_SCC_Chloride!X4,'Tables - Part 2'!$AX$5:$BA$5,0))+((INDEX('Tables - Part 2'!$AX$6:$BA$13,MATCH(CUI_SCC_Chloride!AH4,'Tables - Part 2'!$AV$6:$AV$13,0),MATCH(CUI_SCC_Chloride!X4,'Tables - Part 2'!$AX$5:$BA$5,0))+INDEX('Tables - Part 2'!$BB$6:$BE$13,MATCH(CUI_SCC_Chloride!$AH4,'Tables - Part 2'!$AV$6:$AV$13,0),MATCH(CUI_SCC_Chloride!$X4,'Tables - Part 2'!$AX$5:$BA$5,0)))/2))/2,0)</f>
        <v>0</v>
      </c>
      <c r="AV4" s="248">
        <f>IF($W4=$AV$3,(((INDEX('Tables - Part 2'!$AX$6:$BA$13,MATCH(CUI_SCC_Chloride!AH4,'Tables - Part 2'!$AV$6:$AV$13,0),MATCH(CUI_SCC_Chloride!X4,'Tables - Part 2'!$AX$5:$BA$5,0))+((INDEX('Tables - Part 2'!$AX$6:$BA$13,MATCH(CUI_SCC_Chloride!AH4,'Tables - Part 2'!$AV$6:$AV$13,0),MATCH(CUI_SCC_Chloride!X4,'Tables - Part 2'!$AX$5:$BA$5,0))+INDEX('Tables - Part 2'!$BB$6:$BE$13,MATCH(CUI_SCC_Chloride!$AH4,'Tables - Part 2'!$AV$6:$AV$13,0),MATCH(CUI_SCC_Chloride!$X4,'Tables - Part 2'!$AX$5:$BA$5,0)))/2))/2)+(INDEX('Tables - Part 2'!$AX$6:$BA$13,MATCH(CUI_SCC_Chloride!AH4,'Tables - Part 2'!$AV$6:$AV$13,0),MATCH(CUI_SCC_Chloride!X4,'Tables - Part 2'!$AX$5:$BA$5,0))+INDEX('Tables - Part 2'!$BB$6:$BE$13,MATCH(CUI_SCC_Chloride!$AH4,'Tables - Part 2'!$AV$6:$AV$13,0),MATCH(CUI_SCC_Chloride!$X4,'Tables - Part 2'!$AX$5:$BA$5,0)))/2)/2,0)</f>
        <v>0</v>
      </c>
      <c r="AW4" s="248">
        <f>IF($W4=$AW$3,(INDEX('Tables - Part 2'!$AX$6:$BA$13,MATCH(CUI_SCC_Chloride!AH4,'Tables - Part 2'!$AV$6:$AV$13,0),MATCH(CUI_SCC_Chloride!X4,'Tables - Part 2'!$AX$5:$BA$5,0))+INDEX('Tables - Part 2'!$BB$6:$BE$13,MATCH(CUI_SCC_Chloride!$AH4,'Tables - Part 2'!$AV$6:$AV$13,0),MATCH(CUI_SCC_Chloride!$X4,'Tables - Part 2'!$AX$5:$BA$5,0)))/2,0)</f>
        <v>0</v>
      </c>
      <c r="AX4" s="248">
        <f>IF($W4=$AX$3,(((INDEX('Tables - Part 2'!$AX$6:$BA$13,MATCH(CUI_SCC_Chloride!AH4,'Tables - Part 2'!$AV$6:$AV$13,0),MATCH(CUI_SCC_Chloride!X4,'Tables - Part 2'!$AX$5:$BA$5,0))+INDEX('Tables - Part 2'!$BB$6:$BE$13,MATCH(CUI_SCC_Chloride!$AH4,'Tables - Part 2'!$AV$6:$AV$13,0),MATCH(CUI_SCC_Chloride!$X4,'Tables - Part 2'!$AX$5:$BA$5,0)))/2)+(((INDEX('Tables - Part 2'!$AX$6:$BA$13,MATCH(CUI_SCC_Chloride!AH4,'Tables - Part 2'!$AV$6:$AV$13,0),MATCH(CUI_SCC_Chloride!X4,'Tables - Part 2'!$AX$5:$BA$5,0))+INDEX('Tables - Part 2'!$BB$6:$BE$13,MATCH(CUI_SCC_Chloride!$AH4,'Tables - Part 2'!$AV$6:$AV$13,0),MATCH(CUI_SCC_Chloride!$X4,'Tables - Part 2'!$AX$5:$BA$5,0)))/2)+INDEX('Tables - Part 2'!$BB$6:$BE$13,MATCH(CUI_SCC_Chloride!$AH4,'Tables - Part 2'!$AV$6:$AV$13,0),MATCH(CUI_SCC_Chloride!$X4,'Tables - Part 2'!$AX$5:$BA$5,0)))/2)/2,0)</f>
        <v>0</v>
      </c>
      <c r="AY4" s="248">
        <f>IF($W4=$AY$3,(((INDEX('Tables - Part 2'!$AX$6:$BA$13,MATCH(CUI_SCC_Chloride!AH4,'Tables - Part 2'!$AV$6:$AV$13,0),MATCH(CUI_SCC_Chloride!X4,'Tables - Part 2'!$AX$5:$BA$5,0))+INDEX('Tables - Part 2'!$BB$6:$BE$13,MATCH(CUI_SCC_Chloride!$AH4,'Tables - Part 2'!$AV$6:$AV$13,0),MATCH(CUI_SCC_Chloride!$X4,'Tables - Part 2'!$AX$5:$BA$5,0)))/2)+INDEX('Tables - Part 2'!$BB$6:$BE$13,MATCH(CUI_SCC_Chloride!$AH4,'Tables - Part 2'!$AV$6:$AV$13,0),MATCH(CUI_SCC_Chloride!$X4,'Tables - Part 2'!$AX$5:$BA$5,0)))/2,0)</f>
        <v>0</v>
      </c>
      <c r="AZ4" s="248">
        <f>IF($W4=$AZ$3,(((((INDEX('Tables - Part 2'!$AX$6:$BA$13,MATCH(CUI_SCC_Chloride!AH4,'Tables - Part 2'!$AV$6:$AV$13,0),MATCH(CUI_SCC_Chloride!X4,'Tables - Part 2'!$AX$5:$BA$5,0))+INDEX('Tables - Part 2'!$BB$6:$BE$13,MATCH(CUI_SCC_Chloride!$AH4,'Tables - Part 2'!$AV$6:$AV$13,0),MATCH(CUI_SCC_Chloride!$X4,'Tables - Part 2'!$AX$5:$BA$5,0)))/2)+INDEX('Tables - Part 2'!$BB$6:$BE$13,MATCH(CUI_SCC_Chloride!$AH4,'Tables - Part 2'!$AV$6:$AV$13,0),MATCH(CUI_SCC_Chloride!$X4,'Tables - Part 2'!$AX$5:$BA$5,0)))/2)+INDEX('Tables - Part 2'!$BB$6:$BE$13,MATCH(CUI_SCC_Chloride!$AH4,'Tables - Part 2'!$AV$6:$AV$13,0),MATCH(CUI_SCC_Chloride!$X4,'Tables - Part 2'!$AX$5:$BA$5,0)))/2,0)</f>
        <v>0</v>
      </c>
      <c r="BA4" s="248">
        <f>IF($W4=$BA$3,INDEX('Tables - Part 2'!$BB$6:$BE$13,MATCH(CUI_SCC_Chloride!$AH4,'Tables - Part 2'!$AV$6:$AV$13,0),MATCH(CUI_SCC_Chloride!$X4,'Tables - Part 2'!$AX$5:$BA$5,0)),0)</f>
        <v>0</v>
      </c>
      <c r="BB4" s="248">
        <f>IF($W4=$BB$3,((INDEX('Tables - Part 2'!$BB$6:$BE$13,MATCH(CUI_SCC_Chloride!$AH4,'Tables - Part 2'!$AV$6:$AV$13,0),MATCH(CUI_SCC_Chloride!$X4,'Tables - Part 2'!$AX$5:$BA$5,0)))+(INDEX('Tables - Part 2'!$BB$6:$BE$13,MATCH(CUI_SCC_Chloride!$AH4,'Tables - Part 2'!$AV$6:$AV$13,0),MATCH(CUI_SCC_Chloride!$X4,'Tables - Part 2'!$AX$5:$BA$5,0))+(INDEX('Tables - Part 2'!$BB$6:$BE$13,MATCH(CUI_SCC_Chloride!$AH4,'Tables - Part 2'!$AV$6:$AV$13,0),MATCH(CUI_SCC_Chloride!$X4,'Tables - Part 2'!$AX$5:$BA$5,0))+INDEX('Tables - Part 2'!$BF$6:$BI$13,MATCH(CUI_SCC_Chloride!$AH4,'Tables - Part 2'!$AV$6:$AV$13,0),MATCH(CUI_SCC_Chloride!$X4,'Tables - Part 2'!$AX$5:$BA$5,0)))/2)/2)/2,0)</f>
        <v>0</v>
      </c>
      <c r="BC4" s="248">
        <f>IF($W4=$BC$3,(INDEX('Tables - Part 2'!$BB$6:$BE$13,MATCH(CUI_SCC_Chloride!$AH4,'Tables - Part 2'!$AV$6:$AV$13,0),MATCH(CUI_SCC_Chloride!$X4,'Tables - Part 2'!$AX$5:$BA$5,0))+(INDEX('Tables - Part 2'!$BB$6:$BE$13,MATCH(CUI_SCC_Chloride!$AH4,'Tables - Part 2'!$AV$6:$AV$13,0),MATCH(CUI_SCC_Chloride!$X4,'Tables - Part 2'!$AX$5:$BA$5,0))+INDEX('Tables - Part 2'!$BF$6:$BI$13,MATCH(CUI_SCC_Chloride!$AH4,'Tables - Part 2'!$AV$6:$AV$13,0),MATCH(CUI_SCC_Chloride!$X4,'Tables - Part 2'!$AX$5:$BA$5,0)))/2)/2,0)</f>
        <v>0</v>
      </c>
      <c r="BD4" s="248">
        <f>IF($W4=$BD$3,(((INDEX('Tables - Part 2'!$BB$6:$BE$13,MATCH(CUI_SCC_Chloride!$AH4,'Tables - Part 2'!$AV$6:$AV$13,0),MATCH(CUI_SCC_Chloride!$X4,'Tables - Part 2'!$AX$5:$BA$5,0))+(INDEX('Tables - Part 2'!$BB$6:$BE$13,MATCH(CUI_SCC_Chloride!$AH4,'Tables - Part 2'!$AV$6:$AV$13,0),MATCH(CUI_SCC_Chloride!$X4,'Tables - Part 2'!$AX$5:$BA$5,0))+INDEX('Tables - Part 2'!$BF$6:$BI$13,MATCH(CUI_SCC_Chloride!$AH4,'Tables - Part 2'!$AV$6:$AV$13,0),MATCH(CUI_SCC_Chloride!$X4,'Tables - Part 2'!$AX$5:$BA$5,0)))/2)/2)+((INDEX('Tables - Part 2'!$BB$6:$BE$13,MATCH(CUI_SCC_Chloride!$AH4,'Tables - Part 2'!$AV$6:$AV$13,0),MATCH(CUI_SCC_Chloride!$X4,'Tables - Part 2'!$AX$5:$BA$5,0))+INDEX('Tables - Part 2'!$BF$6:$BI$13,MATCH(CUI_SCC_Chloride!$AH4,'Tables - Part 2'!$AV$6:$AV$13,0),MATCH(CUI_SCC_Chloride!$X4,'Tables - Part 2'!$AX$5:$BA$5,0)))/2))/2,0)</f>
        <v>0</v>
      </c>
      <c r="BE4" s="248">
        <f>IF($W4=$BE$3,(INDEX('Tables - Part 2'!$BB$6:$BE$13,MATCH(CUI_SCC_Chloride!$AH4,'Tables - Part 2'!$AV$6:$AV$13,0),MATCH(CUI_SCC_Chloride!$X4,'Tables - Part 2'!$AX$5:$BA$5,0))+INDEX('Tables - Part 2'!$BF$6:$BI$13,MATCH(CUI_SCC_Chloride!$AH4,'Tables - Part 2'!$AV$6:$AV$13,0),MATCH(CUI_SCC_Chloride!$X4,'Tables - Part 2'!$AX$5:$BA$5,0)))/2,0)</f>
        <v>0</v>
      </c>
      <c r="BF4" s="248">
        <f>IF($W4=$BF$3,(((INDEX('Tables - Part 2'!$BB$6:$BE$13,MATCH(CUI_SCC_Chloride!$AH4,'Tables - Part 2'!$AV$6:$AV$13,0),MATCH(CUI_SCC_Chloride!$X4,'Tables - Part 2'!$AX$5:$BA$5,0))+INDEX('Tables - Part 2'!$BF$6:$BI$13,MATCH(CUI_SCC_Chloride!$AH4,'Tables - Part 2'!$AV$6:$AV$13,0),MATCH(CUI_SCC_Chloride!$X4,'Tables - Part 2'!$AX$5:$BA$5,0)))/2)+((((INDEX('Tables - Part 2'!$BB$6:$BE$13,MATCH(CUI_SCC_Chloride!$AH4,'Tables - Part 2'!$AV$6:$AV$13,0),MATCH(CUI_SCC_Chloride!$X4,'Tables - Part 2'!$AX$5:$BA$5,0))+INDEX('Tables - Part 2'!$BF$6:$BI$13,MATCH(CUI_SCC_Chloride!$AH4,'Tables - Part 2'!$AV$6:$AV$13,0),MATCH(CUI_SCC_Chloride!$X4,'Tables - Part 2'!$AX$5:$BA$5,0)))/2)+INDEX('Tables - Part 2'!$BF$6:$BI$13,MATCH(CUI_SCC_Chloride!$AH4,'Tables - Part 2'!$AV$6:$AV$13,0),MATCH(CUI_SCC_Chloride!$X4,'Tables - Part 2'!$AX$5:$BA$5,0)))/2))/2,0)</f>
        <v>0</v>
      </c>
      <c r="BG4" s="248">
        <f>IF($W4=$BG$3,(((INDEX('Tables - Part 2'!$BB$6:$BE$13,MATCH(CUI_SCC_Chloride!$AH4,'Tables - Part 2'!$AV$6:$AV$13,0),MATCH(CUI_SCC_Chloride!$X4,'Tables - Part 2'!$AX$5:$BA$5,0))+INDEX('Tables - Part 2'!$BF$6:$BI$13,MATCH(CUI_SCC_Chloride!$AH4,'Tables - Part 2'!$AV$6:$AV$13,0),MATCH(CUI_SCC_Chloride!$X4,'Tables - Part 2'!$AX$5:$BA$5,0)))/2)+INDEX('Tables - Part 2'!$BF$6:$BI$13,MATCH(CUI_SCC_Chloride!$AH4,'Tables - Part 2'!$AV$6:$AV$13,0),MATCH(CUI_SCC_Chloride!$X4,'Tables - Part 2'!$AX$5:$BA$5,0)))/2,0)</f>
        <v>0</v>
      </c>
      <c r="BH4" s="248">
        <f>IF($W4=$BH$3,(((((INDEX('Tables - Part 2'!$BB$6:$BE$13,MATCH(CUI_SCC_Chloride!$AH4,'Tables - Part 2'!$AV$6:$AV$13,0),MATCH(CUI_SCC_Chloride!$X4,'Tables - Part 2'!$AX$5:$BA$5,0))+INDEX('Tables - Part 2'!$BF$6:$BI$13,MATCH(CUI_SCC_Chloride!$AH4,'Tables - Part 2'!$AV$6:$AV$13,0),MATCH(CUI_SCC_Chloride!$X4,'Tables - Part 2'!$AX$5:$BA$5,0)))/2)+INDEX('Tables - Part 2'!$BF$6:$BI$13,MATCH(CUI_SCC_Chloride!$AH4,'Tables - Part 2'!$AV$6:$AV$13,0),MATCH(CUI_SCC_Chloride!$X4,'Tables - Part 2'!$AX$5:$BA$5,0)))/2)+INDEX('Tables - Part 2'!$BF$6:$BI$13,MATCH(CUI_SCC_Chloride!$AH4,'Tables - Part 2'!$AV$6:$AV$13,0),MATCH(CUI_SCC_Chloride!$X4,'Tables - Part 2'!$AX$5:$BA$5,0)))/2,0)</f>
        <v>0</v>
      </c>
      <c r="BI4" s="248">
        <f>IF($W4=$BI$3,INDEX('Tables - Part 2'!$BF$6:$BI$13,MATCH(CUI_SCC_Chloride!$AH4,'Tables - Part 2'!$AV$6:$AV$13,0),MATCH(CUI_SCC_Chloride!$X4,'Tables - Part 2'!$AX$5:$BA$5,0)),0)</f>
        <v>0</v>
      </c>
      <c r="BJ4" s="248">
        <f>IF($W4=$BJ$3,(INDEX('Tables - Part 2'!$BF$6:$BI$13,MATCH(CUI_SCC_Chloride!$AH4,'Tables - Part 2'!$AV$6:$AV$13,0),MATCH(CUI_SCC_Chloride!$X4,'Tables - Part 2'!$AX$5:$BA$5,0))+((INDEX('Tables - Part 2'!$BF$6:$BI$13,MATCH(CUI_SCC_Chloride!$AH4,'Tables - Part 2'!$AV$6:$AV$13,0),MATCH(CUI_SCC_Chloride!$X4,'Tables - Part 2'!$AX$5:$BA$5,0))+(INDEX('Tables - Part 2'!$BF$6:$BI$13,MATCH(CUI_SCC_Chloride!$AH4,'Tables - Part 2'!$AV$6:$AV$13,0),MATCH(CUI_SCC_Chloride!$X4,'Tables - Part 2'!$AX$5:$BA$5,0))+INDEX('Tables - Part 2'!$AX$17:$BA$24,MATCH(CUI_SCC_Chloride!$AH4,'Tables - Part 2'!$AV$6:$AV$13,0),MATCH(CUI_SCC_Chloride!$X4,'Tables - Part 2'!$AX$5:$BA$5,0)))/2)/2))/2,0)</f>
        <v>0</v>
      </c>
      <c r="BK4" s="248">
        <f>IF($W4=$BK$3,(INDEX('Tables - Part 2'!$BF$6:$BI$13,MATCH(CUI_SCC_Chloride!$AH4,'Tables - Part 2'!$AV$6:$AV$13,0),MATCH(CUI_SCC_Chloride!$X4,'Tables - Part 2'!$AX$5:$BA$5,0))+(INDEX('Tables - Part 2'!$BF$6:$BI$13,MATCH(CUI_SCC_Chloride!$AH4,'Tables - Part 2'!$AV$6:$AV$13,0),MATCH(CUI_SCC_Chloride!$X4,'Tables - Part 2'!$AX$5:$BA$5,0))+INDEX('Tables - Part 2'!$AX$17:$BA$24,MATCH(CUI_SCC_Chloride!$AH4,'Tables - Part 2'!$AV$6:$AV$13,0),MATCH(CUI_SCC_Chloride!$X4,'Tables - Part 2'!$AX$5:$BA$5,0)))/2)/2,0)</f>
        <v>0</v>
      </c>
      <c r="BL4" s="248">
        <f>IF($W4=$BL$3,(((INDEX('Tables - Part 2'!$BF$6:$BI$13,MATCH(CUI_SCC_Chloride!$AH4,'Tables - Part 2'!$AV$6:$AV$13,0),MATCH(CUI_SCC_Chloride!$X4,'Tables - Part 2'!$AX$5:$BA$5,0))+(INDEX('Tables - Part 2'!$BF$6:$BI$13,MATCH(CUI_SCC_Chloride!$AH4,'Tables - Part 2'!$AV$6:$AV$13,0),MATCH(CUI_SCC_Chloride!$X4,'Tables - Part 2'!$AX$5:$BA$5,0))+INDEX('Tables - Part 2'!$AX$17:$BA$24,MATCH(CUI_SCC_Chloride!$AH4,'Tables - Part 2'!$AV$6:$AV$13,0),MATCH(CUI_SCC_Chloride!$X4,'Tables - Part 2'!$AX$5:$BA$5,0)))/2)/2)+((INDEX('Tables - Part 2'!$BF$6:$BI$13,MATCH(CUI_SCC_Chloride!$AH4,'Tables - Part 2'!$AV$6:$AV$13,0),MATCH(CUI_SCC_Chloride!$X4,'Tables - Part 2'!$AX$5:$BA$5,0))+INDEX('Tables - Part 2'!$AX$17:$BA$24,MATCH(CUI_SCC_Chloride!$AH4,'Tables - Part 2'!$AV$6:$AV$13,0),MATCH(CUI_SCC_Chloride!$X4,'Tables - Part 2'!$AX$5:$BA$5,0)))/2))/2,0)</f>
        <v>0</v>
      </c>
      <c r="BM4" s="248">
        <f>IF($W4=$BM$3,(INDEX('Tables - Part 2'!$BF$6:$BI$13,MATCH(CUI_SCC_Chloride!$AH4,'Tables - Part 2'!$AV$6:$AV$13,0),MATCH(CUI_SCC_Chloride!$X4,'Tables - Part 2'!$AX$5:$BA$5,0))+INDEX('Tables - Part 2'!$AX$17:$BA$24,MATCH(CUI_SCC_Chloride!$AH4,'Tables - Part 2'!$AV$6:$AV$13,0),MATCH(CUI_SCC_Chloride!$X4,'Tables - Part 2'!$AX$5:$BA$5,0)))/2,0)</f>
        <v>0</v>
      </c>
      <c r="BN4" s="248">
        <f>IF($W4=$BN$3,(((INDEX('Tables - Part 2'!$BF$6:$BI$13,MATCH(CUI_SCC_Chloride!$AH4,'Tables - Part 2'!$AV$6:$AV$13,0),MATCH(CUI_SCC_Chloride!$X4,'Tables - Part 2'!$AX$5:$BA$5,0))+INDEX('Tables - Part 2'!$AX$17:$BA$24,MATCH(CUI_SCC_Chloride!$AH4,'Tables - Part 2'!$AV$6:$AV$13,0),MATCH(CUI_SCC_Chloride!$X4,'Tables - Part 2'!$AX$5:$BA$5,0)))/2)+((((INDEX('Tables - Part 2'!$BF$6:$BI$13,MATCH(CUI_SCC_Chloride!$AH4,'Tables - Part 2'!$AV$6:$AV$13,0),MATCH(CUI_SCC_Chloride!$X4,'Tables - Part 2'!$AX$5:$BA$5,0))+INDEX('Tables - Part 2'!$AX$17:$BA$24,MATCH(CUI_SCC_Chloride!$AH4,'Tables - Part 2'!$AV$6:$AV$13,0),MATCH(CUI_SCC_Chloride!$X4,'Tables - Part 2'!$AX$5:$BA$5,0)))/2)+INDEX('Tables - Part 2'!$AX$17:$BA$24,MATCH(CUI_SCC_Chloride!$AH4,'Tables - Part 2'!$AV$6:$AV$13,0),MATCH(CUI_SCC_Chloride!$X4,'Tables - Part 2'!$AX$5:$BA$5,0)))/2))/2,0)</f>
        <v>0</v>
      </c>
      <c r="BO4" s="248">
        <f>IF($W4=$BO$3,(((INDEX('Tables - Part 2'!$BF$6:$BI$13,MATCH(CUI_SCC_Chloride!$AH4,'Tables - Part 2'!$AV$6:$AV$13,0),MATCH(CUI_SCC_Chloride!$X4,'Tables - Part 2'!$AX$5:$BA$5,0))+INDEX('Tables - Part 2'!$AX$17:$BA$24,MATCH(CUI_SCC_Chloride!$AH4,'Tables - Part 2'!$AV$6:$AV$13,0),MATCH(CUI_SCC_Chloride!$X4,'Tables - Part 2'!$AX$5:$BA$5,0)))/2)+INDEX('Tables - Part 2'!$AX$17:$BA$24,MATCH(CUI_SCC_Chloride!$AH4,'Tables - Part 2'!$AV$6:$AV$13,0),MATCH(CUI_SCC_Chloride!$X4,'Tables - Part 2'!$AX$5:$BA$5,0)))/2,0)</f>
        <v>0</v>
      </c>
      <c r="BP4" s="248">
        <f>IF($W4=$BP$3,(((((INDEX('Tables - Part 2'!$BF$6:$BI$13,MATCH(CUI_SCC_Chloride!$AH4,'Tables - Part 2'!$AV$6:$AV$13,0),MATCH(CUI_SCC_Chloride!$X4,'Tables - Part 2'!$AX$5:$BA$5,0))+INDEX('Tables - Part 2'!$AX$17:$BA$24,MATCH(CUI_SCC_Chloride!$AH4,'Tables - Part 2'!$AV$6:$AV$13,0),MATCH(CUI_SCC_Chloride!$X4,'Tables - Part 2'!$AX$5:$BA$5,0)))/2)+INDEX('Tables - Part 2'!$AX$17:$BA$24,MATCH(CUI_SCC_Chloride!$AH4,'Tables - Part 2'!$AV$6:$AV$13,0),MATCH(CUI_SCC_Chloride!$X4,'Tables - Part 2'!$AX$5:$BA$5,0)))/2)+(INDEX('Tables - Part 2'!$AX$17:$BA$24,MATCH(CUI_SCC_Chloride!$AH4,'Tables - Part 2'!$AV$6:$AV$13,0),MATCH(CUI_SCC_Chloride!$X4,'Tables - Part 2'!$AX$5:$BA$5,0))))/2,0)</f>
        <v>0</v>
      </c>
      <c r="BQ4" s="248">
        <f>IF($W4=$BQ$3,INDEX('Tables - Part 2'!$AX$17:$BA$24,MATCH(CUI_SCC_Chloride!$AH4,'Tables - Part 2'!$AV$6:$AV$13,0),MATCH(CUI_SCC_Chloride!$X4,'Tables - Part 2'!$AX$5:$BA$5,0)),0)</f>
        <v>0</v>
      </c>
      <c r="BR4" s="248">
        <f>IF($W4=$BR$3,((INDEX('Tables - Part 2'!$AX$17:$BA$24,MATCH(CUI_SCC_Chloride!$AH4,'Tables - Part 2'!$AV$6:$AV$13,0),MATCH(CUI_SCC_Chloride!$X4,'Tables - Part 2'!$AX$5:$BA$5,0)))+(((INDEX('Tables - Part 2'!$AX$17:$BA$24,MATCH(CUI_SCC_Chloride!$AH4,'Tables - Part 2'!$AV$6:$AV$13,0),MATCH(CUI_SCC_Chloride!$X4,'Tables - Part 2'!$AX$5:$BA$5,0)))+(INDEX('Tables - Part 2'!$AX$17:$BA$24,MATCH(CUI_SCC_Chloride!$AH4,'Tables - Part 2'!$AV$6:$AV$13,0),MATCH(CUI_SCC_Chloride!$X4,'Tables - Part 2'!$AX$5:$BA$5,0))+INDEX('Tables - Part 2'!$BB$17:$BE$24,MATCH(CUI_SCC_Chloride!$AH4,'Tables - Part 2'!$AV$6:$AV$13,0),MATCH(CUI_SCC_Chloride!$X4,'Tables - Part 2'!$AX$5:$BA$5,0)))/2)/2))/2,0)</f>
        <v>0</v>
      </c>
      <c r="BS4" s="248">
        <f>IF($W4=$BS$3,((INDEX('Tables - Part 2'!$AX$17:$BA$24,MATCH(CUI_SCC_Chloride!$AH4,'Tables - Part 2'!$AV$6:$AV$13,0),MATCH(CUI_SCC_Chloride!$X4,'Tables - Part 2'!$AX$5:$BA$5,0)))+(INDEX('Tables - Part 2'!$AX$17:$BA$24,MATCH(CUI_SCC_Chloride!$AH4,'Tables - Part 2'!$AV$6:$AV$13,0),MATCH(CUI_SCC_Chloride!$X4,'Tables - Part 2'!$AX$5:$BA$5,0))+INDEX('Tables - Part 2'!$BB$17:$BE$24,MATCH(CUI_SCC_Chloride!$AH4,'Tables - Part 2'!$AV$6:$AV$13,0),MATCH(CUI_SCC_Chloride!$X4,'Tables - Part 2'!$AX$5:$BA$5,0)))/2)/2,0)</f>
        <v>0</v>
      </c>
      <c r="BT4" s="248">
        <f>IF($W4=$BT$3,((((INDEX('Tables - Part 2'!$AX$17:$BA$24,MATCH(CUI_SCC_Chloride!$AH4,'Tables - Part 2'!$AV$6:$AV$13,0),MATCH(CUI_SCC_Chloride!$X4,'Tables - Part 2'!$AX$5:$BA$5,0)))+(INDEX('Tables - Part 2'!$AX$17:$BA$24,MATCH(CUI_SCC_Chloride!$AH4,'Tables - Part 2'!$AV$6:$AV$13,0),MATCH(CUI_SCC_Chloride!$X4,'Tables - Part 2'!$AX$5:$BA$5,0))+INDEX('Tables - Part 2'!$BB$17:$BE$24,MATCH(CUI_SCC_Chloride!$AH4,'Tables - Part 2'!$AV$6:$AV$13,0),MATCH(CUI_SCC_Chloride!$X4,'Tables - Part 2'!$AX$5:$BA$5,0)))/2)/2)+((INDEX('Tables - Part 2'!$AX$17:$BA$24,MATCH(CUI_SCC_Chloride!$AH4,'Tables - Part 2'!$AV$6:$AV$13,0),MATCH(CUI_SCC_Chloride!$X4,'Tables - Part 2'!$AX$5:$BA$5,0))+INDEX('Tables - Part 2'!$BB$17:$BE$24,MATCH(CUI_SCC_Chloride!$AH4,'Tables - Part 2'!$AV$6:$AV$13,0),MATCH(CUI_SCC_Chloride!$X4,'Tables - Part 2'!$AX$5:$BA$5,0)))/2))/2,0)</f>
        <v>0</v>
      </c>
      <c r="BU4" s="248">
        <f>IF($W4=$BU$3,(INDEX('Tables - Part 2'!$AX$17:$BA$24,MATCH(CUI_SCC_Chloride!$AH4,'Tables - Part 2'!$AV$6:$AV$13,0),MATCH(CUI_SCC_Chloride!$X4,'Tables - Part 2'!$AX$5:$BA$5,0))+INDEX('Tables - Part 2'!$BB$17:$BE$24,MATCH(CUI_SCC_Chloride!$AH4,'Tables - Part 2'!$AV$6:$AV$13,0),MATCH(CUI_SCC_Chloride!$X4,'Tables - Part 2'!$AX$5:$BA$5,0)))/2,0)</f>
        <v>0</v>
      </c>
      <c r="BV4" s="248">
        <f>IF($W4=$BV$3,(((INDEX('Tables - Part 2'!$AX$17:$BA$24,MATCH(CUI_SCC_Chloride!$AH4,'Tables - Part 2'!$AV$6:$AV$13,0),MATCH(CUI_SCC_Chloride!$X4,'Tables - Part 2'!$AX$5:$BA$5,0))+INDEX('Tables - Part 2'!$BB$17:$BE$24,MATCH(CUI_SCC_Chloride!$AH4,'Tables - Part 2'!$AV$6:$AV$13,0),MATCH(CUI_SCC_Chloride!$X4,'Tables - Part 2'!$AX$5:$BA$5,0)))/2)+((((INDEX('Tables - Part 2'!$AX$17:$BA$24,MATCH(CUI_SCC_Chloride!$AH4,'Tables - Part 2'!$AV$6:$AV$13,0),MATCH(CUI_SCC_Chloride!$X4,'Tables - Part 2'!$AX$5:$BA$5,0))+INDEX('Tables - Part 2'!$BB$17:$BE$24,MATCH(CUI_SCC_Chloride!$AH4,'Tables - Part 2'!$AV$6:$AV$13,0),MATCH(CUI_SCC_Chloride!$X4,'Tables - Part 2'!$AX$5:$BA$5,0)))/2)+INDEX('Tables - Part 2'!$BB$17:$BE$24,MATCH(CUI_SCC_Chloride!$AH4,'Tables - Part 2'!$AV$6:$AV$13,0),MATCH(CUI_SCC_Chloride!$X4,'Tables - Part 2'!$AX$5:$BA$5,0)))/2))/2,0)</f>
        <v>0</v>
      </c>
      <c r="BW4" s="248">
        <f>IF($W4=$BW$3,(((INDEX('Tables - Part 2'!$AX$17:$BA$24,MATCH(CUI_SCC_Chloride!$AH4,'Tables - Part 2'!$AV$6:$AV$13,0),MATCH(CUI_SCC_Chloride!$X4,'Tables - Part 2'!$AX$5:$BA$5,0))+INDEX('Tables - Part 2'!$BB$17:$BE$24,MATCH(CUI_SCC_Chloride!$AH4,'Tables - Part 2'!$AV$6:$AV$13,0),MATCH(CUI_SCC_Chloride!$X4,'Tables - Part 2'!$AX$5:$BA$5,0)))/2)+INDEX('Tables - Part 2'!$BB$17:$BE$24,MATCH(CUI_SCC_Chloride!$AH4,'Tables - Part 2'!$AV$6:$AV$13,0),MATCH(CUI_SCC_Chloride!$X4,'Tables - Part 2'!$AX$5:$BA$5,0)))/2,0)</f>
        <v>0</v>
      </c>
      <c r="BX4" s="248">
        <f>IF($W4=$BX$3,(((((INDEX('Tables - Part 2'!$AX$17:$BA$24,MATCH(CUI_SCC_Chloride!$AH4,'Tables - Part 2'!$AV$6:$AV$13,0),MATCH(CUI_SCC_Chloride!$X4,'Tables - Part 2'!$AX$5:$BA$5,0))+INDEX('Tables - Part 2'!$BB$17:$BE$24,MATCH(CUI_SCC_Chloride!$AH4,'Tables - Part 2'!$AV$6:$AV$13,0),MATCH(CUI_SCC_Chloride!$X4,'Tables - Part 2'!$AX$5:$BA$5,0)))/2)+INDEX('Tables - Part 2'!$BB$17:$BE$24,MATCH(CUI_SCC_Chloride!$AH4,'Tables - Part 2'!$AV$6:$AV$13,0),MATCH(CUI_SCC_Chloride!$X4,'Tables - Part 2'!$AX$5:$BA$5,0)))/2)+(INDEX('Tables - Part 2'!$BB$17:$BE$24,MATCH(CUI_SCC_Chloride!$AH4,'Tables - Part 2'!$AV$6:$AV$13,0),MATCH(CUI_SCC_Chloride!$X4,'Tables - Part 2'!$AX$5:$BA$5,0))))/2,0)</f>
        <v>0</v>
      </c>
      <c r="BY4" s="248">
        <f>IF($W4=$BY$3,INDEX('Tables - Part 2'!$BB$17:$BE$24,MATCH(CUI_SCC_Chloride!$AH4,'Tables - Part 2'!$AV$6:$AV$13,0),MATCH(CUI_SCC_Chloride!$X4,'Tables - Part 2'!$AX$5:$BA$5,0)),0)</f>
        <v>0</v>
      </c>
      <c r="BZ4" s="248">
        <f>IF($W4=$BZ$3,((INDEX('Tables - Part 2'!$BB$17:$BE$24,MATCH(CUI_SCC_Chloride!$AH4,'Tables - Part 2'!$AV$6:$AV$13,0),MATCH(CUI_SCC_Chloride!$X4,'Tables - Part 2'!$AX$5:$BA$5,0)))+(((INDEX('Tables - Part 2'!$BB$17:$BE$24,MATCH(CUI_SCC_Chloride!$AH4,'Tables - Part 2'!$AV$6:$AV$13,0),MATCH(CUI_SCC_Chloride!$X4,'Tables - Part 2'!$AX$5:$BA$5,0)))+(INDEX('Tables - Part 2'!$BB$17:$BE$24,MATCH(CUI_SCC_Chloride!$AH4,'Tables - Part 2'!$AV$6:$AV$13,0),MATCH(CUI_SCC_Chloride!$X4,'Tables - Part 2'!$AX$5:$BA$5,0))+INDEX('Tables - Part 2'!$BF$17:$BI$24,MATCH(CUI_SCC_Chloride!$AH4,'Tables - Part 2'!$AV$6:$AV$13,0),MATCH(CUI_SCC_Chloride!$X4,'Tables - Part 2'!$AX$5:$BA$5,0)))/2)/2))/2,0)</f>
        <v>0</v>
      </c>
      <c r="CA4" s="248">
        <f>IF($W4=$CA$3,((INDEX('Tables - Part 2'!$BB$17:$BE$24,MATCH(CUI_SCC_Chloride!$AH4,'Tables - Part 2'!$AV$6:$AV$13,0),MATCH(CUI_SCC_Chloride!$X4,'Tables - Part 2'!$AX$5:$BA$5,0)))+(INDEX('Tables - Part 2'!$BB$17:$BE$24,MATCH(CUI_SCC_Chloride!$AH4,'Tables - Part 2'!$AV$6:$AV$13,0),MATCH(CUI_SCC_Chloride!$X4,'Tables - Part 2'!$AX$5:$BA$5,0))+INDEX('Tables - Part 2'!$BF$17:$BI$24,MATCH(CUI_SCC_Chloride!$AH4,'Tables - Part 2'!$AV$6:$AV$13,0),MATCH(CUI_SCC_Chloride!$X4,'Tables - Part 2'!$AX$5:$BA$5,0)))/2)/2,0)</f>
        <v>0</v>
      </c>
      <c r="CB4" s="248">
        <f>IF($W4=$CB$3,((((INDEX('Tables - Part 2'!$BB$17:$BE$24,MATCH(CUI_SCC_Chloride!$AH4,'Tables - Part 2'!$AV$6:$AV$13,0),MATCH(CUI_SCC_Chloride!$X4,'Tables - Part 2'!$AX$5:$BA$5,0)))+(INDEX('Tables - Part 2'!$BB$17:$BE$24,MATCH(CUI_SCC_Chloride!$AH4,'Tables - Part 2'!$AV$6:$AV$13,0),MATCH(CUI_SCC_Chloride!$X4,'Tables - Part 2'!$AX$5:$BA$5,0))+INDEX('Tables - Part 2'!$BF$17:$BI$24,MATCH(CUI_SCC_Chloride!$AH4,'Tables - Part 2'!$AV$6:$AV$13,0),MATCH(CUI_SCC_Chloride!$X4,'Tables - Part 2'!$AX$5:$BA$5,0)))/2)/2)+((INDEX('Tables - Part 2'!$BB$17:$BE$24,MATCH(CUI_SCC_Chloride!$AH4,'Tables - Part 2'!$AV$6:$AV$13,0),MATCH(CUI_SCC_Chloride!$X4,'Tables - Part 2'!$AX$5:$BA$5,0))+INDEX('Tables - Part 2'!$BF$17:$BI$24,MATCH(CUI_SCC_Chloride!$AH4,'Tables - Part 2'!$AV$6:$AV$13,0),MATCH(CUI_SCC_Chloride!$X4,'Tables - Part 2'!$AX$5:$BA$5,0)))/2))/2,0)</f>
        <v>0</v>
      </c>
      <c r="CC4" s="248">
        <f>IF($W4=$CC$3,(INDEX('Tables - Part 2'!$BB$17:$BE$24,MATCH(CUI_SCC_Chloride!$AH4,'Tables - Part 2'!$AV$6:$AV$13,0),MATCH(CUI_SCC_Chloride!$X4,'Tables - Part 2'!$AX$5:$BA$5,0))+INDEX('Tables - Part 2'!$BF$17:$BI$24,MATCH(CUI_SCC_Chloride!$AH4,'Tables - Part 2'!$AV$6:$AV$13,0),MATCH(CUI_SCC_Chloride!$X4,'Tables - Part 2'!$AX$5:$BA$5,0)))/2,0)</f>
        <v>0</v>
      </c>
      <c r="CD4" s="248">
        <f>IF($W4=$CD$3,(((INDEX('Tables - Part 2'!$BB$17:$BE$24,MATCH(CUI_SCC_Chloride!$AH4,'Tables - Part 2'!$AV$6:$AV$13,0),MATCH(CUI_SCC_Chloride!$X4,'Tables - Part 2'!$AX$5:$BA$5,0))+INDEX('Tables - Part 2'!$BF$17:$BI$24,MATCH(CUI_SCC_Chloride!$AH4,'Tables - Part 2'!$AV$6:$AV$13,0),MATCH(CUI_SCC_Chloride!$X4,'Tables - Part 2'!$AX$5:$BA$5,0)))/2)+((((INDEX('Tables - Part 2'!$BB$17:$BE$24,MATCH(CUI_SCC_Chloride!$AH4,'Tables - Part 2'!$AV$6:$AV$13,0),MATCH(CUI_SCC_Chloride!$X4,'Tables - Part 2'!$AX$5:$BA$5,0))+INDEX('Tables - Part 2'!$BF$17:$BI$24,MATCH(CUI_SCC_Chloride!$AH4,'Tables - Part 2'!$AV$6:$AV$13,0),MATCH(CUI_SCC_Chloride!$X4,'Tables - Part 2'!$AX$5:$BA$5,0)))/2)+INDEX('Tables - Part 2'!$BF$17:$BI$24,MATCH(CUI_SCC_Chloride!$AH4,'Tables - Part 2'!$AV$6:$AV$13,0),MATCH(CUI_SCC_Chloride!$X4,'Tables - Part 2'!$AX$5:$BA$5,0)))/2))/2,0)</f>
        <v>0</v>
      </c>
      <c r="CE4" s="248">
        <f>IF($W4=$CE$3,(((INDEX('Tables - Part 2'!$BB$17:$BE$24,MATCH(CUI_SCC_Chloride!$AH4,'Tables - Part 2'!$AV$6:$AV$13,0),MATCH(CUI_SCC_Chloride!$X4,'Tables - Part 2'!$AX$5:$BA$5,0))+INDEX('Tables - Part 2'!$BF$17:$BI$24,MATCH(CUI_SCC_Chloride!$AH4,'Tables - Part 2'!$AV$6:$AV$13,0),MATCH(CUI_SCC_Chloride!$X4,'Tables - Part 2'!$AX$5:$BA$5,0)))/2)+INDEX('Tables - Part 2'!$BF$17:$BI$24,MATCH(CUI_SCC_Chloride!$AH4,'Tables - Part 2'!$AV$6:$AV$13,0),MATCH(CUI_SCC_Chloride!$X4,'Tables - Part 2'!$AX$5:$BA$5,0)))/2,0)</f>
        <v>0</v>
      </c>
      <c r="CF4" s="248">
        <f>IF($W4=$CF$3,(((((INDEX('Tables - Part 2'!$BB$17:$BE$24,MATCH(CUI_SCC_Chloride!$AH4,'Tables - Part 2'!$AV$6:$AV$13,0),MATCH(CUI_SCC_Chloride!$X4,'Tables - Part 2'!$AX$5:$BA$5,0))+INDEX('Tables - Part 2'!$BF$17:$BI$24,MATCH(CUI_SCC_Chloride!$AH4,'Tables - Part 2'!$AV$6:$AV$13,0),MATCH(CUI_SCC_Chloride!$X4,'Tables - Part 2'!$AX$5:$BA$5,0)))/2)+INDEX('Tables - Part 2'!$BF$17:$BI$24,MATCH(CUI_SCC_Chloride!$AH4,'Tables - Part 2'!$AV$6:$AV$13,0),MATCH(CUI_SCC_Chloride!$X4,'Tables - Part 2'!$AX$5:$BA$5,0)))/2)+(INDEX('Tables - Part 2'!$BF$17:$BI$24,MATCH(CUI_SCC_Chloride!$AH4,'Tables - Part 2'!$AV$6:$AV$13,0),MATCH(CUI_SCC_Chloride!$X4,'Tables - Part 2'!$AX$5:$BA$5,0))))/2,0)</f>
        <v>0</v>
      </c>
      <c r="CG4" s="248">
        <f>IF($W4=$CG$3,INDEX('Tables - Part 2'!$BF$17:$BI$24,MATCH(CUI_SCC_Chloride!$AH4,'Tables - Part 2'!$AV$6:$AV$13,0),MATCH(CUI_SCC_Chloride!$X4,'Tables - Part 2'!$AX$5:$BA$5,0)),0)</f>
        <v>0</v>
      </c>
      <c r="CH4" s="248">
        <f t="shared" ref="CH4:CH21" si="5">IF(W4=0,AH4,0)</f>
        <v>0</v>
      </c>
      <c r="CI4" s="238">
        <f>SUM(AS4:CH4)</f>
        <v>0</v>
      </c>
      <c r="CJ4" s="238">
        <f>IF(B4="",0,MIN(CI4*POWER(MAX(AR4,1),1.1),5000))</f>
        <v>0</v>
      </c>
      <c r="CL4">
        <v>2</v>
      </c>
      <c r="CM4" s="237" t="s">
        <v>111</v>
      </c>
      <c r="CO4" t="s">
        <v>61</v>
      </c>
      <c r="CQ4" t="s">
        <v>1226</v>
      </c>
    </row>
    <row r="5" spans="2:95" x14ac:dyDescent="0.35">
      <c r="B5" s="161" t="str">
        <f>'Tratamento de Dados'!B13</f>
        <v>V-07</v>
      </c>
      <c r="C5" s="161" t="str">
        <f>'Tratamento de Dados'!D13</f>
        <v>Tampo_Sul</v>
      </c>
      <c r="D5" s="209" t="s">
        <v>245</v>
      </c>
      <c r="E5" s="209" t="s">
        <v>61</v>
      </c>
      <c r="F5" s="247">
        <f>'Tratamento de Dados'!S13</f>
        <v>49</v>
      </c>
      <c r="G5" s="209" t="s">
        <v>953</v>
      </c>
      <c r="H5" s="210">
        <v>35234</v>
      </c>
      <c r="I5" s="210">
        <v>43983</v>
      </c>
      <c r="J5" s="210">
        <v>39092</v>
      </c>
      <c r="K5" s="210">
        <f>'Tratamento de Dados'!CC13</f>
        <v>41127</v>
      </c>
      <c r="L5" s="209" t="str">
        <f>'Tratamento de Dados'!CD13</f>
        <v>High Coating Quality</v>
      </c>
      <c r="M5" s="209" t="s">
        <v>905</v>
      </c>
      <c r="N5" s="209" t="s">
        <v>1081</v>
      </c>
      <c r="O5" s="209" t="s">
        <v>1081</v>
      </c>
      <c r="P5" s="209" t="s">
        <v>244</v>
      </c>
      <c r="Q5" s="209">
        <v>0</v>
      </c>
      <c r="R5" s="209">
        <v>1</v>
      </c>
      <c r="S5" s="209">
        <v>1</v>
      </c>
      <c r="T5" s="209">
        <v>4</v>
      </c>
      <c r="U5" s="253">
        <f>'Tratamento de Dados'!DA13</f>
        <v>0</v>
      </c>
      <c r="V5" s="253">
        <f>'Tratamento de Dados'!DB13</f>
        <v>0</v>
      </c>
      <c r="W5" s="256">
        <f t="shared" si="0"/>
        <v>2.5</v>
      </c>
      <c r="X5" s="246" t="str">
        <f t="shared" si="1"/>
        <v>B</v>
      </c>
      <c r="Y5" s="246" t="str">
        <f>IF(F5&lt;49,'Tables - Part 2'!$FH$5,IF(F5&lt;=93,'Tables - Part 2'!$FH$6,IF(F5&lt;=149,'Tables - Part 2'!$FH$7,'Tables - Part 2'!$FH$8)))</f>
        <v>49 to 93</v>
      </c>
      <c r="Z5" s="246" t="str">
        <f>IF(D5=$CO$2,$CM$5,INDEX('Tables - Part 2'!$FR$5:$FU$8,MATCH(CUI_SCC_Chloride!Y5,'Tables - Part 2'!$FQ$5:$FQ$8,0),MATCH(CUI_SCC_Chloride!M5,'Tables - Part 2'!$FR$4:$FU$4,0)))</f>
        <v>Medium</v>
      </c>
      <c r="AA5" s="246" t="str">
        <f t="shared" ref="AA5:AA21" si="6">IF(N5=$CQ$2,INDEX($CM$2:$CM$5,MATCH(MAX(AB5-1,0),$CL$2:$CL$5,0)),IF(N5=$CQ$4,INDEX($CM$2:$CM$5,MATCH(MIN(AB5+1,3),$CL$2:$CL$5,0)),Z5))</f>
        <v>Medium</v>
      </c>
      <c r="AB5" s="219">
        <f t="shared" ref="AB5:AB21" si="7">INDEX($CL$2:$CL$5,MATCH(Z5,$CM$2:$CM$5,0))</f>
        <v>2</v>
      </c>
      <c r="AC5" s="246" t="str">
        <f t="shared" ref="AC5:AC21" si="8">IF(O5=$CQ$4,INDEX($CM$2:$CM$5,MATCH(MAX(AD5-1,0),$CL$2:$CL$5,0)),IF(O5=$CQ$2,INDEX($CM$2:$CM$5,MATCH(MIN(AD5+1,3),$CL$2:$CL$5,0)),AA5))</f>
        <v>Medium</v>
      </c>
      <c r="AD5" s="219">
        <f t="shared" ref="AD5:AD21" si="9">INDEX($CL$2:$CL$5,MATCH(AA5,$CM$2:$CM$5,0))</f>
        <v>2</v>
      </c>
      <c r="AE5" s="246" t="str">
        <f t="shared" ref="AE5:AE21" si="10">IF(P5=$CO$2,AC5,INDEX($CM$2:$CM$5,MATCH(MAX(AF5-1,0),$CL$2:$CL$5,0)))</f>
        <v>Medium</v>
      </c>
      <c r="AF5" s="219">
        <f t="shared" ref="AF5:AF21" si="11">INDEX($CL$2:$CL$5,MATCH(AC5,$CM$2:$CM$5,0))</f>
        <v>2</v>
      </c>
      <c r="AG5" s="467" t="str">
        <f t="shared" ref="AG5:AG21" si="12">IF(D5=$CO$2,$CM$5,AE5)</f>
        <v>Medium</v>
      </c>
      <c r="AH5" s="238">
        <f>IF(AND(D5=$CO$2,E5&lt;&gt;$CO$2),"Fitness-For-Service",INDEX('Tables - Part 2'!$FO$4:$FO$7,MATCH(CUI_SCC_Chloride!AG5,'Tables - Part 2'!$FN$4:$FN$7,0),))</f>
        <v>10</v>
      </c>
      <c r="AI5" s="238">
        <f>IF(J5=0,(Thinning!G6-Thinning!F6)/365.25,(Thinning!G6-J5)/365.25)</f>
        <v>13.390828199863108</v>
      </c>
      <c r="AJ5" s="248">
        <f t="shared" si="2"/>
        <v>0</v>
      </c>
      <c r="AK5" s="248">
        <f t="shared" si="3"/>
        <v>2.5</v>
      </c>
      <c r="AL5" s="247">
        <f t="shared" ref="AL5:AL21" si="13">_xlfn.FLOOR.MATH((AM5/2)+S5,0.5)</f>
        <v>3</v>
      </c>
      <c r="AM5" s="247">
        <f t="shared" si="4"/>
        <v>4</v>
      </c>
      <c r="AN5" s="247">
        <f t="shared" ref="AN5:AN21" si="14">(I5-K5)/365.25</f>
        <v>7.8193018480492817</v>
      </c>
      <c r="AO5" s="247">
        <f t="shared" ref="AO5:AO21" si="15">IF(L5=$AO$3,IF(AI5&gt;=AN5,MIN(5,AN5),MIN(5,AN5)-MIN(5,AN5-AI5)),0)</f>
        <v>0</v>
      </c>
      <c r="AP5" s="247">
        <f t="shared" ref="AP5:AP21" si="16">IF(L5=$AP$3,IF(AI5&gt;=AN5,MIN(15,AN5),MIN(15,AN5)-MIN(15,AN5-AI5)),0)</f>
        <v>7.8193018480492817</v>
      </c>
      <c r="AQ5" s="247">
        <f t="shared" ref="AQ5:AQ21" si="17">SUM(AO5:AP5)</f>
        <v>7.8193018480492817</v>
      </c>
      <c r="AR5" s="247">
        <f t="shared" ref="AR5:AR21" si="18">AI5-AQ5</f>
        <v>5.5715263518138265</v>
      </c>
      <c r="AS5" s="248">
        <f>IF($W5=$AS$3,INDEX('Tables - Part 2'!$AX$6:$BA$13,MATCH(CUI_SCC_Chloride!AH5,'Tables - Part 2'!$AV$6:$AV$13,0),MATCH(CUI_SCC_Chloride!X5,'Tables - Part 2'!$AX$5:$BA$5,0)),0)</f>
        <v>0</v>
      </c>
      <c r="AT5" s="248">
        <f>IF($W5=$AT$3,(INDEX('Tables - Part 2'!$AX$6:$BA$13,MATCH(CUI_SCC_Chloride!AH5,'Tables - Part 2'!$AV$6:$AV$13,0),MATCH(CUI_SCC_Chloride!X5,'Tables - Part 2'!$AX$5:$BA$5,0))+(INDEX('Tables - Part 2'!$AX$6:$BA$13,MATCH(CUI_SCC_Chloride!AH5,'Tables - Part 2'!$AV$6:$AV$13,0),MATCH(CUI_SCC_Chloride!X5,'Tables - Part 2'!$AX$5:$BA$5,0))+((INDEX('Tables - Part 2'!$AX$6:$BA$13,MATCH(CUI_SCC_Chloride!AH5,'Tables - Part 2'!$AV$6:$AV$13,0),MATCH(CUI_SCC_Chloride!X5,'Tables - Part 2'!$AX$5:$BA$5,0))+INDEX('Tables - Part 2'!$BB$6:$BE$13,MATCH(CUI_SCC_Chloride!$AH5,'Tables - Part 2'!$AV$6:$AV$13,0),MATCH(CUI_SCC_Chloride!$X5,'Tables - Part 2'!$AX$5:$BA$5,0)))/2))/2)/2,0)</f>
        <v>0</v>
      </c>
      <c r="AU5" s="248">
        <f>IF($W5=$AU$3,(INDEX('Tables - Part 2'!$AX$6:$BA$13,MATCH(CUI_SCC_Chloride!AH5,'Tables - Part 2'!$AV$6:$AV$13,0),MATCH(CUI_SCC_Chloride!X5,'Tables - Part 2'!$AX$5:$BA$5,0))+((INDEX('Tables - Part 2'!$AX$6:$BA$13,MATCH(CUI_SCC_Chloride!AH5,'Tables - Part 2'!$AV$6:$AV$13,0),MATCH(CUI_SCC_Chloride!X5,'Tables - Part 2'!$AX$5:$BA$5,0))+INDEX('Tables - Part 2'!$BB$6:$BE$13,MATCH(CUI_SCC_Chloride!$AH5,'Tables - Part 2'!$AV$6:$AV$13,0),MATCH(CUI_SCC_Chloride!$X5,'Tables - Part 2'!$AX$5:$BA$5,0)))/2))/2,0)</f>
        <v>0</v>
      </c>
      <c r="AV5" s="248">
        <f>IF($W5=$AV$3,(((INDEX('Tables - Part 2'!$AX$6:$BA$13,MATCH(CUI_SCC_Chloride!AH5,'Tables - Part 2'!$AV$6:$AV$13,0),MATCH(CUI_SCC_Chloride!X5,'Tables - Part 2'!$AX$5:$BA$5,0))+((INDEX('Tables - Part 2'!$AX$6:$BA$13,MATCH(CUI_SCC_Chloride!AH5,'Tables - Part 2'!$AV$6:$AV$13,0),MATCH(CUI_SCC_Chloride!X5,'Tables - Part 2'!$AX$5:$BA$5,0))+INDEX('Tables - Part 2'!$BB$6:$BE$13,MATCH(CUI_SCC_Chloride!$AH5,'Tables - Part 2'!$AV$6:$AV$13,0),MATCH(CUI_SCC_Chloride!$X5,'Tables - Part 2'!$AX$5:$BA$5,0)))/2))/2)+(INDEX('Tables - Part 2'!$AX$6:$BA$13,MATCH(CUI_SCC_Chloride!AH5,'Tables - Part 2'!$AV$6:$AV$13,0),MATCH(CUI_SCC_Chloride!X5,'Tables - Part 2'!$AX$5:$BA$5,0))+INDEX('Tables - Part 2'!$BB$6:$BE$13,MATCH(CUI_SCC_Chloride!$AH5,'Tables - Part 2'!$AV$6:$AV$13,0),MATCH(CUI_SCC_Chloride!$X5,'Tables - Part 2'!$AX$5:$BA$5,0)))/2)/2,0)</f>
        <v>0</v>
      </c>
      <c r="AW5" s="248">
        <f>IF($W5=$AW$3,(INDEX('Tables - Part 2'!$AX$6:$BA$13,MATCH(CUI_SCC_Chloride!AH5,'Tables - Part 2'!$AV$6:$AV$13,0),MATCH(CUI_SCC_Chloride!X5,'Tables - Part 2'!$AX$5:$BA$5,0))+INDEX('Tables - Part 2'!$BB$6:$BE$13,MATCH(CUI_SCC_Chloride!$AH5,'Tables - Part 2'!$AV$6:$AV$13,0),MATCH(CUI_SCC_Chloride!$X5,'Tables - Part 2'!$AX$5:$BA$5,0)))/2,0)</f>
        <v>0</v>
      </c>
      <c r="AX5" s="248">
        <f>IF($W5=$AX$3,(((INDEX('Tables - Part 2'!$AX$6:$BA$13,MATCH(CUI_SCC_Chloride!AH5,'Tables - Part 2'!$AV$6:$AV$13,0),MATCH(CUI_SCC_Chloride!X5,'Tables - Part 2'!$AX$5:$BA$5,0))+INDEX('Tables - Part 2'!$BB$6:$BE$13,MATCH(CUI_SCC_Chloride!$AH5,'Tables - Part 2'!$AV$6:$AV$13,0),MATCH(CUI_SCC_Chloride!$X5,'Tables - Part 2'!$AX$5:$BA$5,0)))/2)+(((INDEX('Tables - Part 2'!$AX$6:$BA$13,MATCH(CUI_SCC_Chloride!AH5,'Tables - Part 2'!$AV$6:$AV$13,0),MATCH(CUI_SCC_Chloride!X5,'Tables - Part 2'!$AX$5:$BA$5,0))+INDEX('Tables - Part 2'!$BB$6:$BE$13,MATCH(CUI_SCC_Chloride!$AH5,'Tables - Part 2'!$AV$6:$AV$13,0),MATCH(CUI_SCC_Chloride!$X5,'Tables - Part 2'!$AX$5:$BA$5,0)))/2)+INDEX('Tables - Part 2'!$BB$6:$BE$13,MATCH(CUI_SCC_Chloride!$AH5,'Tables - Part 2'!$AV$6:$AV$13,0),MATCH(CUI_SCC_Chloride!$X5,'Tables - Part 2'!$AX$5:$BA$5,0)))/2)/2,0)</f>
        <v>0</v>
      </c>
      <c r="AY5" s="248">
        <f>IF($W5=$AY$3,(((INDEX('Tables - Part 2'!$AX$6:$BA$13,MATCH(CUI_SCC_Chloride!AH5,'Tables - Part 2'!$AV$6:$AV$13,0),MATCH(CUI_SCC_Chloride!X5,'Tables - Part 2'!$AX$5:$BA$5,0))+INDEX('Tables - Part 2'!$BB$6:$BE$13,MATCH(CUI_SCC_Chloride!$AH5,'Tables - Part 2'!$AV$6:$AV$13,0),MATCH(CUI_SCC_Chloride!$X5,'Tables - Part 2'!$AX$5:$BA$5,0)))/2)+INDEX('Tables - Part 2'!$BB$6:$BE$13,MATCH(CUI_SCC_Chloride!$AH5,'Tables - Part 2'!$AV$6:$AV$13,0),MATCH(CUI_SCC_Chloride!$X5,'Tables - Part 2'!$AX$5:$BA$5,0)))/2,0)</f>
        <v>0</v>
      </c>
      <c r="AZ5" s="248">
        <f>IF($W5=$AZ$3,(((((INDEX('Tables - Part 2'!$AX$6:$BA$13,MATCH(CUI_SCC_Chloride!AH5,'Tables - Part 2'!$AV$6:$AV$13,0),MATCH(CUI_SCC_Chloride!X5,'Tables - Part 2'!$AX$5:$BA$5,0))+INDEX('Tables - Part 2'!$BB$6:$BE$13,MATCH(CUI_SCC_Chloride!$AH5,'Tables - Part 2'!$AV$6:$AV$13,0),MATCH(CUI_SCC_Chloride!$X5,'Tables - Part 2'!$AX$5:$BA$5,0)))/2)+INDEX('Tables - Part 2'!$BB$6:$BE$13,MATCH(CUI_SCC_Chloride!$AH5,'Tables - Part 2'!$AV$6:$AV$13,0),MATCH(CUI_SCC_Chloride!$X5,'Tables - Part 2'!$AX$5:$BA$5,0)))/2)+INDEX('Tables - Part 2'!$BB$6:$BE$13,MATCH(CUI_SCC_Chloride!$AH5,'Tables - Part 2'!$AV$6:$AV$13,0),MATCH(CUI_SCC_Chloride!$X5,'Tables - Part 2'!$AX$5:$BA$5,0)))/2,0)</f>
        <v>0</v>
      </c>
      <c r="BA5" s="248">
        <f>IF($W5=$BA$3,INDEX('Tables - Part 2'!$BB$6:$BE$13,MATCH(CUI_SCC_Chloride!$AH5,'Tables - Part 2'!$AV$6:$AV$13,0),MATCH(CUI_SCC_Chloride!$X5,'Tables - Part 2'!$AX$5:$BA$5,0)),0)</f>
        <v>0</v>
      </c>
      <c r="BB5" s="248">
        <f>IF($W5=$BB$3,((INDEX('Tables - Part 2'!$BB$6:$BE$13,MATCH(CUI_SCC_Chloride!$AH5,'Tables - Part 2'!$AV$6:$AV$13,0),MATCH(CUI_SCC_Chloride!$X5,'Tables - Part 2'!$AX$5:$BA$5,0)))+(INDEX('Tables - Part 2'!$BB$6:$BE$13,MATCH(CUI_SCC_Chloride!$AH5,'Tables - Part 2'!$AV$6:$AV$13,0),MATCH(CUI_SCC_Chloride!$X5,'Tables - Part 2'!$AX$5:$BA$5,0))+(INDEX('Tables - Part 2'!$BB$6:$BE$13,MATCH(CUI_SCC_Chloride!$AH5,'Tables - Part 2'!$AV$6:$AV$13,0),MATCH(CUI_SCC_Chloride!$X5,'Tables - Part 2'!$AX$5:$BA$5,0))+INDEX('Tables - Part 2'!$BF$6:$BI$13,MATCH(CUI_SCC_Chloride!$AH5,'Tables - Part 2'!$AV$6:$AV$13,0),MATCH(CUI_SCC_Chloride!$X5,'Tables - Part 2'!$AX$5:$BA$5,0)))/2)/2)/2,0)</f>
        <v>0</v>
      </c>
      <c r="BC5" s="248">
        <f>IF($W5=$BC$3,(INDEX('Tables - Part 2'!$BB$6:$BE$13,MATCH(CUI_SCC_Chloride!$AH5,'Tables - Part 2'!$AV$6:$AV$13,0),MATCH(CUI_SCC_Chloride!$X5,'Tables - Part 2'!$AX$5:$BA$5,0))+(INDEX('Tables - Part 2'!$BB$6:$BE$13,MATCH(CUI_SCC_Chloride!$AH5,'Tables - Part 2'!$AV$6:$AV$13,0),MATCH(CUI_SCC_Chloride!$X5,'Tables - Part 2'!$AX$5:$BA$5,0))+INDEX('Tables - Part 2'!$BF$6:$BI$13,MATCH(CUI_SCC_Chloride!$AH5,'Tables - Part 2'!$AV$6:$AV$13,0),MATCH(CUI_SCC_Chloride!$X5,'Tables - Part 2'!$AX$5:$BA$5,0)))/2)/2,0)</f>
        <v>0</v>
      </c>
      <c r="BD5" s="248">
        <f>IF($W5=$BD$3,(((INDEX('Tables - Part 2'!$BB$6:$BE$13,MATCH(CUI_SCC_Chloride!$AH5,'Tables - Part 2'!$AV$6:$AV$13,0),MATCH(CUI_SCC_Chloride!$X5,'Tables - Part 2'!$AX$5:$BA$5,0))+(INDEX('Tables - Part 2'!$BB$6:$BE$13,MATCH(CUI_SCC_Chloride!$AH5,'Tables - Part 2'!$AV$6:$AV$13,0),MATCH(CUI_SCC_Chloride!$X5,'Tables - Part 2'!$AX$5:$BA$5,0))+INDEX('Tables - Part 2'!$BF$6:$BI$13,MATCH(CUI_SCC_Chloride!$AH5,'Tables - Part 2'!$AV$6:$AV$13,0),MATCH(CUI_SCC_Chloride!$X5,'Tables - Part 2'!$AX$5:$BA$5,0)))/2)/2)+((INDEX('Tables - Part 2'!$BB$6:$BE$13,MATCH(CUI_SCC_Chloride!$AH5,'Tables - Part 2'!$AV$6:$AV$13,0),MATCH(CUI_SCC_Chloride!$X5,'Tables - Part 2'!$AX$5:$BA$5,0))+INDEX('Tables - Part 2'!$BF$6:$BI$13,MATCH(CUI_SCC_Chloride!$AH5,'Tables - Part 2'!$AV$6:$AV$13,0),MATCH(CUI_SCC_Chloride!$X5,'Tables - Part 2'!$AX$5:$BA$5,0)))/2))/2,0)</f>
        <v>0</v>
      </c>
      <c r="BE5" s="248">
        <f>IF($W5=$BE$3,(INDEX('Tables - Part 2'!$BB$6:$BE$13,MATCH(CUI_SCC_Chloride!$AH5,'Tables - Part 2'!$AV$6:$AV$13,0),MATCH(CUI_SCC_Chloride!$X5,'Tables - Part 2'!$AX$5:$BA$5,0))+INDEX('Tables - Part 2'!$BF$6:$BI$13,MATCH(CUI_SCC_Chloride!$AH5,'Tables - Part 2'!$AV$6:$AV$13,0),MATCH(CUI_SCC_Chloride!$X5,'Tables - Part 2'!$AX$5:$BA$5,0)))/2,0)</f>
        <v>1</v>
      </c>
      <c r="BF5" s="248">
        <f>IF($W5=$BF$3,(((INDEX('Tables - Part 2'!$BB$6:$BE$13,MATCH(CUI_SCC_Chloride!$AH5,'Tables - Part 2'!$AV$6:$AV$13,0),MATCH(CUI_SCC_Chloride!$X5,'Tables - Part 2'!$AX$5:$BA$5,0))+INDEX('Tables - Part 2'!$BF$6:$BI$13,MATCH(CUI_SCC_Chloride!$AH5,'Tables - Part 2'!$AV$6:$AV$13,0),MATCH(CUI_SCC_Chloride!$X5,'Tables - Part 2'!$AX$5:$BA$5,0)))/2)+((((INDEX('Tables - Part 2'!$BB$6:$BE$13,MATCH(CUI_SCC_Chloride!$AH5,'Tables - Part 2'!$AV$6:$AV$13,0),MATCH(CUI_SCC_Chloride!$X5,'Tables - Part 2'!$AX$5:$BA$5,0))+INDEX('Tables - Part 2'!$BF$6:$BI$13,MATCH(CUI_SCC_Chloride!$AH5,'Tables - Part 2'!$AV$6:$AV$13,0),MATCH(CUI_SCC_Chloride!$X5,'Tables - Part 2'!$AX$5:$BA$5,0)))/2)+INDEX('Tables - Part 2'!$BF$6:$BI$13,MATCH(CUI_SCC_Chloride!$AH5,'Tables - Part 2'!$AV$6:$AV$13,0),MATCH(CUI_SCC_Chloride!$X5,'Tables - Part 2'!$AX$5:$BA$5,0)))/2))/2,0)</f>
        <v>0</v>
      </c>
      <c r="BG5" s="248">
        <f>IF($W5=$BG$3,(((INDEX('Tables - Part 2'!$BB$6:$BE$13,MATCH(CUI_SCC_Chloride!$AH5,'Tables - Part 2'!$AV$6:$AV$13,0),MATCH(CUI_SCC_Chloride!$X5,'Tables - Part 2'!$AX$5:$BA$5,0))+INDEX('Tables - Part 2'!$BF$6:$BI$13,MATCH(CUI_SCC_Chloride!$AH5,'Tables - Part 2'!$AV$6:$AV$13,0),MATCH(CUI_SCC_Chloride!$X5,'Tables - Part 2'!$AX$5:$BA$5,0)))/2)+INDEX('Tables - Part 2'!$BF$6:$BI$13,MATCH(CUI_SCC_Chloride!$AH5,'Tables - Part 2'!$AV$6:$AV$13,0),MATCH(CUI_SCC_Chloride!$X5,'Tables - Part 2'!$AX$5:$BA$5,0)))/2,0)</f>
        <v>0</v>
      </c>
      <c r="BH5" s="248">
        <f>IF($W5=$BH$3,(((((INDEX('Tables - Part 2'!$BB$6:$BE$13,MATCH(CUI_SCC_Chloride!$AH5,'Tables - Part 2'!$AV$6:$AV$13,0),MATCH(CUI_SCC_Chloride!$X5,'Tables - Part 2'!$AX$5:$BA$5,0))+INDEX('Tables - Part 2'!$BF$6:$BI$13,MATCH(CUI_SCC_Chloride!$AH5,'Tables - Part 2'!$AV$6:$AV$13,0),MATCH(CUI_SCC_Chloride!$X5,'Tables - Part 2'!$AX$5:$BA$5,0)))/2)+INDEX('Tables - Part 2'!$BF$6:$BI$13,MATCH(CUI_SCC_Chloride!$AH5,'Tables - Part 2'!$AV$6:$AV$13,0),MATCH(CUI_SCC_Chloride!$X5,'Tables - Part 2'!$AX$5:$BA$5,0)))/2)+INDEX('Tables - Part 2'!$BF$6:$BI$13,MATCH(CUI_SCC_Chloride!$AH5,'Tables - Part 2'!$AV$6:$AV$13,0),MATCH(CUI_SCC_Chloride!$X5,'Tables - Part 2'!$AX$5:$BA$5,0)))/2,0)</f>
        <v>0</v>
      </c>
      <c r="BI5" s="248">
        <f>IF($W5=$BI$3,INDEX('Tables - Part 2'!$BF$6:$BI$13,MATCH(CUI_SCC_Chloride!$AH5,'Tables - Part 2'!$AV$6:$AV$13,0),MATCH(CUI_SCC_Chloride!$X5,'Tables - Part 2'!$AX$5:$BA$5,0)),0)</f>
        <v>0</v>
      </c>
      <c r="BJ5" s="248">
        <f>IF($W5=$BJ$3,(INDEX('Tables - Part 2'!$BF$6:$BI$13,MATCH(CUI_SCC_Chloride!$AH5,'Tables - Part 2'!$AV$6:$AV$13,0),MATCH(CUI_SCC_Chloride!$X5,'Tables - Part 2'!$AX$5:$BA$5,0))+((INDEX('Tables - Part 2'!$BF$6:$BI$13,MATCH(CUI_SCC_Chloride!$AH5,'Tables - Part 2'!$AV$6:$AV$13,0),MATCH(CUI_SCC_Chloride!$X5,'Tables - Part 2'!$AX$5:$BA$5,0))+(INDEX('Tables - Part 2'!$BF$6:$BI$13,MATCH(CUI_SCC_Chloride!$AH5,'Tables - Part 2'!$AV$6:$AV$13,0),MATCH(CUI_SCC_Chloride!$X5,'Tables - Part 2'!$AX$5:$BA$5,0))+INDEX('Tables - Part 2'!$AX$17:$BA$24,MATCH(CUI_SCC_Chloride!$AH5,'Tables - Part 2'!$AV$6:$AV$13,0),MATCH(CUI_SCC_Chloride!$X5,'Tables - Part 2'!$AX$5:$BA$5,0)))/2)/2))/2,0)</f>
        <v>0</v>
      </c>
      <c r="BK5" s="248">
        <f>IF($W5=$BK$3,(INDEX('Tables - Part 2'!$BF$6:$BI$13,MATCH(CUI_SCC_Chloride!$AH5,'Tables - Part 2'!$AV$6:$AV$13,0),MATCH(CUI_SCC_Chloride!$X5,'Tables - Part 2'!$AX$5:$BA$5,0))+(INDEX('Tables - Part 2'!$BF$6:$BI$13,MATCH(CUI_SCC_Chloride!$AH5,'Tables - Part 2'!$AV$6:$AV$13,0),MATCH(CUI_SCC_Chloride!$X5,'Tables - Part 2'!$AX$5:$BA$5,0))+INDEX('Tables - Part 2'!$AX$17:$BA$24,MATCH(CUI_SCC_Chloride!$AH5,'Tables - Part 2'!$AV$6:$AV$13,0),MATCH(CUI_SCC_Chloride!$X5,'Tables - Part 2'!$AX$5:$BA$5,0)))/2)/2,0)</f>
        <v>0</v>
      </c>
      <c r="BL5" s="248">
        <f>IF($W5=$BL$3,(((INDEX('Tables - Part 2'!$BF$6:$BI$13,MATCH(CUI_SCC_Chloride!$AH5,'Tables - Part 2'!$AV$6:$AV$13,0),MATCH(CUI_SCC_Chloride!$X5,'Tables - Part 2'!$AX$5:$BA$5,0))+(INDEX('Tables - Part 2'!$BF$6:$BI$13,MATCH(CUI_SCC_Chloride!$AH5,'Tables - Part 2'!$AV$6:$AV$13,0),MATCH(CUI_SCC_Chloride!$X5,'Tables - Part 2'!$AX$5:$BA$5,0))+INDEX('Tables - Part 2'!$AX$17:$BA$24,MATCH(CUI_SCC_Chloride!$AH5,'Tables - Part 2'!$AV$6:$AV$13,0),MATCH(CUI_SCC_Chloride!$X5,'Tables - Part 2'!$AX$5:$BA$5,0)))/2)/2)+((INDEX('Tables - Part 2'!$BF$6:$BI$13,MATCH(CUI_SCC_Chloride!$AH5,'Tables - Part 2'!$AV$6:$AV$13,0),MATCH(CUI_SCC_Chloride!$X5,'Tables - Part 2'!$AX$5:$BA$5,0))+INDEX('Tables - Part 2'!$AX$17:$BA$24,MATCH(CUI_SCC_Chloride!$AH5,'Tables - Part 2'!$AV$6:$AV$13,0),MATCH(CUI_SCC_Chloride!$X5,'Tables - Part 2'!$AX$5:$BA$5,0)))/2))/2,0)</f>
        <v>0</v>
      </c>
      <c r="BM5" s="248">
        <f>IF($W5=$BM$3,(INDEX('Tables - Part 2'!$BF$6:$BI$13,MATCH(CUI_SCC_Chloride!$AH5,'Tables - Part 2'!$AV$6:$AV$13,0),MATCH(CUI_SCC_Chloride!$X5,'Tables - Part 2'!$AX$5:$BA$5,0))+INDEX('Tables - Part 2'!$AX$17:$BA$24,MATCH(CUI_SCC_Chloride!$AH5,'Tables - Part 2'!$AV$6:$AV$13,0),MATCH(CUI_SCC_Chloride!$X5,'Tables - Part 2'!$AX$5:$BA$5,0)))/2,0)</f>
        <v>0</v>
      </c>
      <c r="BN5" s="248">
        <f>IF($W5=$BN$3,(((INDEX('Tables - Part 2'!$BF$6:$BI$13,MATCH(CUI_SCC_Chloride!$AH5,'Tables - Part 2'!$AV$6:$AV$13,0),MATCH(CUI_SCC_Chloride!$X5,'Tables - Part 2'!$AX$5:$BA$5,0))+INDEX('Tables - Part 2'!$AX$17:$BA$24,MATCH(CUI_SCC_Chloride!$AH5,'Tables - Part 2'!$AV$6:$AV$13,0),MATCH(CUI_SCC_Chloride!$X5,'Tables - Part 2'!$AX$5:$BA$5,0)))/2)+((((INDEX('Tables - Part 2'!$BF$6:$BI$13,MATCH(CUI_SCC_Chloride!$AH5,'Tables - Part 2'!$AV$6:$AV$13,0),MATCH(CUI_SCC_Chloride!$X5,'Tables - Part 2'!$AX$5:$BA$5,0))+INDEX('Tables - Part 2'!$AX$17:$BA$24,MATCH(CUI_SCC_Chloride!$AH5,'Tables - Part 2'!$AV$6:$AV$13,0),MATCH(CUI_SCC_Chloride!$X5,'Tables - Part 2'!$AX$5:$BA$5,0)))/2)+INDEX('Tables - Part 2'!$AX$17:$BA$24,MATCH(CUI_SCC_Chloride!$AH5,'Tables - Part 2'!$AV$6:$AV$13,0),MATCH(CUI_SCC_Chloride!$X5,'Tables - Part 2'!$AX$5:$BA$5,0)))/2))/2,0)</f>
        <v>0</v>
      </c>
      <c r="BO5" s="248">
        <f>IF($W5=$BO$3,(((INDEX('Tables - Part 2'!$BF$6:$BI$13,MATCH(CUI_SCC_Chloride!$AH5,'Tables - Part 2'!$AV$6:$AV$13,0),MATCH(CUI_SCC_Chloride!$X5,'Tables - Part 2'!$AX$5:$BA$5,0))+INDEX('Tables - Part 2'!$AX$17:$BA$24,MATCH(CUI_SCC_Chloride!$AH5,'Tables - Part 2'!$AV$6:$AV$13,0),MATCH(CUI_SCC_Chloride!$X5,'Tables - Part 2'!$AX$5:$BA$5,0)))/2)+INDEX('Tables - Part 2'!$AX$17:$BA$24,MATCH(CUI_SCC_Chloride!$AH5,'Tables - Part 2'!$AV$6:$AV$13,0),MATCH(CUI_SCC_Chloride!$X5,'Tables - Part 2'!$AX$5:$BA$5,0)))/2,0)</f>
        <v>0</v>
      </c>
      <c r="BP5" s="248">
        <f>IF($W5=$BP$3,(((((INDEX('Tables - Part 2'!$BF$6:$BI$13,MATCH(CUI_SCC_Chloride!$AH5,'Tables - Part 2'!$AV$6:$AV$13,0),MATCH(CUI_SCC_Chloride!$X5,'Tables - Part 2'!$AX$5:$BA$5,0))+INDEX('Tables - Part 2'!$AX$17:$BA$24,MATCH(CUI_SCC_Chloride!$AH5,'Tables - Part 2'!$AV$6:$AV$13,0),MATCH(CUI_SCC_Chloride!$X5,'Tables - Part 2'!$AX$5:$BA$5,0)))/2)+INDEX('Tables - Part 2'!$AX$17:$BA$24,MATCH(CUI_SCC_Chloride!$AH5,'Tables - Part 2'!$AV$6:$AV$13,0),MATCH(CUI_SCC_Chloride!$X5,'Tables - Part 2'!$AX$5:$BA$5,0)))/2)+(INDEX('Tables - Part 2'!$AX$17:$BA$24,MATCH(CUI_SCC_Chloride!$AH5,'Tables - Part 2'!$AV$6:$AV$13,0),MATCH(CUI_SCC_Chloride!$X5,'Tables - Part 2'!$AX$5:$BA$5,0))))/2,0)</f>
        <v>0</v>
      </c>
      <c r="BQ5" s="248">
        <f>IF($W5=$BQ$3,INDEX('Tables - Part 2'!$AX$17:$BA$24,MATCH(CUI_SCC_Chloride!$AH5,'Tables - Part 2'!$AV$6:$AV$13,0),MATCH(CUI_SCC_Chloride!$X5,'Tables - Part 2'!$AX$5:$BA$5,0)),0)</f>
        <v>0</v>
      </c>
      <c r="BR5" s="248">
        <f>IF($W5=$BR$3,((INDEX('Tables - Part 2'!$AX$17:$BA$24,MATCH(CUI_SCC_Chloride!$AH5,'Tables - Part 2'!$AV$6:$AV$13,0),MATCH(CUI_SCC_Chloride!$X5,'Tables - Part 2'!$AX$5:$BA$5,0)))+(((INDEX('Tables - Part 2'!$AX$17:$BA$24,MATCH(CUI_SCC_Chloride!$AH5,'Tables - Part 2'!$AV$6:$AV$13,0),MATCH(CUI_SCC_Chloride!$X5,'Tables - Part 2'!$AX$5:$BA$5,0)))+(INDEX('Tables - Part 2'!$AX$17:$BA$24,MATCH(CUI_SCC_Chloride!$AH5,'Tables - Part 2'!$AV$6:$AV$13,0),MATCH(CUI_SCC_Chloride!$X5,'Tables - Part 2'!$AX$5:$BA$5,0))+INDEX('Tables - Part 2'!$BB$17:$BE$24,MATCH(CUI_SCC_Chloride!$AH5,'Tables - Part 2'!$AV$6:$AV$13,0),MATCH(CUI_SCC_Chloride!$X5,'Tables - Part 2'!$AX$5:$BA$5,0)))/2)/2))/2,0)</f>
        <v>0</v>
      </c>
      <c r="BS5" s="248">
        <f>IF($W5=$BS$3,((INDEX('Tables - Part 2'!$AX$17:$BA$24,MATCH(CUI_SCC_Chloride!$AH5,'Tables - Part 2'!$AV$6:$AV$13,0),MATCH(CUI_SCC_Chloride!$X5,'Tables - Part 2'!$AX$5:$BA$5,0)))+(INDEX('Tables - Part 2'!$AX$17:$BA$24,MATCH(CUI_SCC_Chloride!$AH5,'Tables - Part 2'!$AV$6:$AV$13,0),MATCH(CUI_SCC_Chloride!$X5,'Tables - Part 2'!$AX$5:$BA$5,0))+INDEX('Tables - Part 2'!$BB$17:$BE$24,MATCH(CUI_SCC_Chloride!$AH5,'Tables - Part 2'!$AV$6:$AV$13,0),MATCH(CUI_SCC_Chloride!$X5,'Tables - Part 2'!$AX$5:$BA$5,0)))/2)/2,0)</f>
        <v>0</v>
      </c>
      <c r="BT5" s="248">
        <f>IF($W5=$BT$3,((((INDEX('Tables - Part 2'!$AX$17:$BA$24,MATCH(CUI_SCC_Chloride!$AH5,'Tables - Part 2'!$AV$6:$AV$13,0),MATCH(CUI_SCC_Chloride!$X5,'Tables - Part 2'!$AX$5:$BA$5,0)))+(INDEX('Tables - Part 2'!$AX$17:$BA$24,MATCH(CUI_SCC_Chloride!$AH5,'Tables - Part 2'!$AV$6:$AV$13,0),MATCH(CUI_SCC_Chloride!$X5,'Tables - Part 2'!$AX$5:$BA$5,0))+INDEX('Tables - Part 2'!$BB$17:$BE$24,MATCH(CUI_SCC_Chloride!$AH5,'Tables - Part 2'!$AV$6:$AV$13,0),MATCH(CUI_SCC_Chloride!$X5,'Tables - Part 2'!$AX$5:$BA$5,0)))/2)/2)+((INDEX('Tables - Part 2'!$AX$17:$BA$24,MATCH(CUI_SCC_Chloride!$AH5,'Tables - Part 2'!$AV$6:$AV$13,0),MATCH(CUI_SCC_Chloride!$X5,'Tables - Part 2'!$AX$5:$BA$5,0))+INDEX('Tables - Part 2'!$BB$17:$BE$24,MATCH(CUI_SCC_Chloride!$AH5,'Tables - Part 2'!$AV$6:$AV$13,0),MATCH(CUI_SCC_Chloride!$X5,'Tables - Part 2'!$AX$5:$BA$5,0)))/2))/2,0)</f>
        <v>0</v>
      </c>
      <c r="BU5" s="248">
        <f>IF($W5=$BU$3,(INDEX('Tables - Part 2'!$AX$17:$BA$24,MATCH(CUI_SCC_Chloride!$AH5,'Tables - Part 2'!$AV$6:$AV$13,0),MATCH(CUI_SCC_Chloride!$X5,'Tables - Part 2'!$AX$5:$BA$5,0))+INDEX('Tables - Part 2'!$BB$17:$BE$24,MATCH(CUI_SCC_Chloride!$AH5,'Tables - Part 2'!$AV$6:$AV$13,0),MATCH(CUI_SCC_Chloride!$X5,'Tables - Part 2'!$AX$5:$BA$5,0)))/2,0)</f>
        <v>0</v>
      </c>
      <c r="BV5" s="248">
        <f>IF($W5=$BV$3,(((INDEX('Tables - Part 2'!$AX$17:$BA$24,MATCH(CUI_SCC_Chloride!$AH5,'Tables - Part 2'!$AV$6:$AV$13,0),MATCH(CUI_SCC_Chloride!$X5,'Tables - Part 2'!$AX$5:$BA$5,0))+INDEX('Tables - Part 2'!$BB$17:$BE$24,MATCH(CUI_SCC_Chloride!$AH5,'Tables - Part 2'!$AV$6:$AV$13,0),MATCH(CUI_SCC_Chloride!$X5,'Tables - Part 2'!$AX$5:$BA$5,0)))/2)+((((INDEX('Tables - Part 2'!$AX$17:$BA$24,MATCH(CUI_SCC_Chloride!$AH5,'Tables - Part 2'!$AV$6:$AV$13,0),MATCH(CUI_SCC_Chloride!$X5,'Tables - Part 2'!$AX$5:$BA$5,0))+INDEX('Tables - Part 2'!$BB$17:$BE$24,MATCH(CUI_SCC_Chloride!$AH5,'Tables - Part 2'!$AV$6:$AV$13,0),MATCH(CUI_SCC_Chloride!$X5,'Tables - Part 2'!$AX$5:$BA$5,0)))/2)+INDEX('Tables - Part 2'!$BB$17:$BE$24,MATCH(CUI_SCC_Chloride!$AH5,'Tables - Part 2'!$AV$6:$AV$13,0),MATCH(CUI_SCC_Chloride!$X5,'Tables - Part 2'!$AX$5:$BA$5,0)))/2))/2,0)</f>
        <v>0</v>
      </c>
      <c r="BW5" s="248">
        <f>IF($W5=$BW$3,(((INDEX('Tables - Part 2'!$AX$17:$BA$24,MATCH(CUI_SCC_Chloride!$AH5,'Tables - Part 2'!$AV$6:$AV$13,0),MATCH(CUI_SCC_Chloride!$X5,'Tables - Part 2'!$AX$5:$BA$5,0))+INDEX('Tables - Part 2'!$BB$17:$BE$24,MATCH(CUI_SCC_Chloride!$AH5,'Tables - Part 2'!$AV$6:$AV$13,0),MATCH(CUI_SCC_Chloride!$X5,'Tables - Part 2'!$AX$5:$BA$5,0)))/2)+INDEX('Tables - Part 2'!$BB$17:$BE$24,MATCH(CUI_SCC_Chloride!$AH5,'Tables - Part 2'!$AV$6:$AV$13,0),MATCH(CUI_SCC_Chloride!$X5,'Tables - Part 2'!$AX$5:$BA$5,0)))/2,0)</f>
        <v>0</v>
      </c>
      <c r="BX5" s="248">
        <f>IF($W5=$BX$3,(((((INDEX('Tables - Part 2'!$AX$17:$BA$24,MATCH(CUI_SCC_Chloride!$AH5,'Tables - Part 2'!$AV$6:$AV$13,0),MATCH(CUI_SCC_Chloride!$X5,'Tables - Part 2'!$AX$5:$BA$5,0))+INDEX('Tables - Part 2'!$BB$17:$BE$24,MATCH(CUI_SCC_Chloride!$AH5,'Tables - Part 2'!$AV$6:$AV$13,0),MATCH(CUI_SCC_Chloride!$X5,'Tables - Part 2'!$AX$5:$BA$5,0)))/2)+INDEX('Tables - Part 2'!$BB$17:$BE$24,MATCH(CUI_SCC_Chloride!$AH5,'Tables - Part 2'!$AV$6:$AV$13,0),MATCH(CUI_SCC_Chloride!$X5,'Tables - Part 2'!$AX$5:$BA$5,0)))/2)+(INDEX('Tables - Part 2'!$BB$17:$BE$24,MATCH(CUI_SCC_Chloride!$AH5,'Tables - Part 2'!$AV$6:$AV$13,0),MATCH(CUI_SCC_Chloride!$X5,'Tables - Part 2'!$AX$5:$BA$5,0))))/2,0)</f>
        <v>0</v>
      </c>
      <c r="BY5" s="248">
        <f>IF($W5=$BY$3,INDEX('Tables - Part 2'!$BB$17:$BE$24,MATCH(CUI_SCC_Chloride!$AH5,'Tables - Part 2'!$AV$6:$AV$13,0),MATCH(CUI_SCC_Chloride!$X5,'Tables - Part 2'!$AX$5:$BA$5,0)),0)</f>
        <v>0</v>
      </c>
      <c r="BZ5" s="248">
        <f>IF($W5=$BZ$3,((INDEX('Tables - Part 2'!$BB$17:$BE$24,MATCH(CUI_SCC_Chloride!$AH5,'Tables - Part 2'!$AV$6:$AV$13,0),MATCH(CUI_SCC_Chloride!$X5,'Tables - Part 2'!$AX$5:$BA$5,0)))+(((INDEX('Tables - Part 2'!$BB$17:$BE$24,MATCH(CUI_SCC_Chloride!$AH5,'Tables - Part 2'!$AV$6:$AV$13,0),MATCH(CUI_SCC_Chloride!$X5,'Tables - Part 2'!$AX$5:$BA$5,0)))+(INDEX('Tables - Part 2'!$BB$17:$BE$24,MATCH(CUI_SCC_Chloride!$AH5,'Tables - Part 2'!$AV$6:$AV$13,0),MATCH(CUI_SCC_Chloride!$X5,'Tables - Part 2'!$AX$5:$BA$5,0))+INDEX('Tables - Part 2'!$BF$17:$BI$24,MATCH(CUI_SCC_Chloride!$AH5,'Tables - Part 2'!$AV$6:$AV$13,0),MATCH(CUI_SCC_Chloride!$X5,'Tables - Part 2'!$AX$5:$BA$5,0)))/2)/2))/2,0)</f>
        <v>0</v>
      </c>
      <c r="CA5" s="248">
        <f>IF($W5=$CA$3,((INDEX('Tables - Part 2'!$BB$17:$BE$24,MATCH(CUI_SCC_Chloride!$AH5,'Tables - Part 2'!$AV$6:$AV$13,0),MATCH(CUI_SCC_Chloride!$X5,'Tables - Part 2'!$AX$5:$BA$5,0)))+(INDEX('Tables - Part 2'!$BB$17:$BE$24,MATCH(CUI_SCC_Chloride!$AH5,'Tables - Part 2'!$AV$6:$AV$13,0),MATCH(CUI_SCC_Chloride!$X5,'Tables - Part 2'!$AX$5:$BA$5,0))+INDEX('Tables - Part 2'!$BF$17:$BI$24,MATCH(CUI_SCC_Chloride!$AH5,'Tables - Part 2'!$AV$6:$AV$13,0),MATCH(CUI_SCC_Chloride!$X5,'Tables - Part 2'!$AX$5:$BA$5,0)))/2)/2,0)</f>
        <v>0</v>
      </c>
      <c r="CB5" s="248">
        <f>IF($W5=$CB$3,((((INDEX('Tables - Part 2'!$BB$17:$BE$24,MATCH(CUI_SCC_Chloride!$AH5,'Tables - Part 2'!$AV$6:$AV$13,0),MATCH(CUI_SCC_Chloride!$X5,'Tables - Part 2'!$AX$5:$BA$5,0)))+(INDEX('Tables - Part 2'!$BB$17:$BE$24,MATCH(CUI_SCC_Chloride!$AH5,'Tables - Part 2'!$AV$6:$AV$13,0),MATCH(CUI_SCC_Chloride!$X5,'Tables - Part 2'!$AX$5:$BA$5,0))+INDEX('Tables - Part 2'!$BF$17:$BI$24,MATCH(CUI_SCC_Chloride!$AH5,'Tables - Part 2'!$AV$6:$AV$13,0),MATCH(CUI_SCC_Chloride!$X5,'Tables - Part 2'!$AX$5:$BA$5,0)))/2)/2)+((INDEX('Tables - Part 2'!$BB$17:$BE$24,MATCH(CUI_SCC_Chloride!$AH5,'Tables - Part 2'!$AV$6:$AV$13,0),MATCH(CUI_SCC_Chloride!$X5,'Tables - Part 2'!$AX$5:$BA$5,0))+INDEX('Tables - Part 2'!$BF$17:$BI$24,MATCH(CUI_SCC_Chloride!$AH5,'Tables - Part 2'!$AV$6:$AV$13,0),MATCH(CUI_SCC_Chloride!$X5,'Tables - Part 2'!$AX$5:$BA$5,0)))/2))/2,0)</f>
        <v>0</v>
      </c>
      <c r="CC5" s="248">
        <f>IF($W5=$CC$3,(INDEX('Tables - Part 2'!$BB$17:$BE$24,MATCH(CUI_SCC_Chloride!$AH5,'Tables - Part 2'!$AV$6:$AV$13,0),MATCH(CUI_SCC_Chloride!$X5,'Tables - Part 2'!$AX$5:$BA$5,0))+INDEX('Tables - Part 2'!$BF$17:$BI$24,MATCH(CUI_SCC_Chloride!$AH5,'Tables - Part 2'!$AV$6:$AV$13,0),MATCH(CUI_SCC_Chloride!$X5,'Tables - Part 2'!$AX$5:$BA$5,0)))/2,0)</f>
        <v>0</v>
      </c>
      <c r="CD5" s="248">
        <f>IF($W5=$CD$3,(((INDEX('Tables - Part 2'!$BB$17:$BE$24,MATCH(CUI_SCC_Chloride!$AH5,'Tables - Part 2'!$AV$6:$AV$13,0),MATCH(CUI_SCC_Chloride!$X5,'Tables - Part 2'!$AX$5:$BA$5,0))+INDEX('Tables - Part 2'!$BF$17:$BI$24,MATCH(CUI_SCC_Chloride!$AH5,'Tables - Part 2'!$AV$6:$AV$13,0),MATCH(CUI_SCC_Chloride!$X5,'Tables - Part 2'!$AX$5:$BA$5,0)))/2)+((((INDEX('Tables - Part 2'!$BB$17:$BE$24,MATCH(CUI_SCC_Chloride!$AH5,'Tables - Part 2'!$AV$6:$AV$13,0),MATCH(CUI_SCC_Chloride!$X5,'Tables - Part 2'!$AX$5:$BA$5,0))+INDEX('Tables - Part 2'!$BF$17:$BI$24,MATCH(CUI_SCC_Chloride!$AH5,'Tables - Part 2'!$AV$6:$AV$13,0),MATCH(CUI_SCC_Chloride!$X5,'Tables - Part 2'!$AX$5:$BA$5,0)))/2)+INDEX('Tables - Part 2'!$BF$17:$BI$24,MATCH(CUI_SCC_Chloride!$AH5,'Tables - Part 2'!$AV$6:$AV$13,0),MATCH(CUI_SCC_Chloride!$X5,'Tables - Part 2'!$AX$5:$BA$5,0)))/2))/2,0)</f>
        <v>0</v>
      </c>
      <c r="CE5" s="248">
        <f>IF($W5=$CE$3,(((INDEX('Tables - Part 2'!$BB$17:$BE$24,MATCH(CUI_SCC_Chloride!$AH5,'Tables - Part 2'!$AV$6:$AV$13,0),MATCH(CUI_SCC_Chloride!$X5,'Tables - Part 2'!$AX$5:$BA$5,0))+INDEX('Tables - Part 2'!$BF$17:$BI$24,MATCH(CUI_SCC_Chloride!$AH5,'Tables - Part 2'!$AV$6:$AV$13,0),MATCH(CUI_SCC_Chloride!$X5,'Tables - Part 2'!$AX$5:$BA$5,0)))/2)+INDEX('Tables - Part 2'!$BF$17:$BI$24,MATCH(CUI_SCC_Chloride!$AH5,'Tables - Part 2'!$AV$6:$AV$13,0),MATCH(CUI_SCC_Chloride!$X5,'Tables - Part 2'!$AX$5:$BA$5,0)))/2,0)</f>
        <v>0</v>
      </c>
      <c r="CF5" s="248">
        <f>IF($W5=$CF$3,(((((INDEX('Tables - Part 2'!$BB$17:$BE$24,MATCH(CUI_SCC_Chloride!$AH5,'Tables - Part 2'!$AV$6:$AV$13,0),MATCH(CUI_SCC_Chloride!$X5,'Tables - Part 2'!$AX$5:$BA$5,0))+INDEX('Tables - Part 2'!$BF$17:$BI$24,MATCH(CUI_SCC_Chloride!$AH5,'Tables - Part 2'!$AV$6:$AV$13,0),MATCH(CUI_SCC_Chloride!$X5,'Tables - Part 2'!$AX$5:$BA$5,0)))/2)+INDEX('Tables - Part 2'!$BF$17:$BI$24,MATCH(CUI_SCC_Chloride!$AH5,'Tables - Part 2'!$AV$6:$AV$13,0),MATCH(CUI_SCC_Chloride!$X5,'Tables - Part 2'!$AX$5:$BA$5,0)))/2)+(INDEX('Tables - Part 2'!$BF$17:$BI$24,MATCH(CUI_SCC_Chloride!$AH5,'Tables - Part 2'!$AV$6:$AV$13,0),MATCH(CUI_SCC_Chloride!$X5,'Tables - Part 2'!$AX$5:$BA$5,0))))/2,0)</f>
        <v>0</v>
      </c>
      <c r="CG5" s="248">
        <f>IF($W5=$CG$3,INDEX('Tables - Part 2'!$BF$17:$BI$24,MATCH(CUI_SCC_Chloride!$AH5,'Tables - Part 2'!$AV$6:$AV$13,0),MATCH(CUI_SCC_Chloride!$X5,'Tables - Part 2'!$AX$5:$BA$5,0)),0)</f>
        <v>0</v>
      </c>
      <c r="CH5" s="248">
        <f t="shared" si="5"/>
        <v>0</v>
      </c>
      <c r="CI5" s="238">
        <f t="shared" ref="CI5:CI21" si="19">SUM(AS5:CH5)</f>
        <v>1</v>
      </c>
      <c r="CJ5" s="238">
        <f t="shared" ref="CJ5:CJ21" si="20">IF(B5="",0,MIN(CI5*POWER(MAX(AR5,1),1.1),5000))</f>
        <v>6.6156360919605577</v>
      </c>
      <c r="CL5">
        <v>3</v>
      </c>
      <c r="CM5" s="237" t="s">
        <v>841</v>
      </c>
    </row>
    <row r="6" spans="2:95" x14ac:dyDescent="0.35">
      <c r="B6" s="161" t="str">
        <f>'Tratamento de Dados'!B14</f>
        <v>V-10</v>
      </c>
      <c r="C6" s="161" t="str">
        <f>'Tratamento de Dados'!D14</f>
        <v>Casco</v>
      </c>
      <c r="D6" s="209" t="s">
        <v>245</v>
      </c>
      <c r="E6" s="209" t="s">
        <v>61</v>
      </c>
      <c r="F6" s="247">
        <f>'Tratamento de Dados'!S14</f>
        <v>2</v>
      </c>
      <c r="G6" s="209" t="s">
        <v>953</v>
      </c>
      <c r="H6" s="210">
        <v>35234</v>
      </c>
      <c r="I6" s="210">
        <v>43983</v>
      </c>
      <c r="J6" s="210">
        <v>39092</v>
      </c>
      <c r="K6" s="210">
        <f>'Tratamento de Dados'!CC14</f>
        <v>0</v>
      </c>
      <c r="L6" s="209">
        <f>'Tratamento de Dados'!CD14</f>
        <v>0</v>
      </c>
      <c r="M6" s="209" t="s">
        <v>905</v>
      </c>
      <c r="N6" s="209" t="s">
        <v>1081</v>
      </c>
      <c r="O6" s="209" t="s">
        <v>1081</v>
      </c>
      <c r="P6" s="209" t="s">
        <v>244</v>
      </c>
      <c r="Q6" s="209">
        <v>0</v>
      </c>
      <c r="R6" s="209">
        <v>1</v>
      </c>
      <c r="S6" s="209">
        <v>1</v>
      </c>
      <c r="T6" s="209">
        <v>4</v>
      </c>
      <c r="U6" s="253">
        <f>'Tratamento de Dados'!DA14</f>
        <v>0</v>
      </c>
      <c r="V6" s="253">
        <f>'Tratamento de Dados'!DB14</f>
        <v>0</v>
      </c>
      <c r="W6" s="256">
        <f t="shared" si="0"/>
        <v>2.5</v>
      </c>
      <c r="X6" s="246" t="str">
        <f t="shared" si="1"/>
        <v>B</v>
      </c>
      <c r="Y6" s="246" t="str">
        <f>IF(F6&lt;49,'Tables - Part 2'!$FH$5,IF(F6&lt;=93,'Tables - Part 2'!$FH$6,IF(F6&lt;=149,'Tables - Part 2'!$FH$7,'Tables - Part 2'!$FH$8)))</f>
        <v>&lt;49</v>
      </c>
      <c r="Z6" s="246" t="str">
        <f>IF(D6=$CO$2,$CM$5,INDEX('Tables - Part 2'!$FR$5:$FU$8,MATCH(CUI_SCC_Chloride!Y6,'Tables - Part 2'!$FQ$5:$FQ$8,0),MATCH(CUI_SCC_Chloride!M6,'Tables - Part 2'!$FR$4:$FU$4,0)))</f>
        <v>None</v>
      </c>
      <c r="AA6" s="246" t="str">
        <f t="shared" si="6"/>
        <v>None</v>
      </c>
      <c r="AB6" s="219">
        <f t="shared" si="7"/>
        <v>0</v>
      </c>
      <c r="AC6" s="246" t="str">
        <f t="shared" si="8"/>
        <v>None</v>
      </c>
      <c r="AD6" s="219">
        <f t="shared" si="9"/>
        <v>0</v>
      </c>
      <c r="AE6" s="246" t="str">
        <f t="shared" si="10"/>
        <v>None</v>
      </c>
      <c r="AF6" s="219">
        <f t="shared" si="11"/>
        <v>0</v>
      </c>
      <c r="AG6" s="467" t="str">
        <f t="shared" si="12"/>
        <v>None</v>
      </c>
      <c r="AH6" s="238">
        <f>IF(AND(D6=$CO$2,E6&lt;&gt;$CO$2),"Fitness-For-Service",INDEX('Tables - Part 2'!$FO$4:$FO$7,MATCH(CUI_SCC_Chloride!AG6,'Tables - Part 2'!$FN$4:$FN$7,0),))</f>
        <v>0</v>
      </c>
      <c r="AI6" s="238">
        <f>IF(J6=0,(Thinning!G7-Thinning!F7)/365.25,(Thinning!G7-J6)/365.25)</f>
        <v>12.980150581793293</v>
      </c>
      <c r="AJ6" s="248">
        <f t="shared" si="2"/>
        <v>0</v>
      </c>
      <c r="AK6" s="248">
        <f t="shared" si="3"/>
        <v>2.5</v>
      </c>
      <c r="AL6" s="247">
        <f t="shared" si="13"/>
        <v>3</v>
      </c>
      <c r="AM6" s="247">
        <f t="shared" si="4"/>
        <v>4</v>
      </c>
      <c r="AN6" s="247">
        <f t="shared" si="14"/>
        <v>120.41889117043121</v>
      </c>
      <c r="AO6" s="247">
        <f t="shared" si="15"/>
        <v>0</v>
      </c>
      <c r="AP6" s="247">
        <f t="shared" si="16"/>
        <v>0</v>
      </c>
      <c r="AQ6" s="247">
        <f t="shared" si="17"/>
        <v>0</v>
      </c>
      <c r="AR6" s="247">
        <f t="shared" si="18"/>
        <v>12.980150581793293</v>
      </c>
      <c r="AS6" s="248">
        <f>IF($W6=$AS$3,INDEX('Tables - Part 2'!$AX$6:$BA$13,MATCH(CUI_SCC_Chloride!AH6,'Tables - Part 2'!$AV$6:$AV$13,0),MATCH(CUI_SCC_Chloride!X6,'Tables - Part 2'!$AX$5:$BA$5,0)),0)</f>
        <v>0</v>
      </c>
      <c r="AT6" s="248">
        <f>IF($W6=$AT$3,(INDEX('Tables - Part 2'!$AX$6:$BA$13,MATCH(CUI_SCC_Chloride!AH6,'Tables - Part 2'!$AV$6:$AV$13,0),MATCH(CUI_SCC_Chloride!X6,'Tables - Part 2'!$AX$5:$BA$5,0))+(INDEX('Tables - Part 2'!$AX$6:$BA$13,MATCH(CUI_SCC_Chloride!AH6,'Tables - Part 2'!$AV$6:$AV$13,0),MATCH(CUI_SCC_Chloride!X6,'Tables - Part 2'!$AX$5:$BA$5,0))+((INDEX('Tables - Part 2'!$AX$6:$BA$13,MATCH(CUI_SCC_Chloride!AH6,'Tables - Part 2'!$AV$6:$AV$13,0),MATCH(CUI_SCC_Chloride!X6,'Tables - Part 2'!$AX$5:$BA$5,0))+INDEX('Tables - Part 2'!$BB$6:$BE$13,MATCH(CUI_SCC_Chloride!$AH6,'Tables - Part 2'!$AV$6:$AV$13,0),MATCH(CUI_SCC_Chloride!$X6,'Tables - Part 2'!$AX$5:$BA$5,0)))/2))/2)/2,0)</f>
        <v>0</v>
      </c>
      <c r="AU6" s="248">
        <f>IF($W6=$AU$3,(INDEX('Tables - Part 2'!$AX$6:$BA$13,MATCH(CUI_SCC_Chloride!AH6,'Tables - Part 2'!$AV$6:$AV$13,0),MATCH(CUI_SCC_Chloride!X6,'Tables - Part 2'!$AX$5:$BA$5,0))+((INDEX('Tables - Part 2'!$AX$6:$BA$13,MATCH(CUI_SCC_Chloride!AH6,'Tables - Part 2'!$AV$6:$AV$13,0),MATCH(CUI_SCC_Chloride!X6,'Tables - Part 2'!$AX$5:$BA$5,0))+INDEX('Tables - Part 2'!$BB$6:$BE$13,MATCH(CUI_SCC_Chloride!$AH6,'Tables - Part 2'!$AV$6:$AV$13,0),MATCH(CUI_SCC_Chloride!$X6,'Tables - Part 2'!$AX$5:$BA$5,0)))/2))/2,0)</f>
        <v>0</v>
      </c>
      <c r="AV6" s="248">
        <f>IF($W6=$AV$3,(((INDEX('Tables - Part 2'!$AX$6:$BA$13,MATCH(CUI_SCC_Chloride!AH6,'Tables - Part 2'!$AV$6:$AV$13,0),MATCH(CUI_SCC_Chloride!X6,'Tables - Part 2'!$AX$5:$BA$5,0))+((INDEX('Tables - Part 2'!$AX$6:$BA$13,MATCH(CUI_SCC_Chloride!AH6,'Tables - Part 2'!$AV$6:$AV$13,0),MATCH(CUI_SCC_Chloride!X6,'Tables - Part 2'!$AX$5:$BA$5,0))+INDEX('Tables - Part 2'!$BB$6:$BE$13,MATCH(CUI_SCC_Chloride!$AH6,'Tables - Part 2'!$AV$6:$AV$13,0),MATCH(CUI_SCC_Chloride!$X6,'Tables - Part 2'!$AX$5:$BA$5,0)))/2))/2)+(INDEX('Tables - Part 2'!$AX$6:$BA$13,MATCH(CUI_SCC_Chloride!AH6,'Tables - Part 2'!$AV$6:$AV$13,0),MATCH(CUI_SCC_Chloride!X6,'Tables - Part 2'!$AX$5:$BA$5,0))+INDEX('Tables - Part 2'!$BB$6:$BE$13,MATCH(CUI_SCC_Chloride!$AH6,'Tables - Part 2'!$AV$6:$AV$13,0),MATCH(CUI_SCC_Chloride!$X6,'Tables - Part 2'!$AX$5:$BA$5,0)))/2)/2,0)</f>
        <v>0</v>
      </c>
      <c r="AW6" s="248">
        <f>IF($W6=$AW$3,(INDEX('Tables - Part 2'!$AX$6:$BA$13,MATCH(CUI_SCC_Chloride!AH6,'Tables - Part 2'!$AV$6:$AV$13,0),MATCH(CUI_SCC_Chloride!X6,'Tables - Part 2'!$AX$5:$BA$5,0))+INDEX('Tables - Part 2'!$BB$6:$BE$13,MATCH(CUI_SCC_Chloride!$AH6,'Tables - Part 2'!$AV$6:$AV$13,0),MATCH(CUI_SCC_Chloride!$X6,'Tables - Part 2'!$AX$5:$BA$5,0)))/2,0)</f>
        <v>0</v>
      </c>
      <c r="AX6" s="248">
        <f>IF($W6=$AX$3,(((INDEX('Tables - Part 2'!$AX$6:$BA$13,MATCH(CUI_SCC_Chloride!AH6,'Tables - Part 2'!$AV$6:$AV$13,0),MATCH(CUI_SCC_Chloride!X6,'Tables - Part 2'!$AX$5:$BA$5,0))+INDEX('Tables - Part 2'!$BB$6:$BE$13,MATCH(CUI_SCC_Chloride!$AH6,'Tables - Part 2'!$AV$6:$AV$13,0),MATCH(CUI_SCC_Chloride!$X6,'Tables - Part 2'!$AX$5:$BA$5,0)))/2)+(((INDEX('Tables - Part 2'!$AX$6:$BA$13,MATCH(CUI_SCC_Chloride!AH6,'Tables - Part 2'!$AV$6:$AV$13,0),MATCH(CUI_SCC_Chloride!X6,'Tables - Part 2'!$AX$5:$BA$5,0))+INDEX('Tables - Part 2'!$BB$6:$BE$13,MATCH(CUI_SCC_Chloride!$AH6,'Tables - Part 2'!$AV$6:$AV$13,0),MATCH(CUI_SCC_Chloride!$X6,'Tables - Part 2'!$AX$5:$BA$5,0)))/2)+INDEX('Tables - Part 2'!$BB$6:$BE$13,MATCH(CUI_SCC_Chloride!$AH6,'Tables - Part 2'!$AV$6:$AV$13,0),MATCH(CUI_SCC_Chloride!$X6,'Tables - Part 2'!$AX$5:$BA$5,0)))/2)/2,0)</f>
        <v>0</v>
      </c>
      <c r="AY6" s="248">
        <f>IF($W6=$AY$3,(((INDEX('Tables - Part 2'!$AX$6:$BA$13,MATCH(CUI_SCC_Chloride!AH6,'Tables - Part 2'!$AV$6:$AV$13,0),MATCH(CUI_SCC_Chloride!X6,'Tables - Part 2'!$AX$5:$BA$5,0))+INDEX('Tables - Part 2'!$BB$6:$BE$13,MATCH(CUI_SCC_Chloride!$AH6,'Tables - Part 2'!$AV$6:$AV$13,0),MATCH(CUI_SCC_Chloride!$X6,'Tables - Part 2'!$AX$5:$BA$5,0)))/2)+INDEX('Tables - Part 2'!$BB$6:$BE$13,MATCH(CUI_SCC_Chloride!$AH6,'Tables - Part 2'!$AV$6:$AV$13,0),MATCH(CUI_SCC_Chloride!$X6,'Tables - Part 2'!$AX$5:$BA$5,0)))/2,0)</f>
        <v>0</v>
      </c>
      <c r="AZ6" s="248">
        <f>IF($W6=$AZ$3,(((((INDEX('Tables - Part 2'!$AX$6:$BA$13,MATCH(CUI_SCC_Chloride!AH6,'Tables - Part 2'!$AV$6:$AV$13,0),MATCH(CUI_SCC_Chloride!X6,'Tables - Part 2'!$AX$5:$BA$5,0))+INDEX('Tables - Part 2'!$BB$6:$BE$13,MATCH(CUI_SCC_Chloride!$AH6,'Tables - Part 2'!$AV$6:$AV$13,0),MATCH(CUI_SCC_Chloride!$X6,'Tables - Part 2'!$AX$5:$BA$5,0)))/2)+INDEX('Tables - Part 2'!$BB$6:$BE$13,MATCH(CUI_SCC_Chloride!$AH6,'Tables - Part 2'!$AV$6:$AV$13,0),MATCH(CUI_SCC_Chloride!$X6,'Tables - Part 2'!$AX$5:$BA$5,0)))/2)+INDEX('Tables - Part 2'!$BB$6:$BE$13,MATCH(CUI_SCC_Chloride!$AH6,'Tables - Part 2'!$AV$6:$AV$13,0),MATCH(CUI_SCC_Chloride!$X6,'Tables - Part 2'!$AX$5:$BA$5,0)))/2,0)</f>
        <v>0</v>
      </c>
      <c r="BA6" s="248">
        <f>IF($W6=$BA$3,INDEX('Tables - Part 2'!$BB$6:$BE$13,MATCH(CUI_SCC_Chloride!$AH6,'Tables - Part 2'!$AV$6:$AV$13,0),MATCH(CUI_SCC_Chloride!$X6,'Tables - Part 2'!$AX$5:$BA$5,0)),0)</f>
        <v>0</v>
      </c>
      <c r="BB6" s="248">
        <f>IF($W6=$BB$3,((INDEX('Tables - Part 2'!$BB$6:$BE$13,MATCH(CUI_SCC_Chloride!$AH6,'Tables - Part 2'!$AV$6:$AV$13,0),MATCH(CUI_SCC_Chloride!$X6,'Tables - Part 2'!$AX$5:$BA$5,0)))+(INDEX('Tables - Part 2'!$BB$6:$BE$13,MATCH(CUI_SCC_Chloride!$AH6,'Tables - Part 2'!$AV$6:$AV$13,0),MATCH(CUI_SCC_Chloride!$X6,'Tables - Part 2'!$AX$5:$BA$5,0))+(INDEX('Tables - Part 2'!$BB$6:$BE$13,MATCH(CUI_SCC_Chloride!$AH6,'Tables - Part 2'!$AV$6:$AV$13,0),MATCH(CUI_SCC_Chloride!$X6,'Tables - Part 2'!$AX$5:$BA$5,0))+INDEX('Tables - Part 2'!$BF$6:$BI$13,MATCH(CUI_SCC_Chloride!$AH6,'Tables - Part 2'!$AV$6:$AV$13,0),MATCH(CUI_SCC_Chloride!$X6,'Tables - Part 2'!$AX$5:$BA$5,0)))/2)/2)/2,0)</f>
        <v>0</v>
      </c>
      <c r="BC6" s="248">
        <f>IF($W6=$BC$3,(INDEX('Tables - Part 2'!$BB$6:$BE$13,MATCH(CUI_SCC_Chloride!$AH6,'Tables - Part 2'!$AV$6:$AV$13,0),MATCH(CUI_SCC_Chloride!$X6,'Tables - Part 2'!$AX$5:$BA$5,0))+(INDEX('Tables - Part 2'!$BB$6:$BE$13,MATCH(CUI_SCC_Chloride!$AH6,'Tables - Part 2'!$AV$6:$AV$13,0),MATCH(CUI_SCC_Chloride!$X6,'Tables - Part 2'!$AX$5:$BA$5,0))+INDEX('Tables - Part 2'!$BF$6:$BI$13,MATCH(CUI_SCC_Chloride!$AH6,'Tables - Part 2'!$AV$6:$AV$13,0),MATCH(CUI_SCC_Chloride!$X6,'Tables - Part 2'!$AX$5:$BA$5,0)))/2)/2,0)</f>
        <v>0</v>
      </c>
      <c r="BD6" s="248">
        <f>IF($W6=$BD$3,(((INDEX('Tables - Part 2'!$BB$6:$BE$13,MATCH(CUI_SCC_Chloride!$AH6,'Tables - Part 2'!$AV$6:$AV$13,0),MATCH(CUI_SCC_Chloride!$X6,'Tables - Part 2'!$AX$5:$BA$5,0))+(INDEX('Tables - Part 2'!$BB$6:$BE$13,MATCH(CUI_SCC_Chloride!$AH6,'Tables - Part 2'!$AV$6:$AV$13,0),MATCH(CUI_SCC_Chloride!$X6,'Tables - Part 2'!$AX$5:$BA$5,0))+INDEX('Tables - Part 2'!$BF$6:$BI$13,MATCH(CUI_SCC_Chloride!$AH6,'Tables - Part 2'!$AV$6:$AV$13,0),MATCH(CUI_SCC_Chloride!$X6,'Tables - Part 2'!$AX$5:$BA$5,0)))/2)/2)+((INDEX('Tables - Part 2'!$BB$6:$BE$13,MATCH(CUI_SCC_Chloride!$AH6,'Tables - Part 2'!$AV$6:$AV$13,0),MATCH(CUI_SCC_Chloride!$X6,'Tables - Part 2'!$AX$5:$BA$5,0))+INDEX('Tables - Part 2'!$BF$6:$BI$13,MATCH(CUI_SCC_Chloride!$AH6,'Tables - Part 2'!$AV$6:$AV$13,0),MATCH(CUI_SCC_Chloride!$X6,'Tables - Part 2'!$AX$5:$BA$5,0)))/2))/2,0)</f>
        <v>0</v>
      </c>
      <c r="BE6" s="248">
        <f>IF($W6=$BE$3,(INDEX('Tables - Part 2'!$BB$6:$BE$13,MATCH(CUI_SCC_Chloride!$AH6,'Tables - Part 2'!$AV$6:$AV$13,0),MATCH(CUI_SCC_Chloride!$X6,'Tables - Part 2'!$AX$5:$BA$5,0))+INDEX('Tables - Part 2'!$BF$6:$BI$13,MATCH(CUI_SCC_Chloride!$AH6,'Tables - Part 2'!$AV$6:$AV$13,0),MATCH(CUI_SCC_Chloride!$X6,'Tables - Part 2'!$AX$5:$BA$5,0)))/2,0)</f>
        <v>0</v>
      </c>
      <c r="BF6" s="248">
        <f>IF($W6=$BF$3,(((INDEX('Tables - Part 2'!$BB$6:$BE$13,MATCH(CUI_SCC_Chloride!$AH6,'Tables - Part 2'!$AV$6:$AV$13,0),MATCH(CUI_SCC_Chloride!$X6,'Tables - Part 2'!$AX$5:$BA$5,0))+INDEX('Tables - Part 2'!$BF$6:$BI$13,MATCH(CUI_SCC_Chloride!$AH6,'Tables - Part 2'!$AV$6:$AV$13,0),MATCH(CUI_SCC_Chloride!$X6,'Tables - Part 2'!$AX$5:$BA$5,0)))/2)+((((INDEX('Tables - Part 2'!$BB$6:$BE$13,MATCH(CUI_SCC_Chloride!$AH6,'Tables - Part 2'!$AV$6:$AV$13,0),MATCH(CUI_SCC_Chloride!$X6,'Tables - Part 2'!$AX$5:$BA$5,0))+INDEX('Tables - Part 2'!$BF$6:$BI$13,MATCH(CUI_SCC_Chloride!$AH6,'Tables - Part 2'!$AV$6:$AV$13,0),MATCH(CUI_SCC_Chloride!$X6,'Tables - Part 2'!$AX$5:$BA$5,0)))/2)+INDEX('Tables - Part 2'!$BF$6:$BI$13,MATCH(CUI_SCC_Chloride!$AH6,'Tables - Part 2'!$AV$6:$AV$13,0),MATCH(CUI_SCC_Chloride!$X6,'Tables - Part 2'!$AX$5:$BA$5,0)))/2))/2,0)</f>
        <v>0</v>
      </c>
      <c r="BG6" s="248">
        <f>IF($W6=$BG$3,(((INDEX('Tables - Part 2'!$BB$6:$BE$13,MATCH(CUI_SCC_Chloride!$AH6,'Tables - Part 2'!$AV$6:$AV$13,0),MATCH(CUI_SCC_Chloride!$X6,'Tables - Part 2'!$AX$5:$BA$5,0))+INDEX('Tables - Part 2'!$BF$6:$BI$13,MATCH(CUI_SCC_Chloride!$AH6,'Tables - Part 2'!$AV$6:$AV$13,0),MATCH(CUI_SCC_Chloride!$X6,'Tables - Part 2'!$AX$5:$BA$5,0)))/2)+INDEX('Tables - Part 2'!$BF$6:$BI$13,MATCH(CUI_SCC_Chloride!$AH6,'Tables - Part 2'!$AV$6:$AV$13,0),MATCH(CUI_SCC_Chloride!$X6,'Tables - Part 2'!$AX$5:$BA$5,0)))/2,0)</f>
        <v>0</v>
      </c>
      <c r="BH6" s="248">
        <f>IF($W6=$BH$3,(((((INDEX('Tables - Part 2'!$BB$6:$BE$13,MATCH(CUI_SCC_Chloride!$AH6,'Tables - Part 2'!$AV$6:$AV$13,0),MATCH(CUI_SCC_Chloride!$X6,'Tables - Part 2'!$AX$5:$BA$5,0))+INDEX('Tables - Part 2'!$BF$6:$BI$13,MATCH(CUI_SCC_Chloride!$AH6,'Tables - Part 2'!$AV$6:$AV$13,0),MATCH(CUI_SCC_Chloride!$X6,'Tables - Part 2'!$AX$5:$BA$5,0)))/2)+INDEX('Tables - Part 2'!$BF$6:$BI$13,MATCH(CUI_SCC_Chloride!$AH6,'Tables - Part 2'!$AV$6:$AV$13,0),MATCH(CUI_SCC_Chloride!$X6,'Tables - Part 2'!$AX$5:$BA$5,0)))/2)+INDEX('Tables - Part 2'!$BF$6:$BI$13,MATCH(CUI_SCC_Chloride!$AH6,'Tables - Part 2'!$AV$6:$AV$13,0),MATCH(CUI_SCC_Chloride!$X6,'Tables - Part 2'!$AX$5:$BA$5,0)))/2,0)</f>
        <v>0</v>
      </c>
      <c r="BI6" s="248">
        <f>IF($W6=$BI$3,INDEX('Tables - Part 2'!$BF$6:$BI$13,MATCH(CUI_SCC_Chloride!$AH6,'Tables - Part 2'!$AV$6:$AV$13,0),MATCH(CUI_SCC_Chloride!$X6,'Tables - Part 2'!$AX$5:$BA$5,0)),0)</f>
        <v>0</v>
      </c>
      <c r="BJ6" s="248">
        <f>IF($W6=$BJ$3,(INDEX('Tables - Part 2'!$BF$6:$BI$13,MATCH(CUI_SCC_Chloride!$AH6,'Tables - Part 2'!$AV$6:$AV$13,0),MATCH(CUI_SCC_Chloride!$X6,'Tables - Part 2'!$AX$5:$BA$5,0))+((INDEX('Tables - Part 2'!$BF$6:$BI$13,MATCH(CUI_SCC_Chloride!$AH6,'Tables - Part 2'!$AV$6:$AV$13,0),MATCH(CUI_SCC_Chloride!$X6,'Tables - Part 2'!$AX$5:$BA$5,0))+(INDEX('Tables - Part 2'!$BF$6:$BI$13,MATCH(CUI_SCC_Chloride!$AH6,'Tables - Part 2'!$AV$6:$AV$13,0),MATCH(CUI_SCC_Chloride!$X6,'Tables - Part 2'!$AX$5:$BA$5,0))+INDEX('Tables - Part 2'!$AX$17:$BA$24,MATCH(CUI_SCC_Chloride!$AH6,'Tables - Part 2'!$AV$6:$AV$13,0),MATCH(CUI_SCC_Chloride!$X6,'Tables - Part 2'!$AX$5:$BA$5,0)))/2)/2))/2,0)</f>
        <v>0</v>
      </c>
      <c r="BK6" s="248">
        <f>IF($W6=$BK$3,(INDEX('Tables - Part 2'!$BF$6:$BI$13,MATCH(CUI_SCC_Chloride!$AH6,'Tables - Part 2'!$AV$6:$AV$13,0),MATCH(CUI_SCC_Chloride!$X6,'Tables - Part 2'!$AX$5:$BA$5,0))+(INDEX('Tables - Part 2'!$BF$6:$BI$13,MATCH(CUI_SCC_Chloride!$AH6,'Tables - Part 2'!$AV$6:$AV$13,0),MATCH(CUI_SCC_Chloride!$X6,'Tables - Part 2'!$AX$5:$BA$5,0))+INDEX('Tables - Part 2'!$AX$17:$BA$24,MATCH(CUI_SCC_Chloride!$AH6,'Tables - Part 2'!$AV$6:$AV$13,0),MATCH(CUI_SCC_Chloride!$X6,'Tables - Part 2'!$AX$5:$BA$5,0)))/2)/2,0)</f>
        <v>0</v>
      </c>
      <c r="BL6" s="248">
        <f>IF($W6=$BL$3,(((INDEX('Tables - Part 2'!$BF$6:$BI$13,MATCH(CUI_SCC_Chloride!$AH6,'Tables - Part 2'!$AV$6:$AV$13,0),MATCH(CUI_SCC_Chloride!$X6,'Tables - Part 2'!$AX$5:$BA$5,0))+(INDEX('Tables - Part 2'!$BF$6:$BI$13,MATCH(CUI_SCC_Chloride!$AH6,'Tables - Part 2'!$AV$6:$AV$13,0),MATCH(CUI_SCC_Chloride!$X6,'Tables - Part 2'!$AX$5:$BA$5,0))+INDEX('Tables - Part 2'!$AX$17:$BA$24,MATCH(CUI_SCC_Chloride!$AH6,'Tables - Part 2'!$AV$6:$AV$13,0),MATCH(CUI_SCC_Chloride!$X6,'Tables - Part 2'!$AX$5:$BA$5,0)))/2)/2)+((INDEX('Tables - Part 2'!$BF$6:$BI$13,MATCH(CUI_SCC_Chloride!$AH6,'Tables - Part 2'!$AV$6:$AV$13,0),MATCH(CUI_SCC_Chloride!$X6,'Tables - Part 2'!$AX$5:$BA$5,0))+INDEX('Tables - Part 2'!$AX$17:$BA$24,MATCH(CUI_SCC_Chloride!$AH6,'Tables - Part 2'!$AV$6:$AV$13,0),MATCH(CUI_SCC_Chloride!$X6,'Tables - Part 2'!$AX$5:$BA$5,0)))/2))/2,0)</f>
        <v>0</v>
      </c>
      <c r="BM6" s="248">
        <f>IF($W6=$BM$3,(INDEX('Tables - Part 2'!$BF$6:$BI$13,MATCH(CUI_SCC_Chloride!$AH6,'Tables - Part 2'!$AV$6:$AV$13,0),MATCH(CUI_SCC_Chloride!$X6,'Tables - Part 2'!$AX$5:$BA$5,0))+INDEX('Tables - Part 2'!$AX$17:$BA$24,MATCH(CUI_SCC_Chloride!$AH6,'Tables - Part 2'!$AV$6:$AV$13,0),MATCH(CUI_SCC_Chloride!$X6,'Tables - Part 2'!$AX$5:$BA$5,0)))/2,0)</f>
        <v>0</v>
      </c>
      <c r="BN6" s="248">
        <f>IF($W6=$BN$3,(((INDEX('Tables - Part 2'!$BF$6:$BI$13,MATCH(CUI_SCC_Chloride!$AH6,'Tables - Part 2'!$AV$6:$AV$13,0),MATCH(CUI_SCC_Chloride!$X6,'Tables - Part 2'!$AX$5:$BA$5,0))+INDEX('Tables - Part 2'!$AX$17:$BA$24,MATCH(CUI_SCC_Chloride!$AH6,'Tables - Part 2'!$AV$6:$AV$13,0),MATCH(CUI_SCC_Chloride!$X6,'Tables - Part 2'!$AX$5:$BA$5,0)))/2)+((((INDEX('Tables - Part 2'!$BF$6:$BI$13,MATCH(CUI_SCC_Chloride!$AH6,'Tables - Part 2'!$AV$6:$AV$13,0),MATCH(CUI_SCC_Chloride!$X6,'Tables - Part 2'!$AX$5:$BA$5,0))+INDEX('Tables - Part 2'!$AX$17:$BA$24,MATCH(CUI_SCC_Chloride!$AH6,'Tables - Part 2'!$AV$6:$AV$13,0),MATCH(CUI_SCC_Chloride!$X6,'Tables - Part 2'!$AX$5:$BA$5,0)))/2)+INDEX('Tables - Part 2'!$AX$17:$BA$24,MATCH(CUI_SCC_Chloride!$AH6,'Tables - Part 2'!$AV$6:$AV$13,0),MATCH(CUI_SCC_Chloride!$X6,'Tables - Part 2'!$AX$5:$BA$5,0)))/2))/2,0)</f>
        <v>0</v>
      </c>
      <c r="BO6" s="248">
        <f>IF($W6=$BO$3,(((INDEX('Tables - Part 2'!$BF$6:$BI$13,MATCH(CUI_SCC_Chloride!$AH6,'Tables - Part 2'!$AV$6:$AV$13,0),MATCH(CUI_SCC_Chloride!$X6,'Tables - Part 2'!$AX$5:$BA$5,0))+INDEX('Tables - Part 2'!$AX$17:$BA$24,MATCH(CUI_SCC_Chloride!$AH6,'Tables - Part 2'!$AV$6:$AV$13,0),MATCH(CUI_SCC_Chloride!$X6,'Tables - Part 2'!$AX$5:$BA$5,0)))/2)+INDEX('Tables - Part 2'!$AX$17:$BA$24,MATCH(CUI_SCC_Chloride!$AH6,'Tables - Part 2'!$AV$6:$AV$13,0),MATCH(CUI_SCC_Chloride!$X6,'Tables - Part 2'!$AX$5:$BA$5,0)))/2,0)</f>
        <v>0</v>
      </c>
      <c r="BP6" s="248">
        <f>IF($W6=$BP$3,(((((INDEX('Tables - Part 2'!$BF$6:$BI$13,MATCH(CUI_SCC_Chloride!$AH6,'Tables - Part 2'!$AV$6:$AV$13,0),MATCH(CUI_SCC_Chloride!$X6,'Tables - Part 2'!$AX$5:$BA$5,0))+INDEX('Tables - Part 2'!$AX$17:$BA$24,MATCH(CUI_SCC_Chloride!$AH6,'Tables - Part 2'!$AV$6:$AV$13,0),MATCH(CUI_SCC_Chloride!$X6,'Tables - Part 2'!$AX$5:$BA$5,0)))/2)+INDEX('Tables - Part 2'!$AX$17:$BA$24,MATCH(CUI_SCC_Chloride!$AH6,'Tables - Part 2'!$AV$6:$AV$13,0),MATCH(CUI_SCC_Chloride!$X6,'Tables - Part 2'!$AX$5:$BA$5,0)))/2)+(INDEX('Tables - Part 2'!$AX$17:$BA$24,MATCH(CUI_SCC_Chloride!$AH6,'Tables - Part 2'!$AV$6:$AV$13,0),MATCH(CUI_SCC_Chloride!$X6,'Tables - Part 2'!$AX$5:$BA$5,0))))/2,0)</f>
        <v>0</v>
      </c>
      <c r="BQ6" s="248">
        <f>IF($W6=$BQ$3,INDEX('Tables - Part 2'!$AX$17:$BA$24,MATCH(CUI_SCC_Chloride!$AH6,'Tables - Part 2'!$AV$6:$AV$13,0),MATCH(CUI_SCC_Chloride!$X6,'Tables - Part 2'!$AX$5:$BA$5,0)),0)</f>
        <v>0</v>
      </c>
      <c r="BR6" s="248">
        <f>IF($W6=$BR$3,((INDEX('Tables - Part 2'!$AX$17:$BA$24,MATCH(CUI_SCC_Chloride!$AH6,'Tables - Part 2'!$AV$6:$AV$13,0),MATCH(CUI_SCC_Chloride!$X6,'Tables - Part 2'!$AX$5:$BA$5,0)))+(((INDEX('Tables - Part 2'!$AX$17:$BA$24,MATCH(CUI_SCC_Chloride!$AH6,'Tables - Part 2'!$AV$6:$AV$13,0),MATCH(CUI_SCC_Chloride!$X6,'Tables - Part 2'!$AX$5:$BA$5,0)))+(INDEX('Tables - Part 2'!$AX$17:$BA$24,MATCH(CUI_SCC_Chloride!$AH6,'Tables - Part 2'!$AV$6:$AV$13,0),MATCH(CUI_SCC_Chloride!$X6,'Tables - Part 2'!$AX$5:$BA$5,0))+INDEX('Tables - Part 2'!$BB$17:$BE$24,MATCH(CUI_SCC_Chloride!$AH6,'Tables - Part 2'!$AV$6:$AV$13,0),MATCH(CUI_SCC_Chloride!$X6,'Tables - Part 2'!$AX$5:$BA$5,0)))/2)/2))/2,0)</f>
        <v>0</v>
      </c>
      <c r="BS6" s="248">
        <f>IF($W6=$BS$3,((INDEX('Tables - Part 2'!$AX$17:$BA$24,MATCH(CUI_SCC_Chloride!$AH6,'Tables - Part 2'!$AV$6:$AV$13,0),MATCH(CUI_SCC_Chloride!$X6,'Tables - Part 2'!$AX$5:$BA$5,0)))+(INDEX('Tables - Part 2'!$AX$17:$BA$24,MATCH(CUI_SCC_Chloride!$AH6,'Tables - Part 2'!$AV$6:$AV$13,0),MATCH(CUI_SCC_Chloride!$X6,'Tables - Part 2'!$AX$5:$BA$5,0))+INDEX('Tables - Part 2'!$BB$17:$BE$24,MATCH(CUI_SCC_Chloride!$AH6,'Tables - Part 2'!$AV$6:$AV$13,0),MATCH(CUI_SCC_Chloride!$X6,'Tables - Part 2'!$AX$5:$BA$5,0)))/2)/2,0)</f>
        <v>0</v>
      </c>
      <c r="BT6" s="248">
        <f>IF($W6=$BT$3,((((INDEX('Tables - Part 2'!$AX$17:$BA$24,MATCH(CUI_SCC_Chloride!$AH6,'Tables - Part 2'!$AV$6:$AV$13,0),MATCH(CUI_SCC_Chloride!$X6,'Tables - Part 2'!$AX$5:$BA$5,0)))+(INDEX('Tables - Part 2'!$AX$17:$BA$24,MATCH(CUI_SCC_Chloride!$AH6,'Tables - Part 2'!$AV$6:$AV$13,0),MATCH(CUI_SCC_Chloride!$X6,'Tables - Part 2'!$AX$5:$BA$5,0))+INDEX('Tables - Part 2'!$BB$17:$BE$24,MATCH(CUI_SCC_Chloride!$AH6,'Tables - Part 2'!$AV$6:$AV$13,0),MATCH(CUI_SCC_Chloride!$X6,'Tables - Part 2'!$AX$5:$BA$5,0)))/2)/2)+((INDEX('Tables - Part 2'!$AX$17:$BA$24,MATCH(CUI_SCC_Chloride!$AH6,'Tables - Part 2'!$AV$6:$AV$13,0),MATCH(CUI_SCC_Chloride!$X6,'Tables - Part 2'!$AX$5:$BA$5,0))+INDEX('Tables - Part 2'!$BB$17:$BE$24,MATCH(CUI_SCC_Chloride!$AH6,'Tables - Part 2'!$AV$6:$AV$13,0),MATCH(CUI_SCC_Chloride!$X6,'Tables - Part 2'!$AX$5:$BA$5,0)))/2))/2,0)</f>
        <v>0</v>
      </c>
      <c r="BU6" s="248">
        <f>IF($W6=$BU$3,(INDEX('Tables - Part 2'!$AX$17:$BA$24,MATCH(CUI_SCC_Chloride!$AH6,'Tables - Part 2'!$AV$6:$AV$13,0),MATCH(CUI_SCC_Chloride!$X6,'Tables - Part 2'!$AX$5:$BA$5,0))+INDEX('Tables - Part 2'!$BB$17:$BE$24,MATCH(CUI_SCC_Chloride!$AH6,'Tables - Part 2'!$AV$6:$AV$13,0),MATCH(CUI_SCC_Chloride!$X6,'Tables - Part 2'!$AX$5:$BA$5,0)))/2,0)</f>
        <v>0</v>
      </c>
      <c r="BV6" s="248">
        <f>IF($W6=$BV$3,(((INDEX('Tables - Part 2'!$AX$17:$BA$24,MATCH(CUI_SCC_Chloride!$AH6,'Tables - Part 2'!$AV$6:$AV$13,0),MATCH(CUI_SCC_Chloride!$X6,'Tables - Part 2'!$AX$5:$BA$5,0))+INDEX('Tables - Part 2'!$BB$17:$BE$24,MATCH(CUI_SCC_Chloride!$AH6,'Tables - Part 2'!$AV$6:$AV$13,0),MATCH(CUI_SCC_Chloride!$X6,'Tables - Part 2'!$AX$5:$BA$5,0)))/2)+((((INDEX('Tables - Part 2'!$AX$17:$BA$24,MATCH(CUI_SCC_Chloride!$AH6,'Tables - Part 2'!$AV$6:$AV$13,0),MATCH(CUI_SCC_Chloride!$X6,'Tables - Part 2'!$AX$5:$BA$5,0))+INDEX('Tables - Part 2'!$BB$17:$BE$24,MATCH(CUI_SCC_Chloride!$AH6,'Tables - Part 2'!$AV$6:$AV$13,0),MATCH(CUI_SCC_Chloride!$X6,'Tables - Part 2'!$AX$5:$BA$5,0)))/2)+INDEX('Tables - Part 2'!$BB$17:$BE$24,MATCH(CUI_SCC_Chloride!$AH6,'Tables - Part 2'!$AV$6:$AV$13,0),MATCH(CUI_SCC_Chloride!$X6,'Tables - Part 2'!$AX$5:$BA$5,0)))/2))/2,0)</f>
        <v>0</v>
      </c>
      <c r="BW6" s="248">
        <f>IF($W6=$BW$3,(((INDEX('Tables - Part 2'!$AX$17:$BA$24,MATCH(CUI_SCC_Chloride!$AH6,'Tables - Part 2'!$AV$6:$AV$13,0),MATCH(CUI_SCC_Chloride!$X6,'Tables - Part 2'!$AX$5:$BA$5,0))+INDEX('Tables - Part 2'!$BB$17:$BE$24,MATCH(CUI_SCC_Chloride!$AH6,'Tables - Part 2'!$AV$6:$AV$13,0),MATCH(CUI_SCC_Chloride!$X6,'Tables - Part 2'!$AX$5:$BA$5,0)))/2)+INDEX('Tables - Part 2'!$BB$17:$BE$24,MATCH(CUI_SCC_Chloride!$AH6,'Tables - Part 2'!$AV$6:$AV$13,0),MATCH(CUI_SCC_Chloride!$X6,'Tables - Part 2'!$AX$5:$BA$5,0)))/2,0)</f>
        <v>0</v>
      </c>
      <c r="BX6" s="248">
        <f>IF($W6=$BX$3,(((((INDEX('Tables - Part 2'!$AX$17:$BA$24,MATCH(CUI_SCC_Chloride!$AH6,'Tables - Part 2'!$AV$6:$AV$13,0),MATCH(CUI_SCC_Chloride!$X6,'Tables - Part 2'!$AX$5:$BA$5,0))+INDEX('Tables - Part 2'!$BB$17:$BE$24,MATCH(CUI_SCC_Chloride!$AH6,'Tables - Part 2'!$AV$6:$AV$13,0),MATCH(CUI_SCC_Chloride!$X6,'Tables - Part 2'!$AX$5:$BA$5,0)))/2)+INDEX('Tables - Part 2'!$BB$17:$BE$24,MATCH(CUI_SCC_Chloride!$AH6,'Tables - Part 2'!$AV$6:$AV$13,0),MATCH(CUI_SCC_Chloride!$X6,'Tables - Part 2'!$AX$5:$BA$5,0)))/2)+(INDEX('Tables - Part 2'!$BB$17:$BE$24,MATCH(CUI_SCC_Chloride!$AH6,'Tables - Part 2'!$AV$6:$AV$13,0),MATCH(CUI_SCC_Chloride!$X6,'Tables - Part 2'!$AX$5:$BA$5,0))))/2,0)</f>
        <v>0</v>
      </c>
      <c r="BY6" s="248">
        <f>IF($W6=$BY$3,INDEX('Tables - Part 2'!$BB$17:$BE$24,MATCH(CUI_SCC_Chloride!$AH6,'Tables - Part 2'!$AV$6:$AV$13,0),MATCH(CUI_SCC_Chloride!$X6,'Tables - Part 2'!$AX$5:$BA$5,0)),0)</f>
        <v>0</v>
      </c>
      <c r="BZ6" s="248">
        <f>IF($W6=$BZ$3,((INDEX('Tables - Part 2'!$BB$17:$BE$24,MATCH(CUI_SCC_Chloride!$AH6,'Tables - Part 2'!$AV$6:$AV$13,0),MATCH(CUI_SCC_Chloride!$X6,'Tables - Part 2'!$AX$5:$BA$5,0)))+(((INDEX('Tables - Part 2'!$BB$17:$BE$24,MATCH(CUI_SCC_Chloride!$AH6,'Tables - Part 2'!$AV$6:$AV$13,0),MATCH(CUI_SCC_Chloride!$X6,'Tables - Part 2'!$AX$5:$BA$5,0)))+(INDEX('Tables - Part 2'!$BB$17:$BE$24,MATCH(CUI_SCC_Chloride!$AH6,'Tables - Part 2'!$AV$6:$AV$13,0),MATCH(CUI_SCC_Chloride!$X6,'Tables - Part 2'!$AX$5:$BA$5,0))+INDEX('Tables - Part 2'!$BF$17:$BI$24,MATCH(CUI_SCC_Chloride!$AH6,'Tables - Part 2'!$AV$6:$AV$13,0),MATCH(CUI_SCC_Chloride!$X6,'Tables - Part 2'!$AX$5:$BA$5,0)))/2)/2))/2,0)</f>
        <v>0</v>
      </c>
      <c r="CA6" s="248">
        <f>IF($W6=$CA$3,((INDEX('Tables - Part 2'!$BB$17:$BE$24,MATCH(CUI_SCC_Chloride!$AH6,'Tables - Part 2'!$AV$6:$AV$13,0),MATCH(CUI_SCC_Chloride!$X6,'Tables - Part 2'!$AX$5:$BA$5,0)))+(INDEX('Tables - Part 2'!$BB$17:$BE$24,MATCH(CUI_SCC_Chloride!$AH6,'Tables - Part 2'!$AV$6:$AV$13,0),MATCH(CUI_SCC_Chloride!$X6,'Tables - Part 2'!$AX$5:$BA$5,0))+INDEX('Tables - Part 2'!$BF$17:$BI$24,MATCH(CUI_SCC_Chloride!$AH6,'Tables - Part 2'!$AV$6:$AV$13,0),MATCH(CUI_SCC_Chloride!$X6,'Tables - Part 2'!$AX$5:$BA$5,0)))/2)/2,0)</f>
        <v>0</v>
      </c>
      <c r="CB6" s="248">
        <f>IF($W6=$CB$3,((((INDEX('Tables - Part 2'!$BB$17:$BE$24,MATCH(CUI_SCC_Chloride!$AH6,'Tables - Part 2'!$AV$6:$AV$13,0),MATCH(CUI_SCC_Chloride!$X6,'Tables - Part 2'!$AX$5:$BA$5,0)))+(INDEX('Tables - Part 2'!$BB$17:$BE$24,MATCH(CUI_SCC_Chloride!$AH6,'Tables - Part 2'!$AV$6:$AV$13,0),MATCH(CUI_SCC_Chloride!$X6,'Tables - Part 2'!$AX$5:$BA$5,0))+INDEX('Tables - Part 2'!$BF$17:$BI$24,MATCH(CUI_SCC_Chloride!$AH6,'Tables - Part 2'!$AV$6:$AV$13,0),MATCH(CUI_SCC_Chloride!$X6,'Tables - Part 2'!$AX$5:$BA$5,0)))/2)/2)+((INDEX('Tables - Part 2'!$BB$17:$BE$24,MATCH(CUI_SCC_Chloride!$AH6,'Tables - Part 2'!$AV$6:$AV$13,0),MATCH(CUI_SCC_Chloride!$X6,'Tables - Part 2'!$AX$5:$BA$5,0))+INDEX('Tables - Part 2'!$BF$17:$BI$24,MATCH(CUI_SCC_Chloride!$AH6,'Tables - Part 2'!$AV$6:$AV$13,0),MATCH(CUI_SCC_Chloride!$X6,'Tables - Part 2'!$AX$5:$BA$5,0)))/2))/2,0)</f>
        <v>0</v>
      </c>
      <c r="CC6" s="248">
        <f>IF($W6=$CC$3,(INDEX('Tables - Part 2'!$BB$17:$BE$24,MATCH(CUI_SCC_Chloride!$AH6,'Tables - Part 2'!$AV$6:$AV$13,0),MATCH(CUI_SCC_Chloride!$X6,'Tables - Part 2'!$AX$5:$BA$5,0))+INDEX('Tables - Part 2'!$BF$17:$BI$24,MATCH(CUI_SCC_Chloride!$AH6,'Tables - Part 2'!$AV$6:$AV$13,0),MATCH(CUI_SCC_Chloride!$X6,'Tables - Part 2'!$AX$5:$BA$5,0)))/2,0)</f>
        <v>0</v>
      </c>
      <c r="CD6" s="248">
        <f>IF($W6=$CD$3,(((INDEX('Tables - Part 2'!$BB$17:$BE$24,MATCH(CUI_SCC_Chloride!$AH6,'Tables - Part 2'!$AV$6:$AV$13,0),MATCH(CUI_SCC_Chloride!$X6,'Tables - Part 2'!$AX$5:$BA$5,0))+INDEX('Tables - Part 2'!$BF$17:$BI$24,MATCH(CUI_SCC_Chloride!$AH6,'Tables - Part 2'!$AV$6:$AV$13,0),MATCH(CUI_SCC_Chloride!$X6,'Tables - Part 2'!$AX$5:$BA$5,0)))/2)+((((INDEX('Tables - Part 2'!$BB$17:$BE$24,MATCH(CUI_SCC_Chloride!$AH6,'Tables - Part 2'!$AV$6:$AV$13,0),MATCH(CUI_SCC_Chloride!$X6,'Tables - Part 2'!$AX$5:$BA$5,0))+INDEX('Tables - Part 2'!$BF$17:$BI$24,MATCH(CUI_SCC_Chloride!$AH6,'Tables - Part 2'!$AV$6:$AV$13,0),MATCH(CUI_SCC_Chloride!$X6,'Tables - Part 2'!$AX$5:$BA$5,0)))/2)+INDEX('Tables - Part 2'!$BF$17:$BI$24,MATCH(CUI_SCC_Chloride!$AH6,'Tables - Part 2'!$AV$6:$AV$13,0),MATCH(CUI_SCC_Chloride!$X6,'Tables - Part 2'!$AX$5:$BA$5,0)))/2))/2,0)</f>
        <v>0</v>
      </c>
      <c r="CE6" s="248">
        <f>IF($W6=$CE$3,(((INDEX('Tables - Part 2'!$BB$17:$BE$24,MATCH(CUI_SCC_Chloride!$AH6,'Tables - Part 2'!$AV$6:$AV$13,0),MATCH(CUI_SCC_Chloride!$X6,'Tables - Part 2'!$AX$5:$BA$5,0))+INDEX('Tables - Part 2'!$BF$17:$BI$24,MATCH(CUI_SCC_Chloride!$AH6,'Tables - Part 2'!$AV$6:$AV$13,0),MATCH(CUI_SCC_Chloride!$X6,'Tables - Part 2'!$AX$5:$BA$5,0)))/2)+INDEX('Tables - Part 2'!$BF$17:$BI$24,MATCH(CUI_SCC_Chloride!$AH6,'Tables - Part 2'!$AV$6:$AV$13,0),MATCH(CUI_SCC_Chloride!$X6,'Tables - Part 2'!$AX$5:$BA$5,0)))/2,0)</f>
        <v>0</v>
      </c>
      <c r="CF6" s="248">
        <f>IF($W6=$CF$3,(((((INDEX('Tables - Part 2'!$BB$17:$BE$24,MATCH(CUI_SCC_Chloride!$AH6,'Tables - Part 2'!$AV$6:$AV$13,0),MATCH(CUI_SCC_Chloride!$X6,'Tables - Part 2'!$AX$5:$BA$5,0))+INDEX('Tables - Part 2'!$BF$17:$BI$24,MATCH(CUI_SCC_Chloride!$AH6,'Tables - Part 2'!$AV$6:$AV$13,0),MATCH(CUI_SCC_Chloride!$X6,'Tables - Part 2'!$AX$5:$BA$5,0)))/2)+INDEX('Tables - Part 2'!$BF$17:$BI$24,MATCH(CUI_SCC_Chloride!$AH6,'Tables - Part 2'!$AV$6:$AV$13,0),MATCH(CUI_SCC_Chloride!$X6,'Tables - Part 2'!$AX$5:$BA$5,0)))/2)+(INDEX('Tables - Part 2'!$BF$17:$BI$24,MATCH(CUI_SCC_Chloride!$AH6,'Tables - Part 2'!$AV$6:$AV$13,0),MATCH(CUI_SCC_Chloride!$X6,'Tables - Part 2'!$AX$5:$BA$5,0))))/2,0)</f>
        <v>0</v>
      </c>
      <c r="CG6" s="248">
        <f>IF($W6=$CG$3,INDEX('Tables - Part 2'!$BF$17:$BI$24,MATCH(CUI_SCC_Chloride!$AH6,'Tables - Part 2'!$AV$6:$AV$13,0),MATCH(CUI_SCC_Chloride!$X6,'Tables - Part 2'!$AX$5:$BA$5,0)),0)</f>
        <v>0</v>
      </c>
      <c r="CH6" s="248">
        <f t="shared" si="5"/>
        <v>0</v>
      </c>
      <c r="CI6" s="238">
        <f t="shared" si="19"/>
        <v>0</v>
      </c>
      <c r="CJ6" s="238">
        <f t="shared" si="20"/>
        <v>0</v>
      </c>
    </row>
    <row r="7" spans="2:95" x14ac:dyDescent="0.35">
      <c r="B7" s="161" t="str">
        <f>'Tratamento de Dados'!B15</f>
        <v>V-11</v>
      </c>
      <c r="C7" s="161" t="str">
        <f>'Tratamento de Dados'!D15</f>
        <v>Casco</v>
      </c>
      <c r="D7" s="209" t="s">
        <v>245</v>
      </c>
      <c r="E7" s="209" t="s">
        <v>61</v>
      </c>
      <c r="F7" s="247">
        <f>'Tratamento de Dados'!S15</f>
        <v>2</v>
      </c>
      <c r="G7" s="209" t="s">
        <v>953</v>
      </c>
      <c r="H7" s="210">
        <v>35234</v>
      </c>
      <c r="I7" s="210">
        <v>43983</v>
      </c>
      <c r="J7" s="210">
        <v>39092</v>
      </c>
      <c r="K7" s="210">
        <f>'Tratamento de Dados'!CC15</f>
        <v>0</v>
      </c>
      <c r="L7" s="209">
        <f>'Tratamento de Dados'!CD15</f>
        <v>0</v>
      </c>
      <c r="M7" s="209" t="s">
        <v>905</v>
      </c>
      <c r="N7" s="209" t="s">
        <v>1081</v>
      </c>
      <c r="O7" s="209" t="s">
        <v>1081</v>
      </c>
      <c r="P7" s="209" t="s">
        <v>244</v>
      </c>
      <c r="Q7" s="209">
        <v>0</v>
      </c>
      <c r="R7" s="209">
        <v>1</v>
      </c>
      <c r="S7" s="209">
        <v>1</v>
      </c>
      <c r="T7" s="209">
        <v>4</v>
      </c>
      <c r="U7" s="253">
        <f>'Tratamento de Dados'!DA15</f>
        <v>0</v>
      </c>
      <c r="V7" s="253">
        <f>'Tratamento de Dados'!DB15</f>
        <v>0</v>
      </c>
      <c r="W7" s="256">
        <f t="shared" si="0"/>
        <v>2.5</v>
      </c>
      <c r="X7" s="246" t="str">
        <f t="shared" si="1"/>
        <v>B</v>
      </c>
      <c r="Y7" s="246" t="str">
        <f>IF(F7&lt;49,'Tables - Part 2'!$FH$5,IF(F7&lt;=93,'Tables - Part 2'!$FH$6,IF(F7&lt;=149,'Tables - Part 2'!$FH$7,'Tables - Part 2'!$FH$8)))</f>
        <v>&lt;49</v>
      </c>
      <c r="Z7" s="246" t="str">
        <f>IF(D7=$CO$2,$CM$5,INDEX('Tables - Part 2'!$FR$5:$FU$8,MATCH(CUI_SCC_Chloride!Y7,'Tables - Part 2'!$FQ$5:$FQ$8,0),MATCH(CUI_SCC_Chloride!M7,'Tables - Part 2'!$FR$4:$FU$4,0)))</f>
        <v>None</v>
      </c>
      <c r="AA7" s="246" t="str">
        <f t="shared" si="6"/>
        <v>None</v>
      </c>
      <c r="AB7" s="219">
        <f t="shared" si="7"/>
        <v>0</v>
      </c>
      <c r="AC7" s="246" t="str">
        <f t="shared" si="8"/>
        <v>None</v>
      </c>
      <c r="AD7" s="219">
        <f t="shared" si="9"/>
        <v>0</v>
      </c>
      <c r="AE7" s="246" t="str">
        <f t="shared" si="10"/>
        <v>None</v>
      </c>
      <c r="AF7" s="219">
        <f t="shared" si="11"/>
        <v>0</v>
      </c>
      <c r="AG7" s="467" t="str">
        <f t="shared" si="12"/>
        <v>None</v>
      </c>
      <c r="AH7" s="238">
        <f>IF(AND(D7=$CO$2,E7&lt;&gt;$CO$2),"Fitness-For-Service",INDEX('Tables - Part 2'!$FO$4:$FO$7,MATCH(CUI_SCC_Chloride!AG7,'Tables - Part 2'!$FN$4:$FN$7,0),))</f>
        <v>0</v>
      </c>
      <c r="AI7" s="238">
        <f>IF(J7=0,(Thinning!G8-Thinning!F8)/365.25,(Thinning!G8-J7)/365.25)</f>
        <v>12.980150581793293</v>
      </c>
      <c r="AJ7" s="248">
        <f t="shared" si="2"/>
        <v>0</v>
      </c>
      <c r="AK7" s="248">
        <f t="shared" si="3"/>
        <v>2.5</v>
      </c>
      <c r="AL7" s="247">
        <f t="shared" si="13"/>
        <v>3</v>
      </c>
      <c r="AM7" s="247">
        <f t="shared" si="4"/>
        <v>4</v>
      </c>
      <c r="AN7" s="247">
        <f t="shared" si="14"/>
        <v>120.41889117043121</v>
      </c>
      <c r="AO7" s="247">
        <f t="shared" si="15"/>
        <v>0</v>
      </c>
      <c r="AP7" s="247">
        <f t="shared" si="16"/>
        <v>0</v>
      </c>
      <c r="AQ7" s="247">
        <f t="shared" si="17"/>
        <v>0</v>
      </c>
      <c r="AR7" s="247">
        <f t="shared" si="18"/>
        <v>12.980150581793293</v>
      </c>
      <c r="AS7" s="248">
        <f>IF($W7=$AS$3,INDEX('Tables - Part 2'!$AX$6:$BA$13,MATCH(CUI_SCC_Chloride!AH7,'Tables - Part 2'!$AV$6:$AV$13,0),MATCH(CUI_SCC_Chloride!X7,'Tables - Part 2'!$AX$5:$BA$5,0)),0)</f>
        <v>0</v>
      </c>
      <c r="AT7" s="248">
        <f>IF($W7=$AT$3,(INDEX('Tables - Part 2'!$AX$6:$BA$13,MATCH(CUI_SCC_Chloride!AH7,'Tables - Part 2'!$AV$6:$AV$13,0),MATCH(CUI_SCC_Chloride!X7,'Tables - Part 2'!$AX$5:$BA$5,0))+(INDEX('Tables - Part 2'!$AX$6:$BA$13,MATCH(CUI_SCC_Chloride!AH7,'Tables - Part 2'!$AV$6:$AV$13,0),MATCH(CUI_SCC_Chloride!X7,'Tables - Part 2'!$AX$5:$BA$5,0))+((INDEX('Tables - Part 2'!$AX$6:$BA$13,MATCH(CUI_SCC_Chloride!AH7,'Tables - Part 2'!$AV$6:$AV$13,0),MATCH(CUI_SCC_Chloride!X7,'Tables - Part 2'!$AX$5:$BA$5,0))+INDEX('Tables - Part 2'!$BB$6:$BE$13,MATCH(CUI_SCC_Chloride!$AH7,'Tables - Part 2'!$AV$6:$AV$13,0),MATCH(CUI_SCC_Chloride!$X7,'Tables - Part 2'!$AX$5:$BA$5,0)))/2))/2)/2,0)</f>
        <v>0</v>
      </c>
      <c r="AU7" s="248">
        <f>IF($W7=$AU$3,(INDEX('Tables - Part 2'!$AX$6:$BA$13,MATCH(CUI_SCC_Chloride!AH7,'Tables - Part 2'!$AV$6:$AV$13,0),MATCH(CUI_SCC_Chloride!X7,'Tables - Part 2'!$AX$5:$BA$5,0))+((INDEX('Tables - Part 2'!$AX$6:$BA$13,MATCH(CUI_SCC_Chloride!AH7,'Tables - Part 2'!$AV$6:$AV$13,0),MATCH(CUI_SCC_Chloride!X7,'Tables - Part 2'!$AX$5:$BA$5,0))+INDEX('Tables - Part 2'!$BB$6:$BE$13,MATCH(CUI_SCC_Chloride!$AH7,'Tables - Part 2'!$AV$6:$AV$13,0),MATCH(CUI_SCC_Chloride!$X7,'Tables - Part 2'!$AX$5:$BA$5,0)))/2))/2,0)</f>
        <v>0</v>
      </c>
      <c r="AV7" s="248">
        <f>IF($W7=$AV$3,(((INDEX('Tables - Part 2'!$AX$6:$BA$13,MATCH(CUI_SCC_Chloride!AH7,'Tables - Part 2'!$AV$6:$AV$13,0),MATCH(CUI_SCC_Chloride!X7,'Tables - Part 2'!$AX$5:$BA$5,0))+((INDEX('Tables - Part 2'!$AX$6:$BA$13,MATCH(CUI_SCC_Chloride!AH7,'Tables - Part 2'!$AV$6:$AV$13,0),MATCH(CUI_SCC_Chloride!X7,'Tables - Part 2'!$AX$5:$BA$5,0))+INDEX('Tables - Part 2'!$BB$6:$BE$13,MATCH(CUI_SCC_Chloride!$AH7,'Tables - Part 2'!$AV$6:$AV$13,0),MATCH(CUI_SCC_Chloride!$X7,'Tables - Part 2'!$AX$5:$BA$5,0)))/2))/2)+(INDEX('Tables - Part 2'!$AX$6:$BA$13,MATCH(CUI_SCC_Chloride!AH7,'Tables - Part 2'!$AV$6:$AV$13,0),MATCH(CUI_SCC_Chloride!X7,'Tables - Part 2'!$AX$5:$BA$5,0))+INDEX('Tables - Part 2'!$BB$6:$BE$13,MATCH(CUI_SCC_Chloride!$AH7,'Tables - Part 2'!$AV$6:$AV$13,0),MATCH(CUI_SCC_Chloride!$X7,'Tables - Part 2'!$AX$5:$BA$5,0)))/2)/2,0)</f>
        <v>0</v>
      </c>
      <c r="AW7" s="248">
        <f>IF($W7=$AW$3,(INDEX('Tables - Part 2'!$AX$6:$BA$13,MATCH(CUI_SCC_Chloride!AH7,'Tables - Part 2'!$AV$6:$AV$13,0),MATCH(CUI_SCC_Chloride!X7,'Tables - Part 2'!$AX$5:$BA$5,0))+INDEX('Tables - Part 2'!$BB$6:$BE$13,MATCH(CUI_SCC_Chloride!$AH7,'Tables - Part 2'!$AV$6:$AV$13,0),MATCH(CUI_SCC_Chloride!$X7,'Tables - Part 2'!$AX$5:$BA$5,0)))/2,0)</f>
        <v>0</v>
      </c>
      <c r="AX7" s="248">
        <f>IF($W7=$AX$3,(((INDEX('Tables - Part 2'!$AX$6:$BA$13,MATCH(CUI_SCC_Chloride!AH7,'Tables - Part 2'!$AV$6:$AV$13,0),MATCH(CUI_SCC_Chloride!X7,'Tables - Part 2'!$AX$5:$BA$5,0))+INDEX('Tables - Part 2'!$BB$6:$BE$13,MATCH(CUI_SCC_Chloride!$AH7,'Tables - Part 2'!$AV$6:$AV$13,0),MATCH(CUI_SCC_Chloride!$X7,'Tables - Part 2'!$AX$5:$BA$5,0)))/2)+(((INDEX('Tables - Part 2'!$AX$6:$BA$13,MATCH(CUI_SCC_Chloride!AH7,'Tables - Part 2'!$AV$6:$AV$13,0),MATCH(CUI_SCC_Chloride!X7,'Tables - Part 2'!$AX$5:$BA$5,0))+INDEX('Tables - Part 2'!$BB$6:$BE$13,MATCH(CUI_SCC_Chloride!$AH7,'Tables - Part 2'!$AV$6:$AV$13,0),MATCH(CUI_SCC_Chloride!$X7,'Tables - Part 2'!$AX$5:$BA$5,0)))/2)+INDEX('Tables - Part 2'!$BB$6:$BE$13,MATCH(CUI_SCC_Chloride!$AH7,'Tables - Part 2'!$AV$6:$AV$13,0),MATCH(CUI_SCC_Chloride!$X7,'Tables - Part 2'!$AX$5:$BA$5,0)))/2)/2,0)</f>
        <v>0</v>
      </c>
      <c r="AY7" s="248">
        <f>IF($W7=$AY$3,(((INDEX('Tables - Part 2'!$AX$6:$BA$13,MATCH(CUI_SCC_Chloride!AH7,'Tables - Part 2'!$AV$6:$AV$13,0),MATCH(CUI_SCC_Chloride!X7,'Tables - Part 2'!$AX$5:$BA$5,0))+INDEX('Tables - Part 2'!$BB$6:$BE$13,MATCH(CUI_SCC_Chloride!$AH7,'Tables - Part 2'!$AV$6:$AV$13,0),MATCH(CUI_SCC_Chloride!$X7,'Tables - Part 2'!$AX$5:$BA$5,0)))/2)+INDEX('Tables - Part 2'!$BB$6:$BE$13,MATCH(CUI_SCC_Chloride!$AH7,'Tables - Part 2'!$AV$6:$AV$13,0),MATCH(CUI_SCC_Chloride!$X7,'Tables - Part 2'!$AX$5:$BA$5,0)))/2,0)</f>
        <v>0</v>
      </c>
      <c r="AZ7" s="248">
        <f>IF($W7=$AZ$3,(((((INDEX('Tables - Part 2'!$AX$6:$BA$13,MATCH(CUI_SCC_Chloride!AH7,'Tables - Part 2'!$AV$6:$AV$13,0),MATCH(CUI_SCC_Chloride!X7,'Tables - Part 2'!$AX$5:$BA$5,0))+INDEX('Tables - Part 2'!$BB$6:$BE$13,MATCH(CUI_SCC_Chloride!$AH7,'Tables - Part 2'!$AV$6:$AV$13,0),MATCH(CUI_SCC_Chloride!$X7,'Tables - Part 2'!$AX$5:$BA$5,0)))/2)+INDEX('Tables - Part 2'!$BB$6:$BE$13,MATCH(CUI_SCC_Chloride!$AH7,'Tables - Part 2'!$AV$6:$AV$13,0),MATCH(CUI_SCC_Chloride!$X7,'Tables - Part 2'!$AX$5:$BA$5,0)))/2)+INDEX('Tables - Part 2'!$BB$6:$BE$13,MATCH(CUI_SCC_Chloride!$AH7,'Tables - Part 2'!$AV$6:$AV$13,0),MATCH(CUI_SCC_Chloride!$X7,'Tables - Part 2'!$AX$5:$BA$5,0)))/2,0)</f>
        <v>0</v>
      </c>
      <c r="BA7" s="248">
        <f>IF($W7=$BA$3,INDEX('Tables - Part 2'!$BB$6:$BE$13,MATCH(CUI_SCC_Chloride!$AH7,'Tables - Part 2'!$AV$6:$AV$13,0),MATCH(CUI_SCC_Chloride!$X7,'Tables - Part 2'!$AX$5:$BA$5,0)),0)</f>
        <v>0</v>
      </c>
      <c r="BB7" s="248">
        <f>IF($W7=$BB$3,((INDEX('Tables - Part 2'!$BB$6:$BE$13,MATCH(CUI_SCC_Chloride!$AH7,'Tables - Part 2'!$AV$6:$AV$13,0),MATCH(CUI_SCC_Chloride!$X7,'Tables - Part 2'!$AX$5:$BA$5,0)))+(INDEX('Tables - Part 2'!$BB$6:$BE$13,MATCH(CUI_SCC_Chloride!$AH7,'Tables - Part 2'!$AV$6:$AV$13,0),MATCH(CUI_SCC_Chloride!$X7,'Tables - Part 2'!$AX$5:$BA$5,0))+(INDEX('Tables - Part 2'!$BB$6:$BE$13,MATCH(CUI_SCC_Chloride!$AH7,'Tables - Part 2'!$AV$6:$AV$13,0),MATCH(CUI_SCC_Chloride!$X7,'Tables - Part 2'!$AX$5:$BA$5,0))+INDEX('Tables - Part 2'!$BF$6:$BI$13,MATCH(CUI_SCC_Chloride!$AH7,'Tables - Part 2'!$AV$6:$AV$13,0),MATCH(CUI_SCC_Chloride!$X7,'Tables - Part 2'!$AX$5:$BA$5,0)))/2)/2)/2,0)</f>
        <v>0</v>
      </c>
      <c r="BC7" s="248">
        <f>IF($W7=$BC$3,(INDEX('Tables - Part 2'!$BB$6:$BE$13,MATCH(CUI_SCC_Chloride!$AH7,'Tables - Part 2'!$AV$6:$AV$13,0),MATCH(CUI_SCC_Chloride!$X7,'Tables - Part 2'!$AX$5:$BA$5,0))+(INDEX('Tables - Part 2'!$BB$6:$BE$13,MATCH(CUI_SCC_Chloride!$AH7,'Tables - Part 2'!$AV$6:$AV$13,0),MATCH(CUI_SCC_Chloride!$X7,'Tables - Part 2'!$AX$5:$BA$5,0))+INDEX('Tables - Part 2'!$BF$6:$BI$13,MATCH(CUI_SCC_Chloride!$AH7,'Tables - Part 2'!$AV$6:$AV$13,0),MATCH(CUI_SCC_Chloride!$X7,'Tables - Part 2'!$AX$5:$BA$5,0)))/2)/2,0)</f>
        <v>0</v>
      </c>
      <c r="BD7" s="248">
        <f>IF($W7=$BD$3,(((INDEX('Tables - Part 2'!$BB$6:$BE$13,MATCH(CUI_SCC_Chloride!$AH7,'Tables - Part 2'!$AV$6:$AV$13,0),MATCH(CUI_SCC_Chloride!$X7,'Tables - Part 2'!$AX$5:$BA$5,0))+(INDEX('Tables - Part 2'!$BB$6:$BE$13,MATCH(CUI_SCC_Chloride!$AH7,'Tables - Part 2'!$AV$6:$AV$13,0),MATCH(CUI_SCC_Chloride!$X7,'Tables - Part 2'!$AX$5:$BA$5,0))+INDEX('Tables - Part 2'!$BF$6:$BI$13,MATCH(CUI_SCC_Chloride!$AH7,'Tables - Part 2'!$AV$6:$AV$13,0),MATCH(CUI_SCC_Chloride!$X7,'Tables - Part 2'!$AX$5:$BA$5,0)))/2)/2)+((INDEX('Tables - Part 2'!$BB$6:$BE$13,MATCH(CUI_SCC_Chloride!$AH7,'Tables - Part 2'!$AV$6:$AV$13,0),MATCH(CUI_SCC_Chloride!$X7,'Tables - Part 2'!$AX$5:$BA$5,0))+INDEX('Tables - Part 2'!$BF$6:$BI$13,MATCH(CUI_SCC_Chloride!$AH7,'Tables - Part 2'!$AV$6:$AV$13,0),MATCH(CUI_SCC_Chloride!$X7,'Tables - Part 2'!$AX$5:$BA$5,0)))/2))/2,0)</f>
        <v>0</v>
      </c>
      <c r="BE7" s="248">
        <f>IF($W7=$BE$3,(INDEX('Tables - Part 2'!$BB$6:$BE$13,MATCH(CUI_SCC_Chloride!$AH7,'Tables - Part 2'!$AV$6:$AV$13,0),MATCH(CUI_SCC_Chloride!$X7,'Tables - Part 2'!$AX$5:$BA$5,0))+INDEX('Tables - Part 2'!$BF$6:$BI$13,MATCH(CUI_SCC_Chloride!$AH7,'Tables - Part 2'!$AV$6:$AV$13,0),MATCH(CUI_SCC_Chloride!$X7,'Tables - Part 2'!$AX$5:$BA$5,0)))/2,0)</f>
        <v>0</v>
      </c>
      <c r="BF7" s="248">
        <f>IF($W7=$BF$3,(((INDEX('Tables - Part 2'!$BB$6:$BE$13,MATCH(CUI_SCC_Chloride!$AH7,'Tables - Part 2'!$AV$6:$AV$13,0),MATCH(CUI_SCC_Chloride!$X7,'Tables - Part 2'!$AX$5:$BA$5,0))+INDEX('Tables - Part 2'!$BF$6:$BI$13,MATCH(CUI_SCC_Chloride!$AH7,'Tables - Part 2'!$AV$6:$AV$13,0),MATCH(CUI_SCC_Chloride!$X7,'Tables - Part 2'!$AX$5:$BA$5,0)))/2)+((((INDEX('Tables - Part 2'!$BB$6:$BE$13,MATCH(CUI_SCC_Chloride!$AH7,'Tables - Part 2'!$AV$6:$AV$13,0),MATCH(CUI_SCC_Chloride!$X7,'Tables - Part 2'!$AX$5:$BA$5,0))+INDEX('Tables - Part 2'!$BF$6:$BI$13,MATCH(CUI_SCC_Chloride!$AH7,'Tables - Part 2'!$AV$6:$AV$13,0),MATCH(CUI_SCC_Chloride!$X7,'Tables - Part 2'!$AX$5:$BA$5,0)))/2)+INDEX('Tables - Part 2'!$BF$6:$BI$13,MATCH(CUI_SCC_Chloride!$AH7,'Tables - Part 2'!$AV$6:$AV$13,0),MATCH(CUI_SCC_Chloride!$X7,'Tables - Part 2'!$AX$5:$BA$5,0)))/2))/2,0)</f>
        <v>0</v>
      </c>
      <c r="BG7" s="248">
        <f>IF($W7=$BG$3,(((INDEX('Tables - Part 2'!$BB$6:$BE$13,MATCH(CUI_SCC_Chloride!$AH7,'Tables - Part 2'!$AV$6:$AV$13,0),MATCH(CUI_SCC_Chloride!$X7,'Tables - Part 2'!$AX$5:$BA$5,0))+INDEX('Tables - Part 2'!$BF$6:$BI$13,MATCH(CUI_SCC_Chloride!$AH7,'Tables - Part 2'!$AV$6:$AV$13,0),MATCH(CUI_SCC_Chloride!$X7,'Tables - Part 2'!$AX$5:$BA$5,0)))/2)+INDEX('Tables - Part 2'!$BF$6:$BI$13,MATCH(CUI_SCC_Chloride!$AH7,'Tables - Part 2'!$AV$6:$AV$13,0),MATCH(CUI_SCC_Chloride!$X7,'Tables - Part 2'!$AX$5:$BA$5,0)))/2,0)</f>
        <v>0</v>
      </c>
      <c r="BH7" s="248">
        <f>IF($W7=$BH$3,(((((INDEX('Tables - Part 2'!$BB$6:$BE$13,MATCH(CUI_SCC_Chloride!$AH7,'Tables - Part 2'!$AV$6:$AV$13,0),MATCH(CUI_SCC_Chloride!$X7,'Tables - Part 2'!$AX$5:$BA$5,0))+INDEX('Tables - Part 2'!$BF$6:$BI$13,MATCH(CUI_SCC_Chloride!$AH7,'Tables - Part 2'!$AV$6:$AV$13,0),MATCH(CUI_SCC_Chloride!$X7,'Tables - Part 2'!$AX$5:$BA$5,0)))/2)+INDEX('Tables - Part 2'!$BF$6:$BI$13,MATCH(CUI_SCC_Chloride!$AH7,'Tables - Part 2'!$AV$6:$AV$13,0),MATCH(CUI_SCC_Chloride!$X7,'Tables - Part 2'!$AX$5:$BA$5,0)))/2)+INDEX('Tables - Part 2'!$BF$6:$BI$13,MATCH(CUI_SCC_Chloride!$AH7,'Tables - Part 2'!$AV$6:$AV$13,0),MATCH(CUI_SCC_Chloride!$X7,'Tables - Part 2'!$AX$5:$BA$5,0)))/2,0)</f>
        <v>0</v>
      </c>
      <c r="BI7" s="248">
        <f>IF($W7=$BI$3,INDEX('Tables - Part 2'!$BF$6:$BI$13,MATCH(CUI_SCC_Chloride!$AH7,'Tables - Part 2'!$AV$6:$AV$13,0),MATCH(CUI_SCC_Chloride!$X7,'Tables - Part 2'!$AX$5:$BA$5,0)),0)</f>
        <v>0</v>
      </c>
      <c r="BJ7" s="248">
        <f>IF($W7=$BJ$3,(INDEX('Tables - Part 2'!$BF$6:$BI$13,MATCH(CUI_SCC_Chloride!$AH7,'Tables - Part 2'!$AV$6:$AV$13,0),MATCH(CUI_SCC_Chloride!$X7,'Tables - Part 2'!$AX$5:$BA$5,0))+((INDEX('Tables - Part 2'!$BF$6:$BI$13,MATCH(CUI_SCC_Chloride!$AH7,'Tables - Part 2'!$AV$6:$AV$13,0),MATCH(CUI_SCC_Chloride!$X7,'Tables - Part 2'!$AX$5:$BA$5,0))+(INDEX('Tables - Part 2'!$BF$6:$BI$13,MATCH(CUI_SCC_Chloride!$AH7,'Tables - Part 2'!$AV$6:$AV$13,0),MATCH(CUI_SCC_Chloride!$X7,'Tables - Part 2'!$AX$5:$BA$5,0))+INDEX('Tables - Part 2'!$AX$17:$BA$24,MATCH(CUI_SCC_Chloride!$AH7,'Tables - Part 2'!$AV$6:$AV$13,0),MATCH(CUI_SCC_Chloride!$X7,'Tables - Part 2'!$AX$5:$BA$5,0)))/2)/2))/2,0)</f>
        <v>0</v>
      </c>
      <c r="BK7" s="248">
        <f>IF($W7=$BK$3,(INDEX('Tables - Part 2'!$BF$6:$BI$13,MATCH(CUI_SCC_Chloride!$AH7,'Tables - Part 2'!$AV$6:$AV$13,0),MATCH(CUI_SCC_Chloride!$X7,'Tables - Part 2'!$AX$5:$BA$5,0))+(INDEX('Tables - Part 2'!$BF$6:$BI$13,MATCH(CUI_SCC_Chloride!$AH7,'Tables - Part 2'!$AV$6:$AV$13,0),MATCH(CUI_SCC_Chloride!$X7,'Tables - Part 2'!$AX$5:$BA$5,0))+INDEX('Tables - Part 2'!$AX$17:$BA$24,MATCH(CUI_SCC_Chloride!$AH7,'Tables - Part 2'!$AV$6:$AV$13,0),MATCH(CUI_SCC_Chloride!$X7,'Tables - Part 2'!$AX$5:$BA$5,0)))/2)/2,0)</f>
        <v>0</v>
      </c>
      <c r="BL7" s="248">
        <f>IF($W7=$BL$3,(((INDEX('Tables - Part 2'!$BF$6:$BI$13,MATCH(CUI_SCC_Chloride!$AH7,'Tables - Part 2'!$AV$6:$AV$13,0),MATCH(CUI_SCC_Chloride!$X7,'Tables - Part 2'!$AX$5:$BA$5,0))+(INDEX('Tables - Part 2'!$BF$6:$BI$13,MATCH(CUI_SCC_Chloride!$AH7,'Tables - Part 2'!$AV$6:$AV$13,0),MATCH(CUI_SCC_Chloride!$X7,'Tables - Part 2'!$AX$5:$BA$5,0))+INDEX('Tables - Part 2'!$AX$17:$BA$24,MATCH(CUI_SCC_Chloride!$AH7,'Tables - Part 2'!$AV$6:$AV$13,0),MATCH(CUI_SCC_Chloride!$X7,'Tables - Part 2'!$AX$5:$BA$5,0)))/2)/2)+((INDEX('Tables - Part 2'!$BF$6:$BI$13,MATCH(CUI_SCC_Chloride!$AH7,'Tables - Part 2'!$AV$6:$AV$13,0),MATCH(CUI_SCC_Chloride!$X7,'Tables - Part 2'!$AX$5:$BA$5,0))+INDEX('Tables - Part 2'!$AX$17:$BA$24,MATCH(CUI_SCC_Chloride!$AH7,'Tables - Part 2'!$AV$6:$AV$13,0),MATCH(CUI_SCC_Chloride!$X7,'Tables - Part 2'!$AX$5:$BA$5,0)))/2))/2,0)</f>
        <v>0</v>
      </c>
      <c r="BM7" s="248">
        <f>IF($W7=$BM$3,(INDEX('Tables - Part 2'!$BF$6:$BI$13,MATCH(CUI_SCC_Chloride!$AH7,'Tables - Part 2'!$AV$6:$AV$13,0),MATCH(CUI_SCC_Chloride!$X7,'Tables - Part 2'!$AX$5:$BA$5,0))+INDEX('Tables - Part 2'!$AX$17:$BA$24,MATCH(CUI_SCC_Chloride!$AH7,'Tables - Part 2'!$AV$6:$AV$13,0),MATCH(CUI_SCC_Chloride!$X7,'Tables - Part 2'!$AX$5:$BA$5,0)))/2,0)</f>
        <v>0</v>
      </c>
      <c r="BN7" s="248">
        <f>IF($W7=$BN$3,(((INDEX('Tables - Part 2'!$BF$6:$BI$13,MATCH(CUI_SCC_Chloride!$AH7,'Tables - Part 2'!$AV$6:$AV$13,0),MATCH(CUI_SCC_Chloride!$X7,'Tables - Part 2'!$AX$5:$BA$5,0))+INDEX('Tables - Part 2'!$AX$17:$BA$24,MATCH(CUI_SCC_Chloride!$AH7,'Tables - Part 2'!$AV$6:$AV$13,0),MATCH(CUI_SCC_Chloride!$X7,'Tables - Part 2'!$AX$5:$BA$5,0)))/2)+((((INDEX('Tables - Part 2'!$BF$6:$BI$13,MATCH(CUI_SCC_Chloride!$AH7,'Tables - Part 2'!$AV$6:$AV$13,0),MATCH(CUI_SCC_Chloride!$X7,'Tables - Part 2'!$AX$5:$BA$5,0))+INDEX('Tables - Part 2'!$AX$17:$BA$24,MATCH(CUI_SCC_Chloride!$AH7,'Tables - Part 2'!$AV$6:$AV$13,0),MATCH(CUI_SCC_Chloride!$X7,'Tables - Part 2'!$AX$5:$BA$5,0)))/2)+INDEX('Tables - Part 2'!$AX$17:$BA$24,MATCH(CUI_SCC_Chloride!$AH7,'Tables - Part 2'!$AV$6:$AV$13,0),MATCH(CUI_SCC_Chloride!$X7,'Tables - Part 2'!$AX$5:$BA$5,0)))/2))/2,0)</f>
        <v>0</v>
      </c>
      <c r="BO7" s="248">
        <f>IF($W7=$BO$3,(((INDEX('Tables - Part 2'!$BF$6:$BI$13,MATCH(CUI_SCC_Chloride!$AH7,'Tables - Part 2'!$AV$6:$AV$13,0),MATCH(CUI_SCC_Chloride!$X7,'Tables - Part 2'!$AX$5:$BA$5,0))+INDEX('Tables - Part 2'!$AX$17:$BA$24,MATCH(CUI_SCC_Chloride!$AH7,'Tables - Part 2'!$AV$6:$AV$13,0),MATCH(CUI_SCC_Chloride!$X7,'Tables - Part 2'!$AX$5:$BA$5,0)))/2)+INDEX('Tables - Part 2'!$AX$17:$BA$24,MATCH(CUI_SCC_Chloride!$AH7,'Tables - Part 2'!$AV$6:$AV$13,0),MATCH(CUI_SCC_Chloride!$X7,'Tables - Part 2'!$AX$5:$BA$5,0)))/2,0)</f>
        <v>0</v>
      </c>
      <c r="BP7" s="248">
        <f>IF($W7=$BP$3,(((((INDEX('Tables - Part 2'!$BF$6:$BI$13,MATCH(CUI_SCC_Chloride!$AH7,'Tables - Part 2'!$AV$6:$AV$13,0),MATCH(CUI_SCC_Chloride!$X7,'Tables - Part 2'!$AX$5:$BA$5,0))+INDEX('Tables - Part 2'!$AX$17:$BA$24,MATCH(CUI_SCC_Chloride!$AH7,'Tables - Part 2'!$AV$6:$AV$13,0),MATCH(CUI_SCC_Chloride!$X7,'Tables - Part 2'!$AX$5:$BA$5,0)))/2)+INDEX('Tables - Part 2'!$AX$17:$BA$24,MATCH(CUI_SCC_Chloride!$AH7,'Tables - Part 2'!$AV$6:$AV$13,0),MATCH(CUI_SCC_Chloride!$X7,'Tables - Part 2'!$AX$5:$BA$5,0)))/2)+(INDEX('Tables - Part 2'!$AX$17:$BA$24,MATCH(CUI_SCC_Chloride!$AH7,'Tables - Part 2'!$AV$6:$AV$13,0),MATCH(CUI_SCC_Chloride!$X7,'Tables - Part 2'!$AX$5:$BA$5,0))))/2,0)</f>
        <v>0</v>
      </c>
      <c r="BQ7" s="248">
        <f>IF($W7=$BQ$3,INDEX('Tables - Part 2'!$AX$17:$BA$24,MATCH(CUI_SCC_Chloride!$AH7,'Tables - Part 2'!$AV$6:$AV$13,0),MATCH(CUI_SCC_Chloride!$X7,'Tables - Part 2'!$AX$5:$BA$5,0)),0)</f>
        <v>0</v>
      </c>
      <c r="BR7" s="248">
        <f>IF($W7=$BR$3,((INDEX('Tables - Part 2'!$AX$17:$BA$24,MATCH(CUI_SCC_Chloride!$AH7,'Tables - Part 2'!$AV$6:$AV$13,0),MATCH(CUI_SCC_Chloride!$X7,'Tables - Part 2'!$AX$5:$BA$5,0)))+(((INDEX('Tables - Part 2'!$AX$17:$BA$24,MATCH(CUI_SCC_Chloride!$AH7,'Tables - Part 2'!$AV$6:$AV$13,0),MATCH(CUI_SCC_Chloride!$X7,'Tables - Part 2'!$AX$5:$BA$5,0)))+(INDEX('Tables - Part 2'!$AX$17:$BA$24,MATCH(CUI_SCC_Chloride!$AH7,'Tables - Part 2'!$AV$6:$AV$13,0),MATCH(CUI_SCC_Chloride!$X7,'Tables - Part 2'!$AX$5:$BA$5,0))+INDEX('Tables - Part 2'!$BB$17:$BE$24,MATCH(CUI_SCC_Chloride!$AH7,'Tables - Part 2'!$AV$6:$AV$13,0),MATCH(CUI_SCC_Chloride!$X7,'Tables - Part 2'!$AX$5:$BA$5,0)))/2)/2))/2,0)</f>
        <v>0</v>
      </c>
      <c r="BS7" s="248">
        <f>IF($W7=$BS$3,((INDEX('Tables - Part 2'!$AX$17:$BA$24,MATCH(CUI_SCC_Chloride!$AH7,'Tables - Part 2'!$AV$6:$AV$13,0),MATCH(CUI_SCC_Chloride!$X7,'Tables - Part 2'!$AX$5:$BA$5,0)))+(INDEX('Tables - Part 2'!$AX$17:$BA$24,MATCH(CUI_SCC_Chloride!$AH7,'Tables - Part 2'!$AV$6:$AV$13,0),MATCH(CUI_SCC_Chloride!$X7,'Tables - Part 2'!$AX$5:$BA$5,0))+INDEX('Tables - Part 2'!$BB$17:$BE$24,MATCH(CUI_SCC_Chloride!$AH7,'Tables - Part 2'!$AV$6:$AV$13,0),MATCH(CUI_SCC_Chloride!$X7,'Tables - Part 2'!$AX$5:$BA$5,0)))/2)/2,0)</f>
        <v>0</v>
      </c>
      <c r="BT7" s="248">
        <f>IF($W7=$BT$3,((((INDEX('Tables - Part 2'!$AX$17:$BA$24,MATCH(CUI_SCC_Chloride!$AH7,'Tables - Part 2'!$AV$6:$AV$13,0),MATCH(CUI_SCC_Chloride!$X7,'Tables - Part 2'!$AX$5:$BA$5,0)))+(INDEX('Tables - Part 2'!$AX$17:$BA$24,MATCH(CUI_SCC_Chloride!$AH7,'Tables - Part 2'!$AV$6:$AV$13,0),MATCH(CUI_SCC_Chloride!$X7,'Tables - Part 2'!$AX$5:$BA$5,0))+INDEX('Tables - Part 2'!$BB$17:$BE$24,MATCH(CUI_SCC_Chloride!$AH7,'Tables - Part 2'!$AV$6:$AV$13,0),MATCH(CUI_SCC_Chloride!$X7,'Tables - Part 2'!$AX$5:$BA$5,0)))/2)/2)+((INDEX('Tables - Part 2'!$AX$17:$BA$24,MATCH(CUI_SCC_Chloride!$AH7,'Tables - Part 2'!$AV$6:$AV$13,0),MATCH(CUI_SCC_Chloride!$X7,'Tables - Part 2'!$AX$5:$BA$5,0))+INDEX('Tables - Part 2'!$BB$17:$BE$24,MATCH(CUI_SCC_Chloride!$AH7,'Tables - Part 2'!$AV$6:$AV$13,0),MATCH(CUI_SCC_Chloride!$X7,'Tables - Part 2'!$AX$5:$BA$5,0)))/2))/2,0)</f>
        <v>0</v>
      </c>
      <c r="BU7" s="248">
        <f>IF($W7=$BU$3,(INDEX('Tables - Part 2'!$AX$17:$BA$24,MATCH(CUI_SCC_Chloride!$AH7,'Tables - Part 2'!$AV$6:$AV$13,0),MATCH(CUI_SCC_Chloride!$X7,'Tables - Part 2'!$AX$5:$BA$5,0))+INDEX('Tables - Part 2'!$BB$17:$BE$24,MATCH(CUI_SCC_Chloride!$AH7,'Tables - Part 2'!$AV$6:$AV$13,0),MATCH(CUI_SCC_Chloride!$X7,'Tables - Part 2'!$AX$5:$BA$5,0)))/2,0)</f>
        <v>0</v>
      </c>
      <c r="BV7" s="248">
        <f>IF($W7=$BV$3,(((INDEX('Tables - Part 2'!$AX$17:$BA$24,MATCH(CUI_SCC_Chloride!$AH7,'Tables - Part 2'!$AV$6:$AV$13,0),MATCH(CUI_SCC_Chloride!$X7,'Tables - Part 2'!$AX$5:$BA$5,0))+INDEX('Tables - Part 2'!$BB$17:$BE$24,MATCH(CUI_SCC_Chloride!$AH7,'Tables - Part 2'!$AV$6:$AV$13,0),MATCH(CUI_SCC_Chloride!$X7,'Tables - Part 2'!$AX$5:$BA$5,0)))/2)+((((INDEX('Tables - Part 2'!$AX$17:$BA$24,MATCH(CUI_SCC_Chloride!$AH7,'Tables - Part 2'!$AV$6:$AV$13,0),MATCH(CUI_SCC_Chloride!$X7,'Tables - Part 2'!$AX$5:$BA$5,0))+INDEX('Tables - Part 2'!$BB$17:$BE$24,MATCH(CUI_SCC_Chloride!$AH7,'Tables - Part 2'!$AV$6:$AV$13,0),MATCH(CUI_SCC_Chloride!$X7,'Tables - Part 2'!$AX$5:$BA$5,0)))/2)+INDEX('Tables - Part 2'!$BB$17:$BE$24,MATCH(CUI_SCC_Chloride!$AH7,'Tables - Part 2'!$AV$6:$AV$13,0),MATCH(CUI_SCC_Chloride!$X7,'Tables - Part 2'!$AX$5:$BA$5,0)))/2))/2,0)</f>
        <v>0</v>
      </c>
      <c r="BW7" s="248">
        <f>IF($W7=$BW$3,(((INDEX('Tables - Part 2'!$AX$17:$BA$24,MATCH(CUI_SCC_Chloride!$AH7,'Tables - Part 2'!$AV$6:$AV$13,0),MATCH(CUI_SCC_Chloride!$X7,'Tables - Part 2'!$AX$5:$BA$5,0))+INDEX('Tables - Part 2'!$BB$17:$BE$24,MATCH(CUI_SCC_Chloride!$AH7,'Tables - Part 2'!$AV$6:$AV$13,0),MATCH(CUI_SCC_Chloride!$X7,'Tables - Part 2'!$AX$5:$BA$5,0)))/2)+INDEX('Tables - Part 2'!$BB$17:$BE$24,MATCH(CUI_SCC_Chloride!$AH7,'Tables - Part 2'!$AV$6:$AV$13,0),MATCH(CUI_SCC_Chloride!$X7,'Tables - Part 2'!$AX$5:$BA$5,0)))/2,0)</f>
        <v>0</v>
      </c>
      <c r="BX7" s="248">
        <f>IF($W7=$BX$3,(((((INDEX('Tables - Part 2'!$AX$17:$BA$24,MATCH(CUI_SCC_Chloride!$AH7,'Tables - Part 2'!$AV$6:$AV$13,0),MATCH(CUI_SCC_Chloride!$X7,'Tables - Part 2'!$AX$5:$BA$5,0))+INDEX('Tables - Part 2'!$BB$17:$BE$24,MATCH(CUI_SCC_Chloride!$AH7,'Tables - Part 2'!$AV$6:$AV$13,0),MATCH(CUI_SCC_Chloride!$X7,'Tables - Part 2'!$AX$5:$BA$5,0)))/2)+INDEX('Tables - Part 2'!$BB$17:$BE$24,MATCH(CUI_SCC_Chloride!$AH7,'Tables - Part 2'!$AV$6:$AV$13,0),MATCH(CUI_SCC_Chloride!$X7,'Tables - Part 2'!$AX$5:$BA$5,0)))/2)+(INDEX('Tables - Part 2'!$BB$17:$BE$24,MATCH(CUI_SCC_Chloride!$AH7,'Tables - Part 2'!$AV$6:$AV$13,0),MATCH(CUI_SCC_Chloride!$X7,'Tables - Part 2'!$AX$5:$BA$5,0))))/2,0)</f>
        <v>0</v>
      </c>
      <c r="BY7" s="248">
        <f>IF($W7=$BY$3,INDEX('Tables - Part 2'!$BB$17:$BE$24,MATCH(CUI_SCC_Chloride!$AH7,'Tables - Part 2'!$AV$6:$AV$13,0),MATCH(CUI_SCC_Chloride!$X7,'Tables - Part 2'!$AX$5:$BA$5,0)),0)</f>
        <v>0</v>
      </c>
      <c r="BZ7" s="248">
        <f>IF($W7=$BZ$3,((INDEX('Tables - Part 2'!$BB$17:$BE$24,MATCH(CUI_SCC_Chloride!$AH7,'Tables - Part 2'!$AV$6:$AV$13,0),MATCH(CUI_SCC_Chloride!$X7,'Tables - Part 2'!$AX$5:$BA$5,0)))+(((INDEX('Tables - Part 2'!$BB$17:$BE$24,MATCH(CUI_SCC_Chloride!$AH7,'Tables - Part 2'!$AV$6:$AV$13,0),MATCH(CUI_SCC_Chloride!$X7,'Tables - Part 2'!$AX$5:$BA$5,0)))+(INDEX('Tables - Part 2'!$BB$17:$BE$24,MATCH(CUI_SCC_Chloride!$AH7,'Tables - Part 2'!$AV$6:$AV$13,0),MATCH(CUI_SCC_Chloride!$X7,'Tables - Part 2'!$AX$5:$BA$5,0))+INDEX('Tables - Part 2'!$BF$17:$BI$24,MATCH(CUI_SCC_Chloride!$AH7,'Tables - Part 2'!$AV$6:$AV$13,0),MATCH(CUI_SCC_Chloride!$X7,'Tables - Part 2'!$AX$5:$BA$5,0)))/2)/2))/2,0)</f>
        <v>0</v>
      </c>
      <c r="CA7" s="248">
        <f>IF($W7=$CA$3,((INDEX('Tables - Part 2'!$BB$17:$BE$24,MATCH(CUI_SCC_Chloride!$AH7,'Tables - Part 2'!$AV$6:$AV$13,0),MATCH(CUI_SCC_Chloride!$X7,'Tables - Part 2'!$AX$5:$BA$5,0)))+(INDEX('Tables - Part 2'!$BB$17:$BE$24,MATCH(CUI_SCC_Chloride!$AH7,'Tables - Part 2'!$AV$6:$AV$13,0),MATCH(CUI_SCC_Chloride!$X7,'Tables - Part 2'!$AX$5:$BA$5,0))+INDEX('Tables - Part 2'!$BF$17:$BI$24,MATCH(CUI_SCC_Chloride!$AH7,'Tables - Part 2'!$AV$6:$AV$13,0),MATCH(CUI_SCC_Chloride!$X7,'Tables - Part 2'!$AX$5:$BA$5,0)))/2)/2,0)</f>
        <v>0</v>
      </c>
      <c r="CB7" s="248">
        <f>IF($W7=$CB$3,((((INDEX('Tables - Part 2'!$BB$17:$BE$24,MATCH(CUI_SCC_Chloride!$AH7,'Tables - Part 2'!$AV$6:$AV$13,0),MATCH(CUI_SCC_Chloride!$X7,'Tables - Part 2'!$AX$5:$BA$5,0)))+(INDEX('Tables - Part 2'!$BB$17:$BE$24,MATCH(CUI_SCC_Chloride!$AH7,'Tables - Part 2'!$AV$6:$AV$13,0),MATCH(CUI_SCC_Chloride!$X7,'Tables - Part 2'!$AX$5:$BA$5,0))+INDEX('Tables - Part 2'!$BF$17:$BI$24,MATCH(CUI_SCC_Chloride!$AH7,'Tables - Part 2'!$AV$6:$AV$13,0),MATCH(CUI_SCC_Chloride!$X7,'Tables - Part 2'!$AX$5:$BA$5,0)))/2)/2)+((INDEX('Tables - Part 2'!$BB$17:$BE$24,MATCH(CUI_SCC_Chloride!$AH7,'Tables - Part 2'!$AV$6:$AV$13,0),MATCH(CUI_SCC_Chloride!$X7,'Tables - Part 2'!$AX$5:$BA$5,0))+INDEX('Tables - Part 2'!$BF$17:$BI$24,MATCH(CUI_SCC_Chloride!$AH7,'Tables - Part 2'!$AV$6:$AV$13,0),MATCH(CUI_SCC_Chloride!$X7,'Tables - Part 2'!$AX$5:$BA$5,0)))/2))/2,0)</f>
        <v>0</v>
      </c>
      <c r="CC7" s="248">
        <f>IF($W7=$CC$3,(INDEX('Tables - Part 2'!$BB$17:$BE$24,MATCH(CUI_SCC_Chloride!$AH7,'Tables - Part 2'!$AV$6:$AV$13,0),MATCH(CUI_SCC_Chloride!$X7,'Tables - Part 2'!$AX$5:$BA$5,0))+INDEX('Tables - Part 2'!$BF$17:$BI$24,MATCH(CUI_SCC_Chloride!$AH7,'Tables - Part 2'!$AV$6:$AV$13,0),MATCH(CUI_SCC_Chloride!$X7,'Tables - Part 2'!$AX$5:$BA$5,0)))/2,0)</f>
        <v>0</v>
      </c>
      <c r="CD7" s="248">
        <f>IF($W7=$CD$3,(((INDEX('Tables - Part 2'!$BB$17:$BE$24,MATCH(CUI_SCC_Chloride!$AH7,'Tables - Part 2'!$AV$6:$AV$13,0),MATCH(CUI_SCC_Chloride!$X7,'Tables - Part 2'!$AX$5:$BA$5,0))+INDEX('Tables - Part 2'!$BF$17:$BI$24,MATCH(CUI_SCC_Chloride!$AH7,'Tables - Part 2'!$AV$6:$AV$13,0),MATCH(CUI_SCC_Chloride!$X7,'Tables - Part 2'!$AX$5:$BA$5,0)))/2)+((((INDEX('Tables - Part 2'!$BB$17:$BE$24,MATCH(CUI_SCC_Chloride!$AH7,'Tables - Part 2'!$AV$6:$AV$13,0),MATCH(CUI_SCC_Chloride!$X7,'Tables - Part 2'!$AX$5:$BA$5,0))+INDEX('Tables - Part 2'!$BF$17:$BI$24,MATCH(CUI_SCC_Chloride!$AH7,'Tables - Part 2'!$AV$6:$AV$13,0),MATCH(CUI_SCC_Chloride!$X7,'Tables - Part 2'!$AX$5:$BA$5,0)))/2)+INDEX('Tables - Part 2'!$BF$17:$BI$24,MATCH(CUI_SCC_Chloride!$AH7,'Tables - Part 2'!$AV$6:$AV$13,0),MATCH(CUI_SCC_Chloride!$X7,'Tables - Part 2'!$AX$5:$BA$5,0)))/2))/2,0)</f>
        <v>0</v>
      </c>
      <c r="CE7" s="248">
        <f>IF($W7=$CE$3,(((INDEX('Tables - Part 2'!$BB$17:$BE$24,MATCH(CUI_SCC_Chloride!$AH7,'Tables - Part 2'!$AV$6:$AV$13,0),MATCH(CUI_SCC_Chloride!$X7,'Tables - Part 2'!$AX$5:$BA$5,0))+INDEX('Tables - Part 2'!$BF$17:$BI$24,MATCH(CUI_SCC_Chloride!$AH7,'Tables - Part 2'!$AV$6:$AV$13,0),MATCH(CUI_SCC_Chloride!$X7,'Tables - Part 2'!$AX$5:$BA$5,0)))/2)+INDEX('Tables - Part 2'!$BF$17:$BI$24,MATCH(CUI_SCC_Chloride!$AH7,'Tables - Part 2'!$AV$6:$AV$13,0),MATCH(CUI_SCC_Chloride!$X7,'Tables - Part 2'!$AX$5:$BA$5,0)))/2,0)</f>
        <v>0</v>
      </c>
      <c r="CF7" s="248">
        <f>IF($W7=$CF$3,(((((INDEX('Tables - Part 2'!$BB$17:$BE$24,MATCH(CUI_SCC_Chloride!$AH7,'Tables - Part 2'!$AV$6:$AV$13,0),MATCH(CUI_SCC_Chloride!$X7,'Tables - Part 2'!$AX$5:$BA$5,0))+INDEX('Tables - Part 2'!$BF$17:$BI$24,MATCH(CUI_SCC_Chloride!$AH7,'Tables - Part 2'!$AV$6:$AV$13,0),MATCH(CUI_SCC_Chloride!$X7,'Tables - Part 2'!$AX$5:$BA$5,0)))/2)+INDEX('Tables - Part 2'!$BF$17:$BI$24,MATCH(CUI_SCC_Chloride!$AH7,'Tables - Part 2'!$AV$6:$AV$13,0),MATCH(CUI_SCC_Chloride!$X7,'Tables - Part 2'!$AX$5:$BA$5,0)))/2)+(INDEX('Tables - Part 2'!$BF$17:$BI$24,MATCH(CUI_SCC_Chloride!$AH7,'Tables - Part 2'!$AV$6:$AV$13,0),MATCH(CUI_SCC_Chloride!$X7,'Tables - Part 2'!$AX$5:$BA$5,0))))/2,0)</f>
        <v>0</v>
      </c>
      <c r="CG7" s="248">
        <f>IF($W7=$CG$3,INDEX('Tables - Part 2'!$BF$17:$BI$24,MATCH(CUI_SCC_Chloride!$AH7,'Tables - Part 2'!$AV$6:$AV$13,0),MATCH(CUI_SCC_Chloride!$X7,'Tables - Part 2'!$AX$5:$BA$5,0)),0)</f>
        <v>0</v>
      </c>
      <c r="CH7" s="248">
        <f t="shared" si="5"/>
        <v>0</v>
      </c>
      <c r="CI7" s="238">
        <f t="shared" si="19"/>
        <v>0</v>
      </c>
      <c r="CJ7" s="238">
        <f t="shared" si="20"/>
        <v>0</v>
      </c>
    </row>
    <row r="8" spans="2:95" x14ac:dyDescent="0.35">
      <c r="B8" s="161" t="str">
        <f>'Tratamento de Dados'!B16</f>
        <v>V-13</v>
      </c>
      <c r="C8" s="161" t="str">
        <f>'Tratamento de Dados'!D16</f>
        <v>Casco</v>
      </c>
      <c r="D8" s="209" t="s">
        <v>245</v>
      </c>
      <c r="E8" s="209" t="s">
        <v>61</v>
      </c>
      <c r="F8" s="247">
        <f>'Tratamento de Dados'!S16</f>
        <v>2</v>
      </c>
      <c r="G8" s="209" t="s">
        <v>953</v>
      </c>
      <c r="H8" s="210">
        <v>35234</v>
      </c>
      <c r="I8" s="210">
        <v>43983</v>
      </c>
      <c r="J8" s="210">
        <v>39092</v>
      </c>
      <c r="K8" s="210">
        <f>'Tratamento de Dados'!CC16</f>
        <v>0</v>
      </c>
      <c r="L8" s="209">
        <f>'Tratamento de Dados'!CD16</f>
        <v>0</v>
      </c>
      <c r="M8" s="209" t="s">
        <v>905</v>
      </c>
      <c r="N8" s="209" t="s">
        <v>1081</v>
      </c>
      <c r="O8" s="209" t="s">
        <v>1081</v>
      </c>
      <c r="P8" s="209" t="s">
        <v>244</v>
      </c>
      <c r="Q8" s="209">
        <v>0</v>
      </c>
      <c r="R8" s="209">
        <v>1</v>
      </c>
      <c r="S8" s="209">
        <v>1</v>
      </c>
      <c r="T8" s="209">
        <v>4</v>
      </c>
      <c r="U8" s="253">
        <f>'Tratamento de Dados'!DA16</f>
        <v>0</v>
      </c>
      <c r="V8" s="253">
        <f>'Tratamento de Dados'!DB16</f>
        <v>0</v>
      </c>
      <c r="W8" s="256">
        <f t="shared" si="0"/>
        <v>2.5</v>
      </c>
      <c r="X8" s="246" t="str">
        <f t="shared" si="1"/>
        <v>B</v>
      </c>
      <c r="Y8" s="246" t="str">
        <f>IF(F8&lt;49,'Tables - Part 2'!$FH$5,IF(F8&lt;=93,'Tables - Part 2'!$FH$6,IF(F8&lt;=149,'Tables - Part 2'!$FH$7,'Tables - Part 2'!$FH$8)))</f>
        <v>&lt;49</v>
      </c>
      <c r="Z8" s="246" t="str">
        <f>IF(D8=$CO$2,$CM$5,INDEX('Tables - Part 2'!$FR$5:$FU$8,MATCH(CUI_SCC_Chloride!Y8,'Tables - Part 2'!$FQ$5:$FQ$8,0),MATCH(CUI_SCC_Chloride!M8,'Tables - Part 2'!$FR$4:$FU$4,0)))</f>
        <v>None</v>
      </c>
      <c r="AA8" s="246" t="str">
        <f t="shared" si="6"/>
        <v>None</v>
      </c>
      <c r="AB8" s="219">
        <f t="shared" si="7"/>
        <v>0</v>
      </c>
      <c r="AC8" s="246" t="str">
        <f t="shared" si="8"/>
        <v>None</v>
      </c>
      <c r="AD8" s="219">
        <f t="shared" si="9"/>
        <v>0</v>
      </c>
      <c r="AE8" s="246" t="str">
        <f t="shared" si="10"/>
        <v>None</v>
      </c>
      <c r="AF8" s="219">
        <f t="shared" si="11"/>
        <v>0</v>
      </c>
      <c r="AG8" s="467" t="str">
        <f t="shared" si="12"/>
        <v>None</v>
      </c>
      <c r="AH8" s="238">
        <f>IF(AND(D8=$CO$2,E8&lt;&gt;$CO$2),"Fitness-For-Service",INDEX('Tables - Part 2'!$FO$4:$FO$7,MATCH(CUI_SCC_Chloride!AG8,'Tables - Part 2'!$FN$4:$FN$7,0),))</f>
        <v>0</v>
      </c>
      <c r="AI8" s="238">
        <f>IF(J8=0,(Thinning!G9-Thinning!F9)/365.25,(Thinning!G9-J8)/365.25)</f>
        <v>12.980150581793293</v>
      </c>
      <c r="AJ8" s="248">
        <f t="shared" si="2"/>
        <v>0</v>
      </c>
      <c r="AK8" s="248">
        <f t="shared" si="3"/>
        <v>2.5</v>
      </c>
      <c r="AL8" s="247">
        <f t="shared" si="13"/>
        <v>3</v>
      </c>
      <c r="AM8" s="247">
        <f t="shared" si="4"/>
        <v>4</v>
      </c>
      <c r="AN8" s="247">
        <f t="shared" si="14"/>
        <v>120.41889117043121</v>
      </c>
      <c r="AO8" s="247">
        <f t="shared" si="15"/>
        <v>0</v>
      </c>
      <c r="AP8" s="247">
        <f t="shared" si="16"/>
        <v>0</v>
      </c>
      <c r="AQ8" s="247">
        <f t="shared" si="17"/>
        <v>0</v>
      </c>
      <c r="AR8" s="247">
        <f t="shared" si="18"/>
        <v>12.980150581793293</v>
      </c>
      <c r="AS8" s="248">
        <f>IF($W8=$AS$3,INDEX('Tables - Part 2'!$AX$6:$BA$13,MATCH(CUI_SCC_Chloride!AH8,'Tables - Part 2'!$AV$6:$AV$13,0),MATCH(CUI_SCC_Chloride!X8,'Tables - Part 2'!$AX$5:$BA$5,0)),0)</f>
        <v>0</v>
      </c>
      <c r="AT8" s="248">
        <f>IF($W8=$AT$3,(INDEX('Tables - Part 2'!$AX$6:$BA$13,MATCH(CUI_SCC_Chloride!AH8,'Tables - Part 2'!$AV$6:$AV$13,0),MATCH(CUI_SCC_Chloride!X8,'Tables - Part 2'!$AX$5:$BA$5,0))+(INDEX('Tables - Part 2'!$AX$6:$BA$13,MATCH(CUI_SCC_Chloride!AH8,'Tables - Part 2'!$AV$6:$AV$13,0),MATCH(CUI_SCC_Chloride!X8,'Tables - Part 2'!$AX$5:$BA$5,0))+((INDEX('Tables - Part 2'!$AX$6:$BA$13,MATCH(CUI_SCC_Chloride!AH8,'Tables - Part 2'!$AV$6:$AV$13,0),MATCH(CUI_SCC_Chloride!X8,'Tables - Part 2'!$AX$5:$BA$5,0))+INDEX('Tables - Part 2'!$BB$6:$BE$13,MATCH(CUI_SCC_Chloride!$AH8,'Tables - Part 2'!$AV$6:$AV$13,0),MATCH(CUI_SCC_Chloride!$X8,'Tables - Part 2'!$AX$5:$BA$5,0)))/2))/2)/2,0)</f>
        <v>0</v>
      </c>
      <c r="AU8" s="248">
        <f>IF($W8=$AU$3,(INDEX('Tables - Part 2'!$AX$6:$BA$13,MATCH(CUI_SCC_Chloride!AH8,'Tables - Part 2'!$AV$6:$AV$13,0),MATCH(CUI_SCC_Chloride!X8,'Tables - Part 2'!$AX$5:$BA$5,0))+((INDEX('Tables - Part 2'!$AX$6:$BA$13,MATCH(CUI_SCC_Chloride!AH8,'Tables - Part 2'!$AV$6:$AV$13,0),MATCH(CUI_SCC_Chloride!X8,'Tables - Part 2'!$AX$5:$BA$5,0))+INDEX('Tables - Part 2'!$BB$6:$BE$13,MATCH(CUI_SCC_Chloride!$AH8,'Tables - Part 2'!$AV$6:$AV$13,0),MATCH(CUI_SCC_Chloride!$X8,'Tables - Part 2'!$AX$5:$BA$5,0)))/2))/2,0)</f>
        <v>0</v>
      </c>
      <c r="AV8" s="248">
        <f>IF($W8=$AV$3,(((INDEX('Tables - Part 2'!$AX$6:$BA$13,MATCH(CUI_SCC_Chloride!AH8,'Tables - Part 2'!$AV$6:$AV$13,0),MATCH(CUI_SCC_Chloride!X8,'Tables - Part 2'!$AX$5:$BA$5,0))+((INDEX('Tables - Part 2'!$AX$6:$BA$13,MATCH(CUI_SCC_Chloride!AH8,'Tables - Part 2'!$AV$6:$AV$13,0),MATCH(CUI_SCC_Chloride!X8,'Tables - Part 2'!$AX$5:$BA$5,0))+INDEX('Tables - Part 2'!$BB$6:$BE$13,MATCH(CUI_SCC_Chloride!$AH8,'Tables - Part 2'!$AV$6:$AV$13,0),MATCH(CUI_SCC_Chloride!$X8,'Tables - Part 2'!$AX$5:$BA$5,0)))/2))/2)+(INDEX('Tables - Part 2'!$AX$6:$BA$13,MATCH(CUI_SCC_Chloride!AH8,'Tables - Part 2'!$AV$6:$AV$13,0),MATCH(CUI_SCC_Chloride!X8,'Tables - Part 2'!$AX$5:$BA$5,0))+INDEX('Tables - Part 2'!$BB$6:$BE$13,MATCH(CUI_SCC_Chloride!$AH8,'Tables - Part 2'!$AV$6:$AV$13,0),MATCH(CUI_SCC_Chloride!$X8,'Tables - Part 2'!$AX$5:$BA$5,0)))/2)/2,0)</f>
        <v>0</v>
      </c>
      <c r="AW8" s="248">
        <f>IF($W8=$AW$3,(INDEX('Tables - Part 2'!$AX$6:$BA$13,MATCH(CUI_SCC_Chloride!AH8,'Tables - Part 2'!$AV$6:$AV$13,0),MATCH(CUI_SCC_Chloride!X8,'Tables - Part 2'!$AX$5:$BA$5,0))+INDEX('Tables - Part 2'!$BB$6:$BE$13,MATCH(CUI_SCC_Chloride!$AH8,'Tables - Part 2'!$AV$6:$AV$13,0),MATCH(CUI_SCC_Chloride!$X8,'Tables - Part 2'!$AX$5:$BA$5,0)))/2,0)</f>
        <v>0</v>
      </c>
      <c r="AX8" s="248">
        <f>IF($W8=$AX$3,(((INDEX('Tables - Part 2'!$AX$6:$BA$13,MATCH(CUI_SCC_Chloride!AH8,'Tables - Part 2'!$AV$6:$AV$13,0),MATCH(CUI_SCC_Chloride!X8,'Tables - Part 2'!$AX$5:$BA$5,0))+INDEX('Tables - Part 2'!$BB$6:$BE$13,MATCH(CUI_SCC_Chloride!$AH8,'Tables - Part 2'!$AV$6:$AV$13,0),MATCH(CUI_SCC_Chloride!$X8,'Tables - Part 2'!$AX$5:$BA$5,0)))/2)+(((INDEX('Tables - Part 2'!$AX$6:$BA$13,MATCH(CUI_SCC_Chloride!AH8,'Tables - Part 2'!$AV$6:$AV$13,0),MATCH(CUI_SCC_Chloride!X8,'Tables - Part 2'!$AX$5:$BA$5,0))+INDEX('Tables - Part 2'!$BB$6:$BE$13,MATCH(CUI_SCC_Chloride!$AH8,'Tables - Part 2'!$AV$6:$AV$13,0),MATCH(CUI_SCC_Chloride!$X8,'Tables - Part 2'!$AX$5:$BA$5,0)))/2)+INDEX('Tables - Part 2'!$BB$6:$BE$13,MATCH(CUI_SCC_Chloride!$AH8,'Tables - Part 2'!$AV$6:$AV$13,0),MATCH(CUI_SCC_Chloride!$X8,'Tables - Part 2'!$AX$5:$BA$5,0)))/2)/2,0)</f>
        <v>0</v>
      </c>
      <c r="AY8" s="248">
        <f>IF($W8=$AY$3,(((INDEX('Tables - Part 2'!$AX$6:$BA$13,MATCH(CUI_SCC_Chloride!AH8,'Tables - Part 2'!$AV$6:$AV$13,0),MATCH(CUI_SCC_Chloride!X8,'Tables - Part 2'!$AX$5:$BA$5,0))+INDEX('Tables - Part 2'!$BB$6:$BE$13,MATCH(CUI_SCC_Chloride!$AH8,'Tables - Part 2'!$AV$6:$AV$13,0),MATCH(CUI_SCC_Chloride!$X8,'Tables - Part 2'!$AX$5:$BA$5,0)))/2)+INDEX('Tables - Part 2'!$BB$6:$BE$13,MATCH(CUI_SCC_Chloride!$AH8,'Tables - Part 2'!$AV$6:$AV$13,0),MATCH(CUI_SCC_Chloride!$X8,'Tables - Part 2'!$AX$5:$BA$5,0)))/2,0)</f>
        <v>0</v>
      </c>
      <c r="AZ8" s="248">
        <f>IF($W8=$AZ$3,(((((INDEX('Tables - Part 2'!$AX$6:$BA$13,MATCH(CUI_SCC_Chloride!AH8,'Tables - Part 2'!$AV$6:$AV$13,0),MATCH(CUI_SCC_Chloride!X8,'Tables - Part 2'!$AX$5:$BA$5,0))+INDEX('Tables - Part 2'!$BB$6:$BE$13,MATCH(CUI_SCC_Chloride!$AH8,'Tables - Part 2'!$AV$6:$AV$13,0),MATCH(CUI_SCC_Chloride!$X8,'Tables - Part 2'!$AX$5:$BA$5,0)))/2)+INDEX('Tables - Part 2'!$BB$6:$BE$13,MATCH(CUI_SCC_Chloride!$AH8,'Tables - Part 2'!$AV$6:$AV$13,0),MATCH(CUI_SCC_Chloride!$X8,'Tables - Part 2'!$AX$5:$BA$5,0)))/2)+INDEX('Tables - Part 2'!$BB$6:$BE$13,MATCH(CUI_SCC_Chloride!$AH8,'Tables - Part 2'!$AV$6:$AV$13,0),MATCH(CUI_SCC_Chloride!$X8,'Tables - Part 2'!$AX$5:$BA$5,0)))/2,0)</f>
        <v>0</v>
      </c>
      <c r="BA8" s="248">
        <f>IF($W8=$BA$3,INDEX('Tables - Part 2'!$BB$6:$BE$13,MATCH(CUI_SCC_Chloride!$AH8,'Tables - Part 2'!$AV$6:$AV$13,0),MATCH(CUI_SCC_Chloride!$X8,'Tables - Part 2'!$AX$5:$BA$5,0)),0)</f>
        <v>0</v>
      </c>
      <c r="BB8" s="248">
        <f>IF($W8=$BB$3,((INDEX('Tables - Part 2'!$BB$6:$BE$13,MATCH(CUI_SCC_Chloride!$AH8,'Tables - Part 2'!$AV$6:$AV$13,0),MATCH(CUI_SCC_Chloride!$X8,'Tables - Part 2'!$AX$5:$BA$5,0)))+(INDEX('Tables - Part 2'!$BB$6:$BE$13,MATCH(CUI_SCC_Chloride!$AH8,'Tables - Part 2'!$AV$6:$AV$13,0),MATCH(CUI_SCC_Chloride!$X8,'Tables - Part 2'!$AX$5:$BA$5,0))+(INDEX('Tables - Part 2'!$BB$6:$BE$13,MATCH(CUI_SCC_Chloride!$AH8,'Tables - Part 2'!$AV$6:$AV$13,0),MATCH(CUI_SCC_Chloride!$X8,'Tables - Part 2'!$AX$5:$BA$5,0))+INDEX('Tables - Part 2'!$BF$6:$BI$13,MATCH(CUI_SCC_Chloride!$AH8,'Tables - Part 2'!$AV$6:$AV$13,0),MATCH(CUI_SCC_Chloride!$X8,'Tables - Part 2'!$AX$5:$BA$5,0)))/2)/2)/2,0)</f>
        <v>0</v>
      </c>
      <c r="BC8" s="248">
        <f>IF($W8=$BC$3,(INDEX('Tables - Part 2'!$BB$6:$BE$13,MATCH(CUI_SCC_Chloride!$AH8,'Tables - Part 2'!$AV$6:$AV$13,0),MATCH(CUI_SCC_Chloride!$X8,'Tables - Part 2'!$AX$5:$BA$5,0))+(INDEX('Tables - Part 2'!$BB$6:$BE$13,MATCH(CUI_SCC_Chloride!$AH8,'Tables - Part 2'!$AV$6:$AV$13,0),MATCH(CUI_SCC_Chloride!$X8,'Tables - Part 2'!$AX$5:$BA$5,0))+INDEX('Tables - Part 2'!$BF$6:$BI$13,MATCH(CUI_SCC_Chloride!$AH8,'Tables - Part 2'!$AV$6:$AV$13,0),MATCH(CUI_SCC_Chloride!$X8,'Tables - Part 2'!$AX$5:$BA$5,0)))/2)/2,0)</f>
        <v>0</v>
      </c>
      <c r="BD8" s="248">
        <f>IF($W8=$BD$3,(((INDEX('Tables - Part 2'!$BB$6:$BE$13,MATCH(CUI_SCC_Chloride!$AH8,'Tables - Part 2'!$AV$6:$AV$13,0),MATCH(CUI_SCC_Chloride!$X8,'Tables - Part 2'!$AX$5:$BA$5,0))+(INDEX('Tables - Part 2'!$BB$6:$BE$13,MATCH(CUI_SCC_Chloride!$AH8,'Tables - Part 2'!$AV$6:$AV$13,0),MATCH(CUI_SCC_Chloride!$X8,'Tables - Part 2'!$AX$5:$BA$5,0))+INDEX('Tables - Part 2'!$BF$6:$BI$13,MATCH(CUI_SCC_Chloride!$AH8,'Tables - Part 2'!$AV$6:$AV$13,0),MATCH(CUI_SCC_Chloride!$X8,'Tables - Part 2'!$AX$5:$BA$5,0)))/2)/2)+((INDEX('Tables - Part 2'!$BB$6:$BE$13,MATCH(CUI_SCC_Chloride!$AH8,'Tables - Part 2'!$AV$6:$AV$13,0),MATCH(CUI_SCC_Chloride!$X8,'Tables - Part 2'!$AX$5:$BA$5,0))+INDEX('Tables - Part 2'!$BF$6:$BI$13,MATCH(CUI_SCC_Chloride!$AH8,'Tables - Part 2'!$AV$6:$AV$13,0),MATCH(CUI_SCC_Chloride!$X8,'Tables - Part 2'!$AX$5:$BA$5,0)))/2))/2,0)</f>
        <v>0</v>
      </c>
      <c r="BE8" s="248">
        <f>IF($W8=$BE$3,(INDEX('Tables - Part 2'!$BB$6:$BE$13,MATCH(CUI_SCC_Chloride!$AH8,'Tables - Part 2'!$AV$6:$AV$13,0),MATCH(CUI_SCC_Chloride!$X8,'Tables - Part 2'!$AX$5:$BA$5,0))+INDEX('Tables - Part 2'!$BF$6:$BI$13,MATCH(CUI_SCC_Chloride!$AH8,'Tables - Part 2'!$AV$6:$AV$13,0),MATCH(CUI_SCC_Chloride!$X8,'Tables - Part 2'!$AX$5:$BA$5,0)))/2,0)</f>
        <v>0</v>
      </c>
      <c r="BF8" s="248">
        <f>IF($W8=$BF$3,(((INDEX('Tables - Part 2'!$BB$6:$BE$13,MATCH(CUI_SCC_Chloride!$AH8,'Tables - Part 2'!$AV$6:$AV$13,0),MATCH(CUI_SCC_Chloride!$X8,'Tables - Part 2'!$AX$5:$BA$5,0))+INDEX('Tables - Part 2'!$BF$6:$BI$13,MATCH(CUI_SCC_Chloride!$AH8,'Tables - Part 2'!$AV$6:$AV$13,0),MATCH(CUI_SCC_Chloride!$X8,'Tables - Part 2'!$AX$5:$BA$5,0)))/2)+((((INDEX('Tables - Part 2'!$BB$6:$BE$13,MATCH(CUI_SCC_Chloride!$AH8,'Tables - Part 2'!$AV$6:$AV$13,0),MATCH(CUI_SCC_Chloride!$X8,'Tables - Part 2'!$AX$5:$BA$5,0))+INDEX('Tables - Part 2'!$BF$6:$BI$13,MATCH(CUI_SCC_Chloride!$AH8,'Tables - Part 2'!$AV$6:$AV$13,0),MATCH(CUI_SCC_Chloride!$X8,'Tables - Part 2'!$AX$5:$BA$5,0)))/2)+INDEX('Tables - Part 2'!$BF$6:$BI$13,MATCH(CUI_SCC_Chloride!$AH8,'Tables - Part 2'!$AV$6:$AV$13,0),MATCH(CUI_SCC_Chloride!$X8,'Tables - Part 2'!$AX$5:$BA$5,0)))/2))/2,0)</f>
        <v>0</v>
      </c>
      <c r="BG8" s="248">
        <f>IF($W8=$BG$3,(((INDEX('Tables - Part 2'!$BB$6:$BE$13,MATCH(CUI_SCC_Chloride!$AH8,'Tables - Part 2'!$AV$6:$AV$13,0),MATCH(CUI_SCC_Chloride!$X8,'Tables - Part 2'!$AX$5:$BA$5,0))+INDEX('Tables - Part 2'!$BF$6:$BI$13,MATCH(CUI_SCC_Chloride!$AH8,'Tables - Part 2'!$AV$6:$AV$13,0),MATCH(CUI_SCC_Chloride!$X8,'Tables - Part 2'!$AX$5:$BA$5,0)))/2)+INDEX('Tables - Part 2'!$BF$6:$BI$13,MATCH(CUI_SCC_Chloride!$AH8,'Tables - Part 2'!$AV$6:$AV$13,0),MATCH(CUI_SCC_Chloride!$X8,'Tables - Part 2'!$AX$5:$BA$5,0)))/2,0)</f>
        <v>0</v>
      </c>
      <c r="BH8" s="248">
        <f>IF($W8=$BH$3,(((((INDEX('Tables - Part 2'!$BB$6:$BE$13,MATCH(CUI_SCC_Chloride!$AH8,'Tables - Part 2'!$AV$6:$AV$13,0),MATCH(CUI_SCC_Chloride!$X8,'Tables - Part 2'!$AX$5:$BA$5,0))+INDEX('Tables - Part 2'!$BF$6:$BI$13,MATCH(CUI_SCC_Chloride!$AH8,'Tables - Part 2'!$AV$6:$AV$13,0),MATCH(CUI_SCC_Chloride!$X8,'Tables - Part 2'!$AX$5:$BA$5,0)))/2)+INDEX('Tables - Part 2'!$BF$6:$BI$13,MATCH(CUI_SCC_Chloride!$AH8,'Tables - Part 2'!$AV$6:$AV$13,0),MATCH(CUI_SCC_Chloride!$X8,'Tables - Part 2'!$AX$5:$BA$5,0)))/2)+INDEX('Tables - Part 2'!$BF$6:$BI$13,MATCH(CUI_SCC_Chloride!$AH8,'Tables - Part 2'!$AV$6:$AV$13,0),MATCH(CUI_SCC_Chloride!$X8,'Tables - Part 2'!$AX$5:$BA$5,0)))/2,0)</f>
        <v>0</v>
      </c>
      <c r="BI8" s="248">
        <f>IF($W8=$BI$3,INDEX('Tables - Part 2'!$BF$6:$BI$13,MATCH(CUI_SCC_Chloride!$AH8,'Tables - Part 2'!$AV$6:$AV$13,0),MATCH(CUI_SCC_Chloride!$X8,'Tables - Part 2'!$AX$5:$BA$5,0)),0)</f>
        <v>0</v>
      </c>
      <c r="BJ8" s="248">
        <f>IF($W8=$BJ$3,(INDEX('Tables - Part 2'!$BF$6:$BI$13,MATCH(CUI_SCC_Chloride!$AH8,'Tables - Part 2'!$AV$6:$AV$13,0),MATCH(CUI_SCC_Chloride!$X8,'Tables - Part 2'!$AX$5:$BA$5,0))+((INDEX('Tables - Part 2'!$BF$6:$BI$13,MATCH(CUI_SCC_Chloride!$AH8,'Tables - Part 2'!$AV$6:$AV$13,0),MATCH(CUI_SCC_Chloride!$X8,'Tables - Part 2'!$AX$5:$BA$5,0))+(INDEX('Tables - Part 2'!$BF$6:$BI$13,MATCH(CUI_SCC_Chloride!$AH8,'Tables - Part 2'!$AV$6:$AV$13,0),MATCH(CUI_SCC_Chloride!$X8,'Tables - Part 2'!$AX$5:$BA$5,0))+INDEX('Tables - Part 2'!$AX$17:$BA$24,MATCH(CUI_SCC_Chloride!$AH8,'Tables - Part 2'!$AV$6:$AV$13,0),MATCH(CUI_SCC_Chloride!$X8,'Tables - Part 2'!$AX$5:$BA$5,0)))/2)/2))/2,0)</f>
        <v>0</v>
      </c>
      <c r="BK8" s="248">
        <f>IF($W8=$BK$3,(INDEX('Tables - Part 2'!$BF$6:$BI$13,MATCH(CUI_SCC_Chloride!$AH8,'Tables - Part 2'!$AV$6:$AV$13,0),MATCH(CUI_SCC_Chloride!$X8,'Tables - Part 2'!$AX$5:$BA$5,0))+(INDEX('Tables - Part 2'!$BF$6:$BI$13,MATCH(CUI_SCC_Chloride!$AH8,'Tables - Part 2'!$AV$6:$AV$13,0),MATCH(CUI_SCC_Chloride!$X8,'Tables - Part 2'!$AX$5:$BA$5,0))+INDEX('Tables - Part 2'!$AX$17:$BA$24,MATCH(CUI_SCC_Chloride!$AH8,'Tables - Part 2'!$AV$6:$AV$13,0),MATCH(CUI_SCC_Chloride!$X8,'Tables - Part 2'!$AX$5:$BA$5,0)))/2)/2,0)</f>
        <v>0</v>
      </c>
      <c r="BL8" s="248">
        <f>IF($W8=$BL$3,(((INDEX('Tables - Part 2'!$BF$6:$BI$13,MATCH(CUI_SCC_Chloride!$AH8,'Tables - Part 2'!$AV$6:$AV$13,0),MATCH(CUI_SCC_Chloride!$X8,'Tables - Part 2'!$AX$5:$BA$5,0))+(INDEX('Tables - Part 2'!$BF$6:$BI$13,MATCH(CUI_SCC_Chloride!$AH8,'Tables - Part 2'!$AV$6:$AV$13,0),MATCH(CUI_SCC_Chloride!$X8,'Tables - Part 2'!$AX$5:$BA$5,0))+INDEX('Tables - Part 2'!$AX$17:$BA$24,MATCH(CUI_SCC_Chloride!$AH8,'Tables - Part 2'!$AV$6:$AV$13,0),MATCH(CUI_SCC_Chloride!$X8,'Tables - Part 2'!$AX$5:$BA$5,0)))/2)/2)+((INDEX('Tables - Part 2'!$BF$6:$BI$13,MATCH(CUI_SCC_Chloride!$AH8,'Tables - Part 2'!$AV$6:$AV$13,0),MATCH(CUI_SCC_Chloride!$X8,'Tables - Part 2'!$AX$5:$BA$5,0))+INDEX('Tables - Part 2'!$AX$17:$BA$24,MATCH(CUI_SCC_Chloride!$AH8,'Tables - Part 2'!$AV$6:$AV$13,0),MATCH(CUI_SCC_Chloride!$X8,'Tables - Part 2'!$AX$5:$BA$5,0)))/2))/2,0)</f>
        <v>0</v>
      </c>
      <c r="BM8" s="248">
        <f>IF($W8=$BM$3,(INDEX('Tables - Part 2'!$BF$6:$BI$13,MATCH(CUI_SCC_Chloride!$AH8,'Tables - Part 2'!$AV$6:$AV$13,0),MATCH(CUI_SCC_Chloride!$X8,'Tables - Part 2'!$AX$5:$BA$5,0))+INDEX('Tables - Part 2'!$AX$17:$BA$24,MATCH(CUI_SCC_Chloride!$AH8,'Tables - Part 2'!$AV$6:$AV$13,0),MATCH(CUI_SCC_Chloride!$X8,'Tables - Part 2'!$AX$5:$BA$5,0)))/2,0)</f>
        <v>0</v>
      </c>
      <c r="BN8" s="248">
        <f>IF($W8=$BN$3,(((INDEX('Tables - Part 2'!$BF$6:$BI$13,MATCH(CUI_SCC_Chloride!$AH8,'Tables - Part 2'!$AV$6:$AV$13,0),MATCH(CUI_SCC_Chloride!$X8,'Tables - Part 2'!$AX$5:$BA$5,0))+INDEX('Tables - Part 2'!$AX$17:$BA$24,MATCH(CUI_SCC_Chloride!$AH8,'Tables - Part 2'!$AV$6:$AV$13,0),MATCH(CUI_SCC_Chloride!$X8,'Tables - Part 2'!$AX$5:$BA$5,0)))/2)+((((INDEX('Tables - Part 2'!$BF$6:$BI$13,MATCH(CUI_SCC_Chloride!$AH8,'Tables - Part 2'!$AV$6:$AV$13,0),MATCH(CUI_SCC_Chloride!$X8,'Tables - Part 2'!$AX$5:$BA$5,0))+INDEX('Tables - Part 2'!$AX$17:$BA$24,MATCH(CUI_SCC_Chloride!$AH8,'Tables - Part 2'!$AV$6:$AV$13,0),MATCH(CUI_SCC_Chloride!$X8,'Tables - Part 2'!$AX$5:$BA$5,0)))/2)+INDEX('Tables - Part 2'!$AX$17:$BA$24,MATCH(CUI_SCC_Chloride!$AH8,'Tables - Part 2'!$AV$6:$AV$13,0),MATCH(CUI_SCC_Chloride!$X8,'Tables - Part 2'!$AX$5:$BA$5,0)))/2))/2,0)</f>
        <v>0</v>
      </c>
      <c r="BO8" s="248">
        <f>IF($W8=$BO$3,(((INDEX('Tables - Part 2'!$BF$6:$BI$13,MATCH(CUI_SCC_Chloride!$AH8,'Tables - Part 2'!$AV$6:$AV$13,0),MATCH(CUI_SCC_Chloride!$X8,'Tables - Part 2'!$AX$5:$BA$5,0))+INDEX('Tables - Part 2'!$AX$17:$BA$24,MATCH(CUI_SCC_Chloride!$AH8,'Tables - Part 2'!$AV$6:$AV$13,0),MATCH(CUI_SCC_Chloride!$X8,'Tables - Part 2'!$AX$5:$BA$5,0)))/2)+INDEX('Tables - Part 2'!$AX$17:$BA$24,MATCH(CUI_SCC_Chloride!$AH8,'Tables - Part 2'!$AV$6:$AV$13,0),MATCH(CUI_SCC_Chloride!$X8,'Tables - Part 2'!$AX$5:$BA$5,0)))/2,0)</f>
        <v>0</v>
      </c>
      <c r="BP8" s="248">
        <f>IF($W8=$BP$3,(((((INDEX('Tables - Part 2'!$BF$6:$BI$13,MATCH(CUI_SCC_Chloride!$AH8,'Tables - Part 2'!$AV$6:$AV$13,0),MATCH(CUI_SCC_Chloride!$X8,'Tables - Part 2'!$AX$5:$BA$5,0))+INDEX('Tables - Part 2'!$AX$17:$BA$24,MATCH(CUI_SCC_Chloride!$AH8,'Tables - Part 2'!$AV$6:$AV$13,0),MATCH(CUI_SCC_Chloride!$X8,'Tables - Part 2'!$AX$5:$BA$5,0)))/2)+INDEX('Tables - Part 2'!$AX$17:$BA$24,MATCH(CUI_SCC_Chloride!$AH8,'Tables - Part 2'!$AV$6:$AV$13,0),MATCH(CUI_SCC_Chloride!$X8,'Tables - Part 2'!$AX$5:$BA$5,0)))/2)+(INDEX('Tables - Part 2'!$AX$17:$BA$24,MATCH(CUI_SCC_Chloride!$AH8,'Tables - Part 2'!$AV$6:$AV$13,0),MATCH(CUI_SCC_Chloride!$X8,'Tables - Part 2'!$AX$5:$BA$5,0))))/2,0)</f>
        <v>0</v>
      </c>
      <c r="BQ8" s="248">
        <f>IF($W8=$BQ$3,INDEX('Tables - Part 2'!$AX$17:$BA$24,MATCH(CUI_SCC_Chloride!$AH8,'Tables - Part 2'!$AV$6:$AV$13,0),MATCH(CUI_SCC_Chloride!$X8,'Tables - Part 2'!$AX$5:$BA$5,0)),0)</f>
        <v>0</v>
      </c>
      <c r="BR8" s="248">
        <f>IF($W8=$BR$3,((INDEX('Tables - Part 2'!$AX$17:$BA$24,MATCH(CUI_SCC_Chloride!$AH8,'Tables - Part 2'!$AV$6:$AV$13,0),MATCH(CUI_SCC_Chloride!$X8,'Tables - Part 2'!$AX$5:$BA$5,0)))+(((INDEX('Tables - Part 2'!$AX$17:$BA$24,MATCH(CUI_SCC_Chloride!$AH8,'Tables - Part 2'!$AV$6:$AV$13,0),MATCH(CUI_SCC_Chloride!$X8,'Tables - Part 2'!$AX$5:$BA$5,0)))+(INDEX('Tables - Part 2'!$AX$17:$BA$24,MATCH(CUI_SCC_Chloride!$AH8,'Tables - Part 2'!$AV$6:$AV$13,0),MATCH(CUI_SCC_Chloride!$X8,'Tables - Part 2'!$AX$5:$BA$5,0))+INDEX('Tables - Part 2'!$BB$17:$BE$24,MATCH(CUI_SCC_Chloride!$AH8,'Tables - Part 2'!$AV$6:$AV$13,0),MATCH(CUI_SCC_Chloride!$X8,'Tables - Part 2'!$AX$5:$BA$5,0)))/2)/2))/2,0)</f>
        <v>0</v>
      </c>
      <c r="BS8" s="248">
        <f>IF($W8=$BS$3,((INDEX('Tables - Part 2'!$AX$17:$BA$24,MATCH(CUI_SCC_Chloride!$AH8,'Tables - Part 2'!$AV$6:$AV$13,0),MATCH(CUI_SCC_Chloride!$X8,'Tables - Part 2'!$AX$5:$BA$5,0)))+(INDEX('Tables - Part 2'!$AX$17:$BA$24,MATCH(CUI_SCC_Chloride!$AH8,'Tables - Part 2'!$AV$6:$AV$13,0),MATCH(CUI_SCC_Chloride!$X8,'Tables - Part 2'!$AX$5:$BA$5,0))+INDEX('Tables - Part 2'!$BB$17:$BE$24,MATCH(CUI_SCC_Chloride!$AH8,'Tables - Part 2'!$AV$6:$AV$13,0),MATCH(CUI_SCC_Chloride!$X8,'Tables - Part 2'!$AX$5:$BA$5,0)))/2)/2,0)</f>
        <v>0</v>
      </c>
      <c r="BT8" s="248">
        <f>IF($W8=$BT$3,((((INDEX('Tables - Part 2'!$AX$17:$BA$24,MATCH(CUI_SCC_Chloride!$AH8,'Tables - Part 2'!$AV$6:$AV$13,0),MATCH(CUI_SCC_Chloride!$X8,'Tables - Part 2'!$AX$5:$BA$5,0)))+(INDEX('Tables - Part 2'!$AX$17:$BA$24,MATCH(CUI_SCC_Chloride!$AH8,'Tables - Part 2'!$AV$6:$AV$13,0),MATCH(CUI_SCC_Chloride!$X8,'Tables - Part 2'!$AX$5:$BA$5,0))+INDEX('Tables - Part 2'!$BB$17:$BE$24,MATCH(CUI_SCC_Chloride!$AH8,'Tables - Part 2'!$AV$6:$AV$13,0),MATCH(CUI_SCC_Chloride!$X8,'Tables - Part 2'!$AX$5:$BA$5,0)))/2)/2)+((INDEX('Tables - Part 2'!$AX$17:$BA$24,MATCH(CUI_SCC_Chloride!$AH8,'Tables - Part 2'!$AV$6:$AV$13,0),MATCH(CUI_SCC_Chloride!$X8,'Tables - Part 2'!$AX$5:$BA$5,0))+INDEX('Tables - Part 2'!$BB$17:$BE$24,MATCH(CUI_SCC_Chloride!$AH8,'Tables - Part 2'!$AV$6:$AV$13,0),MATCH(CUI_SCC_Chloride!$X8,'Tables - Part 2'!$AX$5:$BA$5,0)))/2))/2,0)</f>
        <v>0</v>
      </c>
      <c r="BU8" s="248">
        <f>IF($W8=$BU$3,(INDEX('Tables - Part 2'!$AX$17:$BA$24,MATCH(CUI_SCC_Chloride!$AH8,'Tables - Part 2'!$AV$6:$AV$13,0),MATCH(CUI_SCC_Chloride!$X8,'Tables - Part 2'!$AX$5:$BA$5,0))+INDEX('Tables - Part 2'!$BB$17:$BE$24,MATCH(CUI_SCC_Chloride!$AH8,'Tables - Part 2'!$AV$6:$AV$13,0),MATCH(CUI_SCC_Chloride!$X8,'Tables - Part 2'!$AX$5:$BA$5,0)))/2,0)</f>
        <v>0</v>
      </c>
      <c r="BV8" s="248">
        <f>IF($W8=$BV$3,(((INDEX('Tables - Part 2'!$AX$17:$BA$24,MATCH(CUI_SCC_Chloride!$AH8,'Tables - Part 2'!$AV$6:$AV$13,0),MATCH(CUI_SCC_Chloride!$X8,'Tables - Part 2'!$AX$5:$BA$5,0))+INDEX('Tables - Part 2'!$BB$17:$BE$24,MATCH(CUI_SCC_Chloride!$AH8,'Tables - Part 2'!$AV$6:$AV$13,0),MATCH(CUI_SCC_Chloride!$X8,'Tables - Part 2'!$AX$5:$BA$5,0)))/2)+((((INDEX('Tables - Part 2'!$AX$17:$BA$24,MATCH(CUI_SCC_Chloride!$AH8,'Tables - Part 2'!$AV$6:$AV$13,0),MATCH(CUI_SCC_Chloride!$X8,'Tables - Part 2'!$AX$5:$BA$5,0))+INDEX('Tables - Part 2'!$BB$17:$BE$24,MATCH(CUI_SCC_Chloride!$AH8,'Tables - Part 2'!$AV$6:$AV$13,0),MATCH(CUI_SCC_Chloride!$X8,'Tables - Part 2'!$AX$5:$BA$5,0)))/2)+INDEX('Tables - Part 2'!$BB$17:$BE$24,MATCH(CUI_SCC_Chloride!$AH8,'Tables - Part 2'!$AV$6:$AV$13,0),MATCH(CUI_SCC_Chloride!$X8,'Tables - Part 2'!$AX$5:$BA$5,0)))/2))/2,0)</f>
        <v>0</v>
      </c>
      <c r="BW8" s="248">
        <f>IF($W8=$BW$3,(((INDEX('Tables - Part 2'!$AX$17:$BA$24,MATCH(CUI_SCC_Chloride!$AH8,'Tables - Part 2'!$AV$6:$AV$13,0),MATCH(CUI_SCC_Chloride!$X8,'Tables - Part 2'!$AX$5:$BA$5,0))+INDEX('Tables - Part 2'!$BB$17:$BE$24,MATCH(CUI_SCC_Chloride!$AH8,'Tables - Part 2'!$AV$6:$AV$13,0),MATCH(CUI_SCC_Chloride!$X8,'Tables - Part 2'!$AX$5:$BA$5,0)))/2)+INDEX('Tables - Part 2'!$BB$17:$BE$24,MATCH(CUI_SCC_Chloride!$AH8,'Tables - Part 2'!$AV$6:$AV$13,0),MATCH(CUI_SCC_Chloride!$X8,'Tables - Part 2'!$AX$5:$BA$5,0)))/2,0)</f>
        <v>0</v>
      </c>
      <c r="BX8" s="248">
        <f>IF($W8=$BX$3,(((((INDEX('Tables - Part 2'!$AX$17:$BA$24,MATCH(CUI_SCC_Chloride!$AH8,'Tables - Part 2'!$AV$6:$AV$13,0),MATCH(CUI_SCC_Chloride!$X8,'Tables - Part 2'!$AX$5:$BA$5,0))+INDEX('Tables - Part 2'!$BB$17:$BE$24,MATCH(CUI_SCC_Chloride!$AH8,'Tables - Part 2'!$AV$6:$AV$13,0),MATCH(CUI_SCC_Chloride!$X8,'Tables - Part 2'!$AX$5:$BA$5,0)))/2)+INDEX('Tables - Part 2'!$BB$17:$BE$24,MATCH(CUI_SCC_Chloride!$AH8,'Tables - Part 2'!$AV$6:$AV$13,0),MATCH(CUI_SCC_Chloride!$X8,'Tables - Part 2'!$AX$5:$BA$5,0)))/2)+(INDEX('Tables - Part 2'!$BB$17:$BE$24,MATCH(CUI_SCC_Chloride!$AH8,'Tables - Part 2'!$AV$6:$AV$13,0),MATCH(CUI_SCC_Chloride!$X8,'Tables - Part 2'!$AX$5:$BA$5,0))))/2,0)</f>
        <v>0</v>
      </c>
      <c r="BY8" s="248">
        <f>IF($W8=$BY$3,INDEX('Tables - Part 2'!$BB$17:$BE$24,MATCH(CUI_SCC_Chloride!$AH8,'Tables - Part 2'!$AV$6:$AV$13,0),MATCH(CUI_SCC_Chloride!$X8,'Tables - Part 2'!$AX$5:$BA$5,0)),0)</f>
        <v>0</v>
      </c>
      <c r="BZ8" s="248">
        <f>IF($W8=$BZ$3,((INDEX('Tables - Part 2'!$BB$17:$BE$24,MATCH(CUI_SCC_Chloride!$AH8,'Tables - Part 2'!$AV$6:$AV$13,0),MATCH(CUI_SCC_Chloride!$X8,'Tables - Part 2'!$AX$5:$BA$5,0)))+(((INDEX('Tables - Part 2'!$BB$17:$BE$24,MATCH(CUI_SCC_Chloride!$AH8,'Tables - Part 2'!$AV$6:$AV$13,0),MATCH(CUI_SCC_Chloride!$X8,'Tables - Part 2'!$AX$5:$BA$5,0)))+(INDEX('Tables - Part 2'!$BB$17:$BE$24,MATCH(CUI_SCC_Chloride!$AH8,'Tables - Part 2'!$AV$6:$AV$13,0),MATCH(CUI_SCC_Chloride!$X8,'Tables - Part 2'!$AX$5:$BA$5,0))+INDEX('Tables - Part 2'!$BF$17:$BI$24,MATCH(CUI_SCC_Chloride!$AH8,'Tables - Part 2'!$AV$6:$AV$13,0),MATCH(CUI_SCC_Chloride!$X8,'Tables - Part 2'!$AX$5:$BA$5,0)))/2)/2))/2,0)</f>
        <v>0</v>
      </c>
      <c r="CA8" s="248">
        <f>IF($W8=$CA$3,((INDEX('Tables - Part 2'!$BB$17:$BE$24,MATCH(CUI_SCC_Chloride!$AH8,'Tables - Part 2'!$AV$6:$AV$13,0),MATCH(CUI_SCC_Chloride!$X8,'Tables - Part 2'!$AX$5:$BA$5,0)))+(INDEX('Tables - Part 2'!$BB$17:$BE$24,MATCH(CUI_SCC_Chloride!$AH8,'Tables - Part 2'!$AV$6:$AV$13,0),MATCH(CUI_SCC_Chloride!$X8,'Tables - Part 2'!$AX$5:$BA$5,0))+INDEX('Tables - Part 2'!$BF$17:$BI$24,MATCH(CUI_SCC_Chloride!$AH8,'Tables - Part 2'!$AV$6:$AV$13,0),MATCH(CUI_SCC_Chloride!$X8,'Tables - Part 2'!$AX$5:$BA$5,0)))/2)/2,0)</f>
        <v>0</v>
      </c>
      <c r="CB8" s="248">
        <f>IF($W8=$CB$3,((((INDEX('Tables - Part 2'!$BB$17:$BE$24,MATCH(CUI_SCC_Chloride!$AH8,'Tables - Part 2'!$AV$6:$AV$13,0),MATCH(CUI_SCC_Chloride!$X8,'Tables - Part 2'!$AX$5:$BA$5,0)))+(INDEX('Tables - Part 2'!$BB$17:$BE$24,MATCH(CUI_SCC_Chloride!$AH8,'Tables - Part 2'!$AV$6:$AV$13,0),MATCH(CUI_SCC_Chloride!$X8,'Tables - Part 2'!$AX$5:$BA$5,0))+INDEX('Tables - Part 2'!$BF$17:$BI$24,MATCH(CUI_SCC_Chloride!$AH8,'Tables - Part 2'!$AV$6:$AV$13,0),MATCH(CUI_SCC_Chloride!$X8,'Tables - Part 2'!$AX$5:$BA$5,0)))/2)/2)+((INDEX('Tables - Part 2'!$BB$17:$BE$24,MATCH(CUI_SCC_Chloride!$AH8,'Tables - Part 2'!$AV$6:$AV$13,0),MATCH(CUI_SCC_Chloride!$X8,'Tables - Part 2'!$AX$5:$BA$5,0))+INDEX('Tables - Part 2'!$BF$17:$BI$24,MATCH(CUI_SCC_Chloride!$AH8,'Tables - Part 2'!$AV$6:$AV$13,0),MATCH(CUI_SCC_Chloride!$X8,'Tables - Part 2'!$AX$5:$BA$5,0)))/2))/2,0)</f>
        <v>0</v>
      </c>
      <c r="CC8" s="248">
        <f>IF($W8=$CC$3,(INDEX('Tables - Part 2'!$BB$17:$BE$24,MATCH(CUI_SCC_Chloride!$AH8,'Tables - Part 2'!$AV$6:$AV$13,0),MATCH(CUI_SCC_Chloride!$X8,'Tables - Part 2'!$AX$5:$BA$5,0))+INDEX('Tables - Part 2'!$BF$17:$BI$24,MATCH(CUI_SCC_Chloride!$AH8,'Tables - Part 2'!$AV$6:$AV$13,0),MATCH(CUI_SCC_Chloride!$X8,'Tables - Part 2'!$AX$5:$BA$5,0)))/2,0)</f>
        <v>0</v>
      </c>
      <c r="CD8" s="248">
        <f>IF($W8=$CD$3,(((INDEX('Tables - Part 2'!$BB$17:$BE$24,MATCH(CUI_SCC_Chloride!$AH8,'Tables - Part 2'!$AV$6:$AV$13,0),MATCH(CUI_SCC_Chloride!$X8,'Tables - Part 2'!$AX$5:$BA$5,0))+INDEX('Tables - Part 2'!$BF$17:$BI$24,MATCH(CUI_SCC_Chloride!$AH8,'Tables - Part 2'!$AV$6:$AV$13,0),MATCH(CUI_SCC_Chloride!$X8,'Tables - Part 2'!$AX$5:$BA$5,0)))/2)+((((INDEX('Tables - Part 2'!$BB$17:$BE$24,MATCH(CUI_SCC_Chloride!$AH8,'Tables - Part 2'!$AV$6:$AV$13,0),MATCH(CUI_SCC_Chloride!$X8,'Tables - Part 2'!$AX$5:$BA$5,0))+INDEX('Tables - Part 2'!$BF$17:$BI$24,MATCH(CUI_SCC_Chloride!$AH8,'Tables - Part 2'!$AV$6:$AV$13,0),MATCH(CUI_SCC_Chloride!$X8,'Tables - Part 2'!$AX$5:$BA$5,0)))/2)+INDEX('Tables - Part 2'!$BF$17:$BI$24,MATCH(CUI_SCC_Chloride!$AH8,'Tables - Part 2'!$AV$6:$AV$13,0),MATCH(CUI_SCC_Chloride!$X8,'Tables - Part 2'!$AX$5:$BA$5,0)))/2))/2,0)</f>
        <v>0</v>
      </c>
      <c r="CE8" s="248">
        <f>IF($W8=$CE$3,(((INDEX('Tables - Part 2'!$BB$17:$BE$24,MATCH(CUI_SCC_Chloride!$AH8,'Tables - Part 2'!$AV$6:$AV$13,0),MATCH(CUI_SCC_Chloride!$X8,'Tables - Part 2'!$AX$5:$BA$5,0))+INDEX('Tables - Part 2'!$BF$17:$BI$24,MATCH(CUI_SCC_Chloride!$AH8,'Tables - Part 2'!$AV$6:$AV$13,0),MATCH(CUI_SCC_Chloride!$X8,'Tables - Part 2'!$AX$5:$BA$5,0)))/2)+INDEX('Tables - Part 2'!$BF$17:$BI$24,MATCH(CUI_SCC_Chloride!$AH8,'Tables - Part 2'!$AV$6:$AV$13,0),MATCH(CUI_SCC_Chloride!$X8,'Tables - Part 2'!$AX$5:$BA$5,0)))/2,0)</f>
        <v>0</v>
      </c>
      <c r="CF8" s="248">
        <f>IF($W8=$CF$3,(((((INDEX('Tables - Part 2'!$BB$17:$BE$24,MATCH(CUI_SCC_Chloride!$AH8,'Tables - Part 2'!$AV$6:$AV$13,0),MATCH(CUI_SCC_Chloride!$X8,'Tables - Part 2'!$AX$5:$BA$5,0))+INDEX('Tables - Part 2'!$BF$17:$BI$24,MATCH(CUI_SCC_Chloride!$AH8,'Tables - Part 2'!$AV$6:$AV$13,0),MATCH(CUI_SCC_Chloride!$X8,'Tables - Part 2'!$AX$5:$BA$5,0)))/2)+INDEX('Tables - Part 2'!$BF$17:$BI$24,MATCH(CUI_SCC_Chloride!$AH8,'Tables - Part 2'!$AV$6:$AV$13,0),MATCH(CUI_SCC_Chloride!$X8,'Tables - Part 2'!$AX$5:$BA$5,0)))/2)+(INDEX('Tables - Part 2'!$BF$17:$BI$24,MATCH(CUI_SCC_Chloride!$AH8,'Tables - Part 2'!$AV$6:$AV$13,0),MATCH(CUI_SCC_Chloride!$X8,'Tables - Part 2'!$AX$5:$BA$5,0))))/2,0)</f>
        <v>0</v>
      </c>
      <c r="CG8" s="248">
        <f>IF($W8=$CG$3,INDEX('Tables - Part 2'!$BF$17:$BI$24,MATCH(CUI_SCC_Chloride!$AH8,'Tables - Part 2'!$AV$6:$AV$13,0),MATCH(CUI_SCC_Chloride!$X8,'Tables - Part 2'!$AX$5:$BA$5,0)),0)</f>
        <v>0</v>
      </c>
      <c r="CH8" s="248">
        <f t="shared" si="5"/>
        <v>0</v>
      </c>
      <c r="CI8" s="238">
        <f t="shared" si="19"/>
        <v>0</v>
      </c>
      <c r="CJ8" s="238">
        <f t="shared" si="20"/>
        <v>0</v>
      </c>
    </row>
    <row r="9" spans="2:95" x14ac:dyDescent="0.35">
      <c r="B9" s="161" t="str">
        <f>'Tratamento de Dados'!B17</f>
        <v>V-14</v>
      </c>
      <c r="C9" s="161" t="str">
        <f>'Tratamento de Dados'!D17</f>
        <v>Casco</v>
      </c>
      <c r="D9" s="209" t="s">
        <v>245</v>
      </c>
      <c r="E9" s="209" t="s">
        <v>61</v>
      </c>
      <c r="F9" s="247">
        <f>'Tratamento de Dados'!S17</f>
        <v>2</v>
      </c>
      <c r="G9" s="209" t="s">
        <v>953</v>
      </c>
      <c r="H9" s="210">
        <v>35234</v>
      </c>
      <c r="I9" s="210">
        <v>43983</v>
      </c>
      <c r="J9" s="210">
        <v>39092</v>
      </c>
      <c r="K9" s="210">
        <f>'Tratamento de Dados'!CC17</f>
        <v>0</v>
      </c>
      <c r="L9" s="209">
        <f>'Tratamento de Dados'!CD17</f>
        <v>0</v>
      </c>
      <c r="M9" s="209" t="s">
        <v>905</v>
      </c>
      <c r="N9" s="209" t="s">
        <v>1081</v>
      </c>
      <c r="O9" s="209" t="s">
        <v>1081</v>
      </c>
      <c r="P9" s="209" t="s">
        <v>244</v>
      </c>
      <c r="Q9" s="209">
        <v>0</v>
      </c>
      <c r="R9" s="209">
        <v>1</v>
      </c>
      <c r="S9" s="209">
        <v>1</v>
      </c>
      <c r="T9" s="209">
        <v>4</v>
      </c>
      <c r="U9" s="253">
        <f>'Tratamento de Dados'!DA17</f>
        <v>0</v>
      </c>
      <c r="V9" s="253">
        <f>'Tratamento de Dados'!DB17</f>
        <v>0</v>
      </c>
      <c r="W9" s="256">
        <f t="shared" si="0"/>
        <v>2.5</v>
      </c>
      <c r="X9" s="246" t="str">
        <f t="shared" si="1"/>
        <v>B</v>
      </c>
      <c r="Y9" s="246" t="str">
        <f>IF(F9&lt;49,'Tables - Part 2'!$FH$5,IF(F9&lt;=93,'Tables - Part 2'!$FH$6,IF(F9&lt;=149,'Tables - Part 2'!$FH$7,'Tables - Part 2'!$FH$8)))</f>
        <v>&lt;49</v>
      </c>
      <c r="Z9" s="246" t="str">
        <f>IF(D9=$CO$2,$CM$5,INDEX('Tables - Part 2'!$FR$5:$FU$8,MATCH(CUI_SCC_Chloride!Y9,'Tables - Part 2'!$FQ$5:$FQ$8,0),MATCH(CUI_SCC_Chloride!M9,'Tables - Part 2'!$FR$4:$FU$4,0)))</f>
        <v>None</v>
      </c>
      <c r="AA9" s="246" t="str">
        <f t="shared" si="6"/>
        <v>None</v>
      </c>
      <c r="AB9" s="219">
        <f t="shared" si="7"/>
        <v>0</v>
      </c>
      <c r="AC9" s="246" t="str">
        <f t="shared" si="8"/>
        <v>None</v>
      </c>
      <c r="AD9" s="219">
        <f t="shared" si="9"/>
        <v>0</v>
      </c>
      <c r="AE9" s="246" t="str">
        <f t="shared" si="10"/>
        <v>None</v>
      </c>
      <c r="AF9" s="219">
        <f t="shared" si="11"/>
        <v>0</v>
      </c>
      <c r="AG9" s="467" t="str">
        <f t="shared" si="12"/>
        <v>None</v>
      </c>
      <c r="AH9" s="238">
        <f>IF(AND(D9=$CO$2,E9&lt;&gt;$CO$2),"Fitness-For-Service",INDEX('Tables - Part 2'!$FO$4:$FO$7,MATCH(CUI_SCC_Chloride!AG9,'Tables - Part 2'!$FN$4:$FN$7,0),))</f>
        <v>0</v>
      </c>
      <c r="AI9" s="238">
        <f>IF(J9=0,(Thinning!G10-Thinning!F10)/365.25,(Thinning!G10-J9)/365.25)</f>
        <v>12.980150581793293</v>
      </c>
      <c r="AJ9" s="248">
        <f t="shared" si="2"/>
        <v>0</v>
      </c>
      <c r="AK9" s="248">
        <f t="shared" si="3"/>
        <v>2.5</v>
      </c>
      <c r="AL9" s="247">
        <f t="shared" si="13"/>
        <v>3</v>
      </c>
      <c r="AM9" s="247">
        <f t="shared" si="4"/>
        <v>4</v>
      </c>
      <c r="AN9" s="247">
        <f t="shared" si="14"/>
        <v>120.41889117043121</v>
      </c>
      <c r="AO9" s="247">
        <f t="shared" si="15"/>
        <v>0</v>
      </c>
      <c r="AP9" s="247">
        <f t="shared" si="16"/>
        <v>0</v>
      </c>
      <c r="AQ9" s="247">
        <f t="shared" si="17"/>
        <v>0</v>
      </c>
      <c r="AR9" s="247">
        <f t="shared" si="18"/>
        <v>12.980150581793293</v>
      </c>
      <c r="AS9" s="248">
        <f>IF($W9=$AS$3,INDEX('Tables - Part 2'!$AX$6:$BA$13,MATCH(CUI_SCC_Chloride!AH9,'Tables - Part 2'!$AV$6:$AV$13,0),MATCH(CUI_SCC_Chloride!X9,'Tables - Part 2'!$AX$5:$BA$5,0)),0)</f>
        <v>0</v>
      </c>
      <c r="AT9" s="248">
        <f>IF($W9=$AT$3,(INDEX('Tables - Part 2'!$AX$6:$BA$13,MATCH(CUI_SCC_Chloride!AH9,'Tables - Part 2'!$AV$6:$AV$13,0),MATCH(CUI_SCC_Chloride!X9,'Tables - Part 2'!$AX$5:$BA$5,0))+(INDEX('Tables - Part 2'!$AX$6:$BA$13,MATCH(CUI_SCC_Chloride!AH9,'Tables - Part 2'!$AV$6:$AV$13,0),MATCH(CUI_SCC_Chloride!X9,'Tables - Part 2'!$AX$5:$BA$5,0))+((INDEX('Tables - Part 2'!$AX$6:$BA$13,MATCH(CUI_SCC_Chloride!AH9,'Tables - Part 2'!$AV$6:$AV$13,0),MATCH(CUI_SCC_Chloride!X9,'Tables - Part 2'!$AX$5:$BA$5,0))+INDEX('Tables - Part 2'!$BB$6:$BE$13,MATCH(CUI_SCC_Chloride!$AH9,'Tables - Part 2'!$AV$6:$AV$13,0),MATCH(CUI_SCC_Chloride!$X9,'Tables - Part 2'!$AX$5:$BA$5,0)))/2))/2)/2,0)</f>
        <v>0</v>
      </c>
      <c r="AU9" s="248">
        <f>IF($W9=$AU$3,(INDEX('Tables - Part 2'!$AX$6:$BA$13,MATCH(CUI_SCC_Chloride!AH9,'Tables - Part 2'!$AV$6:$AV$13,0),MATCH(CUI_SCC_Chloride!X9,'Tables - Part 2'!$AX$5:$BA$5,0))+((INDEX('Tables - Part 2'!$AX$6:$BA$13,MATCH(CUI_SCC_Chloride!AH9,'Tables - Part 2'!$AV$6:$AV$13,0),MATCH(CUI_SCC_Chloride!X9,'Tables - Part 2'!$AX$5:$BA$5,0))+INDEX('Tables - Part 2'!$BB$6:$BE$13,MATCH(CUI_SCC_Chloride!$AH9,'Tables - Part 2'!$AV$6:$AV$13,0),MATCH(CUI_SCC_Chloride!$X9,'Tables - Part 2'!$AX$5:$BA$5,0)))/2))/2,0)</f>
        <v>0</v>
      </c>
      <c r="AV9" s="248">
        <f>IF($W9=$AV$3,(((INDEX('Tables - Part 2'!$AX$6:$BA$13,MATCH(CUI_SCC_Chloride!AH9,'Tables - Part 2'!$AV$6:$AV$13,0),MATCH(CUI_SCC_Chloride!X9,'Tables - Part 2'!$AX$5:$BA$5,0))+((INDEX('Tables - Part 2'!$AX$6:$BA$13,MATCH(CUI_SCC_Chloride!AH9,'Tables - Part 2'!$AV$6:$AV$13,0),MATCH(CUI_SCC_Chloride!X9,'Tables - Part 2'!$AX$5:$BA$5,0))+INDEX('Tables - Part 2'!$BB$6:$BE$13,MATCH(CUI_SCC_Chloride!$AH9,'Tables - Part 2'!$AV$6:$AV$13,0),MATCH(CUI_SCC_Chloride!$X9,'Tables - Part 2'!$AX$5:$BA$5,0)))/2))/2)+(INDEX('Tables - Part 2'!$AX$6:$BA$13,MATCH(CUI_SCC_Chloride!AH9,'Tables - Part 2'!$AV$6:$AV$13,0),MATCH(CUI_SCC_Chloride!X9,'Tables - Part 2'!$AX$5:$BA$5,0))+INDEX('Tables - Part 2'!$BB$6:$BE$13,MATCH(CUI_SCC_Chloride!$AH9,'Tables - Part 2'!$AV$6:$AV$13,0),MATCH(CUI_SCC_Chloride!$X9,'Tables - Part 2'!$AX$5:$BA$5,0)))/2)/2,0)</f>
        <v>0</v>
      </c>
      <c r="AW9" s="248">
        <f>IF($W9=$AW$3,(INDEX('Tables - Part 2'!$AX$6:$BA$13,MATCH(CUI_SCC_Chloride!AH9,'Tables - Part 2'!$AV$6:$AV$13,0),MATCH(CUI_SCC_Chloride!X9,'Tables - Part 2'!$AX$5:$BA$5,0))+INDEX('Tables - Part 2'!$BB$6:$BE$13,MATCH(CUI_SCC_Chloride!$AH9,'Tables - Part 2'!$AV$6:$AV$13,0),MATCH(CUI_SCC_Chloride!$X9,'Tables - Part 2'!$AX$5:$BA$5,0)))/2,0)</f>
        <v>0</v>
      </c>
      <c r="AX9" s="248">
        <f>IF($W9=$AX$3,(((INDEX('Tables - Part 2'!$AX$6:$BA$13,MATCH(CUI_SCC_Chloride!AH9,'Tables - Part 2'!$AV$6:$AV$13,0),MATCH(CUI_SCC_Chloride!X9,'Tables - Part 2'!$AX$5:$BA$5,0))+INDEX('Tables - Part 2'!$BB$6:$BE$13,MATCH(CUI_SCC_Chloride!$AH9,'Tables - Part 2'!$AV$6:$AV$13,0),MATCH(CUI_SCC_Chloride!$X9,'Tables - Part 2'!$AX$5:$BA$5,0)))/2)+(((INDEX('Tables - Part 2'!$AX$6:$BA$13,MATCH(CUI_SCC_Chloride!AH9,'Tables - Part 2'!$AV$6:$AV$13,0),MATCH(CUI_SCC_Chloride!X9,'Tables - Part 2'!$AX$5:$BA$5,0))+INDEX('Tables - Part 2'!$BB$6:$BE$13,MATCH(CUI_SCC_Chloride!$AH9,'Tables - Part 2'!$AV$6:$AV$13,0),MATCH(CUI_SCC_Chloride!$X9,'Tables - Part 2'!$AX$5:$BA$5,0)))/2)+INDEX('Tables - Part 2'!$BB$6:$BE$13,MATCH(CUI_SCC_Chloride!$AH9,'Tables - Part 2'!$AV$6:$AV$13,0),MATCH(CUI_SCC_Chloride!$X9,'Tables - Part 2'!$AX$5:$BA$5,0)))/2)/2,0)</f>
        <v>0</v>
      </c>
      <c r="AY9" s="248">
        <f>IF($W9=$AY$3,(((INDEX('Tables - Part 2'!$AX$6:$BA$13,MATCH(CUI_SCC_Chloride!AH9,'Tables - Part 2'!$AV$6:$AV$13,0),MATCH(CUI_SCC_Chloride!X9,'Tables - Part 2'!$AX$5:$BA$5,0))+INDEX('Tables - Part 2'!$BB$6:$BE$13,MATCH(CUI_SCC_Chloride!$AH9,'Tables - Part 2'!$AV$6:$AV$13,0),MATCH(CUI_SCC_Chloride!$X9,'Tables - Part 2'!$AX$5:$BA$5,0)))/2)+INDEX('Tables - Part 2'!$BB$6:$BE$13,MATCH(CUI_SCC_Chloride!$AH9,'Tables - Part 2'!$AV$6:$AV$13,0),MATCH(CUI_SCC_Chloride!$X9,'Tables - Part 2'!$AX$5:$BA$5,0)))/2,0)</f>
        <v>0</v>
      </c>
      <c r="AZ9" s="248">
        <f>IF($W9=$AZ$3,(((((INDEX('Tables - Part 2'!$AX$6:$BA$13,MATCH(CUI_SCC_Chloride!AH9,'Tables - Part 2'!$AV$6:$AV$13,0),MATCH(CUI_SCC_Chloride!X9,'Tables - Part 2'!$AX$5:$BA$5,0))+INDEX('Tables - Part 2'!$BB$6:$BE$13,MATCH(CUI_SCC_Chloride!$AH9,'Tables - Part 2'!$AV$6:$AV$13,0),MATCH(CUI_SCC_Chloride!$X9,'Tables - Part 2'!$AX$5:$BA$5,0)))/2)+INDEX('Tables - Part 2'!$BB$6:$BE$13,MATCH(CUI_SCC_Chloride!$AH9,'Tables - Part 2'!$AV$6:$AV$13,0),MATCH(CUI_SCC_Chloride!$X9,'Tables - Part 2'!$AX$5:$BA$5,0)))/2)+INDEX('Tables - Part 2'!$BB$6:$BE$13,MATCH(CUI_SCC_Chloride!$AH9,'Tables - Part 2'!$AV$6:$AV$13,0),MATCH(CUI_SCC_Chloride!$X9,'Tables - Part 2'!$AX$5:$BA$5,0)))/2,0)</f>
        <v>0</v>
      </c>
      <c r="BA9" s="248">
        <f>IF($W9=$BA$3,INDEX('Tables - Part 2'!$BB$6:$BE$13,MATCH(CUI_SCC_Chloride!$AH9,'Tables - Part 2'!$AV$6:$AV$13,0),MATCH(CUI_SCC_Chloride!$X9,'Tables - Part 2'!$AX$5:$BA$5,0)),0)</f>
        <v>0</v>
      </c>
      <c r="BB9" s="248">
        <f>IF($W9=$BB$3,((INDEX('Tables - Part 2'!$BB$6:$BE$13,MATCH(CUI_SCC_Chloride!$AH9,'Tables - Part 2'!$AV$6:$AV$13,0),MATCH(CUI_SCC_Chloride!$X9,'Tables - Part 2'!$AX$5:$BA$5,0)))+(INDEX('Tables - Part 2'!$BB$6:$BE$13,MATCH(CUI_SCC_Chloride!$AH9,'Tables - Part 2'!$AV$6:$AV$13,0),MATCH(CUI_SCC_Chloride!$X9,'Tables - Part 2'!$AX$5:$BA$5,0))+(INDEX('Tables - Part 2'!$BB$6:$BE$13,MATCH(CUI_SCC_Chloride!$AH9,'Tables - Part 2'!$AV$6:$AV$13,0),MATCH(CUI_SCC_Chloride!$X9,'Tables - Part 2'!$AX$5:$BA$5,0))+INDEX('Tables - Part 2'!$BF$6:$BI$13,MATCH(CUI_SCC_Chloride!$AH9,'Tables - Part 2'!$AV$6:$AV$13,0),MATCH(CUI_SCC_Chloride!$X9,'Tables - Part 2'!$AX$5:$BA$5,0)))/2)/2)/2,0)</f>
        <v>0</v>
      </c>
      <c r="BC9" s="248">
        <f>IF($W9=$BC$3,(INDEX('Tables - Part 2'!$BB$6:$BE$13,MATCH(CUI_SCC_Chloride!$AH9,'Tables - Part 2'!$AV$6:$AV$13,0),MATCH(CUI_SCC_Chloride!$X9,'Tables - Part 2'!$AX$5:$BA$5,0))+(INDEX('Tables - Part 2'!$BB$6:$BE$13,MATCH(CUI_SCC_Chloride!$AH9,'Tables - Part 2'!$AV$6:$AV$13,0),MATCH(CUI_SCC_Chloride!$X9,'Tables - Part 2'!$AX$5:$BA$5,0))+INDEX('Tables - Part 2'!$BF$6:$BI$13,MATCH(CUI_SCC_Chloride!$AH9,'Tables - Part 2'!$AV$6:$AV$13,0),MATCH(CUI_SCC_Chloride!$X9,'Tables - Part 2'!$AX$5:$BA$5,0)))/2)/2,0)</f>
        <v>0</v>
      </c>
      <c r="BD9" s="248">
        <f>IF($W9=$BD$3,(((INDEX('Tables - Part 2'!$BB$6:$BE$13,MATCH(CUI_SCC_Chloride!$AH9,'Tables - Part 2'!$AV$6:$AV$13,0),MATCH(CUI_SCC_Chloride!$X9,'Tables - Part 2'!$AX$5:$BA$5,0))+(INDEX('Tables - Part 2'!$BB$6:$BE$13,MATCH(CUI_SCC_Chloride!$AH9,'Tables - Part 2'!$AV$6:$AV$13,0),MATCH(CUI_SCC_Chloride!$X9,'Tables - Part 2'!$AX$5:$BA$5,0))+INDEX('Tables - Part 2'!$BF$6:$BI$13,MATCH(CUI_SCC_Chloride!$AH9,'Tables - Part 2'!$AV$6:$AV$13,0),MATCH(CUI_SCC_Chloride!$X9,'Tables - Part 2'!$AX$5:$BA$5,0)))/2)/2)+((INDEX('Tables - Part 2'!$BB$6:$BE$13,MATCH(CUI_SCC_Chloride!$AH9,'Tables - Part 2'!$AV$6:$AV$13,0),MATCH(CUI_SCC_Chloride!$X9,'Tables - Part 2'!$AX$5:$BA$5,0))+INDEX('Tables - Part 2'!$BF$6:$BI$13,MATCH(CUI_SCC_Chloride!$AH9,'Tables - Part 2'!$AV$6:$AV$13,0),MATCH(CUI_SCC_Chloride!$X9,'Tables - Part 2'!$AX$5:$BA$5,0)))/2))/2,0)</f>
        <v>0</v>
      </c>
      <c r="BE9" s="248">
        <f>IF($W9=$BE$3,(INDEX('Tables - Part 2'!$BB$6:$BE$13,MATCH(CUI_SCC_Chloride!$AH9,'Tables - Part 2'!$AV$6:$AV$13,0),MATCH(CUI_SCC_Chloride!$X9,'Tables - Part 2'!$AX$5:$BA$5,0))+INDEX('Tables - Part 2'!$BF$6:$BI$13,MATCH(CUI_SCC_Chloride!$AH9,'Tables - Part 2'!$AV$6:$AV$13,0),MATCH(CUI_SCC_Chloride!$X9,'Tables - Part 2'!$AX$5:$BA$5,0)))/2,0)</f>
        <v>0</v>
      </c>
      <c r="BF9" s="248">
        <f>IF($W9=$BF$3,(((INDEX('Tables - Part 2'!$BB$6:$BE$13,MATCH(CUI_SCC_Chloride!$AH9,'Tables - Part 2'!$AV$6:$AV$13,0),MATCH(CUI_SCC_Chloride!$X9,'Tables - Part 2'!$AX$5:$BA$5,0))+INDEX('Tables - Part 2'!$BF$6:$BI$13,MATCH(CUI_SCC_Chloride!$AH9,'Tables - Part 2'!$AV$6:$AV$13,0),MATCH(CUI_SCC_Chloride!$X9,'Tables - Part 2'!$AX$5:$BA$5,0)))/2)+((((INDEX('Tables - Part 2'!$BB$6:$BE$13,MATCH(CUI_SCC_Chloride!$AH9,'Tables - Part 2'!$AV$6:$AV$13,0),MATCH(CUI_SCC_Chloride!$X9,'Tables - Part 2'!$AX$5:$BA$5,0))+INDEX('Tables - Part 2'!$BF$6:$BI$13,MATCH(CUI_SCC_Chloride!$AH9,'Tables - Part 2'!$AV$6:$AV$13,0),MATCH(CUI_SCC_Chloride!$X9,'Tables - Part 2'!$AX$5:$BA$5,0)))/2)+INDEX('Tables - Part 2'!$BF$6:$BI$13,MATCH(CUI_SCC_Chloride!$AH9,'Tables - Part 2'!$AV$6:$AV$13,0),MATCH(CUI_SCC_Chloride!$X9,'Tables - Part 2'!$AX$5:$BA$5,0)))/2))/2,0)</f>
        <v>0</v>
      </c>
      <c r="BG9" s="248">
        <f>IF($W9=$BG$3,(((INDEX('Tables - Part 2'!$BB$6:$BE$13,MATCH(CUI_SCC_Chloride!$AH9,'Tables - Part 2'!$AV$6:$AV$13,0),MATCH(CUI_SCC_Chloride!$X9,'Tables - Part 2'!$AX$5:$BA$5,0))+INDEX('Tables - Part 2'!$BF$6:$BI$13,MATCH(CUI_SCC_Chloride!$AH9,'Tables - Part 2'!$AV$6:$AV$13,0),MATCH(CUI_SCC_Chloride!$X9,'Tables - Part 2'!$AX$5:$BA$5,0)))/2)+INDEX('Tables - Part 2'!$BF$6:$BI$13,MATCH(CUI_SCC_Chloride!$AH9,'Tables - Part 2'!$AV$6:$AV$13,0),MATCH(CUI_SCC_Chloride!$X9,'Tables - Part 2'!$AX$5:$BA$5,0)))/2,0)</f>
        <v>0</v>
      </c>
      <c r="BH9" s="248">
        <f>IF($W9=$BH$3,(((((INDEX('Tables - Part 2'!$BB$6:$BE$13,MATCH(CUI_SCC_Chloride!$AH9,'Tables - Part 2'!$AV$6:$AV$13,0),MATCH(CUI_SCC_Chloride!$X9,'Tables - Part 2'!$AX$5:$BA$5,0))+INDEX('Tables - Part 2'!$BF$6:$BI$13,MATCH(CUI_SCC_Chloride!$AH9,'Tables - Part 2'!$AV$6:$AV$13,0),MATCH(CUI_SCC_Chloride!$X9,'Tables - Part 2'!$AX$5:$BA$5,0)))/2)+INDEX('Tables - Part 2'!$BF$6:$BI$13,MATCH(CUI_SCC_Chloride!$AH9,'Tables - Part 2'!$AV$6:$AV$13,0),MATCH(CUI_SCC_Chloride!$X9,'Tables - Part 2'!$AX$5:$BA$5,0)))/2)+INDEX('Tables - Part 2'!$BF$6:$BI$13,MATCH(CUI_SCC_Chloride!$AH9,'Tables - Part 2'!$AV$6:$AV$13,0),MATCH(CUI_SCC_Chloride!$X9,'Tables - Part 2'!$AX$5:$BA$5,0)))/2,0)</f>
        <v>0</v>
      </c>
      <c r="BI9" s="248">
        <f>IF($W9=$BI$3,INDEX('Tables - Part 2'!$BF$6:$BI$13,MATCH(CUI_SCC_Chloride!$AH9,'Tables - Part 2'!$AV$6:$AV$13,0),MATCH(CUI_SCC_Chloride!$X9,'Tables - Part 2'!$AX$5:$BA$5,0)),0)</f>
        <v>0</v>
      </c>
      <c r="BJ9" s="248">
        <f>IF($W9=$BJ$3,(INDEX('Tables - Part 2'!$BF$6:$BI$13,MATCH(CUI_SCC_Chloride!$AH9,'Tables - Part 2'!$AV$6:$AV$13,0),MATCH(CUI_SCC_Chloride!$X9,'Tables - Part 2'!$AX$5:$BA$5,0))+((INDEX('Tables - Part 2'!$BF$6:$BI$13,MATCH(CUI_SCC_Chloride!$AH9,'Tables - Part 2'!$AV$6:$AV$13,0),MATCH(CUI_SCC_Chloride!$X9,'Tables - Part 2'!$AX$5:$BA$5,0))+(INDEX('Tables - Part 2'!$BF$6:$BI$13,MATCH(CUI_SCC_Chloride!$AH9,'Tables - Part 2'!$AV$6:$AV$13,0),MATCH(CUI_SCC_Chloride!$X9,'Tables - Part 2'!$AX$5:$BA$5,0))+INDEX('Tables - Part 2'!$AX$17:$BA$24,MATCH(CUI_SCC_Chloride!$AH9,'Tables - Part 2'!$AV$6:$AV$13,0),MATCH(CUI_SCC_Chloride!$X9,'Tables - Part 2'!$AX$5:$BA$5,0)))/2)/2))/2,0)</f>
        <v>0</v>
      </c>
      <c r="BK9" s="248">
        <f>IF($W9=$BK$3,(INDEX('Tables - Part 2'!$BF$6:$BI$13,MATCH(CUI_SCC_Chloride!$AH9,'Tables - Part 2'!$AV$6:$AV$13,0),MATCH(CUI_SCC_Chloride!$X9,'Tables - Part 2'!$AX$5:$BA$5,0))+(INDEX('Tables - Part 2'!$BF$6:$BI$13,MATCH(CUI_SCC_Chloride!$AH9,'Tables - Part 2'!$AV$6:$AV$13,0),MATCH(CUI_SCC_Chloride!$X9,'Tables - Part 2'!$AX$5:$BA$5,0))+INDEX('Tables - Part 2'!$AX$17:$BA$24,MATCH(CUI_SCC_Chloride!$AH9,'Tables - Part 2'!$AV$6:$AV$13,0),MATCH(CUI_SCC_Chloride!$X9,'Tables - Part 2'!$AX$5:$BA$5,0)))/2)/2,0)</f>
        <v>0</v>
      </c>
      <c r="BL9" s="248">
        <f>IF($W9=$BL$3,(((INDEX('Tables - Part 2'!$BF$6:$BI$13,MATCH(CUI_SCC_Chloride!$AH9,'Tables - Part 2'!$AV$6:$AV$13,0),MATCH(CUI_SCC_Chloride!$X9,'Tables - Part 2'!$AX$5:$BA$5,0))+(INDEX('Tables - Part 2'!$BF$6:$BI$13,MATCH(CUI_SCC_Chloride!$AH9,'Tables - Part 2'!$AV$6:$AV$13,0),MATCH(CUI_SCC_Chloride!$X9,'Tables - Part 2'!$AX$5:$BA$5,0))+INDEX('Tables - Part 2'!$AX$17:$BA$24,MATCH(CUI_SCC_Chloride!$AH9,'Tables - Part 2'!$AV$6:$AV$13,0),MATCH(CUI_SCC_Chloride!$X9,'Tables - Part 2'!$AX$5:$BA$5,0)))/2)/2)+((INDEX('Tables - Part 2'!$BF$6:$BI$13,MATCH(CUI_SCC_Chloride!$AH9,'Tables - Part 2'!$AV$6:$AV$13,0),MATCH(CUI_SCC_Chloride!$X9,'Tables - Part 2'!$AX$5:$BA$5,0))+INDEX('Tables - Part 2'!$AX$17:$BA$24,MATCH(CUI_SCC_Chloride!$AH9,'Tables - Part 2'!$AV$6:$AV$13,0),MATCH(CUI_SCC_Chloride!$X9,'Tables - Part 2'!$AX$5:$BA$5,0)))/2))/2,0)</f>
        <v>0</v>
      </c>
      <c r="BM9" s="248">
        <f>IF($W9=$BM$3,(INDEX('Tables - Part 2'!$BF$6:$BI$13,MATCH(CUI_SCC_Chloride!$AH9,'Tables - Part 2'!$AV$6:$AV$13,0),MATCH(CUI_SCC_Chloride!$X9,'Tables - Part 2'!$AX$5:$BA$5,0))+INDEX('Tables - Part 2'!$AX$17:$BA$24,MATCH(CUI_SCC_Chloride!$AH9,'Tables - Part 2'!$AV$6:$AV$13,0),MATCH(CUI_SCC_Chloride!$X9,'Tables - Part 2'!$AX$5:$BA$5,0)))/2,0)</f>
        <v>0</v>
      </c>
      <c r="BN9" s="248">
        <f>IF($W9=$BN$3,(((INDEX('Tables - Part 2'!$BF$6:$BI$13,MATCH(CUI_SCC_Chloride!$AH9,'Tables - Part 2'!$AV$6:$AV$13,0),MATCH(CUI_SCC_Chloride!$X9,'Tables - Part 2'!$AX$5:$BA$5,0))+INDEX('Tables - Part 2'!$AX$17:$BA$24,MATCH(CUI_SCC_Chloride!$AH9,'Tables - Part 2'!$AV$6:$AV$13,0),MATCH(CUI_SCC_Chloride!$X9,'Tables - Part 2'!$AX$5:$BA$5,0)))/2)+((((INDEX('Tables - Part 2'!$BF$6:$BI$13,MATCH(CUI_SCC_Chloride!$AH9,'Tables - Part 2'!$AV$6:$AV$13,0),MATCH(CUI_SCC_Chloride!$X9,'Tables - Part 2'!$AX$5:$BA$5,0))+INDEX('Tables - Part 2'!$AX$17:$BA$24,MATCH(CUI_SCC_Chloride!$AH9,'Tables - Part 2'!$AV$6:$AV$13,0),MATCH(CUI_SCC_Chloride!$X9,'Tables - Part 2'!$AX$5:$BA$5,0)))/2)+INDEX('Tables - Part 2'!$AX$17:$BA$24,MATCH(CUI_SCC_Chloride!$AH9,'Tables - Part 2'!$AV$6:$AV$13,0),MATCH(CUI_SCC_Chloride!$X9,'Tables - Part 2'!$AX$5:$BA$5,0)))/2))/2,0)</f>
        <v>0</v>
      </c>
      <c r="BO9" s="248">
        <f>IF($W9=$BO$3,(((INDEX('Tables - Part 2'!$BF$6:$BI$13,MATCH(CUI_SCC_Chloride!$AH9,'Tables - Part 2'!$AV$6:$AV$13,0),MATCH(CUI_SCC_Chloride!$X9,'Tables - Part 2'!$AX$5:$BA$5,0))+INDEX('Tables - Part 2'!$AX$17:$BA$24,MATCH(CUI_SCC_Chloride!$AH9,'Tables - Part 2'!$AV$6:$AV$13,0),MATCH(CUI_SCC_Chloride!$X9,'Tables - Part 2'!$AX$5:$BA$5,0)))/2)+INDEX('Tables - Part 2'!$AX$17:$BA$24,MATCH(CUI_SCC_Chloride!$AH9,'Tables - Part 2'!$AV$6:$AV$13,0),MATCH(CUI_SCC_Chloride!$X9,'Tables - Part 2'!$AX$5:$BA$5,0)))/2,0)</f>
        <v>0</v>
      </c>
      <c r="BP9" s="248">
        <f>IF($W9=$BP$3,(((((INDEX('Tables - Part 2'!$BF$6:$BI$13,MATCH(CUI_SCC_Chloride!$AH9,'Tables - Part 2'!$AV$6:$AV$13,0),MATCH(CUI_SCC_Chloride!$X9,'Tables - Part 2'!$AX$5:$BA$5,0))+INDEX('Tables - Part 2'!$AX$17:$BA$24,MATCH(CUI_SCC_Chloride!$AH9,'Tables - Part 2'!$AV$6:$AV$13,0),MATCH(CUI_SCC_Chloride!$X9,'Tables - Part 2'!$AX$5:$BA$5,0)))/2)+INDEX('Tables - Part 2'!$AX$17:$BA$24,MATCH(CUI_SCC_Chloride!$AH9,'Tables - Part 2'!$AV$6:$AV$13,0),MATCH(CUI_SCC_Chloride!$X9,'Tables - Part 2'!$AX$5:$BA$5,0)))/2)+(INDEX('Tables - Part 2'!$AX$17:$BA$24,MATCH(CUI_SCC_Chloride!$AH9,'Tables - Part 2'!$AV$6:$AV$13,0),MATCH(CUI_SCC_Chloride!$X9,'Tables - Part 2'!$AX$5:$BA$5,0))))/2,0)</f>
        <v>0</v>
      </c>
      <c r="BQ9" s="248">
        <f>IF($W9=$BQ$3,INDEX('Tables - Part 2'!$AX$17:$BA$24,MATCH(CUI_SCC_Chloride!$AH9,'Tables - Part 2'!$AV$6:$AV$13,0),MATCH(CUI_SCC_Chloride!$X9,'Tables - Part 2'!$AX$5:$BA$5,0)),0)</f>
        <v>0</v>
      </c>
      <c r="BR9" s="248">
        <f>IF($W9=$BR$3,((INDEX('Tables - Part 2'!$AX$17:$BA$24,MATCH(CUI_SCC_Chloride!$AH9,'Tables - Part 2'!$AV$6:$AV$13,0),MATCH(CUI_SCC_Chloride!$X9,'Tables - Part 2'!$AX$5:$BA$5,0)))+(((INDEX('Tables - Part 2'!$AX$17:$BA$24,MATCH(CUI_SCC_Chloride!$AH9,'Tables - Part 2'!$AV$6:$AV$13,0),MATCH(CUI_SCC_Chloride!$X9,'Tables - Part 2'!$AX$5:$BA$5,0)))+(INDEX('Tables - Part 2'!$AX$17:$BA$24,MATCH(CUI_SCC_Chloride!$AH9,'Tables - Part 2'!$AV$6:$AV$13,0),MATCH(CUI_SCC_Chloride!$X9,'Tables - Part 2'!$AX$5:$BA$5,0))+INDEX('Tables - Part 2'!$BB$17:$BE$24,MATCH(CUI_SCC_Chloride!$AH9,'Tables - Part 2'!$AV$6:$AV$13,0),MATCH(CUI_SCC_Chloride!$X9,'Tables - Part 2'!$AX$5:$BA$5,0)))/2)/2))/2,0)</f>
        <v>0</v>
      </c>
      <c r="BS9" s="248">
        <f>IF($W9=$BS$3,((INDEX('Tables - Part 2'!$AX$17:$BA$24,MATCH(CUI_SCC_Chloride!$AH9,'Tables - Part 2'!$AV$6:$AV$13,0),MATCH(CUI_SCC_Chloride!$X9,'Tables - Part 2'!$AX$5:$BA$5,0)))+(INDEX('Tables - Part 2'!$AX$17:$BA$24,MATCH(CUI_SCC_Chloride!$AH9,'Tables - Part 2'!$AV$6:$AV$13,0),MATCH(CUI_SCC_Chloride!$X9,'Tables - Part 2'!$AX$5:$BA$5,0))+INDEX('Tables - Part 2'!$BB$17:$BE$24,MATCH(CUI_SCC_Chloride!$AH9,'Tables - Part 2'!$AV$6:$AV$13,0),MATCH(CUI_SCC_Chloride!$X9,'Tables - Part 2'!$AX$5:$BA$5,0)))/2)/2,0)</f>
        <v>0</v>
      </c>
      <c r="BT9" s="248">
        <f>IF($W9=$BT$3,((((INDEX('Tables - Part 2'!$AX$17:$BA$24,MATCH(CUI_SCC_Chloride!$AH9,'Tables - Part 2'!$AV$6:$AV$13,0),MATCH(CUI_SCC_Chloride!$X9,'Tables - Part 2'!$AX$5:$BA$5,0)))+(INDEX('Tables - Part 2'!$AX$17:$BA$24,MATCH(CUI_SCC_Chloride!$AH9,'Tables - Part 2'!$AV$6:$AV$13,0),MATCH(CUI_SCC_Chloride!$X9,'Tables - Part 2'!$AX$5:$BA$5,0))+INDEX('Tables - Part 2'!$BB$17:$BE$24,MATCH(CUI_SCC_Chloride!$AH9,'Tables - Part 2'!$AV$6:$AV$13,0),MATCH(CUI_SCC_Chloride!$X9,'Tables - Part 2'!$AX$5:$BA$5,0)))/2)/2)+((INDEX('Tables - Part 2'!$AX$17:$BA$24,MATCH(CUI_SCC_Chloride!$AH9,'Tables - Part 2'!$AV$6:$AV$13,0),MATCH(CUI_SCC_Chloride!$X9,'Tables - Part 2'!$AX$5:$BA$5,0))+INDEX('Tables - Part 2'!$BB$17:$BE$24,MATCH(CUI_SCC_Chloride!$AH9,'Tables - Part 2'!$AV$6:$AV$13,0),MATCH(CUI_SCC_Chloride!$X9,'Tables - Part 2'!$AX$5:$BA$5,0)))/2))/2,0)</f>
        <v>0</v>
      </c>
      <c r="BU9" s="248">
        <f>IF($W9=$BU$3,(INDEX('Tables - Part 2'!$AX$17:$BA$24,MATCH(CUI_SCC_Chloride!$AH9,'Tables - Part 2'!$AV$6:$AV$13,0),MATCH(CUI_SCC_Chloride!$X9,'Tables - Part 2'!$AX$5:$BA$5,0))+INDEX('Tables - Part 2'!$BB$17:$BE$24,MATCH(CUI_SCC_Chloride!$AH9,'Tables - Part 2'!$AV$6:$AV$13,0),MATCH(CUI_SCC_Chloride!$X9,'Tables - Part 2'!$AX$5:$BA$5,0)))/2,0)</f>
        <v>0</v>
      </c>
      <c r="BV9" s="248">
        <f>IF($W9=$BV$3,(((INDEX('Tables - Part 2'!$AX$17:$BA$24,MATCH(CUI_SCC_Chloride!$AH9,'Tables - Part 2'!$AV$6:$AV$13,0),MATCH(CUI_SCC_Chloride!$X9,'Tables - Part 2'!$AX$5:$BA$5,0))+INDEX('Tables - Part 2'!$BB$17:$BE$24,MATCH(CUI_SCC_Chloride!$AH9,'Tables - Part 2'!$AV$6:$AV$13,0),MATCH(CUI_SCC_Chloride!$X9,'Tables - Part 2'!$AX$5:$BA$5,0)))/2)+((((INDEX('Tables - Part 2'!$AX$17:$BA$24,MATCH(CUI_SCC_Chloride!$AH9,'Tables - Part 2'!$AV$6:$AV$13,0),MATCH(CUI_SCC_Chloride!$X9,'Tables - Part 2'!$AX$5:$BA$5,0))+INDEX('Tables - Part 2'!$BB$17:$BE$24,MATCH(CUI_SCC_Chloride!$AH9,'Tables - Part 2'!$AV$6:$AV$13,0),MATCH(CUI_SCC_Chloride!$X9,'Tables - Part 2'!$AX$5:$BA$5,0)))/2)+INDEX('Tables - Part 2'!$BB$17:$BE$24,MATCH(CUI_SCC_Chloride!$AH9,'Tables - Part 2'!$AV$6:$AV$13,0),MATCH(CUI_SCC_Chloride!$X9,'Tables - Part 2'!$AX$5:$BA$5,0)))/2))/2,0)</f>
        <v>0</v>
      </c>
      <c r="BW9" s="248">
        <f>IF($W9=$BW$3,(((INDEX('Tables - Part 2'!$AX$17:$BA$24,MATCH(CUI_SCC_Chloride!$AH9,'Tables - Part 2'!$AV$6:$AV$13,0),MATCH(CUI_SCC_Chloride!$X9,'Tables - Part 2'!$AX$5:$BA$5,0))+INDEX('Tables - Part 2'!$BB$17:$BE$24,MATCH(CUI_SCC_Chloride!$AH9,'Tables - Part 2'!$AV$6:$AV$13,0),MATCH(CUI_SCC_Chloride!$X9,'Tables - Part 2'!$AX$5:$BA$5,0)))/2)+INDEX('Tables - Part 2'!$BB$17:$BE$24,MATCH(CUI_SCC_Chloride!$AH9,'Tables - Part 2'!$AV$6:$AV$13,0),MATCH(CUI_SCC_Chloride!$X9,'Tables - Part 2'!$AX$5:$BA$5,0)))/2,0)</f>
        <v>0</v>
      </c>
      <c r="BX9" s="248">
        <f>IF($W9=$BX$3,(((((INDEX('Tables - Part 2'!$AX$17:$BA$24,MATCH(CUI_SCC_Chloride!$AH9,'Tables - Part 2'!$AV$6:$AV$13,0),MATCH(CUI_SCC_Chloride!$X9,'Tables - Part 2'!$AX$5:$BA$5,0))+INDEX('Tables - Part 2'!$BB$17:$BE$24,MATCH(CUI_SCC_Chloride!$AH9,'Tables - Part 2'!$AV$6:$AV$13,0),MATCH(CUI_SCC_Chloride!$X9,'Tables - Part 2'!$AX$5:$BA$5,0)))/2)+INDEX('Tables - Part 2'!$BB$17:$BE$24,MATCH(CUI_SCC_Chloride!$AH9,'Tables - Part 2'!$AV$6:$AV$13,0),MATCH(CUI_SCC_Chloride!$X9,'Tables - Part 2'!$AX$5:$BA$5,0)))/2)+(INDEX('Tables - Part 2'!$BB$17:$BE$24,MATCH(CUI_SCC_Chloride!$AH9,'Tables - Part 2'!$AV$6:$AV$13,0),MATCH(CUI_SCC_Chloride!$X9,'Tables - Part 2'!$AX$5:$BA$5,0))))/2,0)</f>
        <v>0</v>
      </c>
      <c r="BY9" s="248">
        <f>IF($W9=$BY$3,INDEX('Tables - Part 2'!$BB$17:$BE$24,MATCH(CUI_SCC_Chloride!$AH9,'Tables - Part 2'!$AV$6:$AV$13,0),MATCH(CUI_SCC_Chloride!$X9,'Tables - Part 2'!$AX$5:$BA$5,0)),0)</f>
        <v>0</v>
      </c>
      <c r="BZ9" s="248">
        <f>IF($W9=$BZ$3,((INDEX('Tables - Part 2'!$BB$17:$BE$24,MATCH(CUI_SCC_Chloride!$AH9,'Tables - Part 2'!$AV$6:$AV$13,0),MATCH(CUI_SCC_Chloride!$X9,'Tables - Part 2'!$AX$5:$BA$5,0)))+(((INDEX('Tables - Part 2'!$BB$17:$BE$24,MATCH(CUI_SCC_Chloride!$AH9,'Tables - Part 2'!$AV$6:$AV$13,0),MATCH(CUI_SCC_Chloride!$X9,'Tables - Part 2'!$AX$5:$BA$5,0)))+(INDEX('Tables - Part 2'!$BB$17:$BE$24,MATCH(CUI_SCC_Chloride!$AH9,'Tables - Part 2'!$AV$6:$AV$13,0),MATCH(CUI_SCC_Chloride!$X9,'Tables - Part 2'!$AX$5:$BA$5,0))+INDEX('Tables - Part 2'!$BF$17:$BI$24,MATCH(CUI_SCC_Chloride!$AH9,'Tables - Part 2'!$AV$6:$AV$13,0),MATCH(CUI_SCC_Chloride!$X9,'Tables - Part 2'!$AX$5:$BA$5,0)))/2)/2))/2,0)</f>
        <v>0</v>
      </c>
      <c r="CA9" s="248">
        <f>IF($W9=$CA$3,((INDEX('Tables - Part 2'!$BB$17:$BE$24,MATCH(CUI_SCC_Chloride!$AH9,'Tables - Part 2'!$AV$6:$AV$13,0),MATCH(CUI_SCC_Chloride!$X9,'Tables - Part 2'!$AX$5:$BA$5,0)))+(INDEX('Tables - Part 2'!$BB$17:$BE$24,MATCH(CUI_SCC_Chloride!$AH9,'Tables - Part 2'!$AV$6:$AV$13,0),MATCH(CUI_SCC_Chloride!$X9,'Tables - Part 2'!$AX$5:$BA$5,0))+INDEX('Tables - Part 2'!$BF$17:$BI$24,MATCH(CUI_SCC_Chloride!$AH9,'Tables - Part 2'!$AV$6:$AV$13,0),MATCH(CUI_SCC_Chloride!$X9,'Tables - Part 2'!$AX$5:$BA$5,0)))/2)/2,0)</f>
        <v>0</v>
      </c>
      <c r="CB9" s="248">
        <f>IF($W9=$CB$3,((((INDEX('Tables - Part 2'!$BB$17:$BE$24,MATCH(CUI_SCC_Chloride!$AH9,'Tables - Part 2'!$AV$6:$AV$13,0),MATCH(CUI_SCC_Chloride!$X9,'Tables - Part 2'!$AX$5:$BA$5,0)))+(INDEX('Tables - Part 2'!$BB$17:$BE$24,MATCH(CUI_SCC_Chloride!$AH9,'Tables - Part 2'!$AV$6:$AV$13,0),MATCH(CUI_SCC_Chloride!$X9,'Tables - Part 2'!$AX$5:$BA$5,0))+INDEX('Tables - Part 2'!$BF$17:$BI$24,MATCH(CUI_SCC_Chloride!$AH9,'Tables - Part 2'!$AV$6:$AV$13,0),MATCH(CUI_SCC_Chloride!$X9,'Tables - Part 2'!$AX$5:$BA$5,0)))/2)/2)+((INDEX('Tables - Part 2'!$BB$17:$BE$24,MATCH(CUI_SCC_Chloride!$AH9,'Tables - Part 2'!$AV$6:$AV$13,0),MATCH(CUI_SCC_Chloride!$X9,'Tables - Part 2'!$AX$5:$BA$5,0))+INDEX('Tables - Part 2'!$BF$17:$BI$24,MATCH(CUI_SCC_Chloride!$AH9,'Tables - Part 2'!$AV$6:$AV$13,0),MATCH(CUI_SCC_Chloride!$X9,'Tables - Part 2'!$AX$5:$BA$5,0)))/2))/2,0)</f>
        <v>0</v>
      </c>
      <c r="CC9" s="248">
        <f>IF($W9=$CC$3,(INDEX('Tables - Part 2'!$BB$17:$BE$24,MATCH(CUI_SCC_Chloride!$AH9,'Tables - Part 2'!$AV$6:$AV$13,0),MATCH(CUI_SCC_Chloride!$X9,'Tables - Part 2'!$AX$5:$BA$5,0))+INDEX('Tables - Part 2'!$BF$17:$BI$24,MATCH(CUI_SCC_Chloride!$AH9,'Tables - Part 2'!$AV$6:$AV$13,0),MATCH(CUI_SCC_Chloride!$X9,'Tables - Part 2'!$AX$5:$BA$5,0)))/2,0)</f>
        <v>0</v>
      </c>
      <c r="CD9" s="248">
        <f>IF($W9=$CD$3,(((INDEX('Tables - Part 2'!$BB$17:$BE$24,MATCH(CUI_SCC_Chloride!$AH9,'Tables - Part 2'!$AV$6:$AV$13,0),MATCH(CUI_SCC_Chloride!$X9,'Tables - Part 2'!$AX$5:$BA$5,0))+INDEX('Tables - Part 2'!$BF$17:$BI$24,MATCH(CUI_SCC_Chloride!$AH9,'Tables - Part 2'!$AV$6:$AV$13,0),MATCH(CUI_SCC_Chloride!$X9,'Tables - Part 2'!$AX$5:$BA$5,0)))/2)+((((INDEX('Tables - Part 2'!$BB$17:$BE$24,MATCH(CUI_SCC_Chloride!$AH9,'Tables - Part 2'!$AV$6:$AV$13,0),MATCH(CUI_SCC_Chloride!$X9,'Tables - Part 2'!$AX$5:$BA$5,0))+INDEX('Tables - Part 2'!$BF$17:$BI$24,MATCH(CUI_SCC_Chloride!$AH9,'Tables - Part 2'!$AV$6:$AV$13,0),MATCH(CUI_SCC_Chloride!$X9,'Tables - Part 2'!$AX$5:$BA$5,0)))/2)+INDEX('Tables - Part 2'!$BF$17:$BI$24,MATCH(CUI_SCC_Chloride!$AH9,'Tables - Part 2'!$AV$6:$AV$13,0),MATCH(CUI_SCC_Chloride!$X9,'Tables - Part 2'!$AX$5:$BA$5,0)))/2))/2,0)</f>
        <v>0</v>
      </c>
      <c r="CE9" s="248">
        <f>IF($W9=$CE$3,(((INDEX('Tables - Part 2'!$BB$17:$BE$24,MATCH(CUI_SCC_Chloride!$AH9,'Tables - Part 2'!$AV$6:$AV$13,0),MATCH(CUI_SCC_Chloride!$X9,'Tables - Part 2'!$AX$5:$BA$5,0))+INDEX('Tables - Part 2'!$BF$17:$BI$24,MATCH(CUI_SCC_Chloride!$AH9,'Tables - Part 2'!$AV$6:$AV$13,0),MATCH(CUI_SCC_Chloride!$X9,'Tables - Part 2'!$AX$5:$BA$5,0)))/2)+INDEX('Tables - Part 2'!$BF$17:$BI$24,MATCH(CUI_SCC_Chloride!$AH9,'Tables - Part 2'!$AV$6:$AV$13,0),MATCH(CUI_SCC_Chloride!$X9,'Tables - Part 2'!$AX$5:$BA$5,0)))/2,0)</f>
        <v>0</v>
      </c>
      <c r="CF9" s="248">
        <f>IF($W9=$CF$3,(((((INDEX('Tables - Part 2'!$BB$17:$BE$24,MATCH(CUI_SCC_Chloride!$AH9,'Tables - Part 2'!$AV$6:$AV$13,0),MATCH(CUI_SCC_Chloride!$X9,'Tables - Part 2'!$AX$5:$BA$5,0))+INDEX('Tables - Part 2'!$BF$17:$BI$24,MATCH(CUI_SCC_Chloride!$AH9,'Tables - Part 2'!$AV$6:$AV$13,0),MATCH(CUI_SCC_Chloride!$X9,'Tables - Part 2'!$AX$5:$BA$5,0)))/2)+INDEX('Tables - Part 2'!$BF$17:$BI$24,MATCH(CUI_SCC_Chloride!$AH9,'Tables - Part 2'!$AV$6:$AV$13,0),MATCH(CUI_SCC_Chloride!$X9,'Tables - Part 2'!$AX$5:$BA$5,0)))/2)+(INDEX('Tables - Part 2'!$BF$17:$BI$24,MATCH(CUI_SCC_Chloride!$AH9,'Tables - Part 2'!$AV$6:$AV$13,0),MATCH(CUI_SCC_Chloride!$X9,'Tables - Part 2'!$AX$5:$BA$5,0))))/2,0)</f>
        <v>0</v>
      </c>
      <c r="CG9" s="248">
        <f>IF($W9=$CG$3,INDEX('Tables - Part 2'!$BF$17:$BI$24,MATCH(CUI_SCC_Chloride!$AH9,'Tables - Part 2'!$AV$6:$AV$13,0),MATCH(CUI_SCC_Chloride!$X9,'Tables - Part 2'!$AX$5:$BA$5,0)),0)</f>
        <v>0</v>
      </c>
      <c r="CH9" s="248">
        <f t="shared" si="5"/>
        <v>0</v>
      </c>
      <c r="CI9" s="238">
        <f t="shared" si="19"/>
        <v>0</v>
      </c>
      <c r="CJ9" s="238">
        <f t="shared" si="20"/>
        <v>0</v>
      </c>
    </row>
    <row r="10" spans="2:95" x14ac:dyDescent="0.35">
      <c r="B10" s="161" t="str">
        <f>'Tratamento de Dados'!B18</f>
        <v>V-1</v>
      </c>
      <c r="C10" s="161" t="str">
        <f>'Tratamento de Dados'!D18</f>
        <v>Casco</v>
      </c>
      <c r="D10" s="209" t="s">
        <v>245</v>
      </c>
      <c r="E10" s="209" t="s">
        <v>61</v>
      </c>
      <c r="F10" s="247">
        <f>'Tratamento de Dados'!S18</f>
        <v>2</v>
      </c>
      <c r="G10" s="209" t="s">
        <v>953</v>
      </c>
      <c r="H10" s="210">
        <v>35234</v>
      </c>
      <c r="I10" s="210">
        <v>43983</v>
      </c>
      <c r="J10" s="210">
        <v>39092</v>
      </c>
      <c r="K10" s="210">
        <f>'Tratamento de Dados'!CC18</f>
        <v>0</v>
      </c>
      <c r="L10" s="209">
        <f>'Tratamento de Dados'!CD18</f>
        <v>0</v>
      </c>
      <c r="M10" s="209" t="s">
        <v>905</v>
      </c>
      <c r="N10" s="209" t="s">
        <v>1081</v>
      </c>
      <c r="O10" s="209" t="s">
        <v>1081</v>
      </c>
      <c r="P10" s="209" t="s">
        <v>244</v>
      </c>
      <c r="Q10" s="209">
        <v>0</v>
      </c>
      <c r="R10" s="209">
        <v>1</v>
      </c>
      <c r="S10" s="209">
        <v>1</v>
      </c>
      <c r="T10" s="209">
        <v>4</v>
      </c>
      <c r="U10" s="253">
        <f>'Tratamento de Dados'!DA18</f>
        <v>0</v>
      </c>
      <c r="V10" s="253">
        <f>'Tratamento de Dados'!DB18</f>
        <v>0</v>
      </c>
      <c r="W10" s="256">
        <f t="shared" si="0"/>
        <v>2.5</v>
      </c>
      <c r="X10" s="246" t="str">
        <f t="shared" si="1"/>
        <v>B</v>
      </c>
      <c r="Y10" s="246" t="str">
        <f>IF(F10&lt;49,'Tables - Part 2'!$FH$5,IF(F10&lt;=93,'Tables - Part 2'!$FH$6,IF(F10&lt;=149,'Tables - Part 2'!$FH$7,'Tables - Part 2'!$FH$8)))</f>
        <v>&lt;49</v>
      </c>
      <c r="Z10" s="246" t="str">
        <f>IF(D10=$CO$2,$CM$5,INDEX('Tables - Part 2'!$FR$5:$FU$8,MATCH(CUI_SCC_Chloride!Y10,'Tables - Part 2'!$FQ$5:$FQ$8,0),MATCH(CUI_SCC_Chloride!M10,'Tables - Part 2'!$FR$4:$FU$4,0)))</f>
        <v>None</v>
      </c>
      <c r="AA10" s="246" t="str">
        <f t="shared" si="6"/>
        <v>None</v>
      </c>
      <c r="AB10" s="219">
        <f t="shared" si="7"/>
        <v>0</v>
      </c>
      <c r="AC10" s="246" t="str">
        <f t="shared" si="8"/>
        <v>None</v>
      </c>
      <c r="AD10" s="219">
        <f t="shared" si="9"/>
        <v>0</v>
      </c>
      <c r="AE10" s="246" t="str">
        <f t="shared" si="10"/>
        <v>None</v>
      </c>
      <c r="AF10" s="219">
        <f t="shared" si="11"/>
        <v>0</v>
      </c>
      <c r="AG10" s="467" t="str">
        <f t="shared" si="12"/>
        <v>None</v>
      </c>
      <c r="AH10" s="238">
        <f>IF(AND(D10=$CO$2,E10&lt;&gt;$CO$2),"Fitness-For-Service",INDEX('Tables - Part 2'!$FO$4:$FO$7,MATCH(CUI_SCC_Chloride!AG10,'Tables - Part 2'!$FN$4:$FN$7,0),))</f>
        <v>0</v>
      </c>
      <c r="AI10" s="238">
        <f>IF(J10=0,(Thinning!G11-Thinning!F11)/365.25,(Thinning!G11-J10)/365.25)</f>
        <v>12.980150581793293</v>
      </c>
      <c r="AJ10" s="248">
        <f t="shared" si="2"/>
        <v>0</v>
      </c>
      <c r="AK10" s="248">
        <f t="shared" si="3"/>
        <v>2.5</v>
      </c>
      <c r="AL10" s="247">
        <f t="shared" si="13"/>
        <v>3</v>
      </c>
      <c r="AM10" s="247">
        <f t="shared" si="4"/>
        <v>4</v>
      </c>
      <c r="AN10" s="247">
        <f t="shared" si="14"/>
        <v>120.41889117043121</v>
      </c>
      <c r="AO10" s="247">
        <f t="shared" si="15"/>
        <v>0</v>
      </c>
      <c r="AP10" s="247">
        <f t="shared" si="16"/>
        <v>0</v>
      </c>
      <c r="AQ10" s="247">
        <f t="shared" si="17"/>
        <v>0</v>
      </c>
      <c r="AR10" s="247">
        <f t="shared" si="18"/>
        <v>12.980150581793293</v>
      </c>
      <c r="AS10" s="248">
        <f>IF($W10=$AS$3,INDEX('Tables - Part 2'!$AX$6:$BA$13,MATCH(CUI_SCC_Chloride!AH10,'Tables - Part 2'!$AV$6:$AV$13,0),MATCH(CUI_SCC_Chloride!X10,'Tables - Part 2'!$AX$5:$BA$5,0)),0)</f>
        <v>0</v>
      </c>
      <c r="AT10" s="248">
        <f>IF($W10=$AT$3,(INDEX('Tables - Part 2'!$AX$6:$BA$13,MATCH(CUI_SCC_Chloride!AH10,'Tables - Part 2'!$AV$6:$AV$13,0),MATCH(CUI_SCC_Chloride!X10,'Tables - Part 2'!$AX$5:$BA$5,0))+(INDEX('Tables - Part 2'!$AX$6:$BA$13,MATCH(CUI_SCC_Chloride!AH10,'Tables - Part 2'!$AV$6:$AV$13,0),MATCH(CUI_SCC_Chloride!X10,'Tables - Part 2'!$AX$5:$BA$5,0))+((INDEX('Tables - Part 2'!$AX$6:$BA$13,MATCH(CUI_SCC_Chloride!AH10,'Tables - Part 2'!$AV$6:$AV$13,0),MATCH(CUI_SCC_Chloride!X10,'Tables - Part 2'!$AX$5:$BA$5,0))+INDEX('Tables - Part 2'!$BB$6:$BE$13,MATCH(CUI_SCC_Chloride!$AH10,'Tables - Part 2'!$AV$6:$AV$13,0),MATCH(CUI_SCC_Chloride!$X10,'Tables - Part 2'!$AX$5:$BA$5,0)))/2))/2)/2,0)</f>
        <v>0</v>
      </c>
      <c r="AU10" s="248">
        <f>IF($W10=$AU$3,(INDEX('Tables - Part 2'!$AX$6:$BA$13,MATCH(CUI_SCC_Chloride!AH10,'Tables - Part 2'!$AV$6:$AV$13,0),MATCH(CUI_SCC_Chloride!X10,'Tables - Part 2'!$AX$5:$BA$5,0))+((INDEX('Tables - Part 2'!$AX$6:$BA$13,MATCH(CUI_SCC_Chloride!AH10,'Tables - Part 2'!$AV$6:$AV$13,0),MATCH(CUI_SCC_Chloride!X10,'Tables - Part 2'!$AX$5:$BA$5,0))+INDEX('Tables - Part 2'!$BB$6:$BE$13,MATCH(CUI_SCC_Chloride!$AH10,'Tables - Part 2'!$AV$6:$AV$13,0),MATCH(CUI_SCC_Chloride!$X10,'Tables - Part 2'!$AX$5:$BA$5,0)))/2))/2,0)</f>
        <v>0</v>
      </c>
      <c r="AV10" s="248">
        <f>IF($W10=$AV$3,(((INDEX('Tables - Part 2'!$AX$6:$BA$13,MATCH(CUI_SCC_Chloride!AH10,'Tables - Part 2'!$AV$6:$AV$13,0),MATCH(CUI_SCC_Chloride!X10,'Tables - Part 2'!$AX$5:$BA$5,0))+((INDEX('Tables - Part 2'!$AX$6:$BA$13,MATCH(CUI_SCC_Chloride!AH10,'Tables - Part 2'!$AV$6:$AV$13,0),MATCH(CUI_SCC_Chloride!X10,'Tables - Part 2'!$AX$5:$BA$5,0))+INDEX('Tables - Part 2'!$BB$6:$BE$13,MATCH(CUI_SCC_Chloride!$AH10,'Tables - Part 2'!$AV$6:$AV$13,0),MATCH(CUI_SCC_Chloride!$X10,'Tables - Part 2'!$AX$5:$BA$5,0)))/2))/2)+(INDEX('Tables - Part 2'!$AX$6:$BA$13,MATCH(CUI_SCC_Chloride!AH10,'Tables - Part 2'!$AV$6:$AV$13,0),MATCH(CUI_SCC_Chloride!X10,'Tables - Part 2'!$AX$5:$BA$5,0))+INDEX('Tables - Part 2'!$BB$6:$BE$13,MATCH(CUI_SCC_Chloride!$AH10,'Tables - Part 2'!$AV$6:$AV$13,0),MATCH(CUI_SCC_Chloride!$X10,'Tables - Part 2'!$AX$5:$BA$5,0)))/2)/2,0)</f>
        <v>0</v>
      </c>
      <c r="AW10" s="248">
        <f>IF($W10=$AW$3,(INDEX('Tables - Part 2'!$AX$6:$BA$13,MATCH(CUI_SCC_Chloride!AH10,'Tables - Part 2'!$AV$6:$AV$13,0),MATCH(CUI_SCC_Chloride!X10,'Tables - Part 2'!$AX$5:$BA$5,0))+INDEX('Tables - Part 2'!$BB$6:$BE$13,MATCH(CUI_SCC_Chloride!$AH10,'Tables - Part 2'!$AV$6:$AV$13,0),MATCH(CUI_SCC_Chloride!$X10,'Tables - Part 2'!$AX$5:$BA$5,0)))/2,0)</f>
        <v>0</v>
      </c>
      <c r="AX10" s="248">
        <f>IF($W10=$AX$3,(((INDEX('Tables - Part 2'!$AX$6:$BA$13,MATCH(CUI_SCC_Chloride!AH10,'Tables - Part 2'!$AV$6:$AV$13,0),MATCH(CUI_SCC_Chloride!X10,'Tables - Part 2'!$AX$5:$BA$5,0))+INDEX('Tables - Part 2'!$BB$6:$BE$13,MATCH(CUI_SCC_Chloride!$AH10,'Tables - Part 2'!$AV$6:$AV$13,0),MATCH(CUI_SCC_Chloride!$X10,'Tables - Part 2'!$AX$5:$BA$5,0)))/2)+(((INDEX('Tables - Part 2'!$AX$6:$BA$13,MATCH(CUI_SCC_Chloride!AH10,'Tables - Part 2'!$AV$6:$AV$13,0),MATCH(CUI_SCC_Chloride!X10,'Tables - Part 2'!$AX$5:$BA$5,0))+INDEX('Tables - Part 2'!$BB$6:$BE$13,MATCH(CUI_SCC_Chloride!$AH10,'Tables - Part 2'!$AV$6:$AV$13,0),MATCH(CUI_SCC_Chloride!$X10,'Tables - Part 2'!$AX$5:$BA$5,0)))/2)+INDEX('Tables - Part 2'!$BB$6:$BE$13,MATCH(CUI_SCC_Chloride!$AH10,'Tables - Part 2'!$AV$6:$AV$13,0),MATCH(CUI_SCC_Chloride!$X10,'Tables - Part 2'!$AX$5:$BA$5,0)))/2)/2,0)</f>
        <v>0</v>
      </c>
      <c r="AY10" s="248">
        <f>IF($W10=$AY$3,(((INDEX('Tables - Part 2'!$AX$6:$BA$13,MATCH(CUI_SCC_Chloride!AH10,'Tables - Part 2'!$AV$6:$AV$13,0),MATCH(CUI_SCC_Chloride!X10,'Tables - Part 2'!$AX$5:$BA$5,0))+INDEX('Tables - Part 2'!$BB$6:$BE$13,MATCH(CUI_SCC_Chloride!$AH10,'Tables - Part 2'!$AV$6:$AV$13,0),MATCH(CUI_SCC_Chloride!$X10,'Tables - Part 2'!$AX$5:$BA$5,0)))/2)+INDEX('Tables - Part 2'!$BB$6:$BE$13,MATCH(CUI_SCC_Chloride!$AH10,'Tables - Part 2'!$AV$6:$AV$13,0),MATCH(CUI_SCC_Chloride!$X10,'Tables - Part 2'!$AX$5:$BA$5,0)))/2,0)</f>
        <v>0</v>
      </c>
      <c r="AZ10" s="248">
        <f>IF($W10=$AZ$3,(((((INDEX('Tables - Part 2'!$AX$6:$BA$13,MATCH(CUI_SCC_Chloride!AH10,'Tables - Part 2'!$AV$6:$AV$13,0),MATCH(CUI_SCC_Chloride!X10,'Tables - Part 2'!$AX$5:$BA$5,0))+INDEX('Tables - Part 2'!$BB$6:$BE$13,MATCH(CUI_SCC_Chloride!$AH10,'Tables - Part 2'!$AV$6:$AV$13,0),MATCH(CUI_SCC_Chloride!$X10,'Tables - Part 2'!$AX$5:$BA$5,0)))/2)+INDEX('Tables - Part 2'!$BB$6:$BE$13,MATCH(CUI_SCC_Chloride!$AH10,'Tables - Part 2'!$AV$6:$AV$13,0),MATCH(CUI_SCC_Chloride!$X10,'Tables - Part 2'!$AX$5:$BA$5,0)))/2)+INDEX('Tables - Part 2'!$BB$6:$BE$13,MATCH(CUI_SCC_Chloride!$AH10,'Tables - Part 2'!$AV$6:$AV$13,0),MATCH(CUI_SCC_Chloride!$X10,'Tables - Part 2'!$AX$5:$BA$5,0)))/2,0)</f>
        <v>0</v>
      </c>
      <c r="BA10" s="248">
        <f>IF($W10=$BA$3,INDEX('Tables - Part 2'!$BB$6:$BE$13,MATCH(CUI_SCC_Chloride!$AH10,'Tables - Part 2'!$AV$6:$AV$13,0),MATCH(CUI_SCC_Chloride!$X10,'Tables - Part 2'!$AX$5:$BA$5,0)),0)</f>
        <v>0</v>
      </c>
      <c r="BB10" s="248">
        <f>IF($W10=$BB$3,((INDEX('Tables - Part 2'!$BB$6:$BE$13,MATCH(CUI_SCC_Chloride!$AH10,'Tables - Part 2'!$AV$6:$AV$13,0),MATCH(CUI_SCC_Chloride!$X10,'Tables - Part 2'!$AX$5:$BA$5,0)))+(INDEX('Tables - Part 2'!$BB$6:$BE$13,MATCH(CUI_SCC_Chloride!$AH10,'Tables - Part 2'!$AV$6:$AV$13,0),MATCH(CUI_SCC_Chloride!$X10,'Tables - Part 2'!$AX$5:$BA$5,0))+(INDEX('Tables - Part 2'!$BB$6:$BE$13,MATCH(CUI_SCC_Chloride!$AH10,'Tables - Part 2'!$AV$6:$AV$13,0),MATCH(CUI_SCC_Chloride!$X10,'Tables - Part 2'!$AX$5:$BA$5,0))+INDEX('Tables - Part 2'!$BF$6:$BI$13,MATCH(CUI_SCC_Chloride!$AH10,'Tables - Part 2'!$AV$6:$AV$13,0),MATCH(CUI_SCC_Chloride!$X10,'Tables - Part 2'!$AX$5:$BA$5,0)))/2)/2)/2,0)</f>
        <v>0</v>
      </c>
      <c r="BC10" s="248">
        <f>IF($W10=$BC$3,(INDEX('Tables - Part 2'!$BB$6:$BE$13,MATCH(CUI_SCC_Chloride!$AH10,'Tables - Part 2'!$AV$6:$AV$13,0),MATCH(CUI_SCC_Chloride!$X10,'Tables - Part 2'!$AX$5:$BA$5,0))+(INDEX('Tables - Part 2'!$BB$6:$BE$13,MATCH(CUI_SCC_Chloride!$AH10,'Tables - Part 2'!$AV$6:$AV$13,0),MATCH(CUI_SCC_Chloride!$X10,'Tables - Part 2'!$AX$5:$BA$5,0))+INDEX('Tables - Part 2'!$BF$6:$BI$13,MATCH(CUI_SCC_Chloride!$AH10,'Tables - Part 2'!$AV$6:$AV$13,0),MATCH(CUI_SCC_Chloride!$X10,'Tables - Part 2'!$AX$5:$BA$5,0)))/2)/2,0)</f>
        <v>0</v>
      </c>
      <c r="BD10" s="248">
        <f>IF($W10=$BD$3,(((INDEX('Tables - Part 2'!$BB$6:$BE$13,MATCH(CUI_SCC_Chloride!$AH10,'Tables - Part 2'!$AV$6:$AV$13,0),MATCH(CUI_SCC_Chloride!$X10,'Tables - Part 2'!$AX$5:$BA$5,0))+(INDEX('Tables - Part 2'!$BB$6:$BE$13,MATCH(CUI_SCC_Chloride!$AH10,'Tables - Part 2'!$AV$6:$AV$13,0),MATCH(CUI_SCC_Chloride!$X10,'Tables - Part 2'!$AX$5:$BA$5,0))+INDEX('Tables - Part 2'!$BF$6:$BI$13,MATCH(CUI_SCC_Chloride!$AH10,'Tables - Part 2'!$AV$6:$AV$13,0),MATCH(CUI_SCC_Chloride!$X10,'Tables - Part 2'!$AX$5:$BA$5,0)))/2)/2)+((INDEX('Tables - Part 2'!$BB$6:$BE$13,MATCH(CUI_SCC_Chloride!$AH10,'Tables - Part 2'!$AV$6:$AV$13,0),MATCH(CUI_SCC_Chloride!$X10,'Tables - Part 2'!$AX$5:$BA$5,0))+INDEX('Tables - Part 2'!$BF$6:$BI$13,MATCH(CUI_SCC_Chloride!$AH10,'Tables - Part 2'!$AV$6:$AV$13,0),MATCH(CUI_SCC_Chloride!$X10,'Tables - Part 2'!$AX$5:$BA$5,0)))/2))/2,0)</f>
        <v>0</v>
      </c>
      <c r="BE10" s="248">
        <f>IF($W10=$BE$3,(INDEX('Tables - Part 2'!$BB$6:$BE$13,MATCH(CUI_SCC_Chloride!$AH10,'Tables - Part 2'!$AV$6:$AV$13,0),MATCH(CUI_SCC_Chloride!$X10,'Tables - Part 2'!$AX$5:$BA$5,0))+INDEX('Tables - Part 2'!$BF$6:$BI$13,MATCH(CUI_SCC_Chloride!$AH10,'Tables - Part 2'!$AV$6:$AV$13,0),MATCH(CUI_SCC_Chloride!$X10,'Tables - Part 2'!$AX$5:$BA$5,0)))/2,0)</f>
        <v>0</v>
      </c>
      <c r="BF10" s="248">
        <f>IF($W10=$BF$3,(((INDEX('Tables - Part 2'!$BB$6:$BE$13,MATCH(CUI_SCC_Chloride!$AH10,'Tables - Part 2'!$AV$6:$AV$13,0),MATCH(CUI_SCC_Chloride!$X10,'Tables - Part 2'!$AX$5:$BA$5,0))+INDEX('Tables - Part 2'!$BF$6:$BI$13,MATCH(CUI_SCC_Chloride!$AH10,'Tables - Part 2'!$AV$6:$AV$13,0),MATCH(CUI_SCC_Chloride!$X10,'Tables - Part 2'!$AX$5:$BA$5,0)))/2)+((((INDEX('Tables - Part 2'!$BB$6:$BE$13,MATCH(CUI_SCC_Chloride!$AH10,'Tables - Part 2'!$AV$6:$AV$13,0),MATCH(CUI_SCC_Chloride!$X10,'Tables - Part 2'!$AX$5:$BA$5,0))+INDEX('Tables - Part 2'!$BF$6:$BI$13,MATCH(CUI_SCC_Chloride!$AH10,'Tables - Part 2'!$AV$6:$AV$13,0),MATCH(CUI_SCC_Chloride!$X10,'Tables - Part 2'!$AX$5:$BA$5,0)))/2)+INDEX('Tables - Part 2'!$BF$6:$BI$13,MATCH(CUI_SCC_Chloride!$AH10,'Tables - Part 2'!$AV$6:$AV$13,0),MATCH(CUI_SCC_Chloride!$X10,'Tables - Part 2'!$AX$5:$BA$5,0)))/2))/2,0)</f>
        <v>0</v>
      </c>
      <c r="BG10" s="248">
        <f>IF($W10=$BG$3,(((INDEX('Tables - Part 2'!$BB$6:$BE$13,MATCH(CUI_SCC_Chloride!$AH10,'Tables - Part 2'!$AV$6:$AV$13,0),MATCH(CUI_SCC_Chloride!$X10,'Tables - Part 2'!$AX$5:$BA$5,0))+INDEX('Tables - Part 2'!$BF$6:$BI$13,MATCH(CUI_SCC_Chloride!$AH10,'Tables - Part 2'!$AV$6:$AV$13,0),MATCH(CUI_SCC_Chloride!$X10,'Tables - Part 2'!$AX$5:$BA$5,0)))/2)+INDEX('Tables - Part 2'!$BF$6:$BI$13,MATCH(CUI_SCC_Chloride!$AH10,'Tables - Part 2'!$AV$6:$AV$13,0),MATCH(CUI_SCC_Chloride!$X10,'Tables - Part 2'!$AX$5:$BA$5,0)))/2,0)</f>
        <v>0</v>
      </c>
      <c r="BH10" s="248">
        <f>IF($W10=$BH$3,(((((INDEX('Tables - Part 2'!$BB$6:$BE$13,MATCH(CUI_SCC_Chloride!$AH10,'Tables - Part 2'!$AV$6:$AV$13,0),MATCH(CUI_SCC_Chloride!$X10,'Tables - Part 2'!$AX$5:$BA$5,0))+INDEX('Tables - Part 2'!$BF$6:$BI$13,MATCH(CUI_SCC_Chloride!$AH10,'Tables - Part 2'!$AV$6:$AV$13,0),MATCH(CUI_SCC_Chloride!$X10,'Tables - Part 2'!$AX$5:$BA$5,0)))/2)+INDEX('Tables - Part 2'!$BF$6:$BI$13,MATCH(CUI_SCC_Chloride!$AH10,'Tables - Part 2'!$AV$6:$AV$13,0),MATCH(CUI_SCC_Chloride!$X10,'Tables - Part 2'!$AX$5:$BA$5,0)))/2)+INDEX('Tables - Part 2'!$BF$6:$BI$13,MATCH(CUI_SCC_Chloride!$AH10,'Tables - Part 2'!$AV$6:$AV$13,0),MATCH(CUI_SCC_Chloride!$X10,'Tables - Part 2'!$AX$5:$BA$5,0)))/2,0)</f>
        <v>0</v>
      </c>
      <c r="BI10" s="248">
        <f>IF($W10=$BI$3,INDEX('Tables - Part 2'!$BF$6:$BI$13,MATCH(CUI_SCC_Chloride!$AH10,'Tables - Part 2'!$AV$6:$AV$13,0),MATCH(CUI_SCC_Chloride!$X10,'Tables - Part 2'!$AX$5:$BA$5,0)),0)</f>
        <v>0</v>
      </c>
      <c r="BJ10" s="248">
        <f>IF($W10=$BJ$3,(INDEX('Tables - Part 2'!$BF$6:$BI$13,MATCH(CUI_SCC_Chloride!$AH10,'Tables - Part 2'!$AV$6:$AV$13,0),MATCH(CUI_SCC_Chloride!$X10,'Tables - Part 2'!$AX$5:$BA$5,0))+((INDEX('Tables - Part 2'!$BF$6:$BI$13,MATCH(CUI_SCC_Chloride!$AH10,'Tables - Part 2'!$AV$6:$AV$13,0),MATCH(CUI_SCC_Chloride!$X10,'Tables - Part 2'!$AX$5:$BA$5,0))+(INDEX('Tables - Part 2'!$BF$6:$BI$13,MATCH(CUI_SCC_Chloride!$AH10,'Tables - Part 2'!$AV$6:$AV$13,0),MATCH(CUI_SCC_Chloride!$X10,'Tables - Part 2'!$AX$5:$BA$5,0))+INDEX('Tables - Part 2'!$AX$17:$BA$24,MATCH(CUI_SCC_Chloride!$AH10,'Tables - Part 2'!$AV$6:$AV$13,0),MATCH(CUI_SCC_Chloride!$X10,'Tables - Part 2'!$AX$5:$BA$5,0)))/2)/2))/2,0)</f>
        <v>0</v>
      </c>
      <c r="BK10" s="248">
        <f>IF($W10=$BK$3,(INDEX('Tables - Part 2'!$BF$6:$BI$13,MATCH(CUI_SCC_Chloride!$AH10,'Tables - Part 2'!$AV$6:$AV$13,0),MATCH(CUI_SCC_Chloride!$X10,'Tables - Part 2'!$AX$5:$BA$5,0))+(INDEX('Tables - Part 2'!$BF$6:$BI$13,MATCH(CUI_SCC_Chloride!$AH10,'Tables - Part 2'!$AV$6:$AV$13,0),MATCH(CUI_SCC_Chloride!$X10,'Tables - Part 2'!$AX$5:$BA$5,0))+INDEX('Tables - Part 2'!$AX$17:$BA$24,MATCH(CUI_SCC_Chloride!$AH10,'Tables - Part 2'!$AV$6:$AV$13,0),MATCH(CUI_SCC_Chloride!$X10,'Tables - Part 2'!$AX$5:$BA$5,0)))/2)/2,0)</f>
        <v>0</v>
      </c>
      <c r="BL10" s="248">
        <f>IF($W10=$BL$3,(((INDEX('Tables - Part 2'!$BF$6:$BI$13,MATCH(CUI_SCC_Chloride!$AH10,'Tables - Part 2'!$AV$6:$AV$13,0),MATCH(CUI_SCC_Chloride!$X10,'Tables - Part 2'!$AX$5:$BA$5,0))+(INDEX('Tables - Part 2'!$BF$6:$BI$13,MATCH(CUI_SCC_Chloride!$AH10,'Tables - Part 2'!$AV$6:$AV$13,0),MATCH(CUI_SCC_Chloride!$X10,'Tables - Part 2'!$AX$5:$BA$5,0))+INDEX('Tables - Part 2'!$AX$17:$BA$24,MATCH(CUI_SCC_Chloride!$AH10,'Tables - Part 2'!$AV$6:$AV$13,0),MATCH(CUI_SCC_Chloride!$X10,'Tables - Part 2'!$AX$5:$BA$5,0)))/2)/2)+((INDEX('Tables - Part 2'!$BF$6:$BI$13,MATCH(CUI_SCC_Chloride!$AH10,'Tables - Part 2'!$AV$6:$AV$13,0),MATCH(CUI_SCC_Chloride!$X10,'Tables - Part 2'!$AX$5:$BA$5,0))+INDEX('Tables - Part 2'!$AX$17:$BA$24,MATCH(CUI_SCC_Chloride!$AH10,'Tables - Part 2'!$AV$6:$AV$13,0),MATCH(CUI_SCC_Chloride!$X10,'Tables - Part 2'!$AX$5:$BA$5,0)))/2))/2,0)</f>
        <v>0</v>
      </c>
      <c r="BM10" s="248">
        <f>IF($W10=$BM$3,(INDEX('Tables - Part 2'!$BF$6:$BI$13,MATCH(CUI_SCC_Chloride!$AH10,'Tables - Part 2'!$AV$6:$AV$13,0),MATCH(CUI_SCC_Chloride!$X10,'Tables - Part 2'!$AX$5:$BA$5,0))+INDEX('Tables - Part 2'!$AX$17:$BA$24,MATCH(CUI_SCC_Chloride!$AH10,'Tables - Part 2'!$AV$6:$AV$13,0),MATCH(CUI_SCC_Chloride!$X10,'Tables - Part 2'!$AX$5:$BA$5,0)))/2,0)</f>
        <v>0</v>
      </c>
      <c r="BN10" s="248">
        <f>IF($W10=$BN$3,(((INDEX('Tables - Part 2'!$BF$6:$BI$13,MATCH(CUI_SCC_Chloride!$AH10,'Tables - Part 2'!$AV$6:$AV$13,0),MATCH(CUI_SCC_Chloride!$X10,'Tables - Part 2'!$AX$5:$BA$5,0))+INDEX('Tables - Part 2'!$AX$17:$BA$24,MATCH(CUI_SCC_Chloride!$AH10,'Tables - Part 2'!$AV$6:$AV$13,0),MATCH(CUI_SCC_Chloride!$X10,'Tables - Part 2'!$AX$5:$BA$5,0)))/2)+((((INDEX('Tables - Part 2'!$BF$6:$BI$13,MATCH(CUI_SCC_Chloride!$AH10,'Tables - Part 2'!$AV$6:$AV$13,0),MATCH(CUI_SCC_Chloride!$X10,'Tables - Part 2'!$AX$5:$BA$5,0))+INDEX('Tables - Part 2'!$AX$17:$BA$24,MATCH(CUI_SCC_Chloride!$AH10,'Tables - Part 2'!$AV$6:$AV$13,0),MATCH(CUI_SCC_Chloride!$X10,'Tables - Part 2'!$AX$5:$BA$5,0)))/2)+INDEX('Tables - Part 2'!$AX$17:$BA$24,MATCH(CUI_SCC_Chloride!$AH10,'Tables - Part 2'!$AV$6:$AV$13,0),MATCH(CUI_SCC_Chloride!$X10,'Tables - Part 2'!$AX$5:$BA$5,0)))/2))/2,0)</f>
        <v>0</v>
      </c>
      <c r="BO10" s="248">
        <f>IF($W10=$BO$3,(((INDEX('Tables - Part 2'!$BF$6:$BI$13,MATCH(CUI_SCC_Chloride!$AH10,'Tables - Part 2'!$AV$6:$AV$13,0),MATCH(CUI_SCC_Chloride!$X10,'Tables - Part 2'!$AX$5:$BA$5,0))+INDEX('Tables - Part 2'!$AX$17:$BA$24,MATCH(CUI_SCC_Chloride!$AH10,'Tables - Part 2'!$AV$6:$AV$13,0),MATCH(CUI_SCC_Chloride!$X10,'Tables - Part 2'!$AX$5:$BA$5,0)))/2)+INDEX('Tables - Part 2'!$AX$17:$BA$24,MATCH(CUI_SCC_Chloride!$AH10,'Tables - Part 2'!$AV$6:$AV$13,0),MATCH(CUI_SCC_Chloride!$X10,'Tables - Part 2'!$AX$5:$BA$5,0)))/2,0)</f>
        <v>0</v>
      </c>
      <c r="BP10" s="248">
        <f>IF($W10=$BP$3,(((((INDEX('Tables - Part 2'!$BF$6:$BI$13,MATCH(CUI_SCC_Chloride!$AH10,'Tables - Part 2'!$AV$6:$AV$13,0),MATCH(CUI_SCC_Chloride!$X10,'Tables - Part 2'!$AX$5:$BA$5,0))+INDEX('Tables - Part 2'!$AX$17:$BA$24,MATCH(CUI_SCC_Chloride!$AH10,'Tables - Part 2'!$AV$6:$AV$13,0),MATCH(CUI_SCC_Chloride!$X10,'Tables - Part 2'!$AX$5:$BA$5,0)))/2)+INDEX('Tables - Part 2'!$AX$17:$BA$24,MATCH(CUI_SCC_Chloride!$AH10,'Tables - Part 2'!$AV$6:$AV$13,0),MATCH(CUI_SCC_Chloride!$X10,'Tables - Part 2'!$AX$5:$BA$5,0)))/2)+(INDEX('Tables - Part 2'!$AX$17:$BA$24,MATCH(CUI_SCC_Chloride!$AH10,'Tables - Part 2'!$AV$6:$AV$13,0),MATCH(CUI_SCC_Chloride!$X10,'Tables - Part 2'!$AX$5:$BA$5,0))))/2,0)</f>
        <v>0</v>
      </c>
      <c r="BQ10" s="248">
        <f>IF($W10=$BQ$3,INDEX('Tables - Part 2'!$AX$17:$BA$24,MATCH(CUI_SCC_Chloride!$AH10,'Tables - Part 2'!$AV$6:$AV$13,0),MATCH(CUI_SCC_Chloride!$X10,'Tables - Part 2'!$AX$5:$BA$5,0)),0)</f>
        <v>0</v>
      </c>
      <c r="BR10" s="248">
        <f>IF($W10=$BR$3,((INDEX('Tables - Part 2'!$AX$17:$BA$24,MATCH(CUI_SCC_Chloride!$AH10,'Tables - Part 2'!$AV$6:$AV$13,0),MATCH(CUI_SCC_Chloride!$X10,'Tables - Part 2'!$AX$5:$BA$5,0)))+(((INDEX('Tables - Part 2'!$AX$17:$BA$24,MATCH(CUI_SCC_Chloride!$AH10,'Tables - Part 2'!$AV$6:$AV$13,0),MATCH(CUI_SCC_Chloride!$X10,'Tables - Part 2'!$AX$5:$BA$5,0)))+(INDEX('Tables - Part 2'!$AX$17:$BA$24,MATCH(CUI_SCC_Chloride!$AH10,'Tables - Part 2'!$AV$6:$AV$13,0),MATCH(CUI_SCC_Chloride!$X10,'Tables - Part 2'!$AX$5:$BA$5,0))+INDEX('Tables - Part 2'!$BB$17:$BE$24,MATCH(CUI_SCC_Chloride!$AH10,'Tables - Part 2'!$AV$6:$AV$13,0),MATCH(CUI_SCC_Chloride!$X10,'Tables - Part 2'!$AX$5:$BA$5,0)))/2)/2))/2,0)</f>
        <v>0</v>
      </c>
      <c r="BS10" s="248">
        <f>IF($W10=$BS$3,((INDEX('Tables - Part 2'!$AX$17:$BA$24,MATCH(CUI_SCC_Chloride!$AH10,'Tables - Part 2'!$AV$6:$AV$13,0),MATCH(CUI_SCC_Chloride!$X10,'Tables - Part 2'!$AX$5:$BA$5,0)))+(INDEX('Tables - Part 2'!$AX$17:$BA$24,MATCH(CUI_SCC_Chloride!$AH10,'Tables - Part 2'!$AV$6:$AV$13,0),MATCH(CUI_SCC_Chloride!$X10,'Tables - Part 2'!$AX$5:$BA$5,0))+INDEX('Tables - Part 2'!$BB$17:$BE$24,MATCH(CUI_SCC_Chloride!$AH10,'Tables - Part 2'!$AV$6:$AV$13,0),MATCH(CUI_SCC_Chloride!$X10,'Tables - Part 2'!$AX$5:$BA$5,0)))/2)/2,0)</f>
        <v>0</v>
      </c>
      <c r="BT10" s="248">
        <f>IF($W10=$BT$3,((((INDEX('Tables - Part 2'!$AX$17:$BA$24,MATCH(CUI_SCC_Chloride!$AH10,'Tables - Part 2'!$AV$6:$AV$13,0),MATCH(CUI_SCC_Chloride!$X10,'Tables - Part 2'!$AX$5:$BA$5,0)))+(INDEX('Tables - Part 2'!$AX$17:$BA$24,MATCH(CUI_SCC_Chloride!$AH10,'Tables - Part 2'!$AV$6:$AV$13,0),MATCH(CUI_SCC_Chloride!$X10,'Tables - Part 2'!$AX$5:$BA$5,0))+INDEX('Tables - Part 2'!$BB$17:$BE$24,MATCH(CUI_SCC_Chloride!$AH10,'Tables - Part 2'!$AV$6:$AV$13,0),MATCH(CUI_SCC_Chloride!$X10,'Tables - Part 2'!$AX$5:$BA$5,0)))/2)/2)+((INDEX('Tables - Part 2'!$AX$17:$BA$24,MATCH(CUI_SCC_Chloride!$AH10,'Tables - Part 2'!$AV$6:$AV$13,0),MATCH(CUI_SCC_Chloride!$X10,'Tables - Part 2'!$AX$5:$BA$5,0))+INDEX('Tables - Part 2'!$BB$17:$BE$24,MATCH(CUI_SCC_Chloride!$AH10,'Tables - Part 2'!$AV$6:$AV$13,0),MATCH(CUI_SCC_Chloride!$X10,'Tables - Part 2'!$AX$5:$BA$5,0)))/2))/2,0)</f>
        <v>0</v>
      </c>
      <c r="BU10" s="248">
        <f>IF($W10=$BU$3,(INDEX('Tables - Part 2'!$AX$17:$BA$24,MATCH(CUI_SCC_Chloride!$AH10,'Tables - Part 2'!$AV$6:$AV$13,0),MATCH(CUI_SCC_Chloride!$X10,'Tables - Part 2'!$AX$5:$BA$5,0))+INDEX('Tables - Part 2'!$BB$17:$BE$24,MATCH(CUI_SCC_Chloride!$AH10,'Tables - Part 2'!$AV$6:$AV$13,0),MATCH(CUI_SCC_Chloride!$X10,'Tables - Part 2'!$AX$5:$BA$5,0)))/2,0)</f>
        <v>0</v>
      </c>
      <c r="BV10" s="248">
        <f>IF($W10=$BV$3,(((INDEX('Tables - Part 2'!$AX$17:$BA$24,MATCH(CUI_SCC_Chloride!$AH10,'Tables - Part 2'!$AV$6:$AV$13,0),MATCH(CUI_SCC_Chloride!$X10,'Tables - Part 2'!$AX$5:$BA$5,0))+INDEX('Tables - Part 2'!$BB$17:$BE$24,MATCH(CUI_SCC_Chloride!$AH10,'Tables - Part 2'!$AV$6:$AV$13,0),MATCH(CUI_SCC_Chloride!$X10,'Tables - Part 2'!$AX$5:$BA$5,0)))/2)+((((INDEX('Tables - Part 2'!$AX$17:$BA$24,MATCH(CUI_SCC_Chloride!$AH10,'Tables - Part 2'!$AV$6:$AV$13,0),MATCH(CUI_SCC_Chloride!$X10,'Tables - Part 2'!$AX$5:$BA$5,0))+INDEX('Tables - Part 2'!$BB$17:$BE$24,MATCH(CUI_SCC_Chloride!$AH10,'Tables - Part 2'!$AV$6:$AV$13,0),MATCH(CUI_SCC_Chloride!$X10,'Tables - Part 2'!$AX$5:$BA$5,0)))/2)+INDEX('Tables - Part 2'!$BB$17:$BE$24,MATCH(CUI_SCC_Chloride!$AH10,'Tables - Part 2'!$AV$6:$AV$13,0),MATCH(CUI_SCC_Chloride!$X10,'Tables - Part 2'!$AX$5:$BA$5,0)))/2))/2,0)</f>
        <v>0</v>
      </c>
      <c r="BW10" s="248">
        <f>IF($W10=$BW$3,(((INDEX('Tables - Part 2'!$AX$17:$BA$24,MATCH(CUI_SCC_Chloride!$AH10,'Tables - Part 2'!$AV$6:$AV$13,0),MATCH(CUI_SCC_Chloride!$X10,'Tables - Part 2'!$AX$5:$BA$5,0))+INDEX('Tables - Part 2'!$BB$17:$BE$24,MATCH(CUI_SCC_Chloride!$AH10,'Tables - Part 2'!$AV$6:$AV$13,0),MATCH(CUI_SCC_Chloride!$X10,'Tables - Part 2'!$AX$5:$BA$5,0)))/2)+INDEX('Tables - Part 2'!$BB$17:$BE$24,MATCH(CUI_SCC_Chloride!$AH10,'Tables - Part 2'!$AV$6:$AV$13,0),MATCH(CUI_SCC_Chloride!$X10,'Tables - Part 2'!$AX$5:$BA$5,0)))/2,0)</f>
        <v>0</v>
      </c>
      <c r="BX10" s="248">
        <f>IF($W10=$BX$3,(((((INDEX('Tables - Part 2'!$AX$17:$BA$24,MATCH(CUI_SCC_Chloride!$AH10,'Tables - Part 2'!$AV$6:$AV$13,0),MATCH(CUI_SCC_Chloride!$X10,'Tables - Part 2'!$AX$5:$BA$5,0))+INDEX('Tables - Part 2'!$BB$17:$BE$24,MATCH(CUI_SCC_Chloride!$AH10,'Tables - Part 2'!$AV$6:$AV$13,0),MATCH(CUI_SCC_Chloride!$X10,'Tables - Part 2'!$AX$5:$BA$5,0)))/2)+INDEX('Tables - Part 2'!$BB$17:$BE$24,MATCH(CUI_SCC_Chloride!$AH10,'Tables - Part 2'!$AV$6:$AV$13,0),MATCH(CUI_SCC_Chloride!$X10,'Tables - Part 2'!$AX$5:$BA$5,0)))/2)+(INDEX('Tables - Part 2'!$BB$17:$BE$24,MATCH(CUI_SCC_Chloride!$AH10,'Tables - Part 2'!$AV$6:$AV$13,0),MATCH(CUI_SCC_Chloride!$X10,'Tables - Part 2'!$AX$5:$BA$5,0))))/2,0)</f>
        <v>0</v>
      </c>
      <c r="BY10" s="248">
        <f>IF($W10=$BY$3,INDEX('Tables - Part 2'!$BB$17:$BE$24,MATCH(CUI_SCC_Chloride!$AH10,'Tables - Part 2'!$AV$6:$AV$13,0),MATCH(CUI_SCC_Chloride!$X10,'Tables - Part 2'!$AX$5:$BA$5,0)),0)</f>
        <v>0</v>
      </c>
      <c r="BZ10" s="248">
        <f>IF($W10=$BZ$3,((INDEX('Tables - Part 2'!$BB$17:$BE$24,MATCH(CUI_SCC_Chloride!$AH10,'Tables - Part 2'!$AV$6:$AV$13,0),MATCH(CUI_SCC_Chloride!$X10,'Tables - Part 2'!$AX$5:$BA$5,0)))+(((INDEX('Tables - Part 2'!$BB$17:$BE$24,MATCH(CUI_SCC_Chloride!$AH10,'Tables - Part 2'!$AV$6:$AV$13,0),MATCH(CUI_SCC_Chloride!$X10,'Tables - Part 2'!$AX$5:$BA$5,0)))+(INDEX('Tables - Part 2'!$BB$17:$BE$24,MATCH(CUI_SCC_Chloride!$AH10,'Tables - Part 2'!$AV$6:$AV$13,0),MATCH(CUI_SCC_Chloride!$X10,'Tables - Part 2'!$AX$5:$BA$5,0))+INDEX('Tables - Part 2'!$BF$17:$BI$24,MATCH(CUI_SCC_Chloride!$AH10,'Tables - Part 2'!$AV$6:$AV$13,0),MATCH(CUI_SCC_Chloride!$X10,'Tables - Part 2'!$AX$5:$BA$5,0)))/2)/2))/2,0)</f>
        <v>0</v>
      </c>
      <c r="CA10" s="248">
        <f>IF($W10=$CA$3,((INDEX('Tables - Part 2'!$BB$17:$BE$24,MATCH(CUI_SCC_Chloride!$AH10,'Tables - Part 2'!$AV$6:$AV$13,0),MATCH(CUI_SCC_Chloride!$X10,'Tables - Part 2'!$AX$5:$BA$5,0)))+(INDEX('Tables - Part 2'!$BB$17:$BE$24,MATCH(CUI_SCC_Chloride!$AH10,'Tables - Part 2'!$AV$6:$AV$13,0),MATCH(CUI_SCC_Chloride!$X10,'Tables - Part 2'!$AX$5:$BA$5,0))+INDEX('Tables - Part 2'!$BF$17:$BI$24,MATCH(CUI_SCC_Chloride!$AH10,'Tables - Part 2'!$AV$6:$AV$13,0),MATCH(CUI_SCC_Chloride!$X10,'Tables - Part 2'!$AX$5:$BA$5,0)))/2)/2,0)</f>
        <v>0</v>
      </c>
      <c r="CB10" s="248">
        <f>IF($W10=$CB$3,((((INDEX('Tables - Part 2'!$BB$17:$BE$24,MATCH(CUI_SCC_Chloride!$AH10,'Tables - Part 2'!$AV$6:$AV$13,0),MATCH(CUI_SCC_Chloride!$X10,'Tables - Part 2'!$AX$5:$BA$5,0)))+(INDEX('Tables - Part 2'!$BB$17:$BE$24,MATCH(CUI_SCC_Chloride!$AH10,'Tables - Part 2'!$AV$6:$AV$13,0),MATCH(CUI_SCC_Chloride!$X10,'Tables - Part 2'!$AX$5:$BA$5,0))+INDEX('Tables - Part 2'!$BF$17:$BI$24,MATCH(CUI_SCC_Chloride!$AH10,'Tables - Part 2'!$AV$6:$AV$13,0),MATCH(CUI_SCC_Chloride!$X10,'Tables - Part 2'!$AX$5:$BA$5,0)))/2)/2)+((INDEX('Tables - Part 2'!$BB$17:$BE$24,MATCH(CUI_SCC_Chloride!$AH10,'Tables - Part 2'!$AV$6:$AV$13,0),MATCH(CUI_SCC_Chloride!$X10,'Tables - Part 2'!$AX$5:$BA$5,0))+INDEX('Tables - Part 2'!$BF$17:$BI$24,MATCH(CUI_SCC_Chloride!$AH10,'Tables - Part 2'!$AV$6:$AV$13,0),MATCH(CUI_SCC_Chloride!$X10,'Tables - Part 2'!$AX$5:$BA$5,0)))/2))/2,0)</f>
        <v>0</v>
      </c>
      <c r="CC10" s="248">
        <f>IF($W10=$CC$3,(INDEX('Tables - Part 2'!$BB$17:$BE$24,MATCH(CUI_SCC_Chloride!$AH10,'Tables - Part 2'!$AV$6:$AV$13,0),MATCH(CUI_SCC_Chloride!$X10,'Tables - Part 2'!$AX$5:$BA$5,0))+INDEX('Tables - Part 2'!$BF$17:$BI$24,MATCH(CUI_SCC_Chloride!$AH10,'Tables - Part 2'!$AV$6:$AV$13,0),MATCH(CUI_SCC_Chloride!$X10,'Tables - Part 2'!$AX$5:$BA$5,0)))/2,0)</f>
        <v>0</v>
      </c>
      <c r="CD10" s="248">
        <f>IF($W10=$CD$3,(((INDEX('Tables - Part 2'!$BB$17:$BE$24,MATCH(CUI_SCC_Chloride!$AH10,'Tables - Part 2'!$AV$6:$AV$13,0),MATCH(CUI_SCC_Chloride!$X10,'Tables - Part 2'!$AX$5:$BA$5,0))+INDEX('Tables - Part 2'!$BF$17:$BI$24,MATCH(CUI_SCC_Chloride!$AH10,'Tables - Part 2'!$AV$6:$AV$13,0),MATCH(CUI_SCC_Chloride!$X10,'Tables - Part 2'!$AX$5:$BA$5,0)))/2)+((((INDEX('Tables - Part 2'!$BB$17:$BE$24,MATCH(CUI_SCC_Chloride!$AH10,'Tables - Part 2'!$AV$6:$AV$13,0),MATCH(CUI_SCC_Chloride!$X10,'Tables - Part 2'!$AX$5:$BA$5,0))+INDEX('Tables - Part 2'!$BF$17:$BI$24,MATCH(CUI_SCC_Chloride!$AH10,'Tables - Part 2'!$AV$6:$AV$13,0),MATCH(CUI_SCC_Chloride!$X10,'Tables - Part 2'!$AX$5:$BA$5,0)))/2)+INDEX('Tables - Part 2'!$BF$17:$BI$24,MATCH(CUI_SCC_Chloride!$AH10,'Tables - Part 2'!$AV$6:$AV$13,0),MATCH(CUI_SCC_Chloride!$X10,'Tables - Part 2'!$AX$5:$BA$5,0)))/2))/2,0)</f>
        <v>0</v>
      </c>
      <c r="CE10" s="248">
        <f>IF($W10=$CE$3,(((INDEX('Tables - Part 2'!$BB$17:$BE$24,MATCH(CUI_SCC_Chloride!$AH10,'Tables - Part 2'!$AV$6:$AV$13,0),MATCH(CUI_SCC_Chloride!$X10,'Tables - Part 2'!$AX$5:$BA$5,0))+INDEX('Tables - Part 2'!$BF$17:$BI$24,MATCH(CUI_SCC_Chloride!$AH10,'Tables - Part 2'!$AV$6:$AV$13,0),MATCH(CUI_SCC_Chloride!$X10,'Tables - Part 2'!$AX$5:$BA$5,0)))/2)+INDEX('Tables - Part 2'!$BF$17:$BI$24,MATCH(CUI_SCC_Chloride!$AH10,'Tables - Part 2'!$AV$6:$AV$13,0),MATCH(CUI_SCC_Chloride!$X10,'Tables - Part 2'!$AX$5:$BA$5,0)))/2,0)</f>
        <v>0</v>
      </c>
      <c r="CF10" s="248">
        <f>IF($W10=$CF$3,(((((INDEX('Tables - Part 2'!$BB$17:$BE$24,MATCH(CUI_SCC_Chloride!$AH10,'Tables - Part 2'!$AV$6:$AV$13,0),MATCH(CUI_SCC_Chloride!$X10,'Tables - Part 2'!$AX$5:$BA$5,0))+INDEX('Tables - Part 2'!$BF$17:$BI$24,MATCH(CUI_SCC_Chloride!$AH10,'Tables - Part 2'!$AV$6:$AV$13,0),MATCH(CUI_SCC_Chloride!$X10,'Tables - Part 2'!$AX$5:$BA$5,0)))/2)+INDEX('Tables - Part 2'!$BF$17:$BI$24,MATCH(CUI_SCC_Chloride!$AH10,'Tables - Part 2'!$AV$6:$AV$13,0),MATCH(CUI_SCC_Chloride!$X10,'Tables - Part 2'!$AX$5:$BA$5,0)))/2)+(INDEX('Tables - Part 2'!$BF$17:$BI$24,MATCH(CUI_SCC_Chloride!$AH10,'Tables - Part 2'!$AV$6:$AV$13,0),MATCH(CUI_SCC_Chloride!$X10,'Tables - Part 2'!$AX$5:$BA$5,0))))/2,0)</f>
        <v>0</v>
      </c>
      <c r="CG10" s="248">
        <f>IF($W10=$CG$3,INDEX('Tables - Part 2'!$BF$17:$BI$24,MATCH(CUI_SCC_Chloride!$AH10,'Tables - Part 2'!$AV$6:$AV$13,0),MATCH(CUI_SCC_Chloride!$X10,'Tables - Part 2'!$AX$5:$BA$5,0)),0)</f>
        <v>0</v>
      </c>
      <c r="CH10" s="248">
        <f t="shared" si="5"/>
        <v>0</v>
      </c>
      <c r="CI10" s="238">
        <f t="shared" si="19"/>
        <v>0</v>
      </c>
      <c r="CJ10" s="238">
        <f t="shared" si="20"/>
        <v>0</v>
      </c>
    </row>
    <row r="11" spans="2:95" x14ac:dyDescent="0.35">
      <c r="B11" s="161" t="str">
        <f>'Tratamento de Dados'!B19</f>
        <v>V-2</v>
      </c>
      <c r="C11" s="161" t="str">
        <f>'Tratamento de Dados'!D19</f>
        <v>Casco</v>
      </c>
      <c r="D11" s="209" t="s">
        <v>245</v>
      </c>
      <c r="E11" s="209" t="s">
        <v>61</v>
      </c>
      <c r="F11" s="247">
        <f>'Tratamento de Dados'!S19</f>
        <v>2</v>
      </c>
      <c r="G11" s="209" t="s">
        <v>953</v>
      </c>
      <c r="H11" s="210">
        <v>35234</v>
      </c>
      <c r="I11" s="210">
        <v>43983</v>
      </c>
      <c r="J11" s="210">
        <v>39092</v>
      </c>
      <c r="K11" s="210">
        <f>'Tratamento de Dados'!CC19</f>
        <v>0</v>
      </c>
      <c r="L11" s="209">
        <f>'Tratamento de Dados'!CD19</f>
        <v>0</v>
      </c>
      <c r="M11" s="209" t="s">
        <v>905</v>
      </c>
      <c r="N11" s="209" t="s">
        <v>1081</v>
      </c>
      <c r="O11" s="209" t="s">
        <v>1081</v>
      </c>
      <c r="P11" s="209" t="s">
        <v>244</v>
      </c>
      <c r="Q11" s="209">
        <v>0</v>
      </c>
      <c r="R11" s="209">
        <v>1</v>
      </c>
      <c r="S11" s="209">
        <v>1</v>
      </c>
      <c r="T11" s="209">
        <v>4</v>
      </c>
      <c r="U11" s="253">
        <f>'Tratamento de Dados'!DA19</f>
        <v>0</v>
      </c>
      <c r="V11" s="253">
        <f>'Tratamento de Dados'!DB19</f>
        <v>0</v>
      </c>
      <c r="W11" s="256">
        <f t="shared" si="0"/>
        <v>2.5</v>
      </c>
      <c r="X11" s="246" t="str">
        <f t="shared" si="1"/>
        <v>B</v>
      </c>
      <c r="Y11" s="246" t="str">
        <f>IF(F11&lt;49,'Tables - Part 2'!$FH$5,IF(F11&lt;=93,'Tables - Part 2'!$FH$6,IF(F11&lt;=149,'Tables - Part 2'!$FH$7,'Tables - Part 2'!$FH$8)))</f>
        <v>&lt;49</v>
      </c>
      <c r="Z11" s="246" t="str">
        <f>IF(D11=$CO$2,$CM$5,INDEX('Tables - Part 2'!$FR$5:$FU$8,MATCH(CUI_SCC_Chloride!Y11,'Tables - Part 2'!$FQ$5:$FQ$8,0),MATCH(CUI_SCC_Chloride!M11,'Tables - Part 2'!$FR$4:$FU$4,0)))</f>
        <v>None</v>
      </c>
      <c r="AA11" s="246" t="str">
        <f t="shared" si="6"/>
        <v>None</v>
      </c>
      <c r="AB11" s="219">
        <f t="shared" si="7"/>
        <v>0</v>
      </c>
      <c r="AC11" s="246" t="str">
        <f t="shared" si="8"/>
        <v>None</v>
      </c>
      <c r="AD11" s="219">
        <f t="shared" si="9"/>
        <v>0</v>
      </c>
      <c r="AE11" s="246" t="str">
        <f t="shared" si="10"/>
        <v>None</v>
      </c>
      <c r="AF11" s="219">
        <f t="shared" si="11"/>
        <v>0</v>
      </c>
      <c r="AG11" s="467" t="str">
        <f t="shared" si="12"/>
        <v>None</v>
      </c>
      <c r="AH11" s="238">
        <f>IF(AND(D11=$CO$2,E11&lt;&gt;$CO$2),"Fitness-For-Service",INDEX('Tables - Part 2'!$FO$4:$FO$7,MATCH(CUI_SCC_Chloride!AG11,'Tables - Part 2'!$FN$4:$FN$7,0),))</f>
        <v>0</v>
      </c>
      <c r="AI11" s="238">
        <f>IF(J11=0,(Thinning!G12-Thinning!F12)/365.25,(Thinning!G12-J11)/365.25)</f>
        <v>12.980150581793293</v>
      </c>
      <c r="AJ11" s="248">
        <f t="shared" si="2"/>
        <v>0</v>
      </c>
      <c r="AK11" s="248">
        <f t="shared" si="3"/>
        <v>2.5</v>
      </c>
      <c r="AL11" s="247">
        <f t="shared" si="13"/>
        <v>3</v>
      </c>
      <c r="AM11" s="247">
        <f t="shared" si="4"/>
        <v>4</v>
      </c>
      <c r="AN11" s="247">
        <f t="shared" si="14"/>
        <v>120.41889117043121</v>
      </c>
      <c r="AO11" s="247">
        <f t="shared" si="15"/>
        <v>0</v>
      </c>
      <c r="AP11" s="247">
        <f t="shared" si="16"/>
        <v>0</v>
      </c>
      <c r="AQ11" s="247">
        <f t="shared" si="17"/>
        <v>0</v>
      </c>
      <c r="AR11" s="247">
        <f t="shared" si="18"/>
        <v>12.980150581793293</v>
      </c>
      <c r="AS11" s="248">
        <f>IF($W11=$AS$3,INDEX('Tables - Part 2'!$AX$6:$BA$13,MATCH(CUI_SCC_Chloride!AH11,'Tables - Part 2'!$AV$6:$AV$13,0),MATCH(CUI_SCC_Chloride!X11,'Tables - Part 2'!$AX$5:$BA$5,0)),0)</f>
        <v>0</v>
      </c>
      <c r="AT11" s="248">
        <f>IF($W11=$AT$3,(INDEX('Tables - Part 2'!$AX$6:$BA$13,MATCH(CUI_SCC_Chloride!AH11,'Tables - Part 2'!$AV$6:$AV$13,0),MATCH(CUI_SCC_Chloride!X11,'Tables - Part 2'!$AX$5:$BA$5,0))+(INDEX('Tables - Part 2'!$AX$6:$BA$13,MATCH(CUI_SCC_Chloride!AH11,'Tables - Part 2'!$AV$6:$AV$13,0),MATCH(CUI_SCC_Chloride!X11,'Tables - Part 2'!$AX$5:$BA$5,0))+((INDEX('Tables - Part 2'!$AX$6:$BA$13,MATCH(CUI_SCC_Chloride!AH11,'Tables - Part 2'!$AV$6:$AV$13,0),MATCH(CUI_SCC_Chloride!X11,'Tables - Part 2'!$AX$5:$BA$5,0))+INDEX('Tables - Part 2'!$BB$6:$BE$13,MATCH(CUI_SCC_Chloride!$AH11,'Tables - Part 2'!$AV$6:$AV$13,0),MATCH(CUI_SCC_Chloride!$X11,'Tables - Part 2'!$AX$5:$BA$5,0)))/2))/2)/2,0)</f>
        <v>0</v>
      </c>
      <c r="AU11" s="248">
        <f>IF($W11=$AU$3,(INDEX('Tables - Part 2'!$AX$6:$BA$13,MATCH(CUI_SCC_Chloride!AH11,'Tables - Part 2'!$AV$6:$AV$13,0),MATCH(CUI_SCC_Chloride!X11,'Tables - Part 2'!$AX$5:$BA$5,0))+((INDEX('Tables - Part 2'!$AX$6:$BA$13,MATCH(CUI_SCC_Chloride!AH11,'Tables - Part 2'!$AV$6:$AV$13,0),MATCH(CUI_SCC_Chloride!X11,'Tables - Part 2'!$AX$5:$BA$5,0))+INDEX('Tables - Part 2'!$BB$6:$BE$13,MATCH(CUI_SCC_Chloride!$AH11,'Tables - Part 2'!$AV$6:$AV$13,0),MATCH(CUI_SCC_Chloride!$X11,'Tables - Part 2'!$AX$5:$BA$5,0)))/2))/2,0)</f>
        <v>0</v>
      </c>
      <c r="AV11" s="248">
        <f>IF($W11=$AV$3,(((INDEX('Tables - Part 2'!$AX$6:$BA$13,MATCH(CUI_SCC_Chloride!AH11,'Tables - Part 2'!$AV$6:$AV$13,0),MATCH(CUI_SCC_Chloride!X11,'Tables - Part 2'!$AX$5:$BA$5,0))+((INDEX('Tables - Part 2'!$AX$6:$BA$13,MATCH(CUI_SCC_Chloride!AH11,'Tables - Part 2'!$AV$6:$AV$13,0),MATCH(CUI_SCC_Chloride!X11,'Tables - Part 2'!$AX$5:$BA$5,0))+INDEX('Tables - Part 2'!$BB$6:$BE$13,MATCH(CUI_SCC_Chloride!$AH11,'Tables - Part 2'!$AV$6:$AV$13,0),MATCH(CUI_SCC_Chloride!$X11,'Tables - Part 2'!$AX$5:$BA$5,0)))/2))/2)+(INDEX('Tables - Part 2'!$AX$6:$BA$13,MATCH(CUI_SCC_Chloride!AH11,'Tables - Part 2'!$AV$6:$AV$13,0),MATCH(CUI_SCC_Chloride!X11,'Tables - Part 2'!$AX$5:$BA$5,0))+INDEX('Tables - Part 2'!$BB$6:$BE$13,MATCH(CUI_SCC_Chloride!$AH11,'Tables - Part 2'!$AV$6:$AV$13,0),MATCH(CUI_SCC_Chloride!$X11,'Tables - Part 2'!$AX$5:$BA$5,0)))/2)/2,0)</f>
        <v>0</v>
      </c>
      <c r="AW11" s="248">
        <f>IF($W11=$AW$3,(INDEX('Tables - Part 2'!$AX$6:$BA$13,MATCH(CUI_SCC_Chloride!AH11,'Tables - Part 2'!$AV$6:$AV$13,0),MATCH(CUI_SCC_Chloride!X11,'Tables - Part 2'!$AX$5:$BA$5,0))+INDEX('Tables - Part 2'!$BB$6:$BE$13,MATCH(CUI_SCC_Chloride!$AH11,'Tables - Part 2'!$AV$6:$AV$13,0),MATCH(CUI_SCC_Chloride!$X11,'Tables - Part 2'!$AX$5:$BA$5,0)))/2,0)</f>
        <v>0</v>
      </c>
      <c r="AX11" s="248">
        <f>IF($W11=$AX$3,(((INDEX('Tables - Part 2'!$AX$6:$BA$13,MATCH(CUI_SCC_Chloride!AH11,'Tables - Part 2'!$AV$6:$AV$13,0),MATCH(CUI_SCC_Chloride!X11,'Tables - Part 2'!$AX$5:$BA$5,0))+INDEX('Tables - Part 2'!$BB$6:$BE$13,MATCH(CUI_SCC_Chloride!$AH11,'Tables - Part 2'!$AV$6:$AV$13,0),MATCH(CUI_SCC_Chloride!$X11,'Tables - Part 2'!$AX$5:$BA$5,0)))/2)+(((INDEX('Tables - Part 2'!$AX$6:$BA$13,MATCH(CUI_SCC_Chloride!AH11,'Tables - Part 2'!$AV$6:$AV$13,0),MATCH(CUI_SCC_Chloride!X11,'Tables - Part 2'!$AX$5:$BA$5,0))+INDEX('Tables - Part 2'!$BB$6:$BE$13,MATCH(CUI_SCC_Chloride!$AH11,'Tables - Part 2'!$AV$6:$AV$13,0),MATCH(CUI_SCC_Chloride!$X11,'Tables - Part 2'!$AX$5:$BA$5,0)))/2)+INDEX('Tables - Part 2'!$BB$6:$BE$13,MATCH(CUI_SCC_Chloride!$AH11,'Tables - Part 2'!$AV$6:$AV$13,0),MATCH(CUI_SCC_Chloride!$X11,'Tables - Part 2'!$AX$5:$BA$5,0)))/2)/2,0)</f>
        <v>0</v>
      </c>
      <c r="AY11" s="248">
        <f>IF($W11=$AY$3,(((INDEX('Tables - Part 2'!$AX$6:$BA$13,MATCH(CUI_SCC_Chloride!AH11,'Tables - Part 2'!$AV$6:$AV$13,0),MATCH(CUI_SCC_Chloride!X11,'Tables - Part 2'!$AX$5:$BA$5,0))+INDEX('Tables - Part 2'!$BB$6:$BE$13,MATCH(CUI_SCC_Chloride!$AH11,'Tables - Part 2'!$AV$6:$AV$13,0),MATCH(CUI_SCC_Chloride!$X11,'Tables - Part 2'!$AX$5:$BA$5,0)))/2)+INDEX('Tables - Part 2'!$BB$6:$BE$13,MATCH(CUI_SCC_Chloride!$AH11,'Tables - Part 2'!$AV$6:$AV$13,0),MATCH(CUI_SCC_Chloride!$X11,'Tables - Part 2'!$AX$5:$BA$5,0)))/2,0)</f>
        <v>0</v>
      </c>
      <c r="AZ11" s="248">
        <f>IF($W11=$AZ$3,(((((INDEX('Tables - Part 2'!$AX$6:$BA$13,MATCH(CUI_SCC_Chloride!AH11,'Tables - Part 2'!$AV$6:$AV$13,0),MATCH(CUI_SCC_Chloride!X11,'Tables - Part 2'!$AX$5:$BA$5,0))+INDEX('Tables - Part 2'!$BB$6:$BE$13,MATCH(CUI_SCC_Chloride!$AH11,'Tables - Part 2'!$AV$6:$AV$13,0),MATCH(CUI_SCC_Chloride!$X11,'Tables - Part 2'!$AX$5:$BA$5,0)))/2)+INDEX('Tables - Part 2'!$BB$6:$BE$13,MATCH(CUI_SCC_Chloride!$AH11,'Tables - Part 2'!$AV$6:$AV$13,0),MATCH(CUI_SCC_Chloride!$X11,'Tables - Part 2'!$AX$5:$BA$5,0)))/2)+INDEX('Tables - Part 2'!$BB$6:$BE$13,MATCH(CUI_SCC_Chloride!$AH11,'Tables - Part 2'!$AV$6:$AV$13,0),MATCH(CUI_SCC_Chloride!$X11,'Tables - Part 2'!$AX$5:$BA$5,0)))/2,0)</f>
        <v>0</v>
      </c>
      <c r="BA11" s="248">
        <f>IF($W11=$BA$3,INDEX('Tables - Part 2'!$BB$6:$BE$13,MATCH(CUI_SCC_Chloride!$AH11,'Tables - Part 2'!$AV$6:$AV$13,0),MATCH(CUI_SCC_Chloride!$X11,'Tables - Part 2'!$AX$5:$BA$5,0)),0)</f>
        <v>0</v>
      </c>
      <c r="BB11" s="248">
        <f>IF($W11=$BB$3,((INDEX('Tables - Part 2'!$BB$6:$BE$13,MATCH(CUI_SCC_Chloride!$AH11,'Tables - Part 2'!$AV$6:$AV$13,0),MATCH(CUI_SCC_Chloride!$X11,'Tables - Part 2'!$AX$5:$BA$5,0)))+(INDEX('Tables - Part 2'!$BB$6:$BE$13,MATCH(CUI_SCC_Chloride!$AH11,'Tables - Part 2'!$AV$6:$AV$13,0),MATCH(CUI_SCC_Chloride!$X11,'Tables - Part 2'!$AX$5:$BA$5,0))+(INDEX('Tables - Part 2'!$BB$6:$BE$13,MATCH(CUI_SCC_Chloride!$AH11,'Tables - Part 2'!$AV$6:$AV$13,0),MATCH(CUI_SCC_Chloride!$X11,'Tables - Part 2'!$AX$5:$BA$5,0))+INDEX('Tables - Part 2'!$BF$6:$BI$13,MATCH(CUI_SCC_Chloride!$AH11,'Tables - Part 2'!$AV$6:$AV$13,0),MATCH(CUI_SCC_Chloride!$X11,'Tables - Part 2'!$AX$5:$BA$5,0)))/2)/2)/2,0)</f>
        <v>0</v>
      </c>
      <c r="BC11" s="248">
        <f>IF($W11=$BC$3,(INDEX('Tables - Part 2'!$BB$6:$BE$13,MATCH(CUI_SCC_Chloride!$AH11,'Tables - Part 2'!$AV$6:$AV$13,0),MATCH(CUI_SCC_Chloride!$X11,'Tables - Part 2'!$AX$5:$BA$5,0))+(INDEX('Tables - Part 2'!$BB$6:$BE$13,MATCH(CUI_SCC_Chloride!$AH11,'Tables - Part 2'!$AV$6:$AV$13,0),MATCH(CUI_SCC_Chloride!$X11,'Tables - Part 2'!$AX$5:$BA$5,0))+INDEX('Tables - Part 2'!$BF$6:$BI$13,MATCH(CUI_SCC_Chloride!$AH11,'Tables - Part 2'!$AV$6:$AV$13,0),MATCH(CUI_SCC_Chloride!$X11,'Tables - Part 2'!$AX$5:$BA$5,0)))/2)/2,0)</f>
        <v>0</v>
      </c>
      <c r="BD11" s="248">
        <f>IF($W11=$BD$3,(((INDEX('Tables - Part 2'!$BB$6:$BE$13,MATCH(CUI_SCC_Chloride!$AH11,'Tables - Part 2'!$AV$6:$AV$13,0),MATCH(CUI_SCC_Chloride!$X11,'Tables - Part 2'!$AX$5:$BA$5,0))+(INDEX('Tables - Part 2'!$BB$6:$BE$13,MATCH(CUI_SCC_Chloride!$AH11,'Tables - Part 2'!$AV$6:$AV$13,0),MATCH(CUI_SCC_Chloride!$X11,'Tables - Part 2'!$AX$5:$BA$5,0))+INDEX('Tables - Part 2'!$BF$6:$BI$13,MATCH(CUI_SCC_Chloride!$AH11,'Tables - Part 2'!$AV$6:$AV$13,0),MATCH(CUI_SCC_Chloride!$X11,'Tables - Part 2'!$AX$5:$BA$5,0)))/2)/2)+((INDEX('Tables - Part 2'!$BB$6:$BE$13,MATCH(CUI_SCC_Chloride!$AH11,'Tables - Part 2'!$AV$6:$AV$13,0),MATCH(CUI_SCC_Chloride!$X11,'Tables - Part 2'!$AX$5:$BA$5,0))+INDEX('Tables - Part 2'!$BF$6:$BI$13,MATCH(CUI_SCC_Chloride!$AH11,'Tables - Part 2'!$AV$6:$AV$13,0),MATCH(CUI_SCC_Chloride!$X11,'Tables - Part 2'!$AX$5:$BA$5,0)))/2))/2,0)</f>
        <v>0</v>
      </c>
      <c r="BE11" s="248">
        <f>IF($W11=$BE$3,(INDEX('Tables - Part 2'!$BB$6:$BE$13,MATCH(CUI_SCC_Chloride!$AH11,'Tables - Part 2'!$AV$6:$AV$13,0),MATCH(CUI_SCC_Chloride!$X11,'Tables - Part 2'!$AX$5:$BA$5,0))+INDEX('Tables - Part 2'!$BF$6:$BI$13,MATCH(CUI_SCC_Chloride!$AH11,'Tables - Part 2'!$AV$6:$AV$13,0),MATCH(CUI_SCC_Chloride!$X11,'Tables - Part 2'!$AX$5:$BA$5,0)))/2,0)</f>
        <v>0</v>
      </c>
      <c r="BF11" s="248">
        <f>IF($W11=$BF$3,(((INDEX('Tables - Part 2'!$BB$6:$BE$13,MATCH(CUI_SCC_Chloride!$AH11,'Tables - Part 2'!$AV$6:$AV$13,0),MATCH(CUI_SCC_Chloride!$X11,'Tables - Part 2'!$AX$5:$BA$5,0))+INDEX('Tables - Part 2'!$BF$6:$BI$13,MATCH(CUI_SCC_Chloride!$AH11,'Tables - Part 2'!$AV$6:$AV$13,0),MATCH(CUI_SCC_Chloride!$X11,'Tables - Part 2'!$AX$5:$BA$5,0)))/2)+((((INDEX('Tables - Part 2'!$BB$6:$BE$13,MATCH(CUI_SCC_Chloride!$AH11,'Tables - Part 2'!$AV$6:$AV$13,0),MATCH(CUI_SCC_Chloride!$X11,'Tables - Part 2'!$AX$5:$BA$5,0))+INDEX('Tables - Part 2'!$BF$6:$BI$13,MATCH(CUI_SCC_Chloride!$AH11,'Tables - Part 2'!$AV$6:$AV$13,0),MATCH(CUI_SCC_Chloride!$X11,'Tables - Part 2'!$AX$5:$BA$5,0)))/2)+INDEX('Tables - Part 2'!$BF$6:$BI$13,MATCH(CUI_SCC_Chloride!$AH11,'Tables - Part 2'!$AV$6:$AV$13,0),MATCH(CUI_SCC_Chloride!$X11,'Tables - Part 2'!$AX$5:$BA$5,0)))/2))/2,0)</f>
        <v>0</v>
      </c>
      <c r="BG11" s="248">
        <f>IF($W11=$BG$3,(((INDEX('Tables - Part 2'!$BB$6:$BE$13,MATCH(CUI_SCC_Chloride!$AH11,'Tables - Part 2'!$AV$6:$AV$13,0),MATCH(CUI_SCC_Chloride!$X11,'Tables - Part 2'!$AX$5:$BA$5,0))+INDEX('Tables - Part 2'!$BF$6:$BI$13,MATCH(CUI_SCC_Chloride!$AH11,'Tables - Part 2'!$AV$6:$AV$13,0),MATCH(CUI_SCC_Chloride!$X11,'Tables - Part 2'!$AX$5:$BA$5,0)))/2)+INDEX('Tables - Part 2'!$BF$6:$BI$13,MATCH(CUI_SCC_Chloride!$AH11,'Tables - Part 2'!$AV$6:$AV$13,0),MATCH(CUI_SCC_Chloride!$X11,'Tables - Part 2'!$AX$5:$BA$5,0)))/2,0)</f>
        <v>0</v>
      </c>
      <c r="BH11" s="248">
        <f>IF($W11=$BH$3,(((((INDEX('Tables - Part 2'!$BB$6:$BE$13,MATCH(CUI_SCC_Chloride!$AH11,'Tables - Part 2'!$AV$6:$AV$13,0),MATCH(CUI_SCC_Chloride!$X11,'Tables - Part 2'!$AX$5:$BA$5,0))+INDEX('Tables - Part 2'!$BF$6:$BI$13,MATCH(CUI_SCC_Chloride!$AH11,'Tables - Part 2'!$AV$6:$AV$13,0),MATCH(CUI_SCC_Chloride!$X11,'Tables - Part 2'!$AX$5:$BA$5,0)))/2)+INDEX('Tables - Part 2'!$BF$6:$BI$13,MATCH(CUI_SCC_Chloride!$AH11,'Tables - Part 2'!$AV$6:$AV$13,0),MATCH(CUI_SCC_Chloride!$X11,'Tables - Part 2'!$AX$5:$BA$5,0)))/2)+INDEX('Tables - Part 2'!$BF$6:$BI$13,MATCH(CUI_SCC_Chloride!$AH11,'Tables - Part 2'!$AV$6:$AV$13,0),MATCH(CUI_SCC_Chloride!$X11,'Tables - Part 2'!$AX$5:$BA$5,0)))/2,0)</f>
        <v>0</v>
      </c>
      <c r="BI11" s="248">
        <f>IF($W11=$BI$3,INDEX('Tables - Part 2'!$BF$6:$BI$13,MATCH(CUI_SCC_Chloride!$AH11,'Tables - Part 2'!$AV$6:$AV$13,0),MATCH(CUI_SCC_Chloride!$X11,'Tables - Part 2'!$AX$5:$BA$5,0)),0)</f>
        <v>0</v>
      </c>
      <c r="BJ11" s="248">
        <f>IF($W11=$BJ$3,(INDEX('Tables - Part 2'!$BF$6:$BI$13,MATCH(CUI_SCC_Chloride!$AH11,'Tables - Part 2'!$AV$6:$AV$13,0),MATCH(CUI_SCC_Chloride!$X11,'Tables - Part 2'!$AX$5:$BA$5,0))+((INDEX('Tables - Part 2'!$BF$6:$BI$13,MATCH(CUI_SCC_Chloride!$AH11,'Tables - Part 2'!$AV$6:$AV$13,0),MATCH(CUI_SCC_Chloride!$X11,'Tables - Part 2'!$AX$5:$BA$5,0))+(INDEX('Tables - Part 2'!$BF$6:$BI$13,MATCH(CUI_SCC_Chloride!$AH11,'Tables - Part 2'!$AV$6:$AV$13,0),MATCH(CUI_SCC_Chloride!$X11,'Tables - Part 2'!$AX$5:$BA$5,0))+INDEX('Tables - Part 2'!$AX$17:$BA$24,MATCH(CUI_SCC_Chloride!$AH11,'Tables - Part 2'!$AV$6:$AV$13,0),MATCH(CUI_SCC_Chloride!$X11,'Tables - Part 2'!$AX$5:$BA$5,0)))/2)/2))/2,0)</f>
        <v>0</v>
      </c>
      <c r="BK11" s="248">
        <f>IF($W11=$BK$3,(INDEX('Tables - Part 2'!$BF$6:$BI$13,MATCH(CUI_SCC_Chloride!$AH11,'Tables - Part 2'!$AV$6:$AV$13,0),MATCH(CUI_SCC_Chloride!$X11,'Tables - Part 2'!$AX$5:$BA$5,0))+(INDEX('Tables - Part 2'!$BF$6:$BI$13,MATCH(CUI_SCC_Chloride!$AH11,'Tables - Part 2'!$AV$6:$AV$13,0),MATCH(CUI_SCC_Chloride!$X11,'Tables - Part 2'!$AX$5:$BA$5,0))+INDEX('Tables - Part 2'!$AX$17:$BA$24,MATCH(CUI_SCC_Chloride!$AH11,'Tables - Part 2'!$AV$6:$AV$13,0),MATCH(CUI_SCC_Chloride!$X11,'Tables - Part 2'!$AX$5:$BA$5,0)))/2)/2,0)</f>
        <v>0</v>
      </c>
      <c r="BL11" s="248">
        <f>IF($W11=$BL$3,(((INDEX('Tables - Part 2'!$BF$6:$BI$13,MATCH(CUI_SCC_Chloride!$AH11,'Tables - Part 2'!$AV$6:$AV$13,0),MATCH(CUI_SCC_Chloride!$X11,'Tables - Part 2'!$AX$5:$BA$5,0))+(INDEX('Tables - Part 2'!$BF$6:$BI$13,MATCH(CUI_SCC_Chloride!$AH11,'Tables - Part 2'!$AV$6:$AV$13,0),MATCH(CUI_SCC_Chloride!$X11,'Tables - Part 2'!$AX$5:$BA$5,0))+INDEX('Tables - Part 2'!$AX$17:$BA$24,MATCH(CUI_SCC_Chloride!$AH11,'Tables - Part 2'!$AV$6:$AV$13,0),MATCH(CUI_SCC_Chloride!$X11,'Tables - Part 2'!$AX$5:$BA$5,0)))/2)/2)+((INDEX('Tables - Part 2'!$BF$6:$BI$13,MATCH(CUI_SCC_Chloride!$AH11,'Tables - Part 2'!$AV$6:$AV$13,0),MATCH(CUI_SCC_Chloride!$X11,'Tables - Part 2'!$AX$5:$BA$5,0))+INDEX('Tables - Part 2'!$AX$17:$BA$24,MATCH(CUI_SCC_Chloride!$AH11,'Tables - Part 2'!$AV$6:$AV$13,0),MATCH(CUI_SCC_Chloride!$X11,'Tables - Part 2'!$AX$5:$BA$5,0)))/2))/2,0)</f>
        <v>0</v>
      </c>
      <c r="BM11" s="248">
        <f>IF($W11=$BM$3,(INDEX('Tables - Part 2'!$BF$6:$BI$13,MATCH(CUI_SCC_Chloride!$AH11,'Tables - Part 2'!$AV$6:$AV$13,0),MATCH(CUI_SCC_Chloride!$X11,'Tables - Part 2'!$AX$5:$BA$5,0))+INDEX('Tables - Part 2'!$AX$17:$BA$24,MATCH(CUI_SCC_Chloride!$AH11,'Tables - Part 2'!$AV$6:$AV$13,0),MATCH(CUI_SCC_Chloride!$X11,'Tables - Part 2'!$AX$5:$BA$5,0)))/2,0)</f>
        <v>0</v>
      </c>
      <c r="BN11" s="248">
        <f>IF($W11=$BN$3,(((INDEX('Tables - Part 2'!$BF$6:$BI$13,MATCH(CUI_SCC_Chloride!$AH11,'Tables - Part 2'!$AV$6:$AV$13,0),MATCH(CUI_SCC_Chloride!$X11,'Tables - Part 2'!$AX$5:$BA$5,0))+INDEX('Tables - Part 2'!$AX$17:$BA$24,MATCH(CUI_SCC_Chloride!$AH11,'Tables - Part 2'!$AV$6:$AV$13,0),MATCH(CUI_SCC_Chloride!$X11,'Tables - Part 2'!$AX$5:$BA$5,0)))/2)+((((INDEX('Tables - Part 2'!$BF$6:$BI$13,MATCH(CUI_SCC_Chloride!$AH11,'Tables - Part 2'!$AV$6:$AV$13,0),MATCH(CUI_SCC_Chloride!$X11,'Tables - Part 2'!$AX$5:$BA$5,0))+INDEX('Tables - Part 2'!$AX$17:$BA$24,MATCH(CUI_SCC_Chloride!$AH11,'Tables - Part 2'!$AV$6:$AV$13,0),MATCH(CUI_SCC_Chloride!$X11,'Tables - Part 2'!$AX$5:$BA$5,0)))/2)+INDEX('Tables - Part 2'!$AX$17:$BA$24,MATCH(CUI_SCC_Chloride!$AH11,'Tables - Part 2'!$AV$6:$AV$13,0),MATCH(CUI_SCC_Chloride!$X11,'Tables - Part 2'!$AX$5:$BA$5,0)))/2))/2,0)</f>
        <v>0</v>
      </c>
      <c r="BO11" s="248">
        <f>IF($W11=$BO$3,(((INDEX('Tables - Part 2'!$BF$6:$BI$13,MATCH(CUI_SCC_Chloride!$AH11,'Tables - Part 2'!$AV$6:$AV$13,0),MATCH(CUI_SCC_Chloride!$X11,'Tables - Part 2'!$AX$5:$BA$5,0))+INDEX('Tables - Part 2'!$AX$17:$BA$24,MATCH(CUI_SCC_Chloride!$AH11,'Tables - Part 2'!$AV$6:$AV$13,0),MATCH(CUI_SCC_Chloride!$X11,'Tables - Part 2'!$AX$5:$BA$5,0)))/2)+INDEX('Tables - Part 2'!$AX$17:$BA$24,MATCH(CUI_SCC_Chloride!$AH11,'Tables - Part 2'!$AV$6:$AV$13,0),MATCH(CUI_SCC_Chloride!$X11,'Tables - Part 2'!$AX$5:$BA$5,0)))/2,0)</f>
        <v>0</v>
      </c>
      <c r="BP11" s="248">
        <f>IF($W11=$BP$3,(((((INDEX('Tables - Part 2'!$BF$6:$BI$13,MATCH(CUI_SCC_Chloride!$AH11,'Tables - Part 2'!$AV$6:$AV$13,0),MATCH(CUI_SCC_Chloride!$X11,'Tables - Part 2'!$AX$5:$BA$5,0))+INDEX('Tables - Part 2'!$AX$17:$BA$24,MATCH(CUI_SCC_Chloride!$AH11,'Tables - Part 2'!$AV$6:$AV$13,0),MATCH(CUI_SCC_Chloride!$X11,'Tables - Part 2'!$AX$5:$BA$5,0)))/2)+INDEX('Tables - Part 2'!$AX$17:$BA$24,MATCH(CUI_SCC_Chloride!$AH11,'Tables - Part 2'!$AV$6:$AV$13,0),MATCH(CUI_SCC_Chloride!$X11,'Tables - Part 2'!$AX$5:$BA$5,0)))/2)+(INDEX('Tables - Part 2'!$AX$17:$BA$24,MATCH(CUI_SCC_Chloride!$AH11,'Tables - Part 2'!$AV$6:$AV$13,0),MATCH(CUI_SCC_Chloride!$X11,'Tables - Part 2'!$AX$5:$BA$5,0))))/2,0)</f>
        <v>0</v>
      </c>
      <c r="BQ11" s="248">
        <f>IF($W11=$BQ$3,INDEX('Tables - Part 2'!$AX$17:$BA$24,MATCH(CUI_SCC_Chloride!$AH11,'Tables - Part 2'!$AV$6:$AV$13,0),MATCH(CUI_SCC_Chloride!$X11,'Tables - Part 2'!$AX$5:$BA$5,0)),0)</f>
        <v>0</v>
      </c>
      <c r="BR11" s="248">
        <f>IF($W11=$BR$3,((INDEX('Tables - Part 2'!$AX$17:$BA$24,MATCH(CUI_SCC_Chloride!$AH11,'Tables - Part 2'!$AV$6:$AV$13,0),MATCH(CUI_SCC_Chloride!$X11,'Tables - Part 2'!$AX$5:$BA$5,0)))+(((INDEX('Tables - Part 2'!$AX$17:$BA$24,MATCH(CUI_SCC_Chloride!$AH11,'Tables - Part 2'!$AV$6:$AV$13,0),MATCH(CUI_SCC_Chloride!$X11,'Tables - Part 2'!$AX$5:$BA$5,0)))+(INDEX('Tables - Part 2'!$AX$17:$BA$24,MATCH(CUI_SCC_Chloride!$AH11,'Tables - Part 2'!$AV$6:$AV$13,0),MATCH(CUI_SCC_Chloride!$X11,'Tables - Part 2'!$AX$5:$BA$5,0))+INDEX('Tables - Part 2'!$BB$17:$BE$24,MATCH(CUI_SCC_Chloride!$AH11,'Tables - Part 2'!$AV$6:$AV$13,0),MATCH(CUI_SCC_Chloride!$X11,'Tables - Part 2'!$AX$5:$BA$5,0)))/2)/2))/2,0)</f>
        <v>0</v>
      </c>
      <c r="BS11" s="248">
        <f>IF($W11=$BS$3,((INDEX('Tables - Part 2'!$AX$17:$BA$24,MATCH(CUI_SCC_Chloride!$AH11,'Tables - Part 2'!$AV$6:$AV$13,0),MATCH(CUI_SCC_Chloride!$X11,'Tables - Part 2'!$AX$5:$BA$5,0)))+(INDEX('Tables - Part 2'!$AX$17:$BA$24,MATCH(CUI_SCC_Chloride!$AH11,'Tables - Part 2'!$AV$6:$AV$13,0),MATCH(CUI_SCC_Chloride!$X11,'Tables - Part 2'!$AX$5:$BA$5,0))+INDEX('Tables - Part 2'!$BB$17:$BE$24,MATCH(CUI_SCC_Chloride!$AH11,'Tables - Part 2'!$AV$6:$AV$13,0),MATCH(CUI_SCC_Chloride!$X11,'Tables - Part 2'!$AX$5:$BA$5,0)))/2)/2,0)</f>
        <v>0</v>
      </c>
      <c r="BT11" s="248">
        <f>IF($W11=$BT$3,((((INDEX('Tables - Part 2'!$AX$17:$BA$24,MATCH(CUI_SCC_Chloride!$AH11,'Tables - Part 2'!$AV$6:$AV$13,0),MATCH(CUI_SCC_Chloride!$X11,'Tables - Part 2'!$AX$5:$BA$5,0)))+(INDEX('Tables - Part 2'!$AX$17:$BA$24,MATCH(CUI_SCC_Chloride!$AH11,'Tables - Part 2'!$AV$6:$AV$13,0),MATCH(CUI_SCC_Chloride!$X11,'Tables - Part 2'!$AX$5:$BA$5,0))+INDEX('Tables - Part 2'!$BB$17:$BE$24,MATCH(CUI_SCC_Chloride!$AH11,'Tables - Part 2'!$AV$6:$AV$13,0),MATCH(CUI_SCC_Chloride!$X11,'Tables - Part 2'!$AX$5:$BA$5,0)))/2)/2)+((INDEX('Tables - Part 2'!$AX$17:$BA$24,MATCH(CUI_SCC_Chloride!$AH11,'Tables - Part 2'!$AV$6:$AV$13,0),MATCH(CUI_SCC_Chloride!$X11,'Tables - Part 2'!$AX$5:$BA$5,0))+INDEX('Tables - Part 2'!$BB$17:$BE$24,MATCH(CUI_SCC_Chloride!$AH11,'Tables - Part 2'!$AV$6:$AV$13,0),MATCH(CUI_SCC_Chloride!$X11,'Tables - Part 2'!$AX$5:$BA$5,0)))/2))/2,0)</f>
        <v>0</v>
      </c>
      <c r="BU11" s="248">
        <f>IF($W11=$BU$3,(INDEX('Tables - Part 2'!$AX$17:$BA$24,MATCH(CUI_SCC_Chloride!$AH11,'Tables - Part 2'!$AV$6:$AV$13,0),MATCH(CUI_SCC_Chloride!$X11,'Tables - Part 2'!$AX$5:$BA$5,0))+INDEX('Tables - Part 2'!$BB$17:$BE$24,MATCH(CUI_SCC_Chloride!$AH11,'Tables - Part 2'!$AV$6:$AV$13,0),MATCH(CUI_SCC_Chloride!$X11,'Tables - Part 2'!$AX$5:$BA$5,0)))/2,0)</f>
        <v>0</v>
      </c>
      <c r="BV11" s="248">
        <f>IF($W11=$BV$3,(((INDEX('Tables - Part 2'!$AX$17:$BA$24,MATCH(CUI_SCC_Chloride!$AH11,'Tables - Part 2'!$AV$6:$AV$13,0),MATCH(CUI_SCC_Chloride!$X11,'Tables - Part 2'!$AX$5:$BA$5,0))+INDEX('Tables - Part 2'!$BB$17:$BE$24,MATCH(CUI_SCC_Chloride!$AH11,'Tables - Part 2'!$AV$6:$AV$13,0),MATCH(CUI_SCC_Chloride!$X11,'Tables - Part 2'!$AX$5:$BA$5,0)))/2)+((((INDEX('Tables - Part 2'!$AX$17:$BA$24,MATCH(CUI_SCC_Chloride!$AH11,'Tables - Part 2'!$AV$6:$AV$13,0),MATCH(CUI_SCC_Chloride!$X11,'Tables - Part 2'!$AX$5:$BA$5,0))+INDEX('Tables - Part 2'!$BB$17:$BE$24,MATCH(CUI_SCC_Chloride!$AH11,'Tables - Part 2'!$AV$6:$AV$13,0),MATCH(CUI_SCC_Chloride!$X11,'Tables - Part 2'!$AX$5:$BA$5,0)))/2)+INDEX('Tables - Part 2'!$BB$17:$BE$24,MATCH(CUI_SCC_Chloride!$AH11,'Tables - Part 2'!$AV$6:$AV$13,0),MATCH(CUI_SCC_Chloride!$X11,'Tables - Part 2'!$AX$5:$BA$5,0)))/2))/2,0)</f>
        <v>0</v>
      </c>
      <c r="BW11" s="248">
        <f>IF($W11=$BW$3,(((INDEX('Tables - Part 2'!$AX$17:$BA$24,MATCH(CUI_SCC_Chloride!$AH11,'Tables - Part 2'!$AV$6:$AV$13,0),MATCH(CUI_SCC_Chloride!$X11,'Tables - Part 2'!$AX$5:$BA$5,0))+INDEX('Tables - Part 2'!$BB$17:$BE$24,MATCH(CUI_SCC_Chloride!$AH11,'Tables - Part 2'!$AV$6:$AV$13,0),MATCH(CUI_SCC_Chloride!$X11,'Tables - Part 2'!$AX$5:$BA$5,0)))/2)+INDEX('Tables - Part 2'!$BB$17:$BE$24,MATCH(CUI_SCC_Chloride!$AH11,'Tables - Part 2'!$AV$6:$AV$13,0),MATCH(CUI_SCC_Chloride!$X11,'Tables - Part 2'!$AX$5:$BA$5,0)))/2,0)</f>
        <v>0</v>
      </c>
      <c r="BX11" s="248">
        <f>IF($W11=$BX$3,(((((INDEX('Tables - Part 2'!$AX$17:$BA$24,MATCH(CUI_SCC_Chloride!$AH11,'Tables - Part 2'!$AV$6:$AV$13,0),MATCH(CUI_SCC_Chloride!$X11,'Tables - Part 2'!$AX$5:$BA$5,0))+INDEX('Tables - Part 2'!$BB$17:$BE$24,MATCH(CUI_SCC_Chloride!$AH11,'Tables - Part 2'!$AV$6:$AV$13,0),MATCH(CUI_SCC_Chloride!$X11,'Tables - Part 2'!$AX$5:$BA$5,0)))/2)+INDEX('Tables - Part 2'!$BB$17:$BE$24,MATCH(CUI_SCC_Chloride!$AH11,'Tables - Part 2'!$AV$6:$AV$13,0),MATCH(CUI_SCC_Chloride!$X11,'Tables - Part 2'!$AX$5:$BA$5,0)))/2)+(INDEX('Tables - Part 2'!$BB$17:$BE$24,MATCH(CUI_SCC_Chloride!$AH11,'Tables - Part 2'!$AV$6:$AV$13,0),MATCH(CUI_SCC_Chloride!$X11,'Tables - Part 2'!$AX$5:$BA$5,0))))/2,0)</f>
        <v>0</v>
      </c>
      <c r="BY11" s="248">
        <f>IF($W11=$BY$3,INDEX('Tables - Part 2'!$BB$17:$BE$24,MATCH(CUI_SCC_Chloride!$AH11,'Tables - Part 2'!$AV$6:$AV$13,0),MATCH(CUI_SCC_Chloride!$X11,'Tables - Part 2'!$AX$5:$BA$5,0)),0)</f>
        <v>0</v>
      </c>
      <c r="BZ11" s="248">
        <f>IF($W11=$BZ$3,((INDEX('Tables - Part 2'!$BB$17:$BE$24,MATCH(CUI_SCC_Chloride!$AH11,'Tables - Part 2'!$AV$6:$AV$13,0),MATCH(CUI_SCC_Chloride!$X11,'Tables - Part 2'!$AX$5:$BA$5,0)))+(((INDEX('Tables - Part 2'!$BB$17:$BE$24,MATCH(CUI_SCC_Chloride!$AH11,'Tables - Part 2'!$AV$6:$AV$13,0),MATCH(CUI_SCC_Chloride!$X11,'Tables - Part 2'!$AX$5:$BA$5,0)))+(INDEX('Tables - Part 2'!$BB$17:$BE$24,MATCH(CUI_SCC_Chloride!$AH11,'Tables - Part 2'!$AV$6:$AV$13,0),MATCH(CUI_SCC_Chloride!$X11,'Tables - Part 2'!$AX$5:$BA$5,0))+INDEX('Tables - Part 2'!$BF$17:$BI$24,MATCH(CUI_SCC_Chloride!$AH11,'Tables - Part 2'!$AV$6:$AV$13,0),MATCH(CUI_SCC_Chloride!$X11,'Tables - Part 2'!$AX$5:$BA$5,0)))/2)/2))/2,0)</f>
        <v>0</v>
      </c>
      <c r="CA11" s="248">
        <f>IF($W11=$CA$3,((INDEX('Tables - Part 2'!$BB$17:$BE$24,MATCH(CUI_SCC_Chloride!$AH11,'Tables - Part 2'!$AV$6:$AV$13,0),MATCH(CUI_SCC_Chloride!$X11,'Tables - Part 2'!$AX$5:$BA$5,0)))+(INDEX('Tables - Part 2'!$BB$17:$BE$24,MATCH(CUI_SCC_Chloride!$AH11,'Tables - Part 2'!$AV$6:$AV$13,0),MATCH(CUI_SCC_Chloride!$X11,'Tables - Part 2'!$AX$5:$BA$5,0))+INDEX('Tables - Part 2'!$BF$17:$BI$24,MATCH(CUI_SCC_Chloride!$AH11,'Tables - Part 2'!$AV$6:$AV$13,0),MATCH(CUI_SCC_Chloride!$X11,'Tables - Part 2'!$AX$5:$BA$5,0)))/2)/2,0)</f>
        <v>0</v>
      </c>
      <c r="CB11" s="248">
        <f>IF($W11=$CB$3,((((INDEX('Tables - Part 2'!$BB$17:$BE$24,MATCH(CUI_SCC_Chloride!$AH11,'Tables - Part 2'!$AV$6:$AV$13,0),MATCH(CUI_SCC_Chloride!$X11,'Tables - Part 2'!$AX$5:$BA$5,0)))+(INDEX('Tables - Part 2'!$BB$17:$BE$24,MATCH(CUI_SCC_Chloride!$AH11,'Tables - Part 2'!$AV$6:$AV$13,0),MATCH(CUI_SCC_Chloride!$X11,'Tables - Part 2'!$AX$5:$BA$5,0))+INDEX('Tables - Part 2'!$BF$17:$BI$24,MATCH(CUI_SCC_Chloride!$AH11,'Tables - Part 2'!$AV$6:$AV$13,0),MATCH(CUI_SCC_Chloride!$X11,'Tables - Part 2'!$AX$5:$BA$5,0)))/2)/2)+((INDEX('Tables - Part 2'!$BB$17:$BE$24,MATCH(CUI_SCC_Chloride!$AH11,'Tables - Part 2'!$AV$6:$AV$13,0),MATCH(CUI_SCC_Chloride!$X11,'Tables - Part 2'!$AX$5:$BA$5,0))+INDEX('Tables - Part 2'!$BF$17:$BI$24,MATCH(CUI_SCC_Chloride!$AH11,'Tables - Part 2'!$AV$6:$AV$13,0),MATCH(CUI_SCC_Chloride!$X11,'Tables - Part 2'!$AX$5:$BA$5,0)))/2))/2,0)</f>
        <v>0</v>
      </c>
      <c r="CC11" s="248">
        <f>IF($W11=$CC$3,(INDEX('Tables - Part 2'!$BB$17:$BE$24,MATCH(CUI_SCC_Chloride!$AH11,'Tables - Part 2'!$AV$6:$AV$13,0),MATCH(CUI_SCC_Chloride!$X11,'Tables - Part 2'!$AX$5:$BA$5,0))+INDEX('Tables - Part 2'!$BF$17:$BI$24,MATCH(CUI_SCC_Chloride!$AH11,'Tables - Part 2'!$AV$6:$AV$13,0),MATCH(CUI_SCC_Chloride!$X11,'Tables - Part 2'!$AX$5:$BA$5,0)))/2,0)</f>
        <v>0</v>
      </c>
      <c r="CD11" s="248">
        <f>IF($W11=$CD$3,(((INDEX('Tables - Part 2'!$BB$17:$BE$24,MATCH(CUI_SCC_Chloride!$AH11,'Tables - Part 2'!$AV$6:$AV$13,0),MATCH(CUI_SCC_Chloride!$X11,'Tables - Part 2'!$AX$5:$BA$5,0))+INDEX('Tables - Part 2'!$BF$17:$BI$24,MATCH(CUI_SCC_Chloride!$AH11,'Tables - Part 2'!$AV$6:$AV$13,0),MATCH(CUI_SCC_Chloride!$X11,'Tables - Part 2'!$AX$5:$BA$5,0)))/2)+((((INDEX('Tables - Part 2'!$BB$17:$BE$24,MATCH(CUI_SCC_Chloride!$AH11,'Tables - Part 2'!$AV$6:$AV$13,0),MATCH(CUI_SCC_Chloride!$X11,'Tables - Part 2'!$AX$5:$BA$5,0))+INDEX('Tables - Part 2'!$BF$17:$BI$24,MATCH(CUI_SCC_Chloride!$AH11,'Tables - Part 2'!$AV$6:$AV$13,0),MATCH(CUI_SCC_Chloride!$X11,'Tables - Part 2'!$AX$5:$BA$5,0)))/2)+INDEX('Tables - Part 2'!$BF$17:$BI$24,MATCH(CUI_SCC_Chloride!$AH11,'Tables - Part 2'!$AV$6:$AV$13,0),MATCH(CUI_SCC_Chloride!$X11,'Tables - Part 2'!$AX$5:$BA$5,0)))/2))/2,0)</f>
        <v>0</v>
      </c>
      <c r="CE11" s="248">
        <f>IF($W11=$CE$3,(((INDEX('Tables - Part 2'!$BB$17:$BE$24,MATCH(CUI_SCC_Chloride!$AH11,'Tables - Part 2'!$AV$6:$AV$13,0),MATCH(CUI_SCC_Chloride!$X11,'Tables - Part 2'!$AX$5:$BA$5,0))+INDEX('Tables - Part 2'!$BF$17:$BI$24,MATCH(CUI_SCC_Chloride!$AH11,'Tables - Part 2'!$AV$6:$AV$13,0),MATCH(CUI_SCC_Chloride!$X11,'Tables - Part 2'!$AX$5:$BA$5,0)))/2)+INDEX('Tables - Part 2'!$BF$17:$BI$24,MATCH(CUI_SCC_Chloride!$AH11,'Tables - Part 2'!$AV$6:$AV$13,0),MATCH(CUI_SCC_Chloride!$X11,'Tables - Part 2'!$AX$5:$BA$5,0)))/2,0)</f>
        <v>0</v>
      </c>
      <c r="CF11" s="248">
        <f>IF($W11=$CF$3,(((((INDEX('Tables - Part 2'!$BB$17:$BE$24,MATCH(CUI_SCC_Chloride!$AH11,'Tables - Part 2'!$AV$6:$AV$13,0),MATCH(CUI_SCC_Chloride!$X11,'Tables - Part 2'!$AX$5:$BA$5,0))+INDEX('Tables - Part 2'!$BF$17:$BI$24,MATCH(CUI_SCC_Chloride!$AH11,'Tables - Part 2'!$AV$6:$AV$13,0),MATCH(CUI_SCC_Chloride!$X11,'Tables - Part 2'!$AX$5:$BA$5,0)))/2)+INDEX('Tables - Part 2'!$BF$17:$BI$24,MATCH(CUI_SCC_Chloride!$AH11,'Tables - Part 2'!$AV$6:$AV$13,0),MATCH(CUI_SCC_Chloride!$X11,'Tables - Part 2'!$AX$5:$BA$5,0)))/2)+(INDEX('Tables - Part 2'!$BF$17:$BI$24,MATCH(CUI_SCC_Chloride!$AH11,'Tables - Part 2'!$AV$6:$AV$13,0),MATCH(CUI_SCC_Chloride!$X11,'Tables - Part 2'!$AX$5:$BA$5,0))))/2,0)</f>
        <v>0</v>
      </c>
      <c r="CG11" s="248">
        <f>IF($W11=$CG$3,INDEX('Tables - Part 2'!$BF$17:$BI$24,MATCH(CUI_SCC_Chloride!$AH11,'Tables - Part 2'!$AV$6:$AV$13,0),MATCH(CUI_SCC_Chloride!$X11,'Tables - Part 2'!$AX$5:$BA$5,0)),0)</f>
        <v>0</v>
      </c>
      <c r="CH11" s="248">
        <f t="shared" si="5"/>
        <v>0</v>
      </c>
      <c r="CI11" s="238">
        <f t="shared" si="19"/>
        <v>0</v>
      </c>
      <c r="CJ11" s="238">
        <f t="shared" si="20"/>
        <v>0</v>
      </c>
    </row>
    <row r="12" spans="2:95" x14ac:dyDescent="0.35">
      <c r="B12" s="161" t="str">
        <f>'Tratamento de Dados'!B20</f>
        <v>V-3</v>
      </c>
      <c r="C12" s="161" t="str">
        <f>'Tratamento de Dados'!D20</f>
        <v>Casco</v>
      </c>
      <c r="D12" s="209" t="s">
        <v>245</v>
      </c>
      <c r="E12" s="209" t="s">
        <v>61</v>
      </c>
      <c r="F12" s="247">
        <f>'Tratamento de Dados'!S20</f>
        <v>2</v>
      </c>
      <c r="G12" s="209" t="s">
        <v>953</v>
      </c>
      <c r="H12" s="210">
        <v>35234</v>
      </c>
      <c r="I12" s="210">
        <v>43983</v>
      </c>
      <c r="J12" s="210">
        <v>39092</v>
      </c>
      <c r="K12" s="210">
        <f>'Tratamento de Dados'!CC20</f>
        <v>0</v>
      </c>
      <c r="L12" s="209">
        <f>'Tratamento de Dados'!CD20</f>
        <v>0</v>
      </c>
      <c r="M12" s="209" t="s">
        <v>905</v>
      </c>
      <c r="N12" s="209" t="s">
        <v>1081</v>
      </c>
      <c r="O12" s="209" t="s">
        <v>1081</v>
      </c>
      <c r="P12" s="209" t="s">
        <v>244</v>
      </c>
      <c r="Q12" s="209">
        <v>0</v>
      </c>
      <c r="R12" s="209">
        <v>1</v>
      </c>
      <c r="S12" s="209">
        <v>1</v>
      </c>
      <c r="T12" s="209">
        <v>4</v>
      </c>
      <c r="U12" s="253">
        <f>'Tratamento de Dados'!DA20</f>
        <v>0</v>
      </c>
      <c r="V12" s="253">
        <f>'Tratamento de Dados'!DB20</f>
        <v>0</v>
      </c>
      <c r="W12" s="256">
        <f t="shared" si="0"/>
        <v>2.5</v>
      </c>
      <c r="X12" s="246" t="str">
        <f t="shared" si="1"/>
        <v>B</v>
      </c>
      <c r="Y12" s="246" t="str">
        <f>IF(F12&lt;49,'Tables - Part 2'!$FH$5,IF(F12&lt;=93,'Tables - Part 2'!$FH$6,IF(F12&lt;=149,'Tables - Part 2'!$FH$7,'Tables - Part 2'!$FH$8)))</f>
        <v>&lt;49</v>
      </c>
      <c r="Z12" s="246" t="str">
        <f>IF(D12=$CO$2,$CM$5,INDEX('Tables - Part 2'!$FR$5:$FU$8,MATCH(CUI_SCC_Chloride!Y12,'Tables - Part 2'!$FQ$5:$FQ$8,0),MATCH(CUI_SCC_Chloride!M12,'Tables - Part 2'!$FR$4:$FU$4,0)))</f>
        <v>None</v>
      </c>
      <c r="AA12" s="246" t="str">
        <f t="shared" si="6"/>
        <v>None</v>
      </c>
      <c r="AB12" s="219">
        <f t="shared" si="7"/>
        <v>0</v>
      </c>
      <c r="AC12" s="246" t="str">
        <f t="shared" si="8"/>
        <v>None</v>
      </c>
      <c r="AD12" s="219">
        <f t="shared" si="9"/>
        <v>0</v>
      </c>
      <c r="AE12" s="246" t="str">
        <f t="shared" si="10"/>
        <v>None</v>
      </c>
      <c r="AF12" s="219">
        <f t="shared" si="11"/>
        <v>0</v>
      </c>
      <c r="AG12" s="467" t="str">
        <f t="shared" si="12"/>
        <v>None</v>
      </c>
      <c r="AH12" s="238">
        <f>IF(AND(D12=$CO$2,E12&lt;&gt;$CO$2),"Fitness-For-Service",INDEX('Tables - Part 2'!$FO$4:$FO$7,MATCH(CUI_SCC_Chloride!AG12,'Tables - Part 2'!$FN$4:$FN$7,0),))</f>
        <v>0</v>
      </c>
      <c r="AI12" s="238">
        <f>IF(J12=0,(Thinning!G13-Thinning!F13)/365.25,(Thinning!G13-J12)/365.25)</f>
        <v>12.980150581793293</v>
      </c>
      <c r="AJ12" s="248">
        <f t="shared" si="2"/>
        <v>0</v>
      </c>
      <c r="AK12" s="248">
        <f t="shared" si="3"/>
        <v>2.5</v>
      </c>
      <c r="AL12" s="247">
        <f t="shared" si="13"/>
        <v>3</v>
      </c>
      <c r="AM12" s="247">
        <f t="shared" si="4"/>
        <v>4</v>
      </c>
      <c r="AN12" s="247">
        <f t="shared" si="14"/>
        <v>120.41889117043121</v>
      </c>
      <c r="AO12" s="247">
        <f t="shared" si="15"/>
        <v>0</v>
      </c>
      <c r="AP12" s="247">
        <f t="shared" si="16"/>
        <v>0</v>
      </c>
      <c r="AQ12" s="247">
        <f t="shared" si="17"/>
        <v>0</v>
      </c>
      <c r="AR12" s="247">
        <f t="shared" si="18"/>
        <v>12.980150581793293</v>
      </c>
      <c r="AS12" s="248">
        <f>IF($W12=$AS$3,INDEX('Tables - Part 2'!$AX$6:$BA$13,MATCH(CUI_SCC_Chloride!AH12,'Tables - Part 2'!$AV$6:$AV$13,0),MATCH(CUI_SCC_Chloride!X12,'Tables - Part 2'!$AX$5:$BA$5,0)),0)</f>
        <v>0</v>
      </c>
      <c r="AT12" s="248">
        <f>IF($W12=$AT$3,(INDEX('Tables - Part 2'!$AX$6:$BA$13,MATCH(CUI_SCC_Chloride!AH12,'Tables - Part 2'!$AV$6:$AV$13,0),MATCH(CUI_SCC_Chloride!X12,'Tables - Part 2'!$AX$5:$BA$5,0))+(INDEX('Tables - Part 2'!$AX$6:$BA$13,MATCH(CUI_SCC_Chloride!AH12,'Tables - Part 2'!$AV$6:$AV$13,0),MATCH(CUI_SCC_Chloride!X12,'Tables - Part 2'!$AX$5:$BA$5,0))+((INDEX('Tables - Part 2'!$AX$6:$BA$13,MATCH(CUI_SCC_Chloride!AH12,'Tables - Part 2'!$AV$6:$AV$13,0),MATCH(CUI_SCC_Chloride!X12,'Tables - Part 2'!$AX$5:$BA$5,0))+INDEX('Tables - Part 2'!$BB$6:$BE$13,MATCH(CUI_SCC_Chloride!$AH12,'Tables - Part 2'!$AV$6:$AV$13,0),MATCH(CUI_SCC_Chloride!$X12,'Tables - Part 2'!$AX$5:$BA$5,0)))/2))/2)/2,0)</f>
        <v>0</v>
      </c>
      <c r="AU12" s="248">
        <f>IF($W12=$AU$3,(INDEX('Tables - Part 2'!$AX$6:$BA$13,MATCH(CUI_SCC_Chloride!AH12,'Tables - Part 2'!$AV$6:$AV$13,0),MATCH(CUI_SCC_Chloride!X12,'Tables - Part 2'!$AX$5:$BA$5,0))+((INDEX('Tables - Part 2'!$AX$6:$BA$13,MATCH(CUI_SCC_Chloride!AH12,'Tables - Part 2'!$AV$6:$AV$13,0),MATCH(CUI_SCC_Chloride!X12,'Tables - Part 2'!$AX$5:$BA$5,0))+INDEX('Tables - Part 2'!$BB$6:$BE$13,MATCH(CUI_SCC_Chloride!$AH12,'Tables - Part 2'!$AV$6:$AV$13,0),MATCH(CUI_SCC_Chloride!$X12,'Tables - Part 2'!$AX$5:$BA$5,0)))/2))/2,0)</f>
        <v>0</v>
      </c>
      <c r="AV12" s="248">
        <f>IF($W12=$AV$3,(((INDEX('Tables - Part 2'!$AX$6:$BA$13,MATCH(CUI_SCC_Chloride!AH12,'Tables - Part 2'!$AV$6:$AV$13,0),MATCH(CUI_SCC_Chloride!X12,'Tables - Part 2'!$AX$5:$BA$5,0))+((INDEX('Tables - Part 2'!$AX$6:$BA$13,MATCH(CUI_SCC_Chloride!AH12,'Tables - Part 2'!$AV$6:$AV$13,0),MATCH(CUI_SCC_Chloride!X12,'Tables - Part 2'!$AX$5:$BA$5,0))+INDEX('Tables - Part 2'!$BB$6:$BE$13,MATCH(CUI_SCC_Chloride!$AH12,'Tables - Part 2'!$AV$6:$AV$13,0),MATCH(CUI_SCC_Chloride!$X12,'Tables - Part 2'!$AX$5:$BA$5,0)))/2))/2)+(INDEX('Tables - Part 2'!$AX$6:$BA$13,MATCH(CUI_SCC_Chloride!AH12,'Tables - Part 2'!$AV$6:$AV$13,0),MATCH(CUI_SCC_Chloride!X12,'Tables - Part 2'!$AX$5:$BA$5,0))+INDEX('Tables - Part 2'!$BB$6:$BE$13,MATCH(CUI_SCC_Chloride!$AH12,'Tables - Part 2'!$AV$6:$AV$13,0),MATCH(CUI_SCC_Chloride!$X12,'Tables - Part 2'!$AX$5:$BA$5,0)))/2)/2,0)</f>
        <v>0</v>
      </c>
      <c r="AW12" s="248">
        <f>IF($W12=$AW$3,(INDEX('Tables - Part 2'!$AX$6:$BA$13,MATCH(CUI_SCC_Chloride!AH12,'Tables - Part 2'!$AV$6:$AV$13,0),MATCH(CUI_SCC_Chloride!X12,'Tables - Part 2'!$AX$5:$BA$5,0))+INDEX('Tables - Part 2'!$BB$6:$BE$13,MATCH(CUI_SCC_Chloride!$AH12,'Tables - Part 2'!$AV$6:$AV$13,0),MATCH(CUI_SCC_Chloride!$X12,'Tables - Part 2'!$AX$5:$BA$5,0)))/2,0)</f>
        <v>0</v>
      </c>
      <c r="AX12" s="248">
        <f>IF($W12=$AX$3,(((INDEX('Tables - Part 2'!$AX$6:$BA$13,MATCH(CUI_SCC_Chloride!AH12,'Tables - Part 2'!$AV$6:$AV$13,0),MATCH(CUI_SCC_Chloride!X12,'Tables - Part 2'!$AX$5:$BA$5,0))+INDEX('Tables - Part 2'!$BB$6:$BE$13,MATCH(CUI_SCC_Chloride!$AH12,'Tables - Part 2'!$AV$6:$AV$13,0),MATCH(CUI_SCC_Chloride!$X12,'Tables - Part 2'!$AX$5:$BA$5,0)))/2)+(((INDEX('Tables - Part 2'!$AX$6:$BA$13,MATCH(CUI_SCC_Chloride!AH12,'Tables - Part 2'!$AV$6:$AV$13,0),MATCH(CUI_SCC_Chloride!X12,'Tables - Part 2'!$AX$5:$BA$5,0))+INDEX('Tables - Part 2'!$BB$6:$BE$13,MATCH(CUI_SCC_Chloride!$AH12,'Tables - Part 2'!$AV$6:$AV$13,0),MATCH(CUI_SCC_Chloride!$X12,'Tables - Part 2'!$AX$5:$BA$5,0)))/2)+INDEX('Tables - Part 2'!$BB$6:$BE$13,MATCH(CUI_SCC_Chloride!$AH12,'Tables - Part 2'!$AV$6:$AV$13,0),MATCH(CUI_SCC_Chloride!$X12,'Tables - Part 2'!$AX$5:$BA$5,0)))/2)/2,0)</f>
        <v>0</v>
      </c>
      <c r="AY12" s="248">
        <f>IF($W12=$AY$3,(((INDEX('Tables - Part 2'!$AX$6:$BA$13,MATCH(CUI_SCC_Chloride!AH12,'Tables - Part 2'!$AV$6:$AV$13,0),MATCH(CUI_SCC_Chloride!X12,'Tables - Part 2'!$AX$5:$BA$5,0))+INDEX('Tables - Part 2'!$BB$6:$BE$13,MATCH(CUI_SCC_Chloride!$AH12,'Tables - Part 2'!$AV$6:$AV$13,0),MATCH(CUI_SCC_Chloride!$X12,'Tables - Part 2'!$AX$5:$BA$5,0)))/2)+INDEX('Tables - Part 2'!$BB$6:$BE$13,MATCH(CUI_SCC_Chloride!$AH12,'Tables - Part 2'!$AV$6:$AV$13,0),MATCH(CUI_SCC_Chloride!$X12,'Tables - Part 2'!$AX$5:$BA$5,0)))/2,0)</f>
        <v>0</v>
      </c>
      <c r="AZ12" s="248">
        <f>IF($W12=$AZ$3,(((((INDEX('Tables - Part 2'!$AX$6:$BA$13,MATCH(CUI_SCC_Chloride!AH12,'Tables - Part 2'!$AV$6:$AV$13,0),MATCH(CUI_SCC_Chloride!X12,'Tables - Part 2'!$AX$5:$BA$5,0))+INDEX('Tables - Part 2'!$BB$6:$BE$13,MATCH(CUI_SCC_Chloride!$AH12,'Tables - Part 2'!$AV$6:$AV$13,0),MATCH(CUI_SCC_Chloride!$X12,'Tables - Part 2'!$AX$5:$BA$5,0)))/2)+INDEX('Tables - Part 2'!$BB$6:$BE$13,MATCH(CUI_SCC_Chloride!$AH12,'Tables - Part 2'!$AV$6:$AV$13,0),MATCH(CUI_SCC_Chloride!$X12,'Tables - Part 2'!$AX$5:$BA$5,0)))/2)+INDEX('Tables - Part 2'!$BB$6:$BE$13,MATCH(CUI_SCC_Chloride!$AH12,'Tables - Part 2'!$AV$6:$AV$13,0),MATCH(CUI_SCC_Chloride!$X12,'Tables - Part 2'!$AX$5:$BA$5,0)))/2,0)</f>
        <v>0</v>
      </c>
      <c r="BA12" s="248">
        <f>IF($W12=$BA$3,INDEX('Tables - Part 2'!$BB$6:$BE$13,MATCH(CUI_SCC_Chloride!$AH12,'Tables - Part 2'!$AV$6:$AV$13,0),MATCH(CUI_SCC_Chloride!$X12,'Tables - Part 2'!$AX$5:$BA$5,0)),0)</f>
        <v>0</v>
      </c>
      <c r="BB12" s="248">
        <f>IF($W12=$BB$3,((INDEX('Tables - Part 2'!$BB$6:$BE$13,MATCH(CUI_SCC_Chloride!$AH12,'Tables - Part 2'!$AV$6:$AV$13,0),MATCH(CUI_SCC_Chloride!$X12,'Tables - Part 2'!$AX$5:$BA$5,0)))+(INDEX('Tables - Part 2'!$BB$6:$BE$13,MATCH(CUI_SCC_Chloride!$AH12,'Tables - Part 2'!$AV$6:$AV$13,0),MATCH(CUI_SCC_Chloride!$X12,'Tables - Part 2'!$AX$5:$BA$5,0))+(INDEX('Tables - Part 2'!$BB$6:$BE$13,MATCH(CUI_SCC_Chloride!$AH12,'Tables - Part 2'!$AV$6:$AV$13,0),MATCH(CUI_SCC_Chloride!$X12,'Tables - Part 2'!$AX$5:$BA$5,0))+INDEX('Tables - Part 2'!$BF$6:$BI$13,MATCH(CUI_SCC_Chloride!$AH12,'Tables - Part 2'!$AV$6:$AV$13,0),MATCH(CUI_SCC_Chloride!$X12,'Tables - Part 2'!$AX$5:$BA$5,0)))/2)/2)/2,0)</f>
        <v>0</v>
      </c>
      <c r="BC12" s="248">
        <f>IF($W12=$BC$3,(INDEX('Tables - Part 2'!$BB$6:$BE$13,MATCH(CUI_SCC_Chloride!$AH12,'Tables - Part 2'!$AV$6:$AV$13,0),MATCH(CUI_SCC_Chloride!$X12,'Tables - Part 2'!$AX$5:$BA$5,0))+(INDEX('Tables - Part 2'!$BB$6:$BE$13,MATCH(CUI_SCC_Chloride!$AH12,'Tables - Part 2'!$AV$6:$AV$13,0),MATCH(CUI_SCC_Chloride!$X12,'Tables - Part 2'!$AX$5:$BA$5,0))+INDEX('Tables - Part 2'!$BF$6:$BI$13,MATCH(CUI_SCC_Chloride!$AH12,'Tables - Part 2'!$AV$6:$AV$13,0),MATCH(CUI_SCC_Chloride!$X12,'Tables - Part 2'!$AX$5:$BA$5,0)))/2)/2,0)</f>
        <v>0</v>
      </c>
      <c r="BD12" s="248">
        <f>IF($W12=$BD$3,(((INDEX('Tables - Part 2'!$BB$6:$BE$13,MATCH(CUI_SCC_Chloride!$AH12,'Tables - Part 2'!$AV$6:$AV$13,0),MATCH(CUI_SCC_Chloride!$X12,'Tables - Part 2'!$AX$5:$BA$5,0))+(INDEX('Tables - Part 2'!$BB$6:$BE$13,MATCH(CUI_SCC_Chloride!$AH12,'Tables - Part 2'!$AV$6:$AV$13,0),MATCH(CUI_SCC_Chloride!$X12,'Tables - Part 2'!$AX$5:$BA$5,0))+INDEX('Tables - Part 2'!$BF$6:$BI$13,MATCH(CUI_SCC_Chloride!$AH12,'Tables - Part 2'!$AV$6:$AV$13,0),MATCH(CUI_SCC_Chloride!$X12,'Tables - Part 2'!$AX$5:$BA$5,0)))/2)/2)+((INDEX('Tables - Part 2'!$BB$6:$BE$13,MATCH(CUI_SCC_Chloride!$AH12,'Tables - Part 2'!$AV$6:$AV$13,0),MATCH(CUI_SCC_Chloride!$X12,'Tables - Part 2'!$AX$5:$BA$5,0))+INDEX('Tables - Part 2'!$BF$6:$BI$13,MATCH(CUI_SCC_Chloride!$AH12,'Tables - Part 2'!$AV$6:$AV$13,0),MATCH(CUI_SCC_Chloride!$X12,'Tables - Part 2'!$AX$5:$BA$5,0)))/2))/2,0)</f>
        <v>0</v>
      </c>
      <c r="BE12" s="248">
        <f>IF($W12=$BE$3,(INDEX('Tables - Part 2'!$BB$6:$BE$13,MATCH(CUI_SCC_Chloride!$AH12,'Tables - Part 2'!$AV$6:$AV$13,0),MATCH(CUI_SCC_Chloride!$X12,'Tables - Part 2'!$AX$5:$BA$5,0))+INDEX('Tables - Part 2'!$BF$6:$BI$13,MATCH(CUI_SCC_Chloride!$AH12,'Tables - Part 2'!$AV$6:$AV$13,0),MATCH(CUI_SCC_Chloride!$X12,'Tables - Part 2'!$AX$5:$BA$5,0)))/2,0)</f>
        <v>0</v>
      </c>
      <c r="BF12" s="248">
        <f>IF($W12=$BF$3,(((INDEX('Tables - Part 2'!$BB$6:$BE$13,MATCH(CUI_SCC_Chloride!$AH12,'Tables - Part 2'!$AV$6:$AV$13,0),MATCH(CUI_SCC_Chloride!$X12,'Tables - Part 2'!$AX$5:$BA$5,0))+INDEX('Tables - Part 2'!$BF$6:$BI$13,MATCH(CUI_SCC_Chloride!$AH12,'Tables - Part 2'!$AV$6:$AV$13,0),MATCH(CUI_SCC_Chloride!$X12,'Tables - Part 2'!$AX$5:$BA$5,0)))/2)+((((INDEX('Tables - Part 2'!$BB$6:$BE$13,MATCH(CUI_SCC_Chloride!$AH12,'Tables - Part 2'!$AV$6:$AV$13,0),MATCH(CUI_SCC_Chloride!$X12,'Tables - Part 2'!$AX$5:$BA$5,0))+INDEX('Tables - Part 2'!$BF$6:$BI$13,MATCH(CUI_SCC_Chloride!$AH12,'Tables - Part 2'!$AV$6:$AV$13,0),MATCH(CUI_SCC_Chloride!$X12,'Tables - Part 2'!$AX$5:$BA$5,0)))/2)+INDEX('Tables - Part 2'!$BF$6:$BI$13,MATCH(CUI_SCC_Chloride!$AH12,'Tables - Part 2'!$AV$6:$AV$13,0),MATCH(CUI_SCC_Chloride!$X12,'Tables - Part 2'!$AX$5:$BA$5,0)))/2))/2,0)</f>
        <v>0</v>
      </c>
      <c r="BG12" s="248">
        <f>IF($W12=$BG$3,(((INDEX('Tables - Part 2'!$BB$6:$BE$13,MATCH(CUI_SCC_Chloride!$AH12,'Tables - Part 2'!$AV$6:$AV$13,0),MATCH(CUI_SCC_Chloride!$X12,'Tables - Part 2'!$AX$5:$BA$5,0))+INDEX('Tables - Part 2'!$BF$6:$BI$13,MATCH(CUI_SCC_Chloride!$AH12,'Tables - Part 2'!$AV$6:$AV$13,0),MATCH(CUI_SCC_Chloride!$X12,'Tables - Part 2'!$AX$5:$BA$5,0)))/2)+INDEX('Tables - Part 2'!$BF$6:$BI$13,MATCH(CUI_SCC_Chloride!$AH12,'Tables - Part 2'!$AV$6:$AV$13,0),MATCH(CUI_SCC_Chloride!$X12,'Tables - Part 2'!$AX$5:$BA$5,0)))/2,0)</f>
        <v>0</v>
      </c>
      <c r="BH12" s="248">
        <f>IF($W12=$BH$3,(((((INDEX('Tables - Part 2'!$BB$6:$BE$13,MATCH(CUI_SCC_Chloride!$AH12,'Tables - Part 2'!$AV$6:$AV$13,0),MATCH(CUI_SCC_Chloride!$X12,'Tables - Part 2'!$AX$5:$BA$5,0))+INDEX('Tables - Part 2'!$BF$6:$BI$13,MATCH(CUI_SCC_Chloride!$AH12,'Tables - Part 2'!$AV$6:$AV$13,0),MATCH(CUI_SCC_Chloride!$X12,'Tables - Part 2'!$AX$5:$BA$5,0)))/2)+INDEX('Tables - Part 2'!$BF$6:$BI$13,MATCH(CUI_SCC_Chloride!$AH12,'Tables - Part 2'!$AV$6:$AV$13,0),MATCH(CUI_SCC_Chloride!$X12,'Tables - Part 2'!$AX$5:$BA$5,0)))/2)+INDEX('Tables - Part 2'!$BF$6:$BI$13,MATCH(CUI_SCC_Chloride!$AH12,'Tables - Part 2'!$AV$6:$AV$13,0),MATCH(CUI_SCC_Chloride!$X12,'Tables - Part 2'!$AX$5:$BA$5,0)))/2,0)</f>
        <v>0</v>
      </c>
      <c r="BI12" s="248">
        <f>IF($W12=$BI$3,INDEX('Tables - Part 2'!$BF$6:$BI$13,MATCH(CUI_SCC_Chloride!$AH12,'Tables - Part 2'!$AV$6:$AV$13,0),MATCH(CUI_SCC_Chloride!$X12,'Tables - Part 2'!$AX$5:$BA$5,0)),0)</f>
        <v>0</v>
      </c>
      <c r="BJ12" s="248">
        <f>IF($W12=$BJ$3,(INDEX('Tables - Part 2'!$BF$6:$BI$13,MATCH(CUI_SCC_Chloride!$AH12,'Tables - Part 2'!$AV$6:$AV$13,0),MATCH(CUI_SCC_Chloride!$X12,'Tables - Part 2'!$AX$5:$BA$5,0))+((INDEX('Tables - Part 2'!$BF$6:$BI$13,MATCH(CUI_SCC_Chloride!$AH12,'Tables - Part 2'!$AV$6:$AV$13,0),MATCH(CUI_SCC_Chloride!$X12,'Tables - Part 2'!$AX$5:$BA$5,0))+(INDEX('Tables - Part 2'!$BF$6:$BI$13,MATCH(CUI_SCC_Chloride!$AH12,'Tables - Part 2'!$AV$6:$AV$13,0),MATCH(CUI_SCC_Chloride!$X12,'Tables - Part 2'!$AX$5:$BA$5,0))+INDEX('Tables - Part 2'!$AX$17:$BA$24,MATCH(CUI_SCC_Chloride!$AH12,'Tables - Part 2'!$AV$6:$AV$13,0),MATCH(CUI_SCC_Chloride!$X12,'Tables - Part 2'!$AX$5:$BA$5,0)))/2)/2))/2,0)</f>
        <v>0</v>
      </c>
      <c r="BK12" s="248">
        <f>IF($W12=$BK$3,(INDEX('Tables - Part 2'!$BF$6:$BI$13,MATCH(CUI_SCC_Chloride!$AH12,'Tables - Part 2'!$AV$6:$AV$13,0),MATCH(CUI_SCC_Chloride!$X12,'Tables - Part 2'!$AX$5:$BA$5,0))+(INDEX('Tables - Part 2'!$BF$6:$BI$13,MATCH(CUI_SCC_Chloride!$AH12,'Tables - Part 2'!$AV$6:$AV$13,0),MATCH(CUI_SCC_Chloride!$X12,'Tables - Part 2'!$AX$5:$BA$5,0))+INDEX('Tables - Part 2'!$AX$17:$BA$24,MATCH(CUI_SCC_Chloride!$AH12,'Tables - Part 2'!$AV$6:$AV$13,0),MATCH(CUI_SCC_Chloride!$X12,'Tables - Part 2'!$AX$5:$BA$5,0)))/2)/2,0)</f>
        <v>0</v>
      </c>
      <c r="BL12" s="248">
        <f>IF($W12=$BL$3,(((INDEX('Tables - Part 2'!$BF$6:$BI$13,MATCH(CUI_SCC_Chloride!$AH12,'Tables - Part 2'!$AV$6:$AV$13,0),MATCH(CUI_SCC_Chloride!$X12,'Tables - Part 2'!$AX$5:$BA$5,0))+(INDEX('Tables - Part 2'!$BF$6:$BI$13,MATCH(CUI_SCC_Chloride!$AH12,'Tables - Part 2'!$AV$6:$AV$13,0),MATCH(CUI_SCC_Chloride!$X12,'Tables - Part 2'!$AX$5:$BA$5,0))+INDEX('Tables - Part 2'!$AX$17:$BA$24,MATCH(CUI_SCC_Chloride!$AH12,'Tables - Part 2'!$AV$6:$AV$13,0),MATCH(CUI_SCC_Chloride!$X12,'Tables - Part 2'!$AX$5:$BA$5,0)))/2)/2)+((INDEX('Tables - Part 2'!$BF$6:$BI$13,MATCH(CUI_SCC_Chloride!$AH12,'Tables - Part 2'!$AV$6:$AV$13,0),MATCH(CUI_SCC_Chloride!$X12,'Tables - Part 2'!$AX$5:$BA$5,0))+INDEX('Tables - Part 2'!$AX$17:$BA$24,MATCH(CUI_SCC_Chloride!$AH12,'Tables - Part 2'!$AV$6:$AV$13,0),MATCH(CUI_SCC_Chloride!$X12,'Tables - Part 2'!$AX$5:$BA$5,0)))/2))/2,0)</f>
        <v>0</v>
      </c>
      <c r="BM12" s="248">
        <f>IF($W12=$BM$3,(INDEX('Tables - Part 2'!$BF$6:$BI$13,MATCH(CUI_SCC_Chloride!$AH12,'Tables - Part 2'!$AV$6:$AV$13,0),MATCH(CUI_SCC_Chloride!$X12,'Tables - Part 2'!$AX$5:$BA$5,0))+INDEX('Tables - Part 2'!$AX$17:$BA$24,MATCH(CUI_SCC_Chloride!$AH12,'Tables - Part 2'!$AV$6:$AV$13,0),MATCH(CUI_SCC_Chloride!$X12,'Tables - Part 2'!$AX$5:$BA$5,0)))/2,0)</f>
        <v>0</v>
      </c>
      <c r="BN12" s="248">
        <f>IF($W12=$BN$3,(((INDEX('Tables - Part 2'!$BF$6:$BI$13,MATCH(CUI_SCC_Chloride!$AH12,'Tables - Part 2'!$AV$6:$AV$13,0),MATCH(CUI_SCC_Chloride!$X12,'Tables - Part 2'!$AX$5:$BA$5,0))+INDEX('Tables - Part 2'!$AX$17:$BA$24,MATCH(CUI_SCC_Chloride!$AH12,'Tables - Part 2'!$AV$6:$AV$13,0),MATCH(CUI_SCC_Chloride!$X12,'Tables - Part 2'!$AX$5:$BA$5,0)))/2)+((((INDEX('Tables - Part 2'!$BF$6:$BI$13,MATCH(CUI_SCC_Chloride!$AH12,'Tables - Part 2'!$AV$6:$AV$13,0),MATCH(CUI_SCC_Chloride!$X12,'Tables - Part 2'!$AX$5:$BA$5,0))+INDEX('Tables - Part 2'!$AX$17:$BA$24,MATCH(CUI_SCC_Chloride!$AH12,'Tables - Part 2'!$AV$6:$AV$13,0),MATCH(CUI_SCC_Chloride!$X12,'Tables - Part 2'!$AX$5:$BA$5,0)))/2)+INDEX('Tables - Part 2'!$AX$17:$BA$24,MATCH(CUI_SCC_Chloride!$AH12,'Tables - Part 2'!$AV$6:$AV$13,0),MATCH(CUI_SCC_Chloride!$X12,'Tables - Part 2'!$AX$5:$BA$5,0)))/2))/2,0)</f>
        <v>0</v>
      </c>
      <c r="BO12" s="248">
        <f>IF($W12=$BO$3,(((INDEX('Tables - Part 2'!$BF$6:$BI$13,MATCH(CUI_SCC_Chloride!$AH12,'Tables - Part 2'!$AV$6:$AV$13,0),MATCH(CUI_SCC_Chloride!$X12,'Tables - Part 2'!$AX$5:$BA$5,0))+INDEX('Tables - Part 2'!$AX$17:$BA$24,MATCH(CUI_SCC_Chloride!$AH12,'Tables - Part 2'!$AV$6:$AV$13,0),MATCH(CUI_SCC_Chloride!$X12,'Tables - Part 2'!$AX$5:$BA$5,0)))/2)+INDEX('Tables - Part 2'!$AX$17:$BA$24,MATCH(CUI_SCC_Chloride!$AH12,'Tables - Part 2'!$AV$6:$AV$13,0),MATCH(CUI_SCC_Chloride!$X12,'Tables - Part 2'!$AX$5:$BA$5,0)))/2,0)</f>
        <v>0</v>
      </c>
      <c r="BP12" s="248">
        <f>IF($W12=$BP$3,(((((INDEX('Tables - Part 2'!$BF$6:$BI$13,MATCH(CUI_SCC_Chloride!$AH12,'Tables - Part 2'!$AV$6:$AV$13,0),MATCH(CUI_SCC_Chloride!$X12,'Tables - Part 2'!$AX$5:$BA$5,0))+INDEX('Tables - Part 2'!$AX$17:$BA$24,MATCH(CUI_SCC_Chloride!$AH12,'Tables - Part 2'!$AV$6:$AV$13,0),MATCH(CUI_SCC_Chloride!$X12,'Tables - Part 2'!$AX$5:$BA$5,0)))/2)+INDEX('Tables - Part 2'!$AX$17:$BA$24,MATCH(CUI_SCC_Chloride!$AH12,'Tables - Part 2'!$AV$6:$AV$13,0),MATCH(CUI_SCC_Chloride!$X12,'Tables - Part 2'!$AX$5:$BA$5,0)))/2)+(INDEX('Tables - Part 2'!$AX$17:$BA$24,MATCH(CUI_SCC_Chloride!$AH12,'Tables - Part 2'!$AV$6:$AV$13,0),MATCH(CUI_SCC_Chloride!$X12,'Tables - Part 2'!$AX$5:$BA$5,0))))/2,0)</f>
        <v>0</v>
      </c>
      <c r="BQ12" s="248">
        <f>IF($W12=$BQ$3,INDEX('Tables - Part 2'!$AX$17:$BA$24,MATCH(CUI_SCC_Chloride!$AH12,'Tables - Part 2'!$AV$6:$AV$13,0),MATCH(CUI_SCC_Chloride!$X12,'Tables - Part 2'!$AX$5:$BA$5,0)),0)</f>
        <v>0</v>
      </c>
      <c r="BR12" s="248">
        <f>IF($W12=$BR$3,((INDEX('Tables - Part 2'!$AX$17:$BA$24,MATCH(CUI_SCC_Chloride!$AH12,'Tables - Part 2'!$AV$6:$AV$13,0),MATCH(CUI_SCC_Chloride!$X12,'Tables - Part 2'!$AX$5:$BA$5,0)))+(((INDEX('Tables - Part 2'!$AX$17:$BA$24,MATCH(CUI_SCC_Chloride!$AH12,'Tables - Part 2'!$AV$6:$AV$13,0),MATCH(CUI_SCC_Chloride!$X12,'Tables - Part 2'!$AX$5:$BA$5,0)))+(INDEX('Tables - Part 2'!$AX$17:$BA$24,MATCH(CUI_SCC_Chloride!$AH12,'Tables - Part 2'!$AV$6:$AV$13,0),MATCH(CUI_SCC_Chloride!$X12,'Tables - Part 2'!$AX$5:$BA$5,0))+INDEX('Tables - Part 2'!$BB$17:$BE$24,MATCH(CUI_SCC_Chloride!$AH12,'Tables - Part 2'!$AV$6:$AV$13,0),MATCH(CUI_SCC_Chloride!$X12,'Tables - Part 2'!$AX$5:$BA$5,0)))/2)/2))/2,0)</f>
        <v>0</v>
      </c>
      <c r="BS12" s="248">
        <f>IF($W12=$BS$3,((INDEX('Tables - Part 2'!$AX$17:$BA$24,MATCH(CUI_SCC_Chloride!$AH12,'Tables - Part 2'!$AV$6:$AV$13,0),MATCH(CUI_SCC_Chloride!$X12,'Tables - Part 2'!$AX$5:$BA$5,0)))+(INDEX('Tables - Part 2'!$AX$17:$BA$24,MATCH(CUI_SCC_Chloride!$AH12,'Tables - Part 2'!$AV$6:$AV$13,0),MATCH(CUI_SCC_Chloride!$X12,'Tables - Part 2'!$AX$5:$BA$5,0))+INDEX('Tables - Part 2'!$BB$17:$BE$24,MATCH(CUI_SCC_Chloride!$AH12,'Tables - Part 2'!$AV$6:$AV$13,0),MATCH(CUI_SCC_Chloride!$X12,'Tables - Part 2'!$AX$5:$BA$5,0)))/2)/2,0)</f>
        <v>0</v>
      </c>
      <c r="BT12" s="248">
        <f>IF($W12=$BT$3,((((INDEX('Tables - Part 2'!$AX$17:$BA$24,MATCH(CUI_SCC_Chloride!$AH12,'Tables - Part 2'!$AV$6:$AV$13,0),MATCH(CUI_SCC_Chloride!$X12,'Tables - Part 2'!$AX$5:$BA$5,0)))+(INDEX('Tables - Part 2'!$AX$17:$BA$24,MATCH(CUI_SCC_Chloride!$AH12,'Tables - Part 2'!$AV$6:$AV$13,0),MATCH(CUI_SCC_Chloride!$X12,'Tables - Part 2'!$AX$5:$BA$5,0))+INDEX('Tables - Part 2'!$BB$17:$BE$24,MATCH(CUI_SCC_Chloride!$AH12,'Tables - Part 2'!$AV$6:$AV$13,0),MATCH(CUI_SCC_Chloride!$X12,'Tables - Part 2'!$AX$5:$BA$5,0)))/2)/2)+((INDEX('Tables - Part 2'!$AX$17:$BA$24,MATCH(CUI_SCC_Chloride!$AH12,'Tables - Part 2'!$AV$6:$AV$13,0),MATCH(CUI_SCC_Chloride!$X12,'Tables - Part 2'!$AX$5:$BA$5,0))+INDEX('Tables - Part 2'!$BB$17:$BE$24,MATCH(CUI_SCC_Chloride!$AH12,'Tables - Part 2'!$AV$6:$AV$13,0),MATCH(CUI_SCC_Chloride!$X12,'Tables - Part 2'!$AX$5:$BA$5,0)))/2))/2,0)</f>
        <v>0</v>
      </c>
      <c r="BU12" s="248">
        <f>IF($W12=$BU$3,(INDEX('Tables - Part 2'!$AX$17:$BA$24,MATCH(CUI_SCC_Chloride!$AH12,'Tables - Part 2'!$AV$6:$AV$13,0),MATCH(CUI_SCC_Chloride!$X12,'Tables - Part 2'!$AX$5:$BA$5,0))+INDEX('Tables - Part 2'!$BB$17:$BE$24,MATCH(CUI_SCC_Chloride!$AH12,'Tables - Part 2'!$AV$6:$AV$13,0),MATCH(CUI_SCC_Chloride!$X12,'Tables - Part 2'!$AX$5:$BA$5,0)))/2,0)</f>
        <v>0</v>
      </c>
      <c r="BV12" s="248">
        <f>IF($W12=$BV$3,(((INDEX('Tables - Part 2'!$AX$17:$BA$24,MATCH(CUI_SCC_Chloride!$AH12,'Tables - Part 2'!$AV$6:$AV$13,0),MATCH(CUI_SCC_Chloride!$X12,'Tables - Part 2'!$AX$5:$BA$5,0))+INDEX('Tables - Part 2'!$BB$17:$BE$24,MATCH(CUI_SCC_Chloride!$AH12,'Tables - Part 2'!$AV$6:$AV$13,0),MATCH(CUI_SCC_Chloride!$X12,'Tables - Part 2'!$AX$5:$BA$5,0)))/2)+((((INDEX('Tables - Part 2'!$AX$17:$BA$24,MATCH(CUI_SCC_Chloride!$AH12,'Tables - Part 2'!$AV$6:$AV$13,0),MATCH(CUI_SCC_Chloride!$X12,'Tables - Part 2'!$AX$5:$BA$5,0))+INDEX('Tables - Part 2'!$BB$17:$BE$24,MATCH(CUI_SCC_Chloride!$AH12,'Tables - Part 2'!$AV$6:$AV$13,0),MATCH(CUI_SCC_Chloride!$X12,'Tables - Part 2'!$AX$5:$BA$5,0)))/2)+INDEX('Tables - Part 2'!$BB$17:$BE$24,MATCH(CUI_SCC_Chloride!$AH12,'Tables - Part 2'!$AV$6:$AV$13,0),MATCH(CUI_SCC_Chloride!$X12,'Tables - Part 2'!$AX$5:$BA$5,0)))/2))/2,0)</f>
        <v>0</v>
      </c>
      <c r="BW12" s="248">
        <f>IF($W12=$BW$3,(((INDEX('Tables - Part 2'!$AX$17:$BA$24,MATCH(CUI_SCC_Chloride!$AH12,'Tables - Part 2'!$AV$6:$AV$13,0),MATCH(CUI_SCC_Chloride!$X12,'Tables - Part 2'!$AX$5:$BA$5,0))+INDEX('Tables - Part 2'!$BB$17:$BE$24,MATCH(CUI_SCC_Chloride!$AH12,'Tables - Part 2'!$AV$6:$AV$13,0),MATCH(CUI_SCC_Chloride!$X12,'Tables - Part 2'!$AX$5:$BA$5,0)))/2)+INDEX('Tables - Part 2'!$BB$17:$BE$24,MATCH(CUI_SCC_Chloride!$AH12,'Tables - Part 2'!$AV$6:$AV$13,0),MATCH(CUI_SCC_Chloride!$X12,'Tables - Part 2'!$AX$5:$BA$5,0)))/2,0)</f>
        <v>0</v>
      </c>
      <c r="BX12" s="248">
        <f>IF($W12=$BX$3,(((((INDEX('Tables - Part 2'!$AX$17:$BA$24,MATCH(CUI_SCC_Chloride!$AH12,'Tables - Part 2'!$AV$6:$AV$13,0),MATCH(CUI_SCC_Chloride!$X12,'Tables - Part 2'!$AX$5:$BA$5,0))+INDEX('Tables - Part 2'!$BB$17:$BE$24,MATCH(CUI_SCC_Chloride!$AH12,'Tables - Part 2'!$AV$6:$AV$13,0),MATCH(CUI_SCC_Chloride!$X12,'Tables - Part 2'!$AX$5:$BA$5,0)))/2)+INDEX('Tables - Part 2'!$BB$17:$BE$24,MATCH(CUI_SCC_Chloride!$AH12,'Tables - Part 2'!$AV$6:$AV$13,0),MATCH(CUI_SCC_Chloride!$X12,'Tables - Part 2'!$AX$5:$BA$5,0)))/2)+(INDEX('Tables - Part 2'!$BB$17:$BE$24,MATCH(CUI_SCC_Chloride!$AH12,'Tables - Part 2'!$AV$6:$AV$13,0),MATCH(CUI_SCC_Chloride!$X12,'Tables - Part 2'!$AX$5:$BA$5,0))))/2,0)</f>
        <v>0</v>
      </c>
      <c r="BY12" s="248">
        <f>IF($W12=$BY$3,INDEX('Tables - Part 2'!$BB$17:$BE$24,MATCH(CUI_SCC_Chloride!$AH12,'Tables - Part 2'!$AV$6:$AV$13,0),MATCH(CUI_SCC_Chloride!$X12,'Tables - Part 2'!$AX$5:$BA$5,0)),0)</f>
        <v>0</v>
      </c>
      <c r="BZ12" s="248">
        <f>IF($W12=$BZ$3,((INDEX('Tables - Part 2'!$BB$17:$BE$24,MATCH(CUI_SCC_Chloride!$AH12,'Tables - Part 2'!$AV$6:$AV$13,0),MATCH(CUI_SCC_Chloride!$X12,'Tables - Part 2'!$AX$5:$BA$5,0)))+(((INDEX('Tables - Part 2'!$BB$17:$BE$24,MATCH(CUI_SCC_Chloride!$AH12,'Tables - Part 2'!$AV$6:$AV$13,0),MATCH(CUI_SCC_Chloride!$X12,'Tables - Part 2'!$AX$5:$BA$5,0)))+(INDEX('Tables - Part 2'!$BB$17:$BE$24,MATCH(CUI_SCC_Chloride!$AH12,'Tables - Part 2'!$AV$6:$AV$13,0),MATCH(CUI_SCC_Chloride!$X12,'Tables - Part 2'!$AX$5:$BA$5,0))+INDEX('Tables - Part 2'!$BF$17:$BI$24,MATCH(CUI_SCC_Chloride!$AH12,'Tables - Part 2'!$AV$6:$AV$13,0),MATCH(CUI_SCC_Chloride!$X12,'Tables - Part 2'!$AX$5:$BA$5,0)))/2)/2))/2,0)</f>
        <v>0</v>
      </c>
      <c r="CA12" s="248">
        <f>IF($W12=$CA$3,((INDEX('Tables - Part 2'!$BB$17:$BE$24,MATCH(CUI_SCC_Chloride!$AH12,'Tables - Part 2'!$AV$6:$AV$13,0),MATCH(CUI_SCC_Chloride!$X12,'Tables - Part 2'!$AX$5:$BA$5,0)))+(INDEX('Tables - Part 2'!$BB$17:$BE$24,MATCH(CUI_SCC_Chloride!$AH12,'Tables - Part 2'!$AV$6:$AV$13,0),MATCH(CUI_SCC_Chloride!$X12,'Tables - Part 2'!$AX$5:$BA$5,0))+INDEX('Tables - Part 2'!$BF$17:$BI$24,MATCH(CUI_SCC_Chloride!$AH12,'Tables - Part 2'!$AV$6:$AV$13,0),MATCH(CUI_SCC_Chloride!$X12,'Tables - Part 2'!$AX$5:$BA$5,0)))/2)/2,0)</f>
        <v>0</v>
      </c>
      <c r="CB12" s="248">
        <f>IF($W12=$CB$3,((((INDEX('Tables - Part 2'!$BB$17:$BE$24,MATCH(CUI_SCC_Chloride!$AH12,'Tables - Part 2'!$AV$6:$AV$13,0),MATCH(CUI_SCC_Chloride!$X12,'Tables - Part 2'!$AX$5:$BA$5,0)))+(INDEX('Tables - Part 2'!$BB$17:$BE$24,MATCH(CUI_SCC_Chloride!$AH12,'Tables - Part 2'!$AV$6:$AV$13,0),MATCH(CUI_SCC_Chloride!$X12,'Tables - Part 2'!$AX$5:$BA$5,0))+INDEX('Tables - Part 2'!$BF$17:$BI$24,MATCH(CUI_SCC_Chloride!$AH12,'Tables - Part 2'!$AV$6:$AV$13,0),MATCH(CUI_SCC_Chloride!$X12,'Tables - Part 2'!$AX$5:$BA$5,0)))/2)/2)+((INDEX('Tables - Part 2'!$BB$17:$BE$24,MATCH(CUI_SCC_Chloride!$AH12,'Tables - Part 2'!$AV$6:$AV$13,0),MATCH(CUI_SCC_Chloride!$X12,'Tables - Part 2'!$AX$5:$BA$5,0))+INDEX('Tables - Part 2'!$BF$17:$BI$24,MATCH(CUI_SCC_Chloride!$AH12,'Tables - Part 2'!$AV$6:$AV$13,0),MATCH(CUI_SCC_Chloride!$X12,'Tables - Part 2'!$AX$5:$BA$5,0)))/2))/2,0)</f>
        <v>0</v>
      </c>
      <c r="CC12" s="248">
        <f>IF($W12=$CC$3,(INDEX('Tables - Part 2'!$BB$17:$BE$24,MATCH(CUI_SCC_Chloride!$AH12,'Tables - Part 2'!$AV$6:$AV$13,0),MATCH(CUI_SCC_Chloride!$X12,'Tables - Part 2'!$AX$5:$BA$5,0))+INDEX('Tables - Part 2'!$BF$17:$BI$24,MATCH(CUI_SCC_Chloride!$AH12,'Tables - Part 2'!$AV$6:$AV$13,0),MATCH(CUI_SCC_Chloride!$X12,'Tables - Part 2'!$AX$5:$BA$5,0)))/2,0)</f>
        <v>0</v>
      </c>
      <c r="CD12" s="248">
        <f>IF($W12=$CD$3,(((INDEX('Tables - Part 2'!$BB$17:$BE$24,MATCH(CUI_SCC_Chloride!$AH12,'Tables - Part 2'!$AV$6:$AV$13,0),MATCH(CUI_SCC_Chloride!$X12,'Tables - Part 2'!$AX$5:$BA$5,0))+INDEX('Tables - Part 2'!$BF$17:$BI$24,MATCH(CUI_SCC_Chloride!$AH12,'Tables - Part 2'!$AV$6:$AV$13,0),MATCH(CUI_SCC_Chloride!$X12,'Tables - Part 2'!$AX$5:$BA$5,0)))/2)+((((INDEX('Tables - Part 2'!$BB$17:$BE$24,MATCH(CUI_SCC_Chloride!$AH12,'Tables - Part 2'!$AV$6:$AV$13,0),MATCH(CUI_SCC_Chloride!$X12,'Tables - Part 2'!$AX$5:$BA$5,0))+INDEX('Tables - Part 2'!$BF$17:$BI$24,MATCH(CUI_SCC_Chloride!$AH12,'Tables - Part 2'!$AV$6:$AV$13,0),MATCH(CUI_SCC_Chloride!$X12,'Tables - Part 2'!$AX$5:$BA$5,0)))/2)+INDEX('Tables - Part 2'!$BF$17:$BI$24,MATCH(CUI_SCC_Chloride!$AH12,'Tables - Part 2'!$AV$6:$AV$13,0),MATCH(CUI_SCC_Chloride!$X12,'Tables - Part 2'!$AX$5:$BA$5,0)))/2))/2,0)</f>
        <v>0</v>
      </c>
      <c r="CE12" s="248">
        <f>IF($W12=$CE$3,(((INDEX('Tables - Part 2'!$BB$17:$BE$24,MATCH(CUI_SCC_Chloride!$AH12,'Tables - Part 2'!$AV$6:$AV$13,0),MATCH(CUI_SCC_Chloride!$X12,'Tables - Part 2'!$AX$5:$BA$5,0))+INDEX('Tables - Part 2'!$BF$17:$BI$24,MATCH(CUI_SCC_Chloride!$AH12,'Tables - Part 2'!$AV$6:$AV$13,0),MATCH(CUI_SCC_Chloride!$X12,'Tables - Part 2'!$AX$5:$BA$5,0)))/2)+INDEX('Tables - Part 2'!$BF$17:$BI$24,MATCH(CUI_SCC_Chloride!$AH12,'Tables - Part 2'!$AV$6:$AV$13,0),MATCH(CUI_SCC_Chloride!$X12,'Tables - Part 2'!$AX$5:$BA$5,0)))/2,0)</f>
        <v>0</v>
      </c>
      <c r="CF12" s="248">
        <f>IF($W12=$CF$3,(((((INDEX('Tables - Part 2'!$BB$17:$BE$24,MATCH(CUI_SCC_Chloride!$AH12,'Tables - Part 2'!$AV$6:$AV$13,0),MATCH(CUI_SCC_Chloride!$X12,'Tables - Part 2'!$AX$5:$BA$5,0))+INDEX('Tables - Part 2'!$BF$17:$BI$24,MATCH(CUI_SCC_Chloride!$AH12,'Tables - Part 2'!$AV$6:$AV$13,0),MATCH(CUI_SCC_Chloride!$X12,'Tables - Part 2'!$AX$5:$BA$5,0)))/2)+INDEX('Tables - Part 2'!$BF$17:$BI$24,MATCH(CUI_SCC_Chloride!$AH12,'Tables - Part 2'!$AV$6:$AV$13,0),MATCH(CUI_SCC_Chloride!$X12,'Tables - Part 2'!$AX$5:$BA$5,0)))/2)+(INDEX('Tables - Part 2'!$BF$17:$BI$24,MATCH(CUI_SCC_Chloride!$AH12,'Tables - Part 2'!$AV$6:$AV$13,0),MATCH(CUI_SCC_Chloride!$X12,'Tables - Part 2'!$AX$5:$BA$5,0))))/2,0)</f>
        <v>0</v>
      </c>
      <c r="CG12" s="248">
        <f>IF($W12=$CG$3,INDEX('Tables - Part 2'!$BF$17:$BI$24,MATCH(CUI_SCC_Chloride!$AH12,'Tables - Part 2'!$AV$6:$AV$13,0),MATCH(CUI_SCC_Chloride!$X12,'Tables - Part 2'!$AX$5:$BA$5,0)),0)</f>
        <v>0</v>
      </c>
      <c r="CH12" s="248">
        <f t="shared" si="5"/>
        <v>0</v>
      </c>
      <c r="CI12" s="238">
        <f t="shared" si="19"/>
        <v>0</v>
      </c>
      <c r="CJ12" s="238">
        <f t="shared" si="20"/>
        <v>0</v>
      </c>
    </row>
    <row r="13" spans="2:95" x14ac:dyDescent="0.35">
      <c r="B13" s="161" t="str">
        <f>'Tratamento de Dados'!B21</f>
        <v>V-4</v>
      </c>
      <c r="C13" s="161" t="str">
        <f>'Tratamento de Dados'!D21</f>
        <v>Casco</v>
      </c>
      <c r="D13" s="209" t="s">
        <v>245</v>
      </c>
      <c r="E13" s="209" t="s">
        <v>61</v>
      </c>
      <c r="F13" s="247">
        <f>'Tratamento de Dados'!S21</f>
        <v>2</v>
      </c>
      <c r="G13" s="209" t="s">
        <v>953</v>
      </c>
      <c r="H13" s="210">
        <v>35234</v>
      </c>
      <c r="I13" s="210">
        <v>43983</v>
      </c>
      <c r="J13" s="210">
        <v>39092</v>
      </c>
      <c r="K13" s="210">
        <f>'Tratamento de Dados'!CC21</f>
        <v>0</v>
      </c>
      <c r="L13" s="209">
        <f>'Tratamento de Dados'!CD21</f>
        <v>0</v>
      </c>
      <c r="M13" s="209" t="s">
        <v>905</v>
      </c>
      <c r="N13" s="209" t="s">
        <v>1081</v>
      </c>
      <c r="O13" s="209" t="s">
        <v>1081</v>
      </c>
      <c r="P13" s="209" t="s">
        <v>244</v>
      </c>
      <c r="Q13" s="209">
        <v>0</v>
      </c>
      <c r="R13" s="209">
        <v>1</v>
      </c>
      <c r="S13" s="209">
        <v>1</v>
      </c>
      <c r="T13" s="209">
        <v>4</v>
      </c>
      <c r="U13" s="253">
        <f>'Tratamento de Dados'!DA21</f>
        <v>0</v>
      </c>
      <c r="V13" s="253">
        <f>'Tratamento de Dados'!DB21</f>
        <v>0</v>
      </c>
      <c r="W13" s="256">
        <f t="shared" si="0"/>
        <v>2.5</v>
      </c>
      <c r="X13" s="246" t="str">
        <f t="shared" si="1"/>
        <v>B</v>
      </c>
      <c r="Y13" s="246" t="str">
        <f>IF(F13&lt;49,'Tables - Part 2'!$FH$5,IF(F13&lt;=93,'Tables - Part 2'!$FH$6,IF(F13&lt;=149,'Tables - Part 2'!$FH$7,'Tables - Part 2'!$FH$8)))</f>
        <v>&lt;49</v>
      </c>
      <c r="Z13" s="246" t="str">
        <f>IF(D13=$CO$2,$CM$5,INDEX('Tables - Part 2'!$FR$5:$FU$8,MATCH(CUI_SCC_Chloride!Y13,'Tables - Part 2'!$FQ$5:$FQ$8,0),MATCH(CUI_SCC_Chloride!M13,'Tables - Part 2'!$FR$4:$FU$4,0)))</f>
        <v>None</v>
      </c>
      <c r="AA13" s="246" t="str">
        <f t="shared" si="6"/>
        <v>None</v>
      </c>
      <c r="AB13" s="219">
        <f t="shared" si="7"/>
        <v>0</v>
      </c>
      <c r="AC13" s="246" t="str">
        <f t="shared" si="8"/>
        <v>None</v>
      </c>
      <c r="AD13" s="219">
        <f t="shared" si="9"/>
        <v>0</v>
      </c>
      <c r="AE13" s="246" t="str">
        <f t="shared" si="10"/>
        <v>None</v>
      </c>
      <c r="AF13" s="219">
        <f t="shared" si="11"/>
        <v>0</v>
      </c>
      <c r="AG13" s="467" t="str">
        <f t="shared" si="12"/>
        <v>None</v>
      </c>
      <c r="AH13" s="238">
        <f>IF(AND(D13=$CO$2,E13&lt;&gt;$CO$2),"Fitness-For-Service",INDEX('Tables - Part 2'!$FO$4:$FO$7,MATCH(CUI_SCC_Chloride!AG13,'Tables - Part 2'!$FN$4:$FN$7,0),))</f>
        <v>0</v>
      </c>
      <c r="AI13" s="238">
        <f>IF(J13=0,(Thinning!G14-Thinning!F14)/365.25,(Thinning!G14-J13)/365.25)</f>
        <v>12.980150581793293</v>
      </c>
      <c r="AJ13" s="248">
        <f t="shared" si="2"/>
        <v>0</v>
      </c>
      <c r="AK13" s="248">
        <f t="shared" si="3"/>
        <v>2.5</v>
      </c>
      <c r="AL13" s="247">
        <f t="shared" si="13"/>
        <v>3</v>
      </c>
      <c r="AM13" s="247">
        <f t="shared" si="4"/>
        <v>4</v>
      </c>
      <c r="AN13" s="247">
        <f t="shared" si="14"/>
        <v>120.41889117043121</v>
      </c>
      <c r="AO13" s="247">
        <f t="shared" si="15"/>
        <v>0</v>
      </c>
      <c r="AP13" s="247">
        <f t="shared" si="16"/>
        <v>0</v>
      </c>
      <c r="AQ13" s="247">
        <f t="shared" si="17"/>
        <v>0</v>
      </c>
      <c r="AR13" s="247">
        <f t="shared" si="18"/>
        <v>12.980150581793293</v>
      </c>
      <c r="AS13" s="248">
        <f>IF($W13=$AS$3,INDEX('Tables - Part 2'!$AX$6:$BA$13,MATCH(CUI_SCC_Chloride!AH13,'Tables - Part 2'!$AV$6:$AV$13,0),MATCH(CUI_SCC_Chloride!X13,'Tables - Part 2'!$AX$5:$BA$5,0)),0)</f>
        <v>0</v>
      </c>
      <c r="AT13" s="248">
        <f>IF($W13=$AT$3,(INDEX('Tables - Part 2'!$AX$6:$BA$13,MATCH(CUI_SCC_Chloride!AH13,'Tables - Part 2'!$AV$6:$AV$13,0),MATCH(CUI_SCC_Chloride!X13,'Tables - Part 2'!$AX$5:$BA$5,0))+(INDEX('Tables - Part 2'!$AX$6:$BA$13,MATCH(CUI_SCC_Chloride!AH13,'Tables - Part 2'!$AV$6:$AV$13,0),MATCH(CUI_SCC_Chloride!X13,'Tables - Part 2'!$AX$5:$BA$5,0))+((INDEX('Tables - Part 2'!$AX$6:$BA$13,MATCH(CUI_SCC_Chloride!AH13,'Tables - Part 2'!$AV$6:$AV$13,0),MATCH(CUI_SCC_Chloride!X13,'Tables - Part 2'!$AX$5:$BA$5,0))+INDEX('Tables - Part 2'!$BB$6:$BE$13,MATCH(CUI_SCC_Chloride!$AH13,'Tables - Part 2'!$AV$6:$AV$13,0),MATCH(CUI_SCC_Chloride!$X13,'Tables - Part 2'!$AX$5:$BA$5,0)))/2))/2)/2,0)</f>
        <v>0</v>
      </c>
      <c r="AU13" s="248">
        <f>IF($W13=$AU$3,(INDEX('Tables - Part 2'!$AX$6:$BA$13,MATCH(CUI_SCC_Chloride!AH13,'Tables - Part 2'!$AV$6:$AV$13,0),MATCH(CUI_SCC_Chloride!X13,'Tables - Part 2'!$AX$5:$BA$5,0))+((INDEX('Tables - Part 2'!$AX$6:$BA$13,MATCH(CUI_SCC_Chloride!AH13,'Tables - Part 2'!$AV$6:$AV$13,0),MATCH(CUI_SCC_Chloride!X13,'Tables - Part 2'!$AX$5:$BA$5,0))+INDEX('Tables - Part 2'!$BB$6:$BE$13,MATCH(CUI_SCC_Chloride!$AH13,'Tables - Part 2'!$AV$6:$AV$13,0),MATCH(CUI_SCC_Chloride!$X13,'Tables - Part 2'!$AX$5:$BA$5,0)))/2))/2,0)</f>
        <v>0</v>
      </c>
      <c r="AV13" s="248">
        <f>IF($W13=$AV$3,(((INDEX('Tables - Part 2'!$AX$6:$BA$13,MATCH(CUI_SCC_Chloride!AH13,'Tables - Part 2'!$AV$6:$AV$13,0),MATCH(CUI_SCC_Chloride!X13,'Tables - Part 2'!$AX$5:$BA$5,0))+((INDEX('Tables - Part 2'!$AX$6:$BA$13,MATCH(CUI_SCC_Chloride!AH13,'Tables - Part 2'!$AV$6:$AV$13,0),MATCH(CUI_SCC_Chloride!X13,'Tables - Part 2'!$AX$5:$BA$5,0))+INDEX('Tables - Part 2'!$BB$6:$BE$13,MATCH(CUI_SCC_Chloride!$AH13,'Tables - Part 2'!$AV$6:$AV$13,0),MATCH(CUI_SCC_Chloride!$X13,'Tables - Part 2'!$AX$5:$BA$5,0)))/2))/2)+(INDEX('Tables - Part 2'!$AX$6:$BA$13,MATCH(CUI_SCC_Chloride!AH13,'Tables - Part 2'!$AV$6:$AV$13,0),MATCH(CUI_SCC_Chloride!X13,'Tables - Part 2'!$AX$5:$BA$5,0))+INDEX('Tables - Part 2'!$BB$6:$BE$13,MATCH(CUI_SCC_Chloride!$AH13,'Tables - Part 2'!$AV$6:$AV$13,0),MATCH(CUI_SCC_Chloride!$X13,'Tables - Part 2'!$AX$5:$BA$5,0)))/2)/2,0)</f>
        <v>0</v>
      </c>
      <c r="AW13" s="248">
        <f>IF($W13=$AW$3,(INDEX('Tables - Part 2'!$AX$6:$BA$13,MATCH(CUI_SCC_Chloride!AH13,'Tables - Part 2'!$AV$6:$AV$13,0),MATCH(CUI_SCC_Chloride!X13,'Tables - Part 2'!$AX$5:$BA$5,0))+INDEX('Tables - Part 2'!$BB$6:$BE$13,MATCH(CUI_SCC_Chloride!$AH13,'Tables - Part 2'!$AV$6:$AV$13,0),MATCH(CUI_SCC_Chloride!$X13,'Tables - Part 2'!$AX$5:$BA$5,0)))/2,0)</f>
        <v>0</v>
      </c>
      <c r="AX13" s="248">
        <f>IF($W13=$AX$3,(((INDEX('Tables - Part 2'!$AX$6:$BA$13,MATCH(CUI_SCC_Chloride!AH13,'Tables - Part 2'!$AV$6:$AV$13,0),MATCH(CUI_SCC_Chloride!X13,'Tables - Part 2'!$AX$5:$BA$5,0))+INDEX('Tables - Part 2'!$BB$6:$BE$13,MATCH(CUI_SCC_Chloride!$AH13,'Tables - Part 2'!$AV$6:$AV$13,0),MATCH(CUI_SCC_Chloride!$X13,'Tables - Part 2'!$AX$5:$BA$5,0)))/2)+(((INDEX('Tables - Part 2'!$AX$6:$BA$13,MATCH(CUI_SCC_Chloride!AH13,'Tables - Part 2'!$AV$6:$AV$13,0),MATCH(CUI_SCC_Chloride!X13,'Tables - Part 2'!$AX$5:$BA$5,0))+INDEX('Tables - Part 2'!$BB$6:$BE$13,MATCH(CUI_SCC_Chloride!$AH13,'Tables - Part 2'!$AV$6:$AV$13,0),MATCH(CUI_SCC_Chloride!$X13,'Tables - Part 2'!$AX$5:$BA$5,0)))/2)+INDEX('Tables - Part 2'!$BB$6:$BE$13,MATCH(CUI_SCC_Chloride!$AH13,'Tables - Part 2'!$AV$6:$AV$13,0),MATCH(CUI_SCC_Chloride!$X13,'Tables - Part 2'!$AX$5:$BA$5,0)))/2)/2,0)</f>
        <v>0</v>
      </c>
      <c r="AY13" s="248">
        <f>IF($W13=$AY$3,(((INDEX('Tables - Part 2'!$AX$6:$BA$13,MATCH(CUI_SCC_Chloride!AH13,'Tables - Part 2'!$AV$6:$AV$13,0),MATCH(CUI_SCC_Chloride!X13,'Tables - Part 2'!$AX$5:$BA$5,0))+INDEX('Tables - Part 2'!$BB$6:$BE$13,MATCH(CUI_SCC_Chloride!$AH13,'Tables - Part 2'!$AV$6:$AV$13,0),MATCH(CUI_SCC_Chloride!$X13,'Tables - Part 2'!$AX$5:$BA$5,0)))/2)+INDEX('Tables - Part 2'!$BB$6:$BE$13,MATCH(CUI_SCC_Chloride!$AH13,'Tables - Part 2'!$AV$6:$AV$13,0),MATCH(CUI_SCC_Chloride!$X13,'Tables - Part 2'!$AX$5:$BA$5,0)))/2,0)</f>
        <v>0</v>
      </c>
      <c r="AZ13" s="248">
        <f>IF($W13=$AZ$3,(((((INDEX('Tables - Part 2'!$AX$6:$BA$13,MATCH(CUI_SCC_Chloride!AH13,'Tables - Part 2'!$AV$6:$AV$13,0),MATCH(CUI_SCC_Chloride!X13,'Tables - Part 2'!$AX$5:$BA$5,0))+INDEX('Tables - Part 2'!$BB$6:$BE$13,MATCH(CUI_SCC_Chloride!$AH13,'Tables - Part 2'!$AV$6:$AV$13,0),MATCH(CUI_SCC_Chloride!$X13,'Tables - Part 2'!$AX$5:$BA$5,0)))/2)+INDEX('Tables - Part 2'!$BB$6:$BE$13,MATCH(CUI_SCC_Chloride!$AH13,'Tables - Part 2'!$AV$6:$AV$13,0),MATCH(CUI_SCC_Chloride!$X13,'Tables - Part 2'!$AX$5:$BA$5,0)))/2)+INDEX('Tables - Part 2'!$BB$6:$BE$13,MATCH(CUI_SCC_Chloride!$AH13,'Tables - Part 2'!$AV$6:$AV$13,0),MATCH(CUI_SCC_Chloride!$X13,'Tables - Part 2'!$AX$5:$BA$5,0)))/2,0)</f>
        <v>0</v>
      </c>
      <c r="BA13" s="248">
        <f>IF($W13=$BA$3,INDEX('Tables - Part 2'!$BB$6:$BE$13,MATCH(CUI_SCC_Chloride!$AH13,'Tables - Part 2'!$AV$6:$AV$13,0),MATCH(CUI_SCC_Chloride!$X13,'Tables - Part 2'!$AX$5:$BA$5,0)),0)</f>
        <v>0</v>
      </c>
      <c r="BB13" s="248">
        <f>IF($W13=$BB$3,((INDEX('Tables - Part 2'!$BB$6:$BE$13,MATCH(CUI_SCC_Chloride!$AH13,'Tables - Part 2'!$AV$6:$AV$13,0),MATCH(CUI_SCC_Chloride!$X13,'Tables - Part 2'!$AX$5:$BA$5,0)))+(INDEX('Tables - Part 2'!$BB$6:$BE$13,MATCH(CUI_SCC_Chloride!$AH13,'Tables - Part 2'!$AV$6:$AV$13,0),MATCH(CUI_SCC_Chloride!$X13,'Tables - Part 2'!$AX$5:$BA$5,0))+(INDEX('Tables - Part 2'!$BB$6:$BE$13,MATCH(CUI_SCC_Chloride!$AH13,'Tables - Part 2'!$AV$6:$AV$13,0),MATCH(CUI_SCC_Chloride!$X13,'Tables - Part 2'!$AX$5:$BA$5,0))+INDEX('Tables - Part 2'!$BF$6:$BI$13,MATCH(CUI_SCC_Chloride!$AH13,'Tables - Part 2'!$AV$6:$AV$13,0),MATCH(CUI_SCC_Chloride!$X13,'Tables - Part 2'!$AX$5:$BA$5,0)))/2)/2)/2,0)</f>
        <v>0</v>
      </c>
      <c r="BC13" s="248">
        <f>IF($W13=$BC$3,(INDEX('Tables - Part 2'!$BB$6:$BE$13,MATCH(CUI_SCC_Chloride!$AH13,'Tables - Part 2'!$AV$6:$AV$13,0),MATCH(CUI_SCC_Chloride!$X13,'Tables - Part 2'!$AX$5:$BA$5,0))+(INDEX('Tables - Part 2'!$BB$6:$BE$13,MATCH(CUI_SCC_Chloride!$AH13,'Tables - Part 2'!$AV$6:$AV$13,0),MATCH(CUI_SCC_Chloride!$X13,'Tables - Part 2'!$AX$5:$BA$5,0))+INDEX('Tables - Part 2'!$BF$6:$BI$13,MATCH(CUI_SCC_Chloride!$AH13,'Tables - Part 2'!$AV$6:$AV$13,0),MATCH(CUI_SCC_Chloride!$X13,'Tables - Part 2'!$AX$5:$BA$5,0)))/2)/2,0)</f>
        <v>0</v>
      </c>
      <c r="BD13" s="248">
        <f>IF($W13=$BD$3,(((INDEX('Tables - Part 2'!$BB$6:$BE$13,MATCH(CUI_SCC_Chloride!$AH13,'Tables - Part 2'!$AV$6:$AV$13,0),MATCH(CUI_SCC_Chloride!$X13,'Tables - Part 2'!$AX$5:$BA$5,0))+(INDEX('Tables - Part 2'!$BB$6:$BE$13,MATCH(CUI_SCC_Chloride!$AH13,'Tables - Part 2'!$AV$6:$AV$13,0),MATCH(CUI_SCC_Chloride!$X13,'Tables - Part 2'!$AX$5:$BA$5,0))+INDEX('Tables - Part 2'!$BF$6:$BI$13,MATCH(CUI_SCC_Chloride!$AH13,'Tables - Part 2'!$AV$6:$AV$13,0),MATCH(CUI_SCC_Chloride!$X13,'Tables - Part 2'!$AX$5:$BA$5,0)))/2)/2)+((INDEX('Tables - Part 2'!$BB$6:$BE$13,MATCH(CUI_SCC_Chloride!$AH13,'Tables - Part 2'!$AV$6:$AV$13,0),MATCH(CUI_SCC_Chloride!$X13,'Tables - Part 2'!$AX$5:$BA$5,0))+INDEX('Tables - Part 2'!$BF$6:$BI$13,MATCH(CUI_SCC_Chloride!$AH13,'Tables - Part 2'!$AV$6:$AV$13,0),MATCH(CUI_SCC_Chloride!$X13,'Tables - Part 2'!$AX$5:$BA$5,0)))/2))/2,0)</f>
        <v>0</v>
      </c>
      <c r="BE13" s="248">
        <f>IF($W13=$BE$3,(INDEX('Tables - Part 2'!$BB$6:$BE$13,MATCH(CUI_SCC_Chloride!$AH13,'Tables - Part 2'!$AV$6:$AV$13,0),MATCH(CUI_SCC_Chloride!$X13,'Tables - Part 2'!$AX$5:$BA$5,0))+INDEX('Tables - Part 2'!$BF$6:$BI$13,MATCH(CUI_SCC_Chloride!$AH13,'Tables - Part 2'!$AV$6:$AV$13,0),MATCH(CUI_SCC_Chloride!$X13,'Tables - Part 2'!$AX$5:$BA$5,0)))/2,0)</f>
        <v>0</v>
      </c>
      <c r="BF13" s="248">
        <f>IF($W13=$BF$3,(((INDEX('Tables - Part 2'!$BB$6:$BE$13,MATCH(CUI_SCC_Chloride!$AH13,'Tables - Part 2'!$AV$6:$AV$13,0),MATCH(CUI_SCC_Chloride!$X13,'Tables - Part 2'!$AX$5:$BA$5,0))+INDEX('Tables - Part 2'!$BF$6:$BI$13,MATCH(CUI_SCC_Chloride!$AH13,'Tables - Part 2'!$AV$6:$AV$13,0),MATCH(CUI_SCC_Chloride!$X13,'Tables - Part 2'!$AX$5:$BA$5,0)))/2)+((((INDEX('Tables - Part 2'!$BB$6:$BE$13,MATCH(CUI_SCC_Chloride!$AH13,'Tables - Part 2'!$AV$6:$AV$13,0),MATCH(CUI_SCC_Chloride!$X13,'Tables - Part 2'!$AX$5:$BA$5,0))+INDEX('Tables - Part 2'!$BF$6:$BI$13,MATCH(CUI_SCC_Chloride!$AH13,'Tables - Part 2'!$AV$6:$AV$13,0),MATCH(CUI_SCC_Chloride!$X13,'Tables - Part 2'!$AX$5:$BA$5,0)))/2)+INDEX('Tables - Part 2'!$BF$6:$BI$13,MATCH(CUI_SCC_Chloride!$AH13,'Tables - Part 2'!$AV$6:$AV$13,0),MATCH(CUI_SCC_Chloride!$X13,'Tables - Part 2'!$AX$5:$BA$5,0)))/2))/2,0)</f>
        <v>0</v>
      </c>
      <c r="BG13" s="248">
        <f>IF($W13=$BG$3,(((INDEX('Tables - Part 2'!$BB$6:$BE$13,MATCH(CUI_SCC_Chloride!$AH13,'Tables - Part 2'!$AV$6:$AV$13,0),MATCH(CUI_SCC_Chloride!$X13,'Tables - Part 2'!$AX$5:$BA$5,0))+INDEX('Tables - Part 2'!$BF$6:$BI$13,MATCH(CUI_SCC_Chloride!$AH13,'Tables - Part 2'!$AV$6:$AV$13,0),MATCH(CUI_SCC_Chloride!$X13,'Tables - Part 2'!$AX$5:$BA$5,0)))/2)+INDEX('Tables - Part 2'!$BF$6:$BI$13,MATCH(CUI_SCC_Chloride!$AH13,'Tables - Part 2'!$AV$6:$AV$13,0),MATCH(CUI_SCC_Chloride!$X13,'Tables - Part 2'!$AX$5:$BA$5,0)))/2,0)</f>
        <v>0</v>
      </c>
      <c r="BH13" s="248">
        <f>IF($W13=$BH$3,(((((INDEX('Tables - Part 2'!$BB$6:$BE$13,MATCH(CUI_SCC_Chloride!$AH13,'Tables - Part 2'!$AV$6:$AV$13,0),MATCH(CUI_SCC_Chloride!$X13,'Tables - Part 2'!$AX$5:$BA$5,0))+INDEX('Tables - Part 2'!$BF$6:$BI$13,MATCH(CUI_SCC_Chloride!$AH13,'Tables - Part 2'!$AV$6:$AV$13,0),MATCH(CUI_SCC_Chloride!$X13,'Tables - Part 2'!$AX$5:$BA$5,0)))/2)+INDEX('Tables - Part 2'!$BF$6:$BI$13,MATCH(CUI_SCC_Chloride!$AH13,'Tables - Part 2'!$AV$6:$AV$13,0),MATCH(CUI_SCC_Chloride!$X13,'Tables - Part 2'!$AX$5:$BA$5,0)))/2)+INDEX('Tables - Part 2'!$BF$6:$BI$13,MATCH(CUI_SCC_Chloride!$AH13,'Tables - Part 2'!$AV$6:$AV$13,0),MATCH(CUI_SCC_Chloride!$X13,'Tables - Part 2'!$AX$5:$BA$5,0)))/2,0)</f>
        <v>0</v>
      </c>
      <c r="BI13" s="248">
        <f>IF($W13=$BI$3,INDEX('Tables - Part 2'!$BF$6:$BI$13,MATCH(CUI_SCC_Chloride!$AH13,'Tables - Part 2'!$AV$6:$AV$13,0),MATCH(CUI_SCC_Chloride!$X13,'Tables - Part 2'!$AX$5:$BA$5,0)),0)</f>
        <v>0</v>
      </c>
      <c r="BJ13" s="248">
        <f>IF($W13=$BJ$3,(INDEX('Tables - Part 2'!$BF$6:$BI$13,MATCH(CUI_SCC_Chloride!$AH13,'Tables - Part 2'!$AV$6:$AV$13,0),MATCH(CUI_SCC_Chloride!$X13,'Tables - Part 2'!$AX$5:$BA$5,0))+((INDEX('Tables - Part 2'!$BF$6:$BI$13,MATCH(CUI_SCC_Chloride!$AH13,'Tables - Part 2'!$AV$6:$AV$13,0),MATCH(CUI_SCC_Chloride!$X13,'Tables - Part 2'!$AX$5:$BA$5,0))+(INDEX('Tables - Part 2'!$BF$6:$BI$13,MATCH(CUI_SCC_Chloride!$AH13,'Tables - Part 2'!$AV$6:$AV$13,0),MATCH(CUI_SCC_Chloride!$X13,'Tables - Part 2'!$AX$5:$BA$5,0))+INDEX('Tables - Part 2'!$AX$17:$BA$24,MATCH(CUI_SCC_Chloride!$AH13,'Tables - Part 2'!$AV$6:$AV$13,0),MATCH(CUI_SCC_Chloride!$X13,'Tables - Part 2'!$AX$5:$BA$5,0)))/2)/2))/2,0)</f>
        <v>0</v>
      </c>
      <c r="BK13" s="248">
        <f>IF($W13=$BK$3,(INDEX('Tables - Part 2'!$BF$6:$BI$13,MATCH(CUI_SCC_Chloride!$AH13,'Tables - Part 2'!$AV$6:$AV$13,0),MATCH(CUI_SCC_Chloride!$X13,'Tables - Part 2'!$AX$5:$BA$5,0))+(INDEX('Tables - Part 2'!$BF$6:$BI$13,MATCH(CUI_SCC_Chloride!$AH13,'Tables - Part 2'!$AV$6:$AV$13,0),MATCH(CUI_SCC_Chloride!$X13,'Tables - Part 2'!$AX$5:$BA$5,0))+INDEX('Tables - Part 2'!$AX$17:$BA$24,MATCH(CUI_SCC_Chloride!$AH13,'Tables - Part 2'!$AV$6:$AV$13,0),MATCH(CUI_SCC_Chloride!$X13,'Tables - Part 2'!$AX$5:$BA$5,0)))/2)/2,0)</f>
        <v>0</v>
      </c>
      <c r="BL13" s="248">
        <f>IF($W13=$BL$3,(((INDEX('Tables - Part 2'!$BF$6:$BI$13,MATCH(CUI_SCC_Chloride!$AH13,'Tables - Part 2'!$AV$6:$AV$13,0),MATCH(CUI_SCC_Chloride!$X13,'Tables - Part 2'!$AX$5:$BA$5,0))+(INDEX('Tables - Part 2'!$BF$6:$BI$13,MATCH(CUI_SCC_Chloride!$AH13,'Tables - Part 2'!$AV$6:$AV$13,0),MATCH(CUI_SCC_Chloride!$X13,'Tables - Part 2'!$AX$5:$BA$5,0))+INDEX('Tables - Part 2'!$AX$17:$BA$24,MATCH(CUI_SCC_Chloride!$AH13,'Tables - Part 2'!$AV$6:$AV$13,0),MATCH(CUI_SCC_Chloride!$X13,'Tables - Part 2'!$AX$5:$BA$5,0)))/2)/2)+((INDEX('Tables - Part 2'!$BF$6:$BI$13,MATCH(CUI_SCC_Chloride!$AH13,'Tables - Part 2'!$AV$6:$AV$13,0),MATCH(CUI_SCC_Chloride!$X13,'Tables - Part 2'!$AX$5:$BA$5,0))+INDEX('Tables - Part 2'!$AX$17:$BA$24,MATCH(CUI_SCC_Chloride!$AH13,'Tables - Part 2'!$AV$6:$AV$13,0),MATCH(CUI_SCC_Chloride!$X13,'Tables - Part 2'!$AX$5:$BA$5,0)))/2))/2,0)</f>
        <v>0</v>
      </c>
      <c r="BM13" s="248">
        <f>IF($W13=$BM$3,(INDEX('Tables - Part 2'!$BF$6:$BI$13,MATCH(CUI_SCC_Chloride!$AH13,'Tables - Part 2'!$AV$6:$AV$13,0),MATCH(CUI_SCC_Chloride!$X13,'Tables - Part 2'!$AX$5:$BA$5,0))+INDEX('Tables - Part 2'!$AX$17:$BA$24,MATCH(CUI_SCC_Chloride!$AH13,'Tables - Part 2'!$AV$6:$AV$13,0),MATCH(CUI_SCC_Chloride!$X13,'Tables - Part 2'!$AX$5:$BA$5,0)))/2,0)</f>
        <v>0</v>
      </c>
      <c r="BN13" s="248">
        <f>IF($W13=$BN$3,(((INDEX('Tables - Part 2'!$BF$6:$BI$13,MATCH(CUI_SCC_Chloride!$AH13,'Tables - Part 2'!$AV$6:$AV$13,0),MATCH(CUI_SCC_Chloride!$X13,'Tables - Part 2'!$AX$5:$BA$5,0))+INDEX('Tables - Part 2'!$AX$17:$BA$24,MATCH(CUI_SCC_Chloride!$AH13,'Tables - Part 2'!$AV$6:$AV$13,0),MATCH(CUI_SCC_Chloride!$X13,'Tables - Part 2'!$AX$5:$BA$5,0)))/2)+((((INDEX('Tables - Part 2'!$BF$6:$BI$13,MATCH(CUI_SCC_Chloride!$AH13,'Tables - Part 2'!$AV$6:$AV$13,0),MATCH(CUI_SCC_Chloride!$X13,'Tables - Part 2'!$AX$5:$BA$5,0))+INDEX('Tables - Part 2'!$AX$17:$BA$24,MATCH(CUI_SCC_Chloride!$AH13,'Tables - Part 2'!$AV$6:$AV$13,0),MATCH(CUI_SCC_Chloride!$X13,'Tables - Part 2'!$AX$5:$BA$5,0)))/2)+INDEX('Tables - Part 2'!$AX$17:$BA$24,MATCH(CUI_SCC_Chloride!$AH13,'Tables - Part 2'!$AV$6:$AV$13,0),MATCH(CUI_SCC_Chloride!$X13,'Tables - Part 2'!$AX$5:$BA$5,0)))/2))/2,0)</f>
        <v>0</v>
      </c>
      <c r="BO13" s="248">
        <f>IF($W13=$BO$3,(((INDEX('Tables - Part 2'!$BF$6:$BI$13,MATCH(CUI_SCC_Chloride!$AH13,'Tables - Part 2'!$AV$6:$AV$13,0),MATCH(CUI_SCC_Chloride!$X13,'Tables - Part 2'!$AX$5:$BA$5,0))+INDEX('Tables - Part 2'!$AX$17:$BA$24,MATCH(CUI_SCC_Chloride!$AH13,'Tables - Part 2'!$AV$6:$AV$13,0),MATCH(CUI_SCC_Chloride!$X13,'Tables - Part 2'!$AX$5:$BA$5,0)))/2)+INDEX('Tables - Part 2'!$AX$17:$BA$24,MATCH(CUI_SCC_Chloride!$AH13,'Tables - Part 2'!$AV$6:$AV$13,0),MATCH(CUI_SCC_Chloride!$X13,'Tables - Part 2'!$AX$5:$BA$5,0)))/2,0)</f>
        <v>0</v>
      </c>
      <c r="BP13" s="248">
        <f>IF($W13=$BP$3,(((((INDEX('Tables - Part 2'!$BF$6:$BI$13,MATCH(CUI_SCC_Chloride!$AH13,'Tables - Part 2'!$AV$6:$AV$13,0),MATCH(CUI_SCC_Chloride!$X13,'Tables - Part 2'!$AX$5:$BA$5,0))+INDEX('Tables - Part 2'!$AX$17:$BA$24,MATCH(CUI_SCC_Chloride!$AH13,'Tables - Part 2'!$AV$6:$AV$13,0),MATCH(CUI_SCC_Chloride!$X13,'Tables - Part 2'!$AX$5:$BA$5,0)))/2)+INDEX('Tables - Part 2'!$AX$17:$BA$24,MATCH(CUI_SCC_Chloride!$AH13,'Tables - Part 2'!$AV$6:$AV$13,0),MATCH(CUI_SCC_Chloride!$X13,'Tables - Part 2'!$AX$5:$BA$5,0)))/2)+(INDEX('Tables - Part 2'!$AX$17:$BA$24,MATCH(CUI_SCC_Chloride!$AH13,'Tables - Part 2'!$AV$6:$AV$13,0),MATCH(CUI_SCC_Chloride!$X13,'Tables - Part 2'!$AX$5:$BA$5,0))))/2,0)</f>
        <v>0</v>
      </c>
      <c r="BQ13" s="248">
        <f>IF($W13=$BQ$3,INDEX('Tables - Part 2'!$AX$17:$BA$24,MATCH(CUI_SCC_Chloride!$AH13,'Tables - Part 2'!$AV$6:$AV$13,0),MATCH(CUI_SCC_Chloride!$X13,'Tables - Part 2'!$AX$5:$BA$5,0)),0)</f>
        <v>0</v>
      </c>
      <c r="BR13" s="248">
        <f>IF($W13=$BR$3,((INDEX('Tables - Part 2'!$AX$17:$BA$24,MATCH(CUI_SCC_Chloride!$AH13,'Tables - Part 2'!$AV$6:$AV$13,0),MATCH(CUI_SCC_Chloride!$X13,'Tables - Part 2'!$AX$5:$BA$5,0)))+(((INDEX('Tables - Part 2'!$AX$17:$BA$24,MATCH(CUI_SCC_Chloride!$AH13,'Tables - Part 2'!$AV$6:$AV$13,0),MATCH(CUI_SCC_Chloride!$X13,'Tables - Part 2'!$AX$5:$BA$5,0)))+(INDEX('Tables - Part 2'!$AX$17:$BA$24,MATCH(CUI_SCC_Chloride!$AH13,'Tables - Part 2'!$AV$6:$AV$13,0),MATCH(CUI_SCC_Chloride!$X13,'Tables - Part 2'!$AX$5:$BA$5,0))+INDEX('Tables - Part 2'!$BB$17:$BE$24,MATCH(CUI_SCC_Chloride!$AH13,'Tables - Part 2'!$AV$6:$AV$13,0),MATCH(CUI_SCC_Chloride!$X13,'Tables - Part 2'!$AX$5:$BA$5,0)))/2)/2))/2,0)</f>
        <v>0</v>
      </c>
      <c r="BS13" s="248">
        <f>IF($W13=$BS$3,((INDEX('Tables - Part 2'!$AX$17:$BA$24,MATCH(CUI_SCC_Chloride!$AH13,'Tables - Part 2'!$AV$6:$AV$13,0),MATCH(CUI_SCC_Chloride!$X13,'Tables - Part 2'!$AX$5:$BA$5,0)))+(INDEX('Tables - Part 2'!$AX$17:$BA$24,MATCH(CUI_SCC_Chloride!$AH13,'Tables - Part 2'!$AV$6:$AV$13,0),MATCH(CUI_SCC_Chloride!$X13,'Tables - Part 2'!$AX$5:$BA$5,0))+INDEX('Tables - Part 2'!$BB$17:$BE$24,MATCH(CUI_SCC_Chloride!$AH13,'Tables - Part 2'!$AV$6:$AV$13,0),MATCH(CUI_SCC_Chloride!$X13,'Tables - Part 2'!$AX$5:$BA$5,0)))/2)/2,0)</f>
        <v>0</v>
      </c>
      <c r="BT13" s="248">
        <f>IF($W13=$BT$3,((((INDEX('Tables - Part 2'!$AX$17:$BA$24,MATCH(CUI_SCC_Chloride!$AH13,'Tables - Part 2'!$AV$6:$AV$13,0),MATCH(CUI_SCC_Chloride!$X13,'Tables - Part 2'!$AX$5:$BA$5,0)))+(INDEX('Tables - Part 2'!$AX$17:$BA$24,MATCH(CUI_SCC_Chloride!$AH13,'Tables - Part 2'!$AV$6:$AV$13,0),MATCH(CUI_SCC_Chloride!$X13,'Tables - Part 2'!$AX$5:$BA$5,0))+INDEX('Tables - Part 2'!$BB$17:$BE$24,MATCH(CUI_SCC_Chloride!$AH13,'Tables - Part 2'!$AV$6:$AV$13,0),MATCH(CUI_SCC_Chloride!$X13,'Tables - Part 2'!$AX$5:$BA$5,0)))/2)/2)+((INDEX('Tables - Part 2'!$AX$17:$BA$24,MATCH(CUI_SCC_Chloride!$AH13,'Tables - Part 2'!$AV$6:$AV$13,0),MATCH(CUI_SCC_Chloride!$X13,'Tables - Part 2'!$AX$5:$BA$5,0))+INDEX('Tables - Part 2'!$BB$17:$BE$24,MATCH(CUI_SCC_Chloride!$AH13,'Tables - Part 2'!$AV$6:$AV$13,0),MATCH(CUI_SCC_Chloride!$X13,'Tables - Part 2'!$AX$5:$BA$5,0)))/2))/2,0)</f>
        <v>0</v>
      </c>
      <c r="BU13" s="248">
        <f>IF($W13=$BU$3,(INDEX('Tables - Part 2'!$AX$17:$BA$24,MATCH(CUI_SCC_Chloride!$AH13,'Tables - Part 2'!$AV$6:$AV$13,0),MATCH(CUI_SCC_Chloride!$X13,'Tables - Part 2'!$AX$5:$BA$5,0))+INDEX('Tables - Part 2'!$BB$17:$BE$24,MATCH(CUI_SCC_Chloride!$AH13,'Tables - Part 2'!$AV$6:$AV$13,0),MATCH(CUI_SCC_Chloride!$X13,'Tables - Part 2'!$AX$5:$BA$5,0)))/2,0)</f>
        <v>0</v>
      </c>
      <c r="BV13" s="248">
        <f>IF($W13=$BV$3,(((INDEX('Tables - Part 2'!$AX$17:$BA$24,MATCH(CUI_SCC_Chloride!$AH13,'Tables - Part 2'!$AV$6:$AV$13,0),MATCH(CUI_SCC_Chloride!$X13,'Tables - Part 2'!$AX$5:$BA$5,0))+INDEX('Tables - Part 2'!$BB$17:$BE$24,MATCH(CUI_SCC_Chloride!$AH13,'Tables - Part 2'!$AV$6:$AV$13,0),MATCH(CUI_SCC_Chloride!$X13,'Tables - Part 2'!$AX$5:$BA$5,0)))/2)+((((INDEX('Tables - Part 2'!$AX$17:$BA$24,MATCH(CUI_SCC_Chloride!$AH13,'Tables - Part 2'!$AV$6:$AV$13,0),MATCH(CUI_SCC_Chloride!$X13,'Tables - Part 2'!$AX$5:$BA$5,0))+INDEX('Tables - Part 2'!$BB$17:$BE$24,MATCH(CUI_SCC_Chloride!$AH13,'Tables - Part 2'!$AV$6:$AV$13,0),MATCH(CUI_SCC_Chloride!$X13,'Tables - Part 2'!$AX$5:$BA$5,0)))/2)+INDEX('Tables - Part 2'!$BB$17:$BE$24,MATCH(CUI_SCC_Chloride!$AH13,'Tables - Part 2'!$AV$6:$AV$13,0),MATCH(CUI_SCC_Chloride!$X13,'Tables - Part 2'!$AX$5:$BA$5,0)))/2))/2,0)</f>
        <v>0</v>
      </c>
      <c r="BW13" s="248">
        <f>IF($W13=$BW$3,(((INDEX('Tables - Part 2'!$AX$17:$BA$24,MATCH(CUI_SCC_Chloride!$AH13,'Tables - Part 2'!$AV$6:$AV$13,0),MATCH(CUI_SCC_Chloride!$X13,'Tables - Part 2'!$AX$5:$BA$5,0))+INDEX('Tables - Part 2'!$BB$17:$BE$24,MATCH(CUI_SCC_Chloride!$AH13,'Tables - Part 2'!$AV$6:$AV$13,0),MATCH(CUI_SCC_Chloride!$X13,'Tables - Part 2'!$AX$5:$BA$5,0)))/2)+INDEX('Tables - Part 2'!$BB$17:$BE$24,MATCH(CUI_SCC_Chloride!$AH13,'Tables - Part 2'!$AV$6:$AV$13,0),MATCH(CUI_SCC_Chloride!$X13,'Tables - Part 2'!$AX$5:$BA$5,0)))/2,0)</f>
        <v>0</v>
      </c>
      <c r="BX13" s="248">
        <f>IF($W13=$BX$3,(((((INDEX('Tables - Part 2'!$AX$17:$BA$24,MATCH(CUI_SCC_Chloride!$AH13,'Tables - Part 2'!$AV$6:$AV$13,0),MATCH(CUI_SCC_Chloride!$X13,'Tables - Part 2'!$AX$5:$BA$5,0))+INDEX('Tables - Part 2'!$BB$17:$BE$24,MATCH(CUI_SCC_Chloride!$AH13,'Tables - Part 2'!$AV$6:$AV$13,0),MATCH(CUI_SCC_Chloride!$X13,'Tables - Part 2'!$AX$5:$BA$5,0)))/2)+INDEX('Tables - Part 2'!$BB$17:$BE$24,MATCH(CUI_SCC_Chloride!$AH13,'Tables - Part 2'!$AV$6:$AV$13,0),MATCH(CUI_SCC_Chloride!$X13,'Tables - Part 2'!$AX$5:$BA$5,0)))/2)+(INDEX('Tables - Part 2'!$BB$17:$BE$24,MATCH(CUI_SCC_Chloride!$AH13,'Tables - Part 2'!$AV$6:$AV$13,0),MATCH(CUI_SCC_Chloride!$X13,'Tables - Part 2'!$AX$5:$BA$5,0))))/2,0)</f>
        <v>0</v>
      </c>
      <c r="BY13" s="248">
        <f>IF($W13=$BY$3,INDEX('Tables - Part 2'!$BB$17:$BE$24,MATCH(CUI_SCC_Chloride!$AH13,'Tables - Part 2'!$AV$6:$AV$13,0),MATCH(CUI_SCC_Chloride!$X13,'Tables - Part 2'!$AX$5:$BA$5,0)),0)</f>
        <v>0</v>
      </c>
      <c r="BZ13" s="248">
        <f>IF($W13=$BZ$3,((INDEX('Tables - Part 2'!$BB$17:$BE$24,MATCH(CUI_SCC_Chloride!$AH13,'Tables - Part 2'!$AV$6:$AV$13,0),MATCH(CUI_SCC_Chloride!$X13,'Tables - Part 2'!$AX$5:$BA$5,0)))+(((INDEX('Tables - Part 2'!$BB$17:$BE$24,MATCH(CUI_SCC_Chloride!$AH13,'Tables - Part 2'!$AV$6:$AV$13,0),MATCH(CUI_SCC_Chloride!$X13,'Tables - Part 2'!$AX$5:$BA$5,0)))+(INDEX('Tables - Part 2'!$BB$17:$BE$24,MATCH(CUI_SCC_Chloride!$AH13,'Tables - Part 2'!$AV$6:$AV$13,0),MATCH(CUI_SCC_Chloride!$X13,'Tables - Part 2'!$AX$5:$BA$5,0))+INDEX('Tables - Part 2'!$BF$17:$BI$24,MATCH(CUI_SCC_Chloride!$AH13,'Tables - Part 2'!$AV$6:$AV$13,0),MATCH(CUI_SCC_Chloride!$X13,'Tables - Part 2'!$AX$5:$BA$5,0)))/2)/2))/2,0)</f>
        <v>0</v>
      </c>
      <c r="CA13" s="248">
        <f>IF($W13=$CA$3,((INDEX('Tables - Part 2'!$BB$17:$BE$24,MATCH(CUI_SCC_Chloride!$AH13,'Tables - Part 2'!$AV$6:$AV$13,0),MATCH(CUI_SCC_Chloride!$X13,'Tables - Part 2'!$AX$5:$BA$5,0)))+(INDEX('Tables - Part 2'!$BB$17:$BE$24,MATCH(CUI_SCC_Chloride!$AH13,'Tables - Part 2'!$AV$6:$AV$13,0),MATCH(CUI_SCC_Chloride!$X13,'Tables - Part 2'!$AX$5:$BA$5,0))+INDEX('Tables - Part 2'!$BF$17:$BI$24,MATCH(CUI_SCC_Chloride!$AH13,'Tables - Part 2'!$AV$6:$AV$13,0),MATCH(CUI_SCC_Chloride!$X13,'Tables - Part 2'!$AX$5:$BA$5,0)))/2)/2,0)</f>
        <v>0</v>
      </c>
      <c r="CB13" s="248">
        <f>IF($W13=$CB$3,((((INDEX('Tables - Part 2'!$BB$17:$BE$24,MATCH(CUI_SCC_Chloride!$AH13,'Tables - Part 2'!$AV$6:$AV$13,0),MATCH(CUI_SCC_Chloride!$X13,'Tables - Part 2'!$AX$5:$BA$5,0)))+(INDEX('Tables - Part 2'!$BB$17:$BE$24,MATCH(CUI_SCC_Chloride!$AH13,'Tables - Part 2'!$AV$6:$AV$13,0),MATCH(CUI_SCC_Chloride!$X13,'Tables - Part 2'!$AX$5:$BA$5,0))+INDEX('Tables - Part 2'!$BF$17:$BI$24,MATCH(CUI_SCC_Chloride!$AH13,'Tables - Part 2'!$AV$6:$AV$13,0),MATCH(CUI_SCC_Chloride!$X13,'Tables - Part 2'!$AX$5:$BA$5,0)))/2)/2)+((INDEX('Tables - Part 2'!$BB$17:$BE$24,MATCH(CUI_SCC_Chloride!$AH13,'Tables - Part 2'!$AV$6:$AV$13,0),MATCH(CUI_SCC_Chloride!$X13,'Tables - Part 2'!$AX$5:$BA$5,0))+INDEX('Tables - Part 2'!$BF$17:$BI$24,MATCH(CUI_SCC_Chloride!$AH13,'Tables - Part 2'!$AV$6:$AV$13,0),MATCH(CUI_SCC_Chloride!$X13,'Tables - Part 2'!$AX$5:$BA$5,0)))/2))/2,0)</f>
        <v>0</v>
      </c>
      <c r="CC13" s="248">
        <f>IF($W13=$CC$3,(INDEX('Tables - Part 2'!$BB$17:$BE$24,MATCH(CUI_SCC_Chloride!$AH13,'Tables - Part 2'!$AV$6:$AV$13,0),MATCH(CUI_SCC_Chloride!$X13,'Tables - Part 2'!$AX$5:$BA$5,0))+INDEX('Tables - Part 2'!$BF$17:$BI$24,MATCH(CUI_SCC_Chloride!$AH13,'Tables - Part 2'!$AV$6:$AV$13,0),MATCH(CUI_SCC_Chloride!$X13,'Tables - Part 2'!$AX$5:$BA$5,0)))/2,0)</f>
        <v>0</v>
      </c>
      <c r="CD13" s="248">
        <f>IF($W13=$CD$3,(((INDEX('Tables - Part 2'!$BB$17:$BE$24,MATCH(CUI_SCC_Chloride!$AH13,'Tables - Part 2'!$AV$6:$AV$13,0),MATCH(CUI_SCC_Chloride!$X13,'Tables - Part 2'!$AX$5:$BA$5,0))+INDEX('Tables - Part 2'!$BF$17:$BI$24,MATCH(CUI_SCC_Chloride!$AH13,'Tables - Part 2'!$AV$6:$AV$13,0),MATCH(CUI_SCC_Chloride!$X13,'Tables - Part 2'!$AX$5:$BA$5,0)))/2)+((((INDEX('Tables - Part 2'!$BB$17:$BE$24,MATCH(CUI_SCC_Chloride!$AH13,'Tables - Part 2'!$AV$6:$AV$13,0),MATCH(CUI_SCC_Chloride!$X13,'Tables - Part 2'!$AX$5:$BA$5,0))+INDEX('Tables - Part 2'!$BF$17:$BI$24,MATCH(CUI_SCC_Chloride!$AH13,'Tables - Part 2'!$AV$6:$AV$13,0),MATCH(CUI_SCC_Chloride!$X13,'Tables - Part 2'!$AX$5:$BA$5,0)))/2)+INDEX('Tables - Part 2'!$BF$17:$BI$24,MATCH(CUI_SCC_Chloride!$AH13,'Tables - Part 2'!$AV$6:$AV$13,0),MATCH(CUI_SCC_Chloride!$X13,'Tables - Part 2'!$AX$5:$BA$5,0)))/2))/2,0)</f>
        <v>0</v>
      </c>
      <c r="CE13" s="248">
        <f>IF($W13=$CE$3,(((INDEX('Tables - Part 2'!$BB$17:$BE$24,MATCH(CUI_SCC_Chloride!$AH13,'Tables - Part 2'!$AV$6:$AV$13,0),MATCH(CUI_SCC_Chloride!$X13,'Tables - Part 2'!$AX$5:$BA$5,0))+INDEX('Tables - Part 2'!$BF$17:$BI$24,MATCH(CUI_SCC_Chloride!$AH13,'Tables - Part 2'!$AV$6:$AV$13,0),MATCH(CUI_SCC_Chloride!$X13,'Tables - Part 2'!$AX$5:$BA$5,0)))/2)+INDEX('Tables - Part 2'!$BF$17:$BI$24,MATCH(CUI_SCC_Chloride!$AH13,'Tables - Part 2'!$AV$6:$AV$13,0),MATCH(CUI_SCC_Chloride!$X13,'Tables - Part 2'!$AX$5:$BA$5,0)))/2,0)</f>
        <v>0</v>
      </c>
      <c r="CF13" s="248">
        <f>IF($W13=$CF$3,(((((INDEX('Tables - Part 2'!$BB$17:$BE$24,MATCH(CUI_SCC_Chloride!$AH13,'Tables - Part 2'!$AV$6:$AV$13,0),MATCH(CUI_SCC_Chloride!$X13,'Tables - Part 2'!$AX$5:$BA$5,0))+INDEX('Tables - Part 2'!$BF$17:$BI$24,MATCH(CUI_SCC_Chloride!$AH13,'Tables - Part 2'!$AV$6:$AV$13,0),MATCH(CUI_SCC_Chloride!$X13,'Tables - Part 2'!$AX$5:$BA$5,0)))/2)+INDEX('Tables - Part 2'!$BF$17:$BI$24,MATCH(CUI_SCC_Chloride!$AH13,'Tables - Part 2'!$AV$6:$AV$13,0),MATCH(CUI_SCC_Chloride!$X13,'Tables - Part 2'!$AX$5:$BA$5,0)))/2)+(INDEX('Tables - Part 2'!$BF$17:$BI$24,MATCH(CUI_SCC_Chloride!$AH13,'Tables - Part 2'!$AV$6:$AV$13,0),MATCH(CUI_SCC_Chloride!$X13,'Tables - Part 2'!$AX$5:$BA$5,0))))/2,0)</f>
        <v>0</v>
      </c>
      <c r="CG13" s="248">
        <f>IF($W13=$CG$3,INDEX('Tables - Part 2'!$BF$17:$BI$24,MATCH(CUI_SCC_Chloride!$AH13,'Tables - Part 2'!$AV$6:$AV$13,0),MATCH(CUI_SCC_Chloride!$X13,'Tables - Part 2'!$AX$5:$BA$5,0)),0)</f>
        <v>0</v>
      </c>
      <c r="CH13" s="248">
        <f t="shared" si="5"/>
        <v>0</v>
      </c>
      <c r="CI13" s="238">
        <f t="shared" si="19"/>
        <v>0</v>
      </c>
      <c r="CJ13" s="238">
        <f t="shared" si="20"/>
        <v>0</v>
      </c>
    </row>
    <row r="14" spans="2:95" x14ac:dyDescent="0.35">
      <c r="B14" s="161" t="str">
        <f>'Tratamento de Dados'!B22</f>
        <v>V-50</v>
      </c>
      <c r="C14" s="161" t="str">
        <f>'Tratamento de Dados'!D22</f>
        <v>Casco</v>
      </c>
      <c r="D14" s="209" t="s">
        <v>245</v>
      </c>
      <c r="E14" s="209" t="s">
        <v>61</v>
      </c>
      <c r="F14" s="247">
        <f>'Tratamento de Dados'!S22</f>
        <v>2</v>
      </c>
      <c r="G14" s="209" t="s">
        <v>953</v>
      </c>
      <c r="H14" s="210">
        <v>35234</v>
      </c>
      <c r="I14" s="210">
        <v>43983</v>
      </c>
      <c r="J14" s="210">
        <v>39092</v>
      </c>
      <c r="K14" s="210">
        <f>'Tratamento de Dados'!CC22</f>
        <v>0</v>
      </c>
      <c r="L14" s="209">
        <f>'Tratamento de Dados'!CD22</f>
        <v>0</v>
      </c>
      <c r="M14" s="209" t="s">
        <v>905</v>
      </c>
      <c r="N14" s="209" t="s">
        <v>1081</v>
      </c>
      <c r="O14" s="209" t="s">
        <v>1081</v>
      </c>
      <c r="P14" s="209" t="s">
        <v>244</v>
      </c>
      <c r="Q14" s="209">
        <v>0</v>
      </c>
      <c r="R14" s="209">
        <v>1</v>
      </c>
      <c r="S14" s="209">
        <v>1</v>
      </c>
      <c r="T14" s="209">
        <v>4</v>
      </c>
      <c r="U14" s="253">
        <f>'Tratamento de Dados'!DA22</f>
        <v>0</v>
      </c>
      <c r="V14" s="253">
        <f>'Tratamento de Dados'!DB22</f>
        <v>0</v>
      </c>
      <c r="W14" s="256">
        <f t="shared" si="0"/>
        <v>2.5</v>
      </c>
      <c r="X14" s="246" t="str">
        <f t="shared" si="1"/>
        <v>B</v>
      </c>
      <c r="Y14" s="246" t="str">
        <f>IF(F14&lt;49,'Tables - Part 2'!$FH$5,IF(F14&lt;=93,'Tables - Part 2'!$FH$6,IF(F14&lt;=149,'Tables - Part 2'!$FH$7,'Tables - Part 2'!$FH$8)))</f>
        <v>&lt;49</v>
      </c>
      <c r="Z14" s="246" t="str">
        <f>IF(D14=$CO$2,$CM$5,INDEX('Tables - Part 2'!$FR$5:$FU$8,MATCH(CUI_SCC_Chloride!Y14,'Tables - Part 2'!$FQ$5:$FQ$8,0),MATCH(CUI_SCC_Chloride!M14,'Tables - Part 2'!$FR$4:$FU$4,0)))</f>
        <v>None</v>
      </c>
      <c r="AA14" s="246" t="str">
        <f t="shared" si="6"/>
        <v>None</v>
      </c>
      <c r="AB14" s="219">
        <f t="shared" si="7"/>
        <v>0</v>
      </c>
      <c r="AC14" s="246" t="str">
        <f t="shared" si="8"/>
        <v>None</v>
      </c>
      <c r="AD14" s="219">
        <f t="shared" si="9"/>
        <v>0</v>
      </c>
      <c r="AE14" s="246" t="str">
        <f t="shared" si="10"/>
        <v>None</v>
      </c>
      <c r="AF14" s="219">
        <f t="shared" si="11"/>
        <v>0</v>
      </c>
      <c r="AG14" s="467" t="str">
        <f t="shared" si="12"/>
        <v>None</v>
      </c>
      <c r="AH14" s="238">
        <f>IF(AND(D14=$CO$2,E14&lt;&gt;$CO$2),"Fitness-For-Service",INDEX('Tables - Part 2'!$FO$4:$FO$7,MATCH(CUI_SCC_Chloride!AG14,'Tables - Part 2'!$FN$4:$FN$7,0),))</f>
        <v>0</v>
      </c>
      <c r="AI14" s="238">
        <f>IF(J14=0,(Thinning!G15-Thinning!F15)/365.25,(Thinning!G15-J14)/365.25)</f>
        <v>12.980150581793293</v>
      </c>
      <c r="AJ14" s="248">
        <f t="shared" si="2"/>
        <v>0</v>
      </c>
      <c r="AK14" s="248">
        <f t="shared" si="3"/>
        <v>2.5</v>
      </c>
      <c r="AL14" s="247">
        <f t="shared" si="13"/>
        <v>3</v>
      </c>
      <c r="AM14" s="247">
        <f t="shared" si="4"/>
        <v>4</v>
      </c>
      <c r="AN14" s="247">
        <f t="shared" si="14"/>
        <v>120.41889117043121</v>
      </c>
      <c r="AO14" s="247">
        <f t="shared" si="15"/>
        <v>0</v>
      </c>
      <c r="AP14" s="247">
        <f t="shared" si="16"/>
        <v>0</v>
      </c>
      <c r="AQ14" s="247">
        <f t="shared" si="17"/>
        <v>0</v>
      </c>
      <c r="AR14" s="247">
        <f t="shared" si="18"/>
        <v>12.980150581793293</v>
      </c>
      <c r="AS14" s="248">
        <f>IF($W14=$AS$3,INDEX('Tables - Part 2'!$AX$6:$BA$13,MATCH(CUI_SCC_Chloride!AH14,'Tables - Part 2'!$AV$6:$AV$13,0),MATCH(CUI_SCC_Chloride!X14,'Tables - Part 2'!$AX$5:$BA$5,0)),0)</f>
        <v>0</v>
      </c>
      <c r="AT14" s="248">
        <f>IF($W14=$AT$3,(INDEX('Tables - Part 2'!$AX$6:$BA$13,MATCH(CUI_SCC_Chloride!AH14,'Tables - Part 2'!$AV$6:$AV$13,0),MATCH(CUI_SCC_Chloride!X14,'Tables - Part 2'!$AX$5:$BA$5,0))+(INDEX('Tables - Part 2'!$AX$6:$BA$13,MATCH(CUI_SCC_Chloride!AH14,'Tables - Part 2'!$AV$6:$AV$13,0),MATCH(CUI_SCC_Chloride!X14,'Tables - Part 2'!$AX$5:$BA$5,0))+((INDEX('Tables - Part 2'!$AX$6:$BA$13,MATCH(CUI_SCC_Chloride!AH14,'Tables - Part 2'!$AV$6:$AV$13,0),MATCH(CUI_SCC_Chloride!X14,'Tables - Part 2'!$AX$5:$BA$5,0))+INDEX('Tables - Part 2'!$BB$6:$BE$13,MATCH(CUI_SCC_Chloride!$AH14,'Tables - Part 2'!$AV$6:$AV$13,0),MATCH(CUI_SCC_Chloride!$X14,'Tables - Part 2'!$AX$5:$BA$5,0)))/2))/2)/2,0)</f>
        <v>0</v>
      </c>
      <c r="AU14" s="248">
        <f>IF($W14=$AU$3,(INDEX('Tables - Part 2'!$AX$6:$BA$13,MATCH(CUI_SCC_Chloride!AH14,'Tables - Part 2'!$AV$6:$AV$13,0),MATCH(CUI_SCC_Chloride!X14,'Tables - Part 2'!$AX$5:$BA$5,0))+((INDEX('Tables - Part 2'!$AX$6:$BA$13,MATCH(CUI_SCC_Chloride!AH14,'Tables - Part 2'!$AV$6:$AV$13,0),MATCH(CUI_SCC_Chloride!X14,'Tables - Part 2'!$AX$5:$BA$5,0))+INDEX('Tables - Part 2'!$BB$6:$BE$13,MATCH(CUI_SCC_Chloride!$AH14,'Tables - Part 2'!$AV$6:$AV$13,0),MATCH(CUI_SCC_Chloride!$X14,'Tables - Part 2'!$AX$5:$BA$5,0)))/2))/2,0)</f>
        <v>0</v>
      </c>
      <c r="AV14" s="248">
        <f>IF($W14=$AV$3,(((INDEX('Tables - Part 2'!$AX$6:$BA$13,MATCH(CUI_SCC_Chloride!AH14,'Tables - Part 2'!$AV$6:$AV$13,0),MATCH(CUI_SCC_Chloride!X14,'Tables - Part 2'!$AX$5:$BA$5,0))+((INDEX('Tables - Part 2'!$AX$6:$BA$13,MATCH(CUI_SCC_Chloride!AH14,'Tables - Part 2'!$AV$6:$AV$13,0),MATCH(CUI_SCC_Chloride!X14,'Tables - Part 2'!$AX$5:$BA$5,0))+INDEX('Tables - Part 2'!$BB$6:$BE$13,MATCH(CUI_SCC_Chloride!$AH14,'Tables - Part 2'!$AV$6:$AV$13,0),MATCH(CUI_SCC_Chloride!$X14,'Tables - Part 2'!$AX$5:$BA$5,0)))/2))/2)+(INDEX('Tables - Part 2'!$AX$6:$BA$13,MATCH(CUI_SCC_Chloride!AH14,'Tables - Part 2'!$AV$6:$AV$13,0),MATCH(CUI_SCC_Chloride!X14,'Tables - Part 2'!$AX$5:$BA$5,0))+INDEX('Tables - Part 2'!$BB$6:$BE$13,MATCH(CUI_SCC_Chloride!$AH14,'Tables - Part 2'!$AV$6:$AV$13,0),MATCH(CUI_SCC_Chloride!$X14,'Tables - Part 2'!$AX$5:$BA$5,0)))/2)/2,0)</f>
        <v>0</v>
      </c>
      <c r="AW14" s="248">
        <f>IF($W14=$AW$3,(INDEX('Tables - Part 2'!$AX$6:$BA$13,MATCH(CUI_SCC_Chloride!AH14,'Tables - Part 2'!$AV$6:$AV$13,0),MATCH(CUI_SCC_Chloride!X14,'Tables - Part 2'!$AX$5:$BA$5,0))+INDEX('Tables - Part 2'!$BB$6:$BE$13,MATCH(CUI_SCC_Chloride!$AH14,'Tables - Part 2'!$AV$6:$AV$13,0),MATCH(CUI_SCC_Chloride!$X14,'Tables - Part 2'!$AX$5:$BA$5,0)))/2,0)</f>
        <v>0</v>
      </c>
      <c r="AX14" s="248">
        <f>IF($W14=$AX$3,(((INDEX('Tables - Part 2'!$AX$6:$BA$13,MATCH(CUI_SCC_Chloride!AH14,'Tables - Part 2'!$AV$6:$AV$13,0),MATCH(CUI_SCC_Chloride!X14,'Tables - Part 2'!$AX$5:$BA$5,0))+INDEX('Tables - Part 2'!$BB$6:$BE$13,MATCH(CUI_SCC_Chloride!$AH14,'Tables - Part 2'!$AV$6:$AV$13,0),MATCH(CUI_SCC_Chloride!$X14,'Tables - Part 2'!$AX$5:$BA$5,0)))/2)+(((INDEX('Tables - Part 2'!$AX$6:$BA$13,MATCH(CUI_SCC_Chloride!AH14,'Tables - Part 2'!$AV$6:$AV$13,0),MATCH(CUI_SCC_Chloride!X14,'Tables - Part 2'!$AX$5:$BA$5,0))+INDEX('Tables - Part 2'!$BB$6:$BE$13,MATCH(CUI_SCC_Chloride!$AH14,'Tables - Part 2'!$AV$6:$AV$13,0),MATCH(CUI_SCC_Chloride!$X14,'Tables - Part 2'!$AX$5:$BA$5,0)))/2)+INDEX('Tables - Part 2'!$BB$6:$BE$13,MATCH(CUI_SCC_Chloride!$AH14,'Tables - Part 2'!$AV$6:$AV$13,0),MATCH(CUI_SCC_Chloride!$X14,'Tables - Part 2'!$AX$5:$BA$5,0)))/2)/2,0)</f>
        <v>0</v>
      </c>
      <c r="AY14" s="248">
        <f>IF($W14=$AY$3,(((INDEX('Tables - Part 2'!$AX$6:$BA$13,MATCH(CUI_SCC_Chloride!AH14,'Tables - Part 2'!$AV$6:$AV$13,0),MATCH(CUI_SCC_Chloride!X14,'Tables - Part 2'!$AX$5:$BA$5,0))+INDEX('Tables - Part 2'!$BB$6:$BE$13,MATCH(CUI_SCC_Chloride!$AH14,'Tables - Part 2'!$AV$6:$AV$13,0),MATCH(CUI_SCC_Chloride!$X14,'Tables - Part 2'!$AX$5:$BA$5,0)))/2)+INDEX('Tables - Part 2'!$BB$6:$BE$13,MATCH(CUI_SCC_Chloride!$AH14,'Tables - Part 2'!$AV$6:$AV$13,0),MATCH(CUI_SCC_Chloride!$X14,'Tables - Part 2'!$AX$5:$BA$5,0)))/2,0)</f>
        <v>0</v>
      </c>
      <c r="AZ14" s="248">
        <f>IF($W14=$AZ$3,(((((INDEX('Tables - Part 2'!$AX$6:$BA$13,MATCH(CUI_SCC_Chloride!AH14,'Tables - Part 2'!$AV$6:$AV$13,0),MATCH(CUI_SCC_Chloride!X14,'Tables - Part 2'!$AX$5:$BA$5,0))+INDEX('Tables - Part 2'!$BB$6:$BE$13,MATCH(CUI_SCC_Chloride!$AH14,'Tables - Part 2'!$AV$6:$AV$13,0),MATCH(CUI_SCC_Chloride!$X14,'Tables - Part 2'!$AX$5:$BA$5,0)))/2)+INDEX('Tables - Part 2'!$BB$6:$BE$13,MATCH(CUI_SCC_Chloride!$AH14,'Tables - Part 2'!$AV$6:$AV$13,0),MATCH(CUI_SCC_Chloride!$X14,'Tables - Part 2'!$AX$5:$BA$5,0)))/2)+INDEX('Tables - Part 2'!$BB$6:$BE$13,MATCH(CUI_SCC_Chloride!$AH14,'Tables - Part 2'!$AV$6:$AV$13,0),MATCH(CUI_SCC_Chloride!$X14,'Tables - Part 2'!$AX$5:$BA$5,0)))/2,0)</f>
        <v>0</v>
      </c>
      <c r="BA14" s="248">
        <f>IF($W14=$BA$3,INDEX('Tables - Part 2'!$BB$6:$BE$13,MATCH(CUI_SCC_Chloride!$AH14,'Tables - Part 2'!$AV$6:$AV$13,0),MATCH(CUI_SCC_Chloride!$X14,'Tables - Part 2'!$AX$5:$BA$5,0)),0)</f>
        <v>0</v>
      </c>
      <c r="BB14" s="248">
        <f>IF($W14=$BB$3,((INDEX('Tables - Part 2'!$BB$6:$BE$13,MATCH(CUI_SCC_Chloride!$AH14,'Tables - Part 2'!$AV$6:$AV$13,0),MATCH(CUI_SCC_Chloride!$X14,'Tables - Part 2'!$AX$5:$BA$5,0)))+(INDEX('Tables - Part 2'!$BB$6:$BE$13,MATCH(CUI_SCC_Chloride!$AH14,'Tables - Part 2'!$AV$6:$AV$13,0),MATCH(CUI_SCC_Chloride!$X14,'Tables - Part 2'!$AX$5:$BA$5,0))+(INDEX('Tables - Part 2'!$BB$6:$BE$13,MATCH(CUI_SCC_Chloride!$AH14,'Tables - Part 2'!$AV$6:$AV$13,0),MATCH(CUI_SCC_Chloride!$X14,'Tables - Part 2'!$AX$5:$BA$5,0))+INDEX('Tables - Part 2'!$BF$6:$BI$13,MATCH(CUI_SCC_Chloride!$AH14,'Tables - Part 2'!$AV$6:$AV$13,0),MATCH(CUI_SCC_Chloride!$X14,'Tables - Part 2'!$AX$5:$BA$5,0)))/2)/2)/2,0)</f>
        <v>0</v>
      </c>
      <c r="BC14" s="248">
        <f>IF($W14=$BC$3,(INDEX('Tables - Part 2'!$BB$6:$BE$13,MATCH(CUI_SCC_Chloride!$AH14,'Tables - Part 2'!$AV$6:$AV$13,0),MATCH(CUI_SCC_Chloride!$X14,'Tables - Part 2'!$AX$5:$BA$5,0))+(INDEX('Tables - Part 2'!$BB$6:$BE$13,MATCH(CUI_SCC_Chloride!$AH14,'Tables - Part 2'!$AV$6:$AV$13,0),MATCH(CUI_SCC_Chloride!$X14,'Tables - Part 2'!$AX$5:$BA$5,0))+INDEX('Tables - Part 2'!$BF$6:$BI$13,MATCH(CUI_SCC_Chloride!$AH14,'Tables - Part 2'!$AV$6:$AV$13,0),MATCH(CUI_SCC_Chloride!$X14,'Tables - Part 2'!$AX$5:$BA$5,0)))/2)/2,0)</f>
        <v>0</v>
      </c>
      <c r="BD14" s="248">
        <f>IF($W14=$BD$3,(((INDEX('Tables - Part 2'!$BB$6:$BE$13,MATCH(CUI_SCC_Chloride!$AH14,'Tables - Part 2'!$AV$6:$AV$13,0),MATCH(CUI_SCC_Chloride!$X14,'Tables - Part 2'!$AX$5:$BA$5,0))+(INDEX('Tables - Part 2'!$BB$6:$BE$13,MATCH(CUI_SCC_Chloride!$AH14,'Tables - Part 2'!$AV$6:$AV$13,0),MATCH(CUI_SCC_Chloride!$X14,'Tables - Part 2'!$AX$5:$BA$5,0))+INDEX('Tables - Part 2'!$BF$6:$BI$13,MATCH(CUI_SCC_Chloride!$AH14,'Tables - Part 2'!$AV$6:$AV$13,0),MATCH(CUI_SCC_Chloride!$X14,'Tables - Part 2'!$AX$5:$BA$5,0)))/2)/2)+((INDEX('Tables - Part 2'!$BB$6:$BE$13,MATCH(CUI_SCC_Chloride!$AH14,'Tables - Part 2'!$AV$6:$AV$13,0),MATCH(CUI_SCC_Chloride!$X14,'Tables - Part 2'!$AX$5:$BA$5,0))+INDEX('Tables - Part 2'!$BF$6:$BI$13,MATCH(CUI_SCC_Chloride!$AH14,'Tables - Part 2'!$AV$6:$AV$13,0),MATCH(CUI_SCC_Chloride!$X14,'Tables - Part 2'!$AX$5:$BA$5,0)))/2))/2,0)</f>
        <v>0</v>
      </c>
      <c r="BE14" s="248">
        <f>IF($W14=$BE$3,(INDEX('Tables - Part 2'!$BB$6:$BE$13,MATCH(CUI_SCC_Chloride!$AH14,'Tables - Part 2'!$AV$6:$AV$13,0),MATCH(CUI_SCC_Chloride!$X14,'Tables - Part 2'!$AX$5:$BA$5,0))+INDEX('Tables - Part 2'!$BF$6:$BI$13,MATCH(CUI_SCC_Chloride!$AH14,'Tables - Part 2'!$AV$6:$AV$13,0),MATCH(CUI_SCC_Chloride!$X14,'Tables - Part 2'!$AX$5:$BA$5,0)))/2,0)</f>
        <v>0</v>
      </c>
      <c r="BF14" s="248">
        <f>IF($W14=$BF$3,(((INDEX('Tables - Part 2'!$BB$6:$BE$13,MATCH(CUI_SCC_Chloride!$AH14,'Tables - Part 2'!$AV$6:$AV$13,0),MATCH(CUI_SCC_Chloride!$X14,'Tables - Part 2'!$AX$5:$BA$5,0))+INDEX('Tables - Part 2'!$BF$6:$BI$13,MATCH(CUI_SCC_Chloride!$AH14,'Tables - Part 2'!$AV$6:$AV$13,0),MATCH(CUI_SCC_Chloride!$X14,'Tables - Part 2'!$AX$5:$BA$5,0)))/2)+((((INDEX('Tables - Part 2'!$BB$6:$BE$13,MATCH(CUI_SCC_Chloride!$AH14,'Tables - Part 2'!$AV$6:$AV$13,0),MATCH(CUI_SCC_Chloride!$X14,'Tables - Part 2'!$AX$5:$BA$5,0))+INDEX('Tables - Part 2'!$BF$6:$BI$13,MATCH(CUI_SCC_Chloride!$AH14,'Tables - Part 2'!$AV$6:$AV$13,0),MATCH(CUI_SCC_Chloride!$X14,'Tables - Part 2'!$AX$5:$BA$5,0)))/2)+INDEX('Tables - Part 2'!$BF$6:$BI$13,MATCH(CUI_SCC_Chloride!$AH14,'Tables - Part 2'!$AV$6:$AV$13,0),MATCH(CUI_SCC_Chloride!$X14,'Tables - Part 2'!$AX$5:$BA$5,0)))/2))/2,0)</f>
        <v>0</v>
      </c>
      <c r="BG14" s="248">
        <f>IF($W14=$BG$3,(((INDEX('Tables - Part 2'!$BB$6:$BE$13,MATCH(CUI_SCC_Chloride!$AH14,'Tables - Part 2'!$AV$6:$AV$13,0),MATCH(CUI_SCC_Chloride!$X14,'Tables - Part 2'!$AX$5:$BA$5,0))+INDEX('Tables - Part 2'!$BF$6:$BI$13,MATCH(CUI_SCC_Chloride!$AH14,'Tables - Part 2'!$AV$6:$AV$13,0),MATCH(CUI_SCC_Chloride!$X14,'Tables - Part 2'!$AX$5:$BA$5,0)))/2)+INDEX('Tables - Part 2'!$BF$6:$BI$13,MATCH(CUI_SCC_Chloride!$AH14,'Tables - Part 2'!$AV$6:$AV$13,0),MATCH(CUI_SCC_Chloride!$X14,'Tables - Part 2'!$AX$5:$BA$5,0)))/2,0)</f>
        <v>0</v>
      </c>
      <c r="BH14" s="248">
        <f>IF($W14=$BH$3,(((((INDEX('Tables - Part 2'!$BB$6:$BE$13,MATCH(CUI_SCC_Chloride!$AH14,'Tables - Part 2'!$AV$6:$AV$13,0),MATCH(CUI_SCC_Chloride!$X14,'Tables - Part 2'!$AX$5:$BA$5,0))+INDEX('Tables - Part 2'!$BF$6:$BI$13,MATCH(CUI_SCC_Chloride!$AH14,'Tables - Part 2'!$AV$6:$AV$13,0),MATCH(CUI_SCC_Chloride!$X14,'Tables - Part 2'!$AX$5:$BA$5,0)))/2)+INDEX('Tables - Part 2'!$BF$6:$BI$13,MATCH(CUI_SCC_Chloride!$AH14,'Tables - Part 2'!$AV$6:$AV$13,0),MATCH(CUI_SCC_Chloride!$X14,'Tables - Part 2'!$AX$5:$BA$5,0)))/2)+INDEX('Tables - Part 2'!$BF$6:$BI$13,MATCH(CUI_SCC_Chloride!$AH14,'Tables - Part 2'!$AV$6:$AV$13,0),MATCH(CUI_SCC_Chloride!$X14,'Tables - Part 2'!$AX$5:$BA$5,0)))/2,0)</f>
        <v>0</v>
      </c>
      <c r="BI14" s="248">
        <f>IF($W14=$BI$3,INDEX('Tables - Part 2'!$BF$6:$BI$13,MATCH(CUI_SCC_Chloride!$AH14,'Tables - Part 2'!$AV$6:$AV$13,0),MATCH(CUI_SCC_Chloride!$X14,'Tables - Part 2'!$AX$5:$BA$5,0)),0)</f>
        <v>0</v>
      </c>
      <c r="BJ14" s="248">
        <f>IF($W14=$BJ$3,(INDEX('Tables - Part 2'!$BF$6:$BI$13,MATCH(CUI_SCC_Chloride!$AH14,'Tables - Part 2'!$AV$6:$AV$13,0),MATCH(CUI_SCC_Chloride!$X14,'Tables - Part 2'!$AX$5:$BA$5,0))+((INDEX('Tables - Part 2'!$BF$6:$BI$13,MATCH(CUI_SCC_Chloride!$AH14,'Tables - Part 2'!$AV$6:$AV$13,0),MATCH(CUI_SCC_Chloride!$X14,'Tables - Part 2'!$AX$5:$BA$5,0))+(INDEX('Tables - Part 2'!$BF$6:$BI$13,MATCH(CUI_SCC_Chloride!$AH14,'Tables - Part 2'!$AV$6:$AV$13,0),MATCH(CUI_SCC_Chloride!$X14,'Tables - Part 2'!$AX$5:$BA$5,0))+INDEX('Tables - Part 2'!$AX$17:$BA$24,MATCH(CUI_SCC_Chloride!$AH14,'Tables - Part 2'!$AV$6:$AV$13,0),MATCH(CUI_SCC_Chloride!$X14,'Tables - Part 2'!$AX$5:$BA$5,0)))/2)/2))/2,0)</f>
        <v>0</v>
      </c>
      <c r="BK14" s="248">
        <f>IF($W14=$BK$3,(INDEX('Tables - Part 2'!$BF$6:$BI$13,MATCH(CUI_SCC_Chloride!$AH14,'Tables - Part 2'!$AV$6:$AV$13,0),MATCH(CUI_SCC_Chloride!$X14,'Tables - Part 2'!$AX$5:$BA$5,0))+(INDEX('Tables - Part 2'!$BF$6:$BI$13,MATCH(CUI_SCC_Chloride!$AH14,'Tables - Part 2'!$AV$6:$AV$13,0),MATCH(CUI_SCC_Chloride!$X14,'Tables - Part 2'!$AX$5:$BA$5,0))+INDEX('Tables - Part 2'!$AX$17:$BA$24,MATCH(CUI_SCC_Chloride!$AH14,'Tables - Part 2'!$AV$6:$AV$13,0),MATCH(CUI_SCC_Chloride!$X14,'Tables - Part 2'!$AX$5:$BA$5,0)))/2)/2,0)</f>
        <v>0</v>
      </c>
      <c r="BL14" s="248">
        <f>IF($W14=$BL$3,(((INDEX('Tables - Part 2'!$BF$6:$BI$13,MATCH(CUI_SCC_Chloride!$AH14,'Tables - Part 2'!$AV$6:$AV$13,0),MATCH(CUI_SCC_Chloride!$X14,'Tables - Part 2'!$AX$5:$BA$5,0))+(INDEX('Tables - Part 2'!$BF$6:$BI$13,MATCH(CUI_SCC_Chloride!$AH14,'Tables - Part 2'!$AV$6:$AV$13,0),MATCH(CUI_SCC_Chloride!$X14,'Tables - Part 2'!$AX$5:$BA$5,0))+INDEX('Tables - Part 2'!$AX$17:$BA$24,MATCH(CUI_SCC_Chloride!$AH14,'Tables - Part 2'!$AV$6:$AV$13,0),MATCH(CUI_SCC_Chloride!$X14,'Tables - Part 2'!$AX$5:$BA$5,0)))/2)/2)+((INDEX('Tables - Part 2'!$BF$6:$BI$13,MATCH(CUI_SCC_Chloride!$AH14,'Tables - Part 2'!$AV$6:$AV$13,0),MATCH(CUI_SCC_Chloride!$X14,'Tables - Part 2'!$AX$5:$BA$5,0))+INDEX('Tables - Part 2'!$AX$17:$BA$24,MATCH(CUI_SCC_Chloride!$AH14,'Tables - Part 2'!$AV$6:$AV$13,0),MATCH(CUI_SCC_Chloride!$X14,'Tables - Part 2'!$AX$5:$BA$5,0)))/2))/2,0)</f>
        <v>0</v>
      </c>
      <c r="BM14" s="248">
        <f>IF($W14=$BM$3,(INDEX('Tables - Part 2'!$BF$6:$BI$13,MATCH(CUI_SCC_Chloride!$AH14,'Tables - Part 2'!$AV$6:$AV$13,0),MATCH(CUI_SCC_Chloride!$X14,'Tables - Part 2'!$AX$5:$BA$5,0))+INDEX('Tables - Part 2'!$AX$17:$BA$24,MATCH(CUI_SCC_Chloride!$AH14,'Tables - Part 2'!$AV$6:$AV$13,0),MATCH(CUI_SCC_Chloride!$X14,'Tables - Part 2'!$AX$5:$BA$5,0)))/2,0)</f>
        <v>0</v>
      </c>
      <c r="BN14" s="248">
        <f>IF($W14=$BN$3,(((INDEX('Tables - Part 2'!$BF$6:$BI$13,MATCH(CUI_SCC_Chloride!$AH14,'Tables - Part 2'!$AV$6:$AV$13,0),MATCH(CUI_SCC_Chloride!$X14,'Tables - Part 2'!$AX$5:$BA$5,0))+INDEX('Tables - Part 2'!$AX$17:$BA$24,MATCH(CUI_SCC_Chloride!$AH14,'Tables - Part 2'!$AV$6:$AV$13,0),MATCH(CUI_SCC_Chloride!$X14,'Tables - Part 2'!$AX$5:$BA$5,0)))/2)+((((INDEX('Tables - Part 2'!$BF$6:$BI$13,MATCH(CUI_SCC_Chloride!$AH14,'Tables - Part 2'!$AV$6:$AV$13,0),MATCH(CUI_SCC_Chloride!$X14,'Tables - Part 2'!$AX$5:$BA$5,0))+INDEX('Tables - Part 2'!$AX$17:$BA$24,MATCH(CUI_SCC_Chloride!$AH14,'Tables - Part 2'!$AV$6:$AV$13,0),MATCH(CUI_SCC_Chloride!$X14,'Tables - Part 2'!$AX$5:$BA$5,0)))/2)+INDEX('Tables - Part 2'!$AX$17:$BA$24,MATCH(CUI_SCC_Chloride!$AH14,'Tables - Part 2'!$AV$6:$AV$13,0),MATCH(CUI_SCC_Chloride!$X14,'Tables - Part 2'!$AX$5:$BA$5,0)))/2))/2,0)</f>
        <v>0</v>
      </c>
      <c r="BO14" s="248">
        <f>IF($W14=$BO$3,(((INDEX('Tables - Part 2'!$BF$6:$BI$13,MATCH(CUI_SCC_Chloride!$AH14,'Tables - Part 2'!$AV$6:$AV$13,0),MATCH(CUI_SCC_Chloride!$X14,'Tables - Part 2'!$AX$5:$BA$5,0))+INDEX('Tables - Part 2'!$AX$17:$BA$24,MATCH(CUI_SCC_Chloride!$AH14,'Tables - Part 2'!$AV$6:$AV$13,0),MATCH(CUI_SCC_Chloride!$X14,'Tables - Part 2'!$AX$5:$BA$5,0)))/2)+INDEX('Tables - Part 2'!$AX$17:$BA$24,MATCH(CUI_SCC_Chloride!$AH14,'Tables - Part 2'!$AV$6:$AV$13,0),MATCH(CUI_SCC_Chloride!$X14,'Tables - Part 2'!$AX$5:$BA$5,0)))/2,0)</f>
        <v>0</v>
      </c>
      <c r="BP14" s="248">
        <f>IF($W14=$BP$3,(((((INDEX('Tables - Part 2'!$BF$6:$BI$13,MATCH(CUI_SCC_Chloride!$AH14,'Tables - Part 2'!$AV$6:$AV$13,0),MATCH(CUI_SCC_Chloride!$X14,'Tables - Part 2'!$AX$5:$BA$5,0))+INDEX('Tables - Part 2'!$AX$17:$BA$24,MATCH(CUI_SCC_Chloride!$AH14,'Tables - Part 2'!$AV$6:$AV$13,0),MATCH(CUI_SCC_Chloride!$X14,'Tables - Part 2'!$AX$5:$BA$5,0)))/2)+INDEX('Tables - Part 2'!$AX$17:$BA$24,MATCH(CUI_SCC_Chloride!$AH14,'Tables - Part 2'!$AV$6:$AV$13,0),MATCH(CUI_SCC_Chloride!$X14,'Tables - Part 2'!$AX$5:$BA$5,0)))/2)+(INDEX('Tables - Part 2'!$AX$17:$BA$24,MATCH(CUI_SCC_Chloride!$AH14,'Tables - Part 2'!$AV$6:$AV$13,0),MATCH(CUI_SCC_Chloride!$X14,'Tables - Part 2'!$AX$5:$BA$5,0))))/2,0)</f>
        <v>0</v>
      </c>
      <c r="BQ14" s="248">
        <f>IF($W14=$BQ$3,INDEX('Tables - Part 2'!$AX$17:$BA$24,MATCH(CUI_SCC_Chloride!$AH14,'Tables - Part 2'!$AV$6:$AV$13,0),MATCH(CUI_SCC_Chloride!$X14,'Tables - Part 2'!$AX$5:$BA$5,0)),0)</f>
        <v>0</v>
      </c>
      <c r="BR14" s="248">
        <f>IF($W14=$BR$3,((INDEX('Tables - Part 2'!$AX$17:$BA$24,MATCH(CUI_SCC_Chloride!$AH14,'Tables - Part 2'!$AV$6:$AV$13,0),MATCH(CUI_SCC_Chloride!$X14,'Tables - Part 2'!$AX$5:$BA$5,0)))+(((INDEX('Tables - Part 2'!$AX$17:$BA$24,MATCH(CUI_SCC_Chloride!$AH14,'Tables - Part 2'!$AV$6:$AV$13,0),MATCH(CUI_SCC_Chloride!$X14,'Tables - Part 2'!$AX$5:$BA$5,0)))+(INDEX('Tables - Part 2'!$AX$17:$BA$24,MATCH(CUI_SCC_Chloride!$AH14,'Tables - Part 2'!$AV$6:$AV$13,0),MATCH(CUI_SCC_Chloride!$X14,'Tables - Part 2'!$AX$5:$BA$5,0))+INDEX('Tables - Part 2'!$BB$17:$BE$24,MATCH(CUI_SCC_Chloride!$AH14,'Tables - Part 2'!$AV$6:$AV$13,0),MATCH(CUI_SCC_Chloride!$X14,'Tables - Part 2'!$AX$5:$BA$5,0)))/2)/2))/2,0)</f>
        <v>0</v>
      </c>
      <c r="BS14" s="248">
        <f>IF($W14=$BS$3,((INDEX('Tables - Part 2'!$AX$17:$BA$24,MATCH(CUI_SCC_Chloride!$AH14,'Tables - Part 2'!$AV$6:$AV$13,0),MATCH(CUI_SCC_Chloride!$X14,'Tables - Part 2'!$AX$5:$BA$5,0)))+(INDEX('Tables - Part 2'!$AX$17:$BA$24,MATCH(CUI_SCC_Chloride!$AH14,'Tables - Part 2'!$AV$6:$AV$13,0),MATCH(CUI_SCC_Chloride!$X14,'Tables - Part 2'!$AX$5:$BA$5,0))+INDEX('Tables - Part 2'!$BB$17:$BE$24,MATCH(CUI_SCC_Chloride!$AH14,'Tables - Part 2'!$AV$6:$AV$13,0),MATCH(CUI_SCC_Chloride!$X14,'Tables - Part 2'!$AX$5:$BA$5,0)))/2)/2,0)</f>
        <v>0</v>
      </c>
      <c r="BT14" s="248">
        <f>IF($W14=$BT$3,((((INDEX('Tables - Part 2'!$AX$17:$BA$24,MATCH(CUI_SCC_Chloride!$AH14,'Tables - Part 2'!$AV$6:$AV$13,0),MATCH(CUI_SCC_Chloride!$X14,'Tables - Part 2'!$AX$5:$BA$5,0)))+(INDEX('Tables - Part 2'!$AX$17:$BA$24,MATCH(CUI_SCC_Chloride!$AH14,'Tables - Part 2'!$AV$6:$AV$13,0),MATCH(CUI_SCC_Chloride!$X14,'Tables - Part 2'!$AX$5:$BA$5,0))+INDEX('Tables - Part 2'!$BB$17:$BE$24,MATCH(CUI_SCC_Chloride!$AH14,'Tables - Part 2'!$AV$6:$AV$13,0),MATCH(CUI_SCC_Chloride!$X14,'Tables - Part 2'!$AX$5:$BA$5,0)))/2)/2)+((INDEX('Tables - Part 2'!$AX$17:$BA$24,MATCH(CUI_SCC_Chloride!$AH14,'Tables - Part 2'!$AV$6:$AV$13,0),MATCH(CUI_SCC_Chloride!$X14,'Tables - Part 2'!$AX$5:$BA$5,0))+INDEX('Tables - Part 2'!$BB$17:$BE$24,MATCH(CUI_SCC_Chloride!$AH14,'Tables - Part 2'!$AV$6:$AV$13,0),MATCH(CUI_SCC_Chloride!$X14,'Tables - Part 2'!$AX$5:$BA$5,0)))/2))/2,0)</f>
        <v>0</v>
      </c>
      <c r="BU14" s="248">
        <f>IF($W14=$BU$3,(INDEX('Tables - Part 2'!$AX$17:$BA$24,MATCH(CUI_SCC_Chloride!$AH14,'Tables - Part 2'!$AV$6:$AV$13,0),MATCH(CUI_SCC_Chloride!$X14,'Tables - Part 2'!$AX$5:$BA$5,0))+INDEX('Tables - Part 2'!$BB$17:$BE$24,MATCH(CUI_SCC_Chloride!$AH14,'Tables - Part 2'!$AV$6:$AV$13,0),MATCH(CUI_SCC_Chloride!$X14,'Tables - Part 2'!$AX$5:$BA$5,0)))/2,0)</f>
        <v>0</v>
      </c>
      <c r="BV14" s="248">
        <f>IF($W14=$BV$3,(((INDEX('Tables - Part 2'!$AX$17:$BA$24,MATCH(CUI_SCC_Chloride!$AH14,'Tables - Part 2'!$AV$6:$AV$13,0),MATCH(CUI_SCC_Chloride!$X14,'Tables - Part 2'!$AX$5:$BA$5,0))+INDEX('Tables - Part 2'!$BB$17:$BE$24,MATCH(CUI_SCC_Chloride!$AH14,'Tables - Part 2'!$AV$6:$AV$13,0),MATCH(CUI_SCC_Chloride!$X14,'Tables - Part 2'!$AX$5:$BA$5,0)))/2)+((((INDEX('Tables - Part 2'!$AX$17:$BA$24,MATCH(CUI_SCC_Chloride!$AH14,'Tables - Part 2'!$AV$6:$AV$13,0),MATCH(CUI_SCC_Chloride!$X14,'Tables - Part 2'!$AX$5:$BA$5,0))+INDEX('Tables - Part 2'!$BB$17:$BE$24,MATCH(CUI_SCC_Chloride!$AH14,'Tables - Part 2'!$AV$6:$AV$13,0),MATCH(CUI_SCC_Chloride!$X14,'Tables - Part 2'!$AX$5:$BA$5,0)))/2)+INDEX('Tables - Part 2'!$BB$17:$BE$24,MATCH(CUI_SCC_Chloride!$AH14,'Tables - Part 2'!$AV$6:$AV$13,0),MATCH(CUI_SCC_Chloride!$X14,'Tables - Part 2'!$AX$5:$BA$5,0)))/2))/2,0)</f>
        <v>0</v>
      </c>
      <c r="BW14" s="248">
        <f>IF($W14=$BW$3,(((INDEX('Tables - Part 2'!$AX$17:$BA$24,MATCH(CUI_SCC_Chloride!$AH14,'Tables - Part 2'!$AV$6:$AV$13,0),MATCH(CUI_SCC_Chloride!$X14,'Tables - Part 2'!$AX$5:$BA$5,0))+INDEX('Tables - Part 2'!$BB$17:$BE$24,MATCH(CUI_SCC_Chloride!$AH14,'Tables - Part 2'!$AV$6:$AV$13,0),MATCH(CUI_SCC_Chloride!$X14,'Tables - Part 2'!$AX$5:$BA$5,0)))/2)+INDEX('Tables - Part 2'!$BB$17:$BE$24,MATCH(CUI_SCC_Chloride!$AH14,'Tables - Part 2'!$AV$6:$AV$13,0),MATCH(CUI_SCC_Chloride!$X14,'Tables - Part 2'!$AX$5:$BA$5,0)))/2,0)</f>
        <v>0</v>
      </c>
      <c r="BX14" s="248">
        <f>IF($W14=$BX$3,(((((INDEX('Tables - Part 2'!$AX$17:$BA$24,MATCH(CUI_SCC_Chloride!$AH14,'Tables - Part 2'!$AV$6:$AV$13,0),MATCH(CUI_SCC_Chloride!$X14,'Tables - Part 2'!$AX$5:$BA$5,0))+INDEX('Tables - Part 2'!$BB$17:$BE$24,MATCH(CUI_SCC_Chloride!$AH14,'Tables - Part 2'!$AV$6:$AV$13,0),MATCH(CUI_SCC_Chloride!$X14,'Tables - Part 2'!$AX$5:$BA$5,0)))/2)+INDEX('Tables - Part 2'!$BB$17:$BE$24,MATCH(CUI_SCC_Chloride!$AH14,'Tables - Part 2'!$AV$6:$AV$13,0),MATCH(CUI_SCC_Chloride!$X14,'Tables - Part 2'!$AX$5:$BA$5,0)))/2)+(INDEX('Tables - Part 2'!$BB$17:$BE$24,MATCH(CUI_SCC_Chloride!$AH14,'Tables - Part 2'!$AV$6:$AV$13,0),MATCH(CUI_SCC_Chloride!$X14,'Tables - Part 2'!$AX$5:$BA$5,0))))/2,0)</f>
        <v>0</v>
      </c>
      <c r="BY14" s="248">
        <f>IF($W14=$BY$3,INDEX('Tables - Part 2'!$BB$17:$BE$24,MATCH(CUI_SCC_Chloride!$AH14,'Tables - Part 2'!$AV$6:$AV$13,0),MATCH(CUI_SCC_Chloride!$X14,'Tables - Part 2'!$AX$5:$BA$5,0)),0)</f>
        <v>0</v>
      </c>
      <c r="BZ14" s="248">
        <f>IF($W14=$BZ$3,((INDEX('Tables - Part 2'!$BB$17:$BE$24,MATCH(CUI_SCC_Chloride!$AH14,'Tables - Part 2'!$AV$6:$AV$13,0),MATCH(CUI_SCC_Chloride!$X14,'Tables - Part 2'!$AX$5:$BA$5,0)))+(((INDEX('Tables - Part 2'!$BB$17:$BE$24,MATCH(CUI_SCC_Chloride!$AH14,'Tables - Part 2'!$AV$6:$AV$13,0),MATCH(CUI_SCC_Chloride!$X14,'Tables - Part 2'!$AX$5:$BA$5,0)))+(INDEX('Tables - Part 2'!$BB$17:$BE$24,MATCH(CUI_SCC_Chloride!$AH14,'Tables - Part 2'!$AV$6:$AV$13,0),MATCH(CUI_SCC_Chloride!$X14,'Tables - Part 2'!$AX$5:$BA$5,0))+INDEX('Tables - Part 2'!$BF$17:$BI$24,MATCH(CUI_SCC_Chloride!$AH14,'Tables - Part 2'!$AV$6:$AV$13,0),MATCH(CUI_SCC_Chloride!$X14,'Tables - Part 2'!$AX$5:$BA$5,0)))/2)/2))/2,0)</f>
        <v>0</v>
      </c>
      <c r="CA14" s="248">
        <f>IF($W14=$CA$3,((INDEX('Tables - Part 2'!$BB$17:$BE$24,MATCH(CUI_SCC_Chloride!$AH14,'Tables - Part 2'!$AV$6:$AV$13,0),MATCH(CUI_SCC_Chloride!$X14,'Tables - Part 2'!$AX$5:$BA$5,0)))+(INDEX('Tables - Part 2'!$BB$17:$BE$24,MATCH(CUI_SCC_Chloride!$AH14,'Tables - Part 2'!$AV$6:$AV$13,0),MATCH(CUI_SCC_Chloride!$X14,'Tables - Part 2'!$AX$5:$BA$5,0))+INDEX('Tables - Part 2'!$BF$17:$BI$24,MATCH(CUI_SCC_Chloride!$AH14,'Tables - Part 2'!$AV$6:$AV$13,0),MATCH(CUI_SCC_Chloride!$X14,'Tables - Part 2'!$AX$5:$BA$5,0)))/2)/2,0)</f>
        <v>0</v>
      </c>
      <c r="CB14" s="248">
        <f>IF($W14=$CB$3,((((INDEX('Tables - Part 2'!$BB$17:$BE$24,MATCH(CUI_SCC_Chloride!$AH14,'Tables - Part 2'!$AV$6:$AV$13,0),MATCH(CUI_SCC_Chloride!$X14,'Tables - Part 2'!$AX$5:$BA$5,0)))+(INDEX('Tables - Part 2'!$BB$17:$BE$24,MATCH(CUI_SCC_Chloride!$AH14,'Tables - Part 2'!$AV$6:$AV$13,0),MATCH(CUI_SCC_Chloride!$X14,'Tables - Part 2'!$AX$5:$BA$5,0))+INDEX('Tables - Part 2'!$BF$17:$BI$24,MATCH(CUI_SCC_Chloride!$AH14,'Tables - Part 2'!$AV$6:$AV$13,0),MATCH(CUI_SCC_Chloride!$X14,'Tables - Part 2'!$AX$5:$BA$5,0)))/2)/2)+((INDEX('Tables - Part 2'!$BB$17:$BE$24,MATCH(CUI_SCC_Chloride!$AH14,'Tables - Part 2'!$AV$6:$AV$13,0),MATCH(CUI_SCC_Chloride!$X14,'Tables - Part 2'!$AX$5:$BA$5,0))+INDEX('Tables - Part 2'!$BF$17:$BI$24,MATCH(CUI_SCC_Chloride!$AH14,'Tables - Part 2'!$AV$6:$AV$13,0),MATCH(CUI_SCC_Chloride!$X14,'Tables - Part 2'!$AX$5:$BA$5,0)))/2))/2,0)</f>
        <v>0</v>
      </c>
      <c r="CC14" s="248">
        <f>IF($W14=$CC$3,(INDEX('Tables - Part 2'!$BB$17:$BE$24,MATCH(CUI_SCC_Chloride!$AH14,'Tables - Part 2'!$AV$6:$AV$13,0),MATCH(CUI_SCC_Chloride!$X14,'Tables - Part 2'!$AX$5:$BA$5,0))+INDEX('Tables - Part 2'!$BF$17:$BI$24,MATCH(CUI_SCC_Chloride!$AH14,'Tables - Part 2'!$AV$6:$AV$13,0),MATCH(CUI_SCC_Chloride!$X14,'Tables - Part 2'!$AX$5:$BA$5,0)))/2,0)</f>
        <v>0</v>
      </c>
      <c r="CD14" s="248">
        <f>IF($W14=$CD$3,(((INDEX('Tables - Part 2'!$BB$17:$BE$24,MATCH(CUI_SCC_Chloride!$AH14,'Tables - Part 2'!$AV$6:$AV$13,0),MATCH(CUI_SCC_Chloride!$X14,'Tables - Part 2'!$AX$5:$BA$5,0))+INDEX('Tables - Part 2'!$BF$17:$BI$24,MATCH(CUI_SCC_Chloride!$AH14,'Tables - Part 2'!$AV$6:$AV$13,0),MATCH(CUI_SCC_Chloride!$X14,'Tables - Part 2'!$AX$5:$BA$5,0)))/2)+((((INDEX('Tables - Part 2'!$BB$17:$BE$24,MATCH(CUI_SCC_Chloride!$AH14,'Tables - Part 2'!$AV$6:$AV$13,0),MATCH(CUI_SCC_Chloride!$X14,'Tables - Part 2'!$AX$5:$BA$5,0))+INDEX('Tables - Part 2'!$BF$17:$BI$24,MATCH(CUI_SCC_Chloride!$AH14,'Tables - Part 2'!$AV$6:$AV$13,0),MATCH(CUI_SCC_Chloride!$X14,'Tables - Part 2'!$AX$5:$BA$5,0)))/2)+INDEX('Tables - Part 2'!$BF$17:$BI$24,MATCH(CUI_SCC_Chloride!$AH14,'Tables - Part 2'!$AV$6:$AV$13,0),MATCH(CUI_SCC_Chloride!$X14,'Tables - Part 2'!$AX$5:$BA$5,0)))/2))/2,0)</f>
        <v>0</v>
      </c>
      <c r="CE14" s="248">
        <f>IF($W14=$CE$3,(((INDEX('Tables - Part 2'!$BB$17:$BE$24,MATCH(CUI_SCC_Chloride!$AH14,'Tables - Part 2'!$AV$6:$AV$13,0),MATCH(CUI_SCC_Chloride!$X14,'Tables - Part 2'!$AX$5:$BA$5,0))+INDEX('Tables - Part 2'!$BF$17:$BI$24,MATCH(CUI_SCC_Chloride!$AH14,'Tables - Part 2'!$AV$6:$AV$13,0),MATCH(CUI_SCC_Chloride!$X14,'Tables - Part 2'!$AX$5:$BA$5,0)))/2)+INDEX('Tables - Part 2'!$BF$17:$BI$24,MATCH(CUI_SCC_Chloride!$AH14,'Tables - Part 2'!$AV$6:$AV$13,0),MATCH(CUI_SCC_Chloride!$X14,'Tables - Part 2'!$AX$5:$BA$5,0)))/2,0)</f>
        <v>0</v>
      </c>
      <c r="CF14" s="248">
        <f>IF($W14=$CF$3,(((((INDEX('Tables - Part 2'!$BB$17:$BE$24,MATCH(CUI_SCC_Chloride!$AH14,'Tables - Part 2'!$AV$6:$AV$13,0),MATCH(CUI_SCC_Chloride!$X14,'Tables - Part 2'!$AX$5:$BA$5,0))+INDEX('Tables - Part 2'!$BF$17:$BI$24,MATCH(CUI_SCC_Chloride!$AH14,'Tables - Part 2'!$AV$6:$AV$13,0),MATCH(CUI_SCC_Chloride!$X14,'Tables - Part 2'!$AX$5:$BA$5,0)))/2)+INDEX('Tables - Part 2'!$BF$17:$BI$24,MATCH(CUI_SCC_Chloride!$AH14,'Tables - Part 2'!$AV$6:$AV$13,0),MATCH(CUI_SCC_Chloride!$X14,'Tables - Part 2'!$AX$5:$BA$5,0)))/2)+(INDEX('Tables - Part 2'!$BF$17:$BI$24,MATCH(CUI_SCC_Chloride!$AH14,'Tables - Part 2'!$AV$6:$AV$13,0),MATCH(CUI_SCC_Chloride!$X14,'Tables - Part 2'!$AX$5:$BA$5,0))))/2,0)</f>
        <v>0</v>
      </c>
      <c r="CG14" s="248">
        <f>IF($W14=$CG$3,INDEX('Tables - Part 2'!$BF$17:$BI$24,MATCH(CUI_SCC_Chloride!$AH14,'Tables - Part 2'!$AV$6:$AV$13,0),MATCH(CUI_SCC_Chloride!$X14,'Tables - Part 2'!$AX$5:$BA$5,0)),0)</f>
        <v>0</v>
      </c>
      <c r="CH14" s="248">
        <f t="shared" si="5"/>
        <v>0</v>
      </c>
      <c r="CI14" s="238">
        <f t="shared" si="19"/>
        <v>0</v>
      </c>
      <c r="CJ14" s="238">
        <f t="shared" si="20"/>
        <v>0</v>
      </c>
    </row>
    <row r="15" spans="2:95" x14ac:dyDescent="0.35">
      <c r="B15" s="161" t="str">
        <f>'Tratamento de Dados'!B23</f>
        <v>V-5</v>
      </c>
      <c r="C15" s="161" t="str">
        <f>'Tratamento de Dados'!D23</f>
        <v>Casco</v>
      </c>
      <c r="D15" s="209" t="s">
        <v>245</v>
      </c>
      <c r="E15" s="209" t="s">
        <v>61</v>
      </c>
      <c r="F15" s="247">
        <f>'Tratamento de Dados'!S23</f>
        <v>2</v>
      </c>
      <c r="G15" s="209" t="s">
        <v>953</v>
      </c>
      <c r="H15" s="210">
        <v>35234</v>
      </c>
      <c r="I15" s="210">
        <v>43983</v>
      </c>
      <c r="J15" s="210">
        <v>39092</v>
      </c>
      <c r="K15" s="210">
        <f>'Tratamento de Dados'!CC23</f>
        <v>0</v>
      </c>
      <c r="L15" s="209">
        <f>'Tratamento de Dados'!CD23</f>
        <v>0</v>
      </c>
      <c r="M15" s="209" t="s">
        <v>905</v>
      </c>
      <c r="N15" s="209" t="s">
        <v>1081</v>
      </c>
      <c r="O15" s="209" t="s">
        <v>1081</v>
      </c>
      <c r="P15" s="209" t="s">
        <v>244</v>
      </c>
      <c r="Q15" s="209">
        <v>0</v>
      </c>
      <c r="R15" s="209">
        <v>1</v>
      </c>
      <c r="S15" s="209">
        <v>1</v>
      </c>
      <c r="T15" s="209">
        <v>4</v>
      </c>
      <c r="U15" s="253">
        <f>'Tratamento de Dados'!DA23</f>
        <v>0</v>
      </c>
      <c r="V15" s="253">
        <f>'Tratamento de Dados'!DB23</f>
        <v>0</v>
      </c>
      <c r="W15" s="256">
        <f t="shared" si="0"/>
        <v>2.5</v>
      </c>
      <c r="X15" s="246" t="str">
        <f t="shared" si="1"/>
        <v>B</v>
      </c>
      <c r="Y15" s="246" t="str">
        <f>IF(F15&lt;49,'Tables - Part 2'!$FH$5,IF(F15&lt;=93,'Tables - Part 2'!$FH$6,IF(F15&lt;=149,'Tables - Part 2'!$FH$7,'Tables - Part 2'!$FH$8)))</f>
        <v>&lt;49</v>
      </c>
      <c r="Z15" s="246" t="str">
        <f>IF(D15=$CO$2,$CM$5,INDEX('Tables - Part 2'!$FR$5:$FU$8,MATCH(CUI_SCC_Chloride!Y15,'Tables - Part 2'!$FQ$5:$FQ$8,0),MATCH(CUI_SCC_Chloride!M15,'Tables - Part 2'!$FR$4:$FU$4,0)))</f>
        <v>None</v>
      </c>
      <c r="AA15" s="246" t="str">
        <f t="shared" si="6"/>
        <v>None</v>
      </c>
      <c r="AB15" s="219">
        <f t="shared" si="7"/>
        <v>0</v>
      </c>
      <c r="AC15" s="246" t="str">
        <f t="shared" si="8"/>
        <v>None</v>
      </c>
      <c r="AD15" s="219">
        <f t="shared" si="9"/>
        <v>0</v>
      </c>
      <c r="AE15" s="246" t="str">
        <f t="shared" si="10"/>
        <v>None</v>
      </c>
      <c r="AF15" s="219">
        <f t="shared" si="11"/>
        <v>0</v>
      </c>
      <c r="AG15" s="467" t="str">
        <f t="shared" si="12"/>
        <v>None</v>
      </c>
      <c r="AH15" s="238">
        <f>IF(AND(D15=$CO$2,E15&lt;&gt;$CO$2),"Fitness-For-Service",INDEX('Tables - Part 2'!$FO$4:$FO$7,MATCH(CUI_SCC_Chloride!AG15,'Tables - Part 2'!$FN$4:$FN$7,0),))</f>
        <v>0</v>
      </c>
      <c r="AI15" s="238">
        <f>IF(J15=0,(Thinning!G16-Thinning!F16)/365.25,(Thinning!G16-J15)/365.25)</f>
        <v>12.980150581793293</v>
      </c>
      <c r="AJ15" s="248">
        <f t="shared" si="2"/>
        <v>0</v>
      </c>
      <c r="AK15" s="248">
        <f t="shared" si="3"/>
        <v>2.5</v>
      </c>
      <c r="AL15" s="247">
        <f t="shared" si="13"/>
        <v>3</v>
      </c>
      <c r="AM15" s="247">
        <f t="shared" si="4"/>
        <v>4</v>
      </c>
      <c r="AN15" s="247">
        <f t="shared" si="14"/>
        <v>120.41889117043121</v>
      </c>
      <c r="AO15" s="247">
        <f t="shared" si="15"/>
        <v>0</v>
      </c>
      <c r="AP15" s="247">
        <f t="shared" si="16"/>
        <v>0</v>
      </c>
      <c r="AQ15" s="247">
        <f t="shared" si="17"/>
        <v>0</v>
      </c>
      <c r="AR15" s="247">
        <f t="shared" si="18"/>
        <v>12.980150581793293</v>
      </c>
      <c r="AS15" s="248">
        <f>IF($W15=$AS$3,INDEX('Tables - Part 2'!$AX$6:$BA$13,MATCH(CUI_SCC_Chloride!AH15,'Tables - Part 2'!$AV$6:$AV$13,0),MATCH(CUI_SCC_Chloride!X15,'Tables - Part 2'!$AX$5:$BA$5,0)),0)</f>
        <v>0</v>
      </c>
      <c r="AT15" s="248">
        <f>IF($W15=$AT$3,(INDEX('Tables - Part 2'!$AX$6:$BA$13,MATCH(CUI_SCC_Chloride!AH15,'Tables - Part 2'!$AV$6:$AV$13,0),MATCH(CUI_SCC_Chloride!X15,'Tables - Part 2'!$AX$5:$BA$5,0))+(INDEX('Tables - Part 2'!$AX$6:$BA$13,MATCH(CUI_SCC_Chloride!AH15,'Tables - Part 2'!$AV$6:$AV$13,0),MATCH(CUI_SCC_Chloride!X15,'Tables - Part 2'!$AX$5:$BA$5,0))+((INDEX('Tables - Part 2'!$AX$6:$BA$13,MATCH(CUI_SCC_Chloride!AH15,'Tables - Part 2'!$AV$6:$AV$13,0),MATCH(CUI_SCC_Chloride!X15,'Tables - Part 2'!$AX$5:$BA$5,0))+INDEX('Tables - Part 2'!$BB$6:$BE$13,MATCH(CUI_SCC_Chloride!$AH15,'Tables - Part 2'!$AV$6:$AV$13,0),MATCH(CUI_SCC_Chloride!$X15,'Tables - Part 2'!$AX$5:$BA$5,0)))/2))/2)/2,0)</f>
        <v>0</v>
      </c>
      <c r="AU15" s="248">
        <f>IF($W15=$AU$3,(INDEX('Tables - Part 2'!$AX$6:$BA$13,MATCH(CUI_SCC_Chloride!AH15,'Tables - Part 2'!$AV$6:$AV$13,0),MATCH(CUI_SCC_Chloride!X15,'Tables - Part 2'!$AX$5:$BA$5,0))+((INDEX('Tables - Part 2'!$AX$6:$BA$13,MATCH(CUI_SCC_Chloride!AH15,'Tables - Part 2'!$AV$6:$AV$13,0),MATCH(CUI_SCC_Chloride!X15,'Tables - Part 2'!$AX$5:$BA$5,0))+INDEX('Tables - Part 2'!$BB$6:$BE$13,MATCH(CUI_SCC_Chloride!$AH15,'Tables - Part 2'!$AV$6:$AV$13,0),MATCH(CUI_SCC_Chloride!$X15,'Tables - Part 2'!$AX$5:$BA$5,0)))/2))/2,0)</f>
        <v>0</v>
      </c>
      <c r="AV15" s="248">
        <f>IF($W15=$AV$3,(((INDEX('Tables - Part 2'!$AX$6:$BA$13,MATCH(CUI_SCC_Chloride!AH15,'Tables - Part 2'!$AV$6:$AV$13,0),MATCH(CUI_SCC_Chloride!X15,'Tables - Part 2'!$AX$5:$BA$5,0))+((INDEX('Tables - Part 2'!$AX$6:$BA$13,MATCH(CUI_SCC_Chloride!AH15,'Tables - Part 2'!$AV$6:$AV$13,0),MATCH(CUI_SCC_Chloride!X15,'Tables - Part 2'!$AX$5:$BA$5,0))+INDEX('Tables - Part 2'!$BB$6:$BE$13,MATCH(CUI_SCC_Chloride!$AH15,'Tables - Part 2'!$AV$6:$AV$13,0),MATCH(CUI_SCC_Chloride!$X15,'Tables - Part 2'!$AX$5:$BA$5,0)))/2))/2)+(INDEX('Tables - Part 2'!$AX$6:$BA$13,MATCH(CUI_SCC_Chloride!AH15,'Tables - Part 2'!$AV$6:$AV$13,0),MATCH(CUI_SCC_Chloride!X15,'Tables - Part 2'!$AX$5:$BA$5,0))+INDEX('Tables - Part 2'!$BB$6:$BE$13,MATCH(CUI_SCC_Chloride!$AH15,'Tables - Part 2'!$AV$6:$AV$13,0),MATCH(CUI_SCC_Chloride!$X15,'Tables - Part 2'!$AX$5:$BA$5,0)))/2)/2,0)</f>
        <v>0</v>
      </c>
      <c r="AW15" s="248">
        <f>IF($W15=$AW$3,(INDEX('Tables - Part 2'!$AX$6:$BA$13,MATCH(CUI_SCC_Chloride!AH15,'Tables - Part 2'!$AV$6:$AV$13,0),MATCH(CUI_SCC_Chloride!X15,'Tables - Part 2'!$AX$5:$BA$5,0))+INDEX('Tables - Part 2'!$BB$6:$BE$13,MATCH(CUI_SCC_Chloride!$AH15,'Tables - Part 2'!$AV$6:$AV$13,0),MATCH(CUI_SCC_Chloride!$X15,'Tables - Part 2'!$AX$5:$BA$5,0)))/2,0)</f>
        <v>0</v>
      </c>
      <c r="AX15" s="248">
        <f>IF($W15=$AX$3,(((INDEX('Tables - Part 2'!$AX$6:$BA$13,MATCH(CUI_SCC_Chloride!AH15,'Tables - Part 2'!$AV$6:$AV$13,0),MATCH(CUI_SCC_Chloride!X15,'Tables - Part 2'!$AX$5:$BA$5,0))+INDEX('Tables - Part 2'!$BB$6:$BE$13,MATCH(CUI_SCC_Chloride!$AH15,'Tables - Part 2'!$AV$6:$AV$13,0),MATCH(CUI_SCC_Chloride!$X15,'Tables - Part 2'!$AX$5:$BA$5,0)))/2)+(((INDEX('Tables - Part 2'!$AX$6:$BA$13,MATCH(CUI_SCC_Chloride!AH15,'Tables - Part 2'!$AV$6:$AV$13,0),MATCH(CUI_SCC_Chloride!X15,'Tables - Part 2'!$AX$5:$BA$5,0))+INDEX('Tables - Part 2'!$BB$6:$BE$13,MATCH(CUI_SCC_Chloride!$AH15,'Tables - Part 2'!$AV$6:$AV$13,0),MATCH(CUI_SCC_Chloride!$X15,'Tables - Part 2'!$AX$5:$BA$5,0)))/2)+INDEX('Tables - Part 2'!$BB$6:$BE$13,MATCH(CUI_SCC_Chloride!$AH15,'Tables - Part 2'!$AV$6:$AV$13,0),MATCH(CUI_SCC_Chloride!$X15,'Tables - Part 2'!$AX$5:$BA$5,0)))/2)/2,0)</f>
        <v>0</v>
      </c>
      <c r="AY15" s="248">
        <f>IF($W15=$AY$3,(((INDEX('Tables - Part 2'!$AX$6:$BA$13,MATCH(CUI_SCC_Chloride!AH15,'Tables - Part 2'!$AV$6:$AV$13,0),MATCH(CUI_SCC_Chloride!X15,'Tables - Part 2'!$AX$5:$BA$5,0))+INDEX('Tables - Part 2'!$BB$6:$BE$13,MATCH(CUI_SCC_Chloride!$AH15,'Tables - Part 2'!$AV$6:$AV$13,0),MATCH(CUI_SCC_Chloride!$X15,'Tables - Part 2'!$AX$5:$BA$5,0)))/2)+INDEX('Tables - Part 2'!$BB$6:$BE$13,MATCH(CUI_SCC_Chloride!$AH15,'Tables - Part 2'!$AV$6:$AV$13,0),MATCH(CUI_SCC_Chloride!$X15,'Tables - Part 2'!$AX$5:$BA$5,0)))/2,0)</f>
        <v>0</v>
      </c>
      <c r="AZ15" s="248">
        <f>IF($W15=$AZ$3,(((((INDEX('Tables - Part 2'!$AX$6:$BA$13,MATCH(CUI_SCC_Chloride!AH15,'Tables - Part 2'!$AV$6:$AV$13,0),MATCH(CUI_SCC_Chloride!X15,'Tables - Part 2'!$AX$5:$BA$5,0))+INDEX('Tables - Part 2'!$BB$6:$BE$13,MATCH(CUI_SCC_Chloride!$AH15,'Tables - Part 2'!$AV$6:$AV$13,0),MATCH(CUI_SCC_Chloride!$X15,'Tables - Part 2'!$AX$5:$BA$5,0)))/2)+INDEX('Tables - Part 2'!$BB$6:$BE$13,MATCH(CUI_SCC_Chloride!$AH15,'Tables - Part 2'!$AV$6:$AV$13,0),MATCH(CUI_SCC_Chloride!$X15,'Tables - Part 2'!$AX$5:$BA$5,0)))/2)+INDEX('Tables - Part 2'!$BB$6:$BE$13,MATCH(CUI_SCC_Chloride!$AH15,'Tables - Part 2'!$AV$6:$AV$13,0),MATCH(CUI_SCC_Chloride!$X15,'Tables - Part 2'!$AX$5:$BA$5,0)))/2,0)</f>
        <v>0</v>
      </c>
      <c r="BA15" s="248">
        <f>IF($W15=$BA$3,INDEX('Tables - Part 2'!$BB$6:$BE$13,MATCH(CUI_SCC_Chloride!$AH15,'Tables - Part 2'!$AV$6:$AV$13,0),MATCH(CUI_SCC_Chloride!$X15,'Tables - Part 2'!$AX$5:$BA$5,0)),0)</f>
        <v>0</v>
      </c>
      <c r="BB15" s="248">
        <f>IF($W15=$BB$3,((INDEX('Tables - Part 2'!$BB$6:$BE$13,MATCH(CUI_SCC_Chloride!$AH15,'Tables - Part 2'!$AV$6:$AV$13,0),MATCH(CUI_SCC_Chloride!$X15,'Tables - Part 2'!$AX$5:$BA$5,0)))+(INDEX('Tables - Part 2'!$BB$6:$BE$13,MATCH(CUI_SCC_Chloride!$AH15,'Tables - Part 2'!$AV$6:$AV$13,0),MATCH(CUI_SCC_Chloride!$X15,'Tables - Part 2'!$AX$5:$BA$5,0))+(INDEX('Tables - Part 2'!$BB$6:$BE$13,MATCH(CUI_SCC_Chloride!$AH15,'Tables - Part 2'!$AV$6:$AV$13,0),MATCH(CUI_SCC_Chloride!$X15,'Tables - Part 2'!$AX$5:$BA$5,0))+INDEX('Tables - Part 2'!$BF$6:$BI$13,MATCH(CUI_SCC_Chloride!$AH15,'Tables - Part 2'!$AV$6:$AV$13,0),MATCH(CUI_SCC_Chloride!$X15,'Tables - Part 2'!$AX$5:$BA$5,0)))/2)/2)/2,0)</f>
        <v>0</v>
      </c>
      <c r="BC15" s="248">
        <f>IF($W15=$BC$3,(INDEX('Tables - Part 2'!$BB$6:$BE$13,MATCH(CUI_SCC_Chloride!$AH15,'Tables - Part 2'!$AV$6:$AV$13,0),MATCH(CUI_SCC_Chloride!$X15,'Tables - Part 2'!$AX$5:$BA$5,0))+(INDEX('Tables - Part 2'!$BB$6:$BE$13,MATCH(CUI_SCC_Chloride!$AH15,'Tables - Part 2'!$AV$6:$AV$13,0),MATCH(CUI_SCC_Chloride!$X15,'Tables - Part 2'!$AX$5:$BA$5,0))+INDEX('Tables - Part 2'!$BF$6:$BI$13,MATCH(CUI_SCC_Chloride!$AH15,'Tables - Part 2'!$AV$6:$AV$13,0),MATCH(CUI_SCC_Chloride!$X15,'Tables - Part 2'!$AX$5:$BA$5,0)))/2)/2,0)</f>
        <v>0</v>
      </c>
      <c r="BD15" s="248">
        <f>IF($W15=$BD$3,(((INDEX('Tables - Part 2'!$BB$6:$BE$13,MATCH(CUI_SCC_Chloride!$AH15,'Tables - Part 2'!$AV$6:$AV$13,0),MATCH(CUI_SCC_Chloride!$X15,'Tables - Part 2'!$AX$5:$BA$5,0))+(INDEX('Tables - Part 2'!$BB$6:$BE$13,MATCH(CUI_SCC_Chloride!$AH15,'Tables - Part 2'!$AV$6:$AV$13,0),MATCH(CUI_SCC_Chloride!$X15,'Tables - Part 2'!$AX$5:$BA$5,0))+INDEX('Tables - Part 2'!$BF$6:$BI$13,MATCH(CUI_SCC_Chloride!$AH15,'Tables - Part 2'!$AV$6:$AV$13,0),MATCH(CUI_SCC_Chloride!$X15,'Tables - Part 2'!$AX$5:$BA$5,0)))/2)/2)+((INDEX('Tables - Part 2'!$BB$6:$BE$13,MATCH(CUI_SCC_Chloride!$AH15,'Tables - Part 2'!$AV$6:$AV$13,0),MATCH(CUI_SCC_Chloride!$X15,'Tables - Part 2'!$AX$5:$BA$5,0))+INDEX('Tables - Part 2'!$BF$6:$BI$13,MATCH(CUI_SCC_Chloride!$AH15,'Tables - Part 2'!$AV$6:$AV$13,0),MATCH(CUI_SCC_Chloride!$X15,'Tables - Part 2'!$AX$5:$BA$5,0)))/2))/2,0)</f>
        <v>0</v>
      </c>
      <c r="BE15" s="248">
        <f>IF($W15=$BE$3,(INDEX('Tables - Part 2'!$BB$6:$BE$13,MATCH(CUI_SCC_Chloride!$AH15,'Tables - Part 2'!$AV$6:$AV$13,0),MATCH(CUI_SCC_Chloride!$X15,'Tables - Part 2'!$AX$5:$BA$5,0))+INDEX('Tables - Part 2'!$BF$6:$BI$13,MATCH(CUI_SCC_Chloride!$AH15,'Tables - Part 2'!$AV$6:$AV$13,0),MATCH(CUI_SCC_Chloride!$X15,'Tables - Part 2'!$AX$5:$BA$5,0)))/2,0)</f>
        <v>0</v>
      </c>
      <c r="BF15" s="248">
        <f>IF($W15=$BF$3,(((INDEX('Tables - Part 2'!$BB$6:$BE$13,MATCH(CUI_SCC_Chloride!$AH15,'Tables - Part 2'!$AV$6:$AV$13,0),MATCH(CUI_SCC_Chloride!$X15,'Tables - Part 2'!$AX$5:$BA$5,0))+INDEX('Tables - Part 2'!$BF$6:$BI$13,MATCH(CUI_SCC_Chloride!$AH15,'Tables - Part 2'!$AV$6:$AV$13,0),MATCH(CUI_SCC_Chloride!$X15,'Tables - Part 2'!$AX$5:$BA$5,0)))/2)+((((INDEX('Tables - Part 2'!$BB$6:$BE$13,MATCH(CUI_SCC_Chloride!$AH15,'Tables - Part 2'!$AV$6:$AV$13,0),MATCH(CUI_SCC_Chloride!$X15,'Tables - Part 2'!$AX$5:$BA$5,0))+INDEX('Tables - Part 2'!$BF$6:$BI$13,MATCH(CUI_SCC_Chloride!$AH15,'Tables - Part 2'!$AV$6:$AV$13,0),MATCH(CUI_SCC_Chloride!$X15,'Tables - Part 2'!$AX$5:$BA$5,0)))/2)+INDEX('Tables - Part 2'!$BF$6:$BI$13,MATCH(CUI_SCC_Chloride!$AH15,'Tables - Part 2'!$AV$6:$AV$13,0),MATCH(CUI_SCC_Chloride!$X15,'Tables - Part 2'!$AX$5:$BA$5,0)))/2))/2,0)</f>
        <v>0</v>
      </c>
      <c r="BG15" s="248">
        <f>IF($W15=$BG$3,(((INDEX('Tables - Part 2'!$BB$6:$BE$13,MATCH(CUI_SCC_Chloride!$AH15,'Tables - Part 2'!$AV$6:$AV$13,0),MATCH(CUI_SCC_Chloride!$X15,'Tables - Part 2'!$AX$5:$BA$5,0))+INDEX('Tables - Part 2'!$BF$6:$BI$13,MATCH(CUI_SCC_Chloride!$AH15,'Tables - Part 2'!$AV$6:$AV$13,0),MATCH(CUI_SCC_Chloride!$X15,'Tables - Part 2'!$AX$5:$BA$5,0)))/2)+INDEX('Tables - Part 2'!$BF$6:$BI$13,MATCH(CUI_SCC_Chloride!$AH15,'Tables - Part 2'!$AV$6:$AV$13,0),MATCH(CUI_SCC_Chloride!$X15,'Tables - Part 2'!$AX$5:$BA$5,0)))/2,0)</f>
        <v>0</v>
      </c>
      <c r="BH15" s="248">
        <f>IF($W15=$BH$3,(((((INDEX('Tables - Part 2'!$BB$6:$BE$13,MATCH(CUI_SCC_Chloride!$AH15,'Tables - Part 2'!$AV$6:$AV$13,0),MATCH(CUI_SCC_Chloride!$X15,'Tables - Part 2'!$AX$5:$BA$5,0))+INDEX('Tables - Part 2'!$BF$6:$BI$13,MATCH(CUI_SCC_Chloride!$AH15,'Tables - Part 2'!$AV$6:$AV$13,0),MATCH(CUI_SCC_Chloride!$X15,'Tables - Part 2'!$AX$5:$BA$5,0)))/2)+INDEX('Tables - Part 2'!$BF$6:$BI$13,MATCH(CUI_SCC_Chloride!$AH15,'Tables - Part 2'!$AV$6:$AV$13,0),MATCH(CUI_SCC_Chloride!$X15,'Tables - Part 2'!$AX$5:$BA$5,0)))/2)+INDEX('Tables - Part 2'!$BF$6:$BI$13,MATCH(CUI_SCC_Chloride!$AH15,'Tables - Part 2'!$AV$6:$AV$13,0),MATCH(CUI_SCC_Chloride!$X15,'Tables - Part 2'!$AX$5:$BA$5,0)))/2,0)</f>
        <v>0</v>
      </c>
      <c r="BI15" s="248">
        <f>IF($W15=$BI$3,INDEX('Tables - Part 2'!$BF$6:$BI$13,MATCH(CUI_SCC_Chloride!$AH15,'Tables - Part 2'!$AV$6:$AV$13,0),MATCH(CUI_SCC_Chloride!$X15,'Tables - Part 2'!$AX$5:$BA$5,0)),0)</f>
        <v>0</v>
      </c>
      <c r="BJ15" s="248">
        <f>IF($W15=$BJ$3,(INDEX('Tables - Part 2'!$BF$6:$BI$13,MATCH(CUI_SCC_Chloride!$AH15,'Tables - Part 2'!$AV$6:$AV$13,0),MATCH(CUI_SCC_Chloride!$X15,'Tables - Part 2'!$AX$5:$BA$5,0))+((INDEX('Tables - Part 2'!$BF$6:$BI$13,MATCH(CUI_SCC_Chloride!$AH15,'Tables - Part 2'!$AV$6:$AV$13,0),MATCH(CUI_SCC_Chloride!$X15,'Tables - Part 2'!$AX$5:$BA$5,0))+(INDEX('Tables - Part 2'!$BF$6:$BI$13,MATCH(CUI_SCC_Chloride!$AH15,'Tables - Part 2'!$AV$6:$AV$13,0),MATCH(CUI_SCC_Chloride!$X15,'Tables - Part 2'!$AX$5:$BA$5,0))+INDEX('Tables - Part 2'!$AX$17:$BA$24,MATCH(CUI_SCC_Chloride!$AH15,'Tables - Part 2'!$AV$6:$AV$13,0),MATCH(CUI_SCC_Chloride!$X15,'Tables - Part 2'!$AX$5:$BA$5,0)))/2)/2))/2,0)</f>
        <v>0</v>
      </c>
      <c r="BK15" s="248">
        <f>IF($W15=$BK$3,(INDEX('Tables - Part 2'!$BF$6:$BI$13,MATCH(CUI_SCC_Chloride!$AH15,'Tables - Part 2'!$AV$6:$AV$13,0),MATCH(CUI_SCC_Chloride!$X15,'Tables - Part 2'!$AX$5:$BA$5,0))+(INDEX('Tables - Part 2'!$BF$6:$BI$13,MATCH(CUI_SCC_Chloride!$AH15,'Tables - Part 2'!$AV$6:$AV$13,0),MATCH(CUI_SCC_Chloride!$X15,'Tables - Part 2'!$AX$5:$BA$5,0))+INDEX('Tables - Part 2'!$AX$17:$BA$24,MATCH(CUI_SCC_Chloride!$AH15,'Tables - Part 2'!$AV$6:$AV$13,0),MATCH(CUI_SCC_Chloride!$X15,'Tables - Part 2'!$AX$5:$BA$5,0)))/2)/2,0)</f>
        <v>0</v>
      </c>
      <c r="BL15" s="248">
        <f>IF($W15=$BL$3,(((INDEX('Tables - Part 2'!$BF$6:$BI$13,MATCH(CUI_SCC_Chloride!$AH15,'Tables - Part 2'!$AV$6:$AV$13,0),MATCH(CUI_SCC_Chloride!$X15,'Tables - Part 2'!$AX$5:$BA$5,0))+(INDEX('Tables - Part 2'!$BF$6:$BI$13,MATCH(CUI_SCC_Chloride!$AH15,'Tables - Part 2'!$AV$6:$AV$13,0),MATCH(CUI_SCC_Chloride!$X15,'Tables - Part 2'!$AX$5:$BA$5,0))+INDEX('Tables - Part 2'!$AX$17:$BA$24,MATCH(CUI_SCC_Chloride!$AH15,'Tables - Part 2'!$AV$6:$AV$13,0),MATCH(CUI_SCC_Chloride!$X15,'Tables - Part 2'!$AX$5:$BA$5,0)))/2)/2)+((INDEX('Tables - Part 2'!$BF$6:$BI$13,MATCH(CUI_SCC_Chloride!$AH15,'Tables - Part 2'!$AV$6:$AV$13,0),MATCH(CUI_SCC_Chloride!$X15,'Tables - Part 2'!$AX$5:$BA$5,0))+INDEX('Tables - Part 2'!$AX$17:$BA$24,MATCH(CUI_SCC_Chloride!$AH15,'Tables - Part 2'!$AV$6:$AV$13,0),MATCH(CUI_SCC_Chloride!$X15,'Tables - Part 2'!$AX$5:$BA$5,0)))/2))/2,0)</f>
        <v>0</v>
      </c>
      <c r="BM15" s="248">
        <f>IF($W15=$BM$3,(INDEX('Tables - Part 2'!$BF$6:$BI$13,MATCH(CUI_SCC_Chloride!$AH15,'Tables - Part 2'!$AV$6:$AV$13,0),MATCH(CUI_SCC_Chloride!$X15,'Tables - Part 2'!$AX$5:$BA$5,0))+INDEX('Tables - Part 2'!$AX$17:$BA$24,MATCH(CUI_SCC_Chloride!$AH15,'Tables - Part 2'!$AV$6:$AV$13,0),MATCH(CUI_SCC_Chloride!$X15,'Tables - Part 2'!$AX$5:$BA$5,0)))/2,0)</f>
        <v>0</v>
      </c>
      <c r="BN15" s="248">
        <f>IF($W15=$BN$3,(((INDEX('Tables - Part 2'!$BF$6:$BI$13,MATCH(CUI_SCC_Chloride!$AH15,'Tables - Part 2'!$AV$6:$AV$13,0),MATCH(CUI_SCC_Chloride!$X15,'Tables - Part 2'!$AX$5:$BA$5,0))+INDEX('Tables - Part 2'!$AX$17:$BA$24,MATCH(CUI_SCC_Chloride!$AH15,'Tables - Part 2'!$AV$6:$AV$13,0),MATCH(CUI_SCC_Chloride!$X15,'Tables - Part 2'!$AX$5:$BA$5,0)))/2)+((((INDEX('Tables - Part 2'!$BF$6:$BI$13,MATCH(CUI_SCC_Chloride!$AH15,'Tables - Part 2'!$AV$6:$AV$13,0),MATCH(CUI_SCC_Chloride!$X15,'Tables - Part 2'!$AX$5:$BA$5,0))+INDEX('Tables - Part 2'!$AX$17:$BA$24,MATCH(CUI_SCC_Chloride!$AH15,'Tables - Part 2'!$AV$6:$AV$13,0),MATCH(CUI_SCC_Chloride!$X15,'Tables - Part 2'!$AX$5:$BA$5,0)))/2)+INDEX('Tables - Part 2'!$AX$17:$BA$24,MATCH(CUI_SCC_Chloride!$AH15,'Tables - Part 2'!$AV$6:$AV$13,0),MATCH(CUI_SCC_Chloride!$X15,'Tables - Part 2'!$AX$5:$BA$5,0)))/2))/2,0)</f>
        <v>0</v>
      </c>
      <c r="BO15" s="248">
        <f>IF($W15=$BO$3,(((INDEX('Tables - Part 2'!$BF$6:$BI$13,MATCH(CUI_SCC_Chloride!$AH15,'Tables - Part 2'!$AV$6:$AV$13,0),MATCH(CUI_SCC_Chloride!$X15,'Tables - Part 2'!$AX$5:$BA$5,0))+INDEX('Tables - Part 2'!$AX$17:$BA$24,MATCH(CUI_SCC_Chloride!$AH15,'Tables - Part 2'!$AV$6:$AV$13,0),MATCH(CUI_SCC_Chloride!$X15,'Tables - Part 2'!$AX$5:$BA$5,0)))/2)+INDEX('Tables - Part 2'!$AX$17:$BA$24,MATCH(CUI_SCC_Chloride!$AH15,'Tables - Part 2'!$AV$6:$AV$13,0),MATCH(CUI_SCC_Chloride!$X15,'Tables - Part 2'!$AX$5:$BA$5,0)))/2,0)</f>
        <v>0</v>
      </c>
      <c r="BP15" s="248">
        <f>IF($W15=$BP$3,(((((INDEX('Tables - Part 2'!$BF$6:$BI$13,MATCH(CUI_SCC_Chloride!$AH15,'Tables - Part 2'!$AV$6:$AV$13,0),MATCH(CUI_SCC_Chloride!$X15,'Tables - Part 2'!$AX$5:$BA$5,0))+INDEX('Tables - Part 2'!$AX$17:$BA$24,MATCH(CUI_SCC_Chloride!$AH15,'Tables - Part 2'!$AV$6:$AV$13,0),MATCH(CUI_SCC_Chloride!$X15,'Tables - Part 2'!$AX$5:$BA$5,0)))/2)+INDEX('Tables - Part 2'!$AX$17:$BA$24,MATCH(CUI_SCC_Chloride!$AH15,'Tables - Part 2'!$AV$6:$AV$13,0),MATCH(CUI_SCC_Chloride!$X15,'Tables - Part 2'!$AX$5:$BA$5,0)))/2)+(INDEX('Tables - Part 2'!$AX$17:$BA$24,MATCH(CUI_SCC_Chloride!$AH15,'Tables - Part 2'!$AV$6:$AV$13,0),MATCH(CUI_SCC_Chloride!$X15,'Tables - Part 2'!$AX$5:$BA$5,0))))/2,0)</f>
        <v>0</v>
      </c>
      <c r="BQ15" s="248">
        <f>IF($W15=$BQ$3,INDEX('Tables - Part 2'!$AX$17:$BA$24,MATCH(CUI_SCC_Chloride!$AH15,'Tables - Part 2'!$AV$6:$AV$13,0),MATCH(CUI_SCC_Chloride!$X15,'Tables - Part 2'!$AX$5:$BA$5,0)),0)</f>
        <v>0</v>
      </c>
      <c r="BR15" s="248">
        <f>IF($W15=$BR$3,((INDEX('Tables - Part 2'!$AX$17:$BA$24,MATCH(CUI_SCC_Chloride!$AH15,'Tables - Part 2'!$AV$6:$AV$13,0),MATCH(CUI_SCC_Chloride!$X15,'Tables - Part 2'!$AX$5:$BA$5,0)))+(((INDEX('Tables - Part 2'!$AX$17:$BA$24,MATCH(CUI_SCC_Chloride!$AH15,'Tables - Part 2'!$AV$6:$AV$13,0),MATCH(CUI_SCC_Chloride!$X15,'Tables - Part 2'!$AX$5:$BA$5,0)))+(INDEX('Tables - Part 2'!$AX$17:$BA$24,MATCH(CUI_SCC_Chloride!$AH15,'Tables - Part 2'!$AV$6:$AV$13,0),MATCH(CUI_SCC_Chloride!$X15,'Tables - Part 2'!$AX$5:$BA$5,0))+INDEX('Tables - Part 2'!$BB$17:$BE$24,MATCH(CUI_SCC_Chloride!$AH15,'Tables - Part 2'!$AV$6:$AV$13,0),MATCH(CUI_SCC_Chloride!$X15,'Tables - Part 2'!$AX$5:$BA$5,0)))/2)/2))/2,0)</f>
        <v>0</v>
      </c>
      <c r="BS15" s="248">
        <f>IF($W15=$BS$3,((INDEX('Tables - Part 2'!$AX$17:$BA$24,MATCH(CUI_SCC_Chloride!$AH15,'Tables - Part 2'!$AV$6:$AV$13,0),MATCH(CUI_SCC_Chloride!$X15,'Tables - Part 2'!$AX$5:$BA$5,0)))+(INDEX('Tables - Part 2'!$AX$17:$BA$24,MATCH(CUI_SCC_Chloride!$AH15,'Tables - Part 2'!$AV$6:$AV$13,0),MATCH(CUI_SCC_Chloride!$X15,'Tables - Part 2'!$AX$5:$BA$5,0))+INDEX('Tables - Part 2'!$BB$17:$BE$24,MATCH(CUI_SCC_Chloride!$AH15,'Tables - Part 2'!$AV$6:$AV$13,0),MATCH(CUI_SCC_Chloride!$X15,'Tables - Part 2'!$AX$5:$BA$5,0)))/2)/2,0)</f>
        <v>0</v>
      </c>
      <c r="BT15" s="248">
        <f>IF($W15=$BT$3,((((INDEX('Tables - Part 2'!$AX$17:$BA$24,MATCH(CUI_SCC_Chloride!$AH15,'Tables - Part 2'!$AV$6:$AV$13,0),MATCH(CUI_SCC_Chloride!$X15,'Tables - Part 2'!$AX$5:$BA$5,0)))+(INDEX('Tables - Part 2'!$AX$17:$BA$24,MATCH(CUI_SCC_Chloride!$AH15,'Tables - Part 2'!$AV$6:$AV$13,0),MATCH(CUI_SCC_Chloride!$X15,'Tables - Part 2'!$AX$5:$BA$5,0))+INDEX('Tables - Part 2'!$BB$17:$BE$24,MATCH(CUI_SCC_Chloride!$AH15,'Tables - Part 2'!$AV$6:$AV$13,0),MATCH(CUI_SCC_Chloride!$X15,'Tables - Part 2'!$AX$5:$BA$5,0)))/2)/2)+((INDEX('Tables - Part 2'!$AX$17:$BA$24,MATCH(CUI_SCC_Chloride!$AH15,'Tables - Part 2'!$AV$6:$AV$13,0),MATCH(CUI_SCC_Chloride!$X15,'Tables - Part 2'!$AX$5:$BA$5,0))+INDEX('Tables - Part 2'!$BB$17:$BE$24,MATCH(CUI_SCC_Chloride!$AH15,'Tables - Part 2'!$AV$6:$AV$13,0),MATCH(CUI_SCC_Chloride!$X15,'Tables - Part 2'!$AX$5:$BA$5,0)))/2))/2,0)</f>
        <v>0</v>
      </c>
      <c r="BU15" s="248">
        <f>IF($W15=$BU$3,(INDEX('Tables - Part 2'!$AX$17:$BA$24,MATCH(CUI_SCC_Chloride!$AH15,'Tables - Part 2'!$AV$6:$AV$13,0),MATCH(CUI_SCC_Chloride!$X15,'Tables - Part 2'!$AX$5:$BA$5,0))+INDEX('Tables - Part 2'!$BB$17:$BE$24,MATCH(CUI_SCC_Chloride!$AH15,'Tables - Part 2'!$AV$6:$AV$13,0),MATCH(CUI_SCC_Chloride!$X15,'Tables - Part 2'!$AX$5:$BA$5,0)))/2,0)</f>
        <v>0</v>
      </c>
      <c r="BV15" s="248">
        <f>IF($W15=$BV$3,(((INDEX('Tables - Part 2'!$AX$17:$BA$24,MATCH(CUI_SCC_Chloride!$AH15,'Tables - Part 2'!$AV$6:$AV$13,0),MATCH(CUI_SCC_Chloride!$X15,'Tables - Part 2'!$AX$5:$BA$5,0))+INDEX('Tables - Part 2'!$BB$17:$BE$24,MATCH(CUI_SCC_Chloride!$AH15,'Tables - Part 2'!$AV$6:$AV$13,0),MATCH(CUI_SCC_Chloride!$X15,'Tables - Part 2'!$AX$5:$BA$5,0)))/2)+((((INDEX('Tables - Part 2'!$AX$17:$BA$24,MATCH(CUI_SCC_Chloride!$AH15,'Tables - Part 2'!$AV$6:$AV$13,0),MATCH(CUI_SCC_Chloride!$X15,'Tables - Part 2'!$AX$5:$BA$5,0))+INDEX('Tables - Part 2'!$BB$17:$BE$24,MATCH(CUI_SCC_Chloride!$AH15,'Tables - Part 2'!$AV$6:$AV$13,0),MATCH(CUI_SCC_Chloride!$X15,'Tables - Part 2'!$AX$5:$BA$5,0)))/2)+INDEX('Tables - Part 2'!$BB$17:$BE$24,MATCH(CUI_SCC_Chloride!$AH15,'Tables - Part 2'!$AV$6:$AV$13,0),MATCH(CUI_SCC_Chloride!$X15,'Tables - Part 2'!$AX$5:$BA$5,0)))/2))/2,0)</f>
        <v>0</v>
      </c>
      <c r="BW15" s="248">
        <f>IF($W15=$BW$3,(((INDEX('Tables - Part 2'!$AX$17:$BA$24,MATCH(CUI_SCC_Chloride!$AH15,'Tables - Part 2'!$AV$6:$AV$13,0),MATCH(CUI_SCC_Chloride!$X15,'Tables - Part 2'!$AX$5:$BA$5,0))+INDEX('Tables - Part 2'!$BB$17:$BE$24,MATCH(CUI_SCC_Chloride!$AH15,'Tables - Part 2'!$AV$6:$AV$13,0),MATCH(CUI_SCC_Chloride!$X15,'Tables - Part 2'!$AX$5:$BA$5,0)))/2)+INDEX('Tables - Part 2'!$BB$17:$BE$24,MATCH(CUI_SCC_Chloride!$AH15,'Tables - Part 2'!$AV$6:$AV$13,0),MATCH(CUI_SCC_Chloride!$X15,'Tables - Part 2'!$AX$5:$BA$5,0)))/2,0)</f>
        <v>0</v>
      </c>
      <c r="BX15" s="248">
        <f>IF($W15=$BX$3,(((((INDEX('Tables - Part 2'!$AX$17:$BA$24,MATCH(CUI_SCC_Chloride!$AH15,'Tables - Part 2'!$AV$6:$AV$13,0),MATCH(CUI_SCC_Chloride!$X15,'Tables - Part 2'!$AX$5:$BA$5,0))+INDEX('Tables - Part 2'!$BB$17:$BE$24,MATCH(CUI_SCC_Chloride!$AH15,'Tables - Part 2'!$AV$6:$AV$13,0),MATCH(CUI_SCC_Chloride!$X15,'Tables - Part 2'!$AX$5:$BA$5,0)))/2)+INDEX('Tables - Part 2'!$BB$17:$BE$24,MATCH(CUI_SCC_Chloride!$AH15,'Tables - Part 2'!$AV$6:$AV$13,0),MATCH(CUI_SCC_Chloride!$X15,'Tables - Part 2'!$AX$5:$BA$5,0)))/2)+(INDEX('Tables - Part 2'!$BB$17:$BE$24,MATCH(CUI_SCC_Chloride!$AH15,'Tables - Part 2'!$AV$6:$AV$13,0),MATCH(CUI_SCC_Chloride!$X15,'Tables - Part 2'!$AX$5:$BA$5,0))))/2,0)</f>
        <v>0</v>
      </c>
      <c r="BY15" s="248">
        <f>IF($W15=$BY$3,INDEX('Tables - Part 2'!$BB$17:$BE$24,MATCH(CUI_SCC_Chloride!$AH15,'Tables - Part 2'!$AV$6:$AV$13,0),MATCH(CUI_SCC_Chloride!$X15,'Tables - Part 2'!$AX$5:$BA$5,0)),0)</f>
        <v>0</v>
      </c>
      <c r="BZ15" s="248">
        <f>IF($W15=$BZ$3,((INDEX('Tables - Part 2'!$BB$17:$BE$24,MATCH(CUI_SCC_Chloride!$AH15,'Tables - Part 2'!$AV$6:$AV$13,0),MATCH(CUI_SCC_Chloride!$X15,'Tables - Part 2'!$AX$5:$BA$5,0)))+(((INDEX('Tables - Part 2'!$BB$17:$BE$24,MATCH(CUI_SCC_Chloride!$AH15,'Tables - Part 2'!$AV$6:$AV$13,0),MATCH(CUI_SCC_Chloride!$X15,'Tables - Part 2'!$AX$5:$BA$5,0)))+(INDEX('Tables - Part 2'!$BB$17:$BE$24,MATCH(CUI_SCC_Chloride!$AH15,'Tables - Part 2'!$AV$6:$AV$13,0),MATCH(CUI_SCC_Chloride!$X15,'Tables - Part 2'!$AX$5:$BA$5,0))+INDEX('Tables - Part 2'!$BF$17:$BI$24,MATCH(CUI_SCC_Chloride!$AH15,'Tables - Part 2'!$AV$6:$AV$13,0),MATCH(CUI_SCC_Chloride!$X15,'Tables - Part 2'!$AX$5:$BA$5,0)))/2)/2))/2,0)</f>
        <v>0</v>
      </c>
      <c r="CA15" s="248">
        <f>IF($W15=$CA$3,((INDEX('Tables - Part 2'!$BB$17:$BE$24,MATCH(CUI_SCC_Chloride!$AH15,'Tables - Part 2'!$AV$6:$AV$13,0),MATCH(CUI_SCC_Chloride!$X15,'Tables - Part 2'!$AX$5:$BA$5,0)))+(INDEX('Tables - Part 2'!$BB$17:$BE$24,MATCH(CUI_SCC_Chloride!$AH15,'Tables - Part 2'!$AV$6:$AV$13,0),MATCH(CUI_SCC_Chloride!$X15,'Tables - Part 2'!$AX$5:$BA$5,0))+INDEX('Tables - Part 2'!$BF$17:$BI$24,MATCH(CUI_SCC_Chloride!$AH15,'Tables - Part 2'!$AV$6:$AV$13,0),MATCH(CUI_SCC_Chloride!$X15,'Tables - Part 2'!$AX$5:$BA$5,0)))/2)/2,0)</f>
        <v>0</v>
      </c>
      <c r="CB15" s="248">
        <f>IF($W15=$CB$3,((((INDEX('Tables - Part 2'!$BB$17:$BE$24,MATCH(CUI_SCC_Chloride!$AH15,'Tables - Part 2'!$AV$6:$AV$13,0),MATCH(CUI_SCC_Chloride!$X15,'Tables - Part 2'!$AX$5:$BA$5,0)))+(INDEX('Tables - Part 2'!$BB$17:$BE$24,MATCH(CUI_SCC_Chloride!$AH15,'Tables - Part 2'!$AV$6:$AV$13,0),MATCH(CUI_SCC_Chloride!$X15,'Tables - Part 2'!$AX$5:$BA$5,0))+INDEX('Tables - Part 2'!$BF$17:$BI$24,MATCH(CUI_SCC_Chloride!$AH15,'Tables - Part 2'!$AV$6:$AV$13,0),MATCH(CUI_SCC_Chloride!$X15,'Tables - Part 2'!$AX$5:$BA$5,0)))/2)/2)+((INDEX('Tables - Part 2'!$BB$17:$BE$24,MATCH(CUI_SCC_Chloride!$AH15,'Tables - Part 2'!$AV$6:$AV$13,0),MATCH(CUI_SCC_Chloride!$X15,'Tables - Part 2'!$AX$5:$BA$5,0))+INDEX('Tables - Part 2'!$BF$17:$BI$24,MATCH(CUI_SCC_Chloride!$AH15,'Tables - Part 2'!$AV$6:$AV$13,0),MATCH(CUI_SCC_Chloride!$X15,'Tables - Part 2'!$AX$5:$BA$5,0)))/2))/2,0)</f>
        <v>0</v>
      </c>
      <c r="CC15" s="248">
        <f>IF($W15=$CC$3,(INDEX('Tables - Part 2'!$BB$17:$BE$24,MATCH(CUI_SCC_Chloride!$AH15,'Tables - Part 2'!$AV$6:$AV$13,0),MATCH(CUI_SCC_Chloride!$X15,'Tables - Part 2'!$AX$5:$BA$5,0))+INDEX('Tables - Part 2'!$BF$17:$BI$24,MATCH(CUI_SCC_Chloride!$AH15,'Tables - Part 2'!$AV$6:$AV$13,0),MATCH(CUI_SCC_Chloride!$X15,'Tables - Part 2'!$AX$5:$BA$5,0)))/2,0)</f>
        <v>0</v>
      </c>
      <c r="CD15" s="248">
        <f>IF($W15=$CD$3,(((INDEX('Tables - Part 2'!$BB$17:$BE$24,MATCH(CUI_SCC_Chloride!$AH15,'Tables - Part 2'!$AV$6:$AV$13,0),MATCH(CUI_SCC_Chloride!$X15,'Tables - Part 2'!$AX$5:$BA$5,0))+INDEX('Tables - Part 2'!$BF$17:$BI$24,MATCH(CUI_SCC_Chloride!$AH15,'Tables - Part 2'!$AV$6:$AV$13,0),MATCH(CUI_SCC_Chloride!$X15,'Tables - Part 2'!$AX$5:$BA$5,0)))/2)+((((INDEX('Tables - Part 2'!$BB$17:$BE$24,MATCH(CUI_SCC_Chloride!$AH15,'Tables - Part 2'!$AV$6:$AV$13,0),MATCH(CUI_SCC_Chloride!$X15,'Tables - Part 2'!$AX$5:$BA$5,0))+INDEX('Tables - Part 2'!$BF$17:$BI$24,MATCH(CUI_SCC_Chloride!$AH15,'Tables - Part 2'!$AV$6:$AV$13,0),MATCH(CUI_SCC_Chloride!$X15,'Tables - Part 2'!$AX$5:$BA$5,0)))/2)+INDEX('Tables - Part 2'!$BF$17:$BI$24,MATCH(CUI_SCC_Chloride!$AH15,'Tables - Part 2'!$AV$6:$AV$13,0),MATCH(CUI_SCC_Chloride!$X15,'Tables - Part 2'!$AX$5:$BA$5,0)))/2))/2,0)</f>
        <v>0</v>
      </c>
      <c r="CE15" s="248">
        <f>IF($W15=$CE$3,(((INDEX('Tables - Part 2'!$BB$17:$BE$24,MATCH(CUI_SCC_Chloride!$AH15,'Tables - Part 2'!$AV$6:$AV$13,0),MATCH(CUI_SCC_Chloride!$X15,'Tables - Part 2'!$AX$5:$BA$5,0))+INDEX('Tables - Part 2'!$BF$17:$BI$24,MATCH(CUI_SCC_Chloride!$AH15,'Tables - Part 2'!$AV$6:$AV$13,0),MATCH(CUI_SCC_Chloride!$X15,'Tables - Part 2'!$AX$5:$BA$5,0)))/2)+INDEX('Tables - Part 2'!$BF$17:$BI$24,MATCH(CUI_SCC_Chloride!$AH15,'Tables - Part 2'!$AV$6:$AV$13,0),MATCH(CUI_SCC_Chloride!$X15,'Tables - Part 2'!$AX$5:$BA$5,0)))/2,0)</f>
        <v>0</v>
      </c>
      <c r="CF15" s="248">
        <f>IF($W15=$CF$3,(((((INDEX('Tables - Part 2'!$BB$17:$BE$24,MATCH(CUI_SCC_Chloride!$AH15,'Tables - Part 2'!$AV$6:$AV$13,0),MATCH(CUI_SCC_Chloride!$X15,'Tables - Part 2'!$AX$5:$BA$5,0))+INDEX('Tables - Part 2'!$BF$17:$BI$24,MATCH(CUI_SCC_Chloride!$AH15,'Tables - Part 2'!$AV$6:$AV$13,0),MATCH(CUI_SCC_Chloride!$X15,'Tables - Part 2'!$AX$5:$BA$5,0)))/2)+INDEX('Tables - Part 2'!$BF$17:$BI$24,MATCH(CUI_SCC_Chloride!$AH15,'Tables - Part 2'!$AV$6:$AV$13,0),MATCH(CUI_SCC_Chloride!$X15,'Tables - Part 2'!$AX$5:$BA$5,0)))/2)+(INDEX('Tables - Part 2'!$BF$17:$BI$24,MATCH(CUI_SCC_Chloride!$AH15,'Tables - Part 2'!$AV$6:$AV$13,0),MATCH(CUI_SCC_Chloride!$X15,'Tables - Part 2'!$AX$5:$BA$5,0))))/2,0)</f>
        <v>0</v>
      </c>
      <c r="CG15" s="248">
        <f>IF($W15=$CG$3,INDEX('Tables - Part 2'!$BF$17:$BI$24,MATCH(CUI_SCC_Chloride!$AH15,'Tables - Part 2'!$AV$6:$AV$13,0),MATCH(CUI_SCC_Chloride!$X15,'Tables - Part 2'!$AX$5:$BA$5,0)),0)</f>
        <v>0</v>
      </c>
      <c r="CH15" s="248">
        <f t="shared" si="5"/>
        <v>0</v>
      </c>
      <c r="CI15" s="238">
        <f t="shared" si="19"/>
        <v>0</v>
      </c>
      <c r="CJ15" s="238">
        <f t="shared" si="20"/>
        <v>0</v>
      </c>
    </row>
    <row r="16" spans="2:95" x14ac:dyDescent="0.35">
      <c r="B16" s="161" t="str">
        <f>'Tratamento de Dados'!B24</f>
        <v>V-6</v>
      </c>
      <c r="C16" s="161" t="str">
        <f>'Tratamento de Dados'!D24</f>
        <v>Casco</v>
      </c>
      <c r="D16" s="209" t="s">
        <v>245</v>
      </c>
      <c r="E16" s="209" t="s">
        <v>61</v>
      </c>
      <c r="F16" s="247">
        <f>'Tratamento de Dados'!S24</f>
        <v>2</v>
      </c>
      <c r="G16" s="209" t="s">
        <v>953</v>
      </c>
      <c r="H16" s="210">
        <v>35234</v>
      </c>
      <c r="I16" s="210">
        <v>43983</v>
      </c>
      <c r="J16" s="210">
        <v>39092</v>
      </c>
      <c r="K16" s="210">
        <f>'Tratamento de Dados'!CC24</f>
        <v>0</v>
      </c>
      <c r="L16" s="209">
        <f>'Tratamento de Dados'!CD24</f>
        <v>0</v>
      </c>
      <c r="M16" s="209" t="s">
        <v>905</v>
      </c>
      <c r="N16" s="209" t="s">
        <v>1081</v>
      </c>
      <c r="O16" s="209" t="s">
        <v>1081</v>
      </c>
      <c r="P16" s="209" t="s">
        <v>244</v>
      </c>
      <c r="Q16" s="209">
        <v>0</v>
      </c>
      <c r="R16" s="209">
        <v>1</v>
      </c>
      <c r="S16" s="209">
        <v>1</v>
      </c>
      <c r="T16" s="209">
        <v>4</v>
      </c>
      <c r="U16" s="253">
        <f>'Tratamento de Dados'!DA24</f>
        <v>0</v>
      </c>
      <c r="V16" s="253">
        <f>'Tratamento de Dados'!DB24</f>
        <v>0</v>
      </c>
      <c r="W16" s="256">
        <f t="shared" si="0"/>
        <v>2.5</v>
      </c>
      <c r="X16" s="246" t="str">
        <f t="shared" si="1"/>
        <v>B</v>
      </c>
      <c r="Y16" s="246" t="str">
        <f>IF(F16&lt;49,'Tables - Part 2'!$FH$5,IF(F16&lt;=93,'Tables - Part 2'!$FH$6,IF(F16&lt;=149,'Tables - Part 2'!$FH$7,'Tables - Part 2'!$FH$8)))</f>
        <v>&lt;49</v>
      </c>
      <c r="Z16" s="246" t="str">
        <f>IF(D16=$CO$2,$CM$5,INDEX('Tables - Part 2'!$FR$5:$FU$8,MATCH(CUI_SCC_Chloride!Y16,'Tables - Part 2'!$FQ$5:$FQ$8,0),MATCH(CUI_SCC_Chloride!M16,'Tables - Part 2'!$FR$4:$FU$4,0)))</f>
        <v>None</v>
      </c>
      <c r="AA16" s="246" t="str">
        <f t="shared" si="6"/>
        <v>None</v>
      </c>
      <c r="AB16" s="219">
        <f t="shared" si="7"/>
        <v>0</v>
      </c>
      <c r="AC16" s="246" t="str">
        <f t="shared" si="8"/>
        <v>None</v>
      </c>
      <c r="AD16" s="219">
        <f t="shared" si="9"/>
        <v>0</v>
      </c>
      <c r="AE16" s="246" t="str">
        <f t="shared" si="10"/>
        <v>None</v>
      </c>
      <c r="AF16" s="219">
        <f t="shared" si="11"/>
        <v>0</v>
      </c>
      <c r="AG16" s="467" t="str">
        <f t="shared" si="12"/>
        <v>None</v>
      </c>
      <c r="AH16" s="238">
        <f>IF(AND(D16=$CO$2,E16&lt;&gt;$CO$2),"Fitness-For-Service",INDEX('Tables - Part 2'!$FO$4:$FO$7,MATCH(CUI_SCC_Chloride!AG16,'Tables - Part 2'!$FN$4:$FN$7,0),))</f>
        <v>0</v>
      </c>
      <c r="AI16" s="238">
        <f>IF(J16=0,(Thinning!G17-Thinning!F17)/365.25,(Thinning!G17-J16)/365.25)</f>
        <v>12.980150581793293</v>
      </c>
      <c r="AJ16" s="248">
        <f t="shared" si="2"/>
        <v>0</v>
      </c>
      <c r="AK16" s="248">
        <f t="shared" si="3"/>
        <v>2.5</v>
      </c>
      <c r="AL16" s="247">
        <f t="shared" si="13"/>
        <v>3</v>
      </c>
      <c r="AM16" s="247">
        <f t="shared" si="4"/>
        <v>4</v>
      </c>
      <c r="AN16" s="247">
        <f t="shared" si="14"/>
        <v>120.41889117043121</v>
      </c>
      <c r="AO16" s="247">
        <f t="shared" si="15"/>
        <v>0</v>
      </c>
      <c r="AP16" s="247">
        <f t="shared" si="16"/>
        <v>0</v>
      </c>
      <c r="AQ16" s="247">
        <f t="shared" si="17"/>
        <v>0</v>
      </c>
      <c r="AR16" s="247">
        <f t="shared" si="18"/>
        <v>12.980150581793293</v>
      </c>
      <c r="AS16" s="248">
        <f>IF($W16=$AS$3,INDEX('Tables - Part 2'!$AX$6:$BA$13,MATCH(CUI_SCC_Chloride!AH16,'Tables - Part 2'!$AV$6:$AV$13,0),MATCH(CUI_SCC_Chloride!X16,'Tables - Part 2'!$AX$5:$BA$5,0)),0)</f>
        <v>0</v>
      </c>
      <c r="AT16" s="248">
        <f>IF($W16=$AT$3,(INDEX('Tables - Part 2'!$AX$6:$BA$13,MATCH(CUI_SCC_Chloride!AH16,'Tables - Part 2'!$AV$6:$AV$13,0),MATCH(CUI_SCC_Chloride!X16,'Tables - Part 2'!$AX$5:$BA$5,0))+(INDEX('Tables - Part 2'!$AX$6:$BA$13,MATCH(CUI_SCC_Chloride!AH16,'Tables - Part 2'!$AV$6:$AV$13,0),MATCH(CUI_SCC_Chloride!X16,'Tables - Part 2'!$AX$5:$BA$5,0))+((INDEX('Tables - Part 2'!$AX$6:$BA$13,MATCH(CUI_SCC_Chloride!AH16,'Tables - Part 2'!$AV$6:$AV$13,0),MATCH(CUI_SCC_Chloride!X16,'Tables - Part 2'!$AX$5:$BA$5,0))+INDEX('Tables - Part 2'!$BB$6:$BE$13,MATCH(CUI_SCC_Chloride!$AH16,'Tables - Part 2'!$AV$6:$AV$13,0),MATCH(CUI_SCC_Chloride!$X16,'Tables - Part 2'!$AX$5:$BA$5,0)))/2))/2)/2,0)</f>
        <v>0</v>
      </c>
      <c r="AU16" s="248">
        <f>IF($W16=$AU$3,(INDEX('Tables - Part 2'!$AX$6:$BA$13,MATCH(CUI_SCC_Chloride!AH16,'Tables - Part 2'!$AV$6:$AV$13,0),MATCH(CUI_SCC_Chloride!X16,'Tables - Part 2'!$AX$5:$BA$5,0))+((INDEX('Tables - Part 2'!$AX$6:$BA$13,MATCH(CUI_SCC_Chloride!AH16,'Tables - Part 2'!$AV$6:$AV$13,0),MATCH(CUI_SCC_Chloride!X16,'Tables - Part 2'!$AX$5:$BA$5,0))+INDEX('Tables - Part 2'!$BB$6:$BE$13,MATCH(CUI_SCC_Chloride!$AH16,'Tables - Part 2'!$AV$6:$AV$13,0),MATCH(CUI_SCC_Chloride!$X16,'Tables - Part 2'!$AX$5:$BA$5,0)))/2))/2,0)</f>
        <v>0</v>
      </c>
      <c r="AV16" s="248">
        <f>IF($W16=$AV$3,(((INDEX('Tables - Part 2'!$AX$6:$BA$13,MATCH(CUI_SCC_Chloride!AH16,'Tables - Part 2'!$AV$6:$AV$13,0),MATCH(CUI_SCC_Chloride!X16,'Tables - Part 2'!$AX$5:$BA$5,0))+((INDEX('Tables - Part 2'!$AX$6:$BA$13,MATCH(CUI_SCC_Chloride!AH16,'Tables - Part 2'!$AV$6:$AV$13,0),MATCH(CUI_SCC_Chloride!X16,'Tables - Part 2'!$AX$5:$BA$5,0))+INDEX('Tables - Part 2'!$BB$6:$BE$13,MATCH(CUI_SCC_Chloride!$AH16,'Tables - Part 2'!$AV$6:$AV$13,0),MATCH(CUI_SCC_Chloride!$X16,'Tables - Part 2'!$AX$5:$BA$5,0)))/2))/2)+(INDEX('Tables - Part 2'!$AX$6:$BA$13,MATCH(CUI_SCC_Chloride!AH16,'Tables - Part 2'!$AV$6:$AV$13,0),MATCH(CUI_SCC_Chloride!X16,'Tables - Part 2'!$AX$5:$BA$5,0))+INDEX('Tables - Part 2'!$BB$6:$BE$13,MATCH(CUI_SCC_Chloride!$AH16,'Tables - Part 2'!$AV$6:$AV$13,0),MATCH(CUI_SCC_Chloride!$X16,'Tables - Part 2'!$AX$5:$BA$5,0)))/2)/2,0)</f>
        <v>0</v>
      </c>
      <c r="AW16" s="248">
        <f>IF($W16=$AW$3,(INDEX('Tables - Part 2'!$AX$6:$BA$13,MATCH(CUI_SCC_Chloride!AH16,'Tables - Part 2'!$AV$6:$AV$13,0),MATCH(CUI_SCC_Chloride!X16,'Tables - Part 2'!$AX$5:$BA$5,0))+INDEX('Tables - Part 2'!$BB$6:$BE$13,MATCH(CUI_SCC_Chloride!$AH16,'Tables - Part 2'!$AV$6:$AV$13,0),MATCH(CUI_SCC_Chloride!$X16,'Tables - Part 2'!$AX$5:$BA$5,0)))/2,0)</f>
        <v>0</v>
      </c>
      <c r="AX16" s="248">
        <f>IF($W16=$AX$3,(((INDEX('Tables - Part 2'!$AX$6:$BA$13,MATCH(CUI_SCC_Chloride!AH16,'Tables - Part 2'!$AV$6:$AV$13,0),MATCH(CUI_SCC_Chloride!X16,'Tables - Part 2'!$AX$5:$BA$5,0))+INDEX('Tables - Part 2'!$BB$6:$BE$13,MATCH(CUI_SCC_Chloride!$AH16,'Tables - Part 2'!$AV$6:$AV$13,0),MATCH(CUI_SCC_Chloride!$X16,'Tables - Part 2'!$AX$5:$BA$5,0)))/2)+(((INDEX('Tables - Part 2'!$AX$6:$BA$13,MATCH(CUI_SCC_Chloride!AH16,'Tables - Part 2'!$AV$6:$AV$13,0),MATCH(CUI_SCC_Chloride!X16,'Tables - Part 2'!$AX$5:$BA$5,0))+INDEX('Tables - Part 2'!$BB$6:$BE$13,MATCH(CUI_SCC_Chloride!$AH16,'Tables - Part 2'!$AV$6:$AV$13,0),MATCH(CUI_SCC_Chloride!$X16,'Tables - Part 2'!$AX$5:$BA$5,0)))/2)+INDEX('Tables - Part 2'!$BB$6:$BE$13,MATCH(CUI_SCC_Chloride!$AH16,'Tables - Part 2'!$AV$6:$AV$13,0),MATCH(CUI_SCC_Chloride!$X16,'Tables - Part 2'!$AX$5:$BA$5,0)))/2)/2,0)</f>
        <v>0</v>
      </c>
      <c r="AY16" s="248">
        <f>IF($W16=$AY$3,(((INDEX('Tables - Part 2'!$AX$6:$BA$13,MATCH(CUI_SCC_Chloride!AH16,'Tables - Part 2'!$AV$6:$AV$13,0),MATCH(CUI_SCC_Chloride!X16,'Tables - Part 2'!$AX$5:$BA$5,0))+INDEX('Tables - Part 2'!$BB$6:$BE$13,MATCH(CUI_SCC_Chloride!$AH16,'Tables - Part 2'!$AV$6:$AV$13,0),MATCH(CUI_SCC_Chloride!$X16,'Tables - Part 2'!$AX$5:$BA$5,0)))/2)+INDEX('Tables - Part 2'!$BB$6:$BE$13,MATCH(CUI_SCC_Chloride!$AH16,'Tables - Part 2'!$AV$6:$AV$13,0),MATCH(CUI_SCC_Chloride!$X16,'Tables - Part 2'!$AX$5:$BA$5,0)))/2,0)</f>
        <v>0</v>
      </c>
      <c r="AZ16" s="248">
        <f>IF($W16=$AZ$3,(((((INDEX('Tables - Part 2'!$AX$6:$BA$13,MATCH(CUI_SCC_Chloride!AH16,'Tables - Part 2'!$AV$6:$AV$13,0),MATCH(CUI_SCC_Chloride!X16,'Tables - Part 2'!$AX$5:$BA$5,0))+INDEX('Tables - Part 2'!$BB$6:$BE$13,MATCH(CUI_SCC_Chloride!$AH16,'Tables - Part 2'!$AV$6:$AV$13,0),MATCH(CUI_SCC_Chloride!$X16,'Tables - Part 2'!$AX$5:$BA$5,0)))/2)+INDEX('Tables - Part 2'!$BB$6:$BE$13,MATCH(CUI_SCC_Chloride!$AH16,'Tables - Part 2'!$AV$6:$AV$13,0),MATCH(CUI_SCC_Chloride!$X16,'Tables - Part 2'!$AX$5:$BA$5,0)))/2)+INDEX('Tables - Part 2'!$BB$6:$BE$13,MATCH(CUI_SCC_Chloride!$AH16,'Tables - Part 2'!$AV$6:$AV$13,0),MATCH(CUI_SCC_Chloride!$X16,'Tables - Part 2'!$AX$5:$BA$5,0)))/2,0)</f>
        <v>0</v>
      </c>
      <c r="BA16" s="248">
        <f>IF($W16=$BA$3,INDEX('Tables - Part 2'!$BB$6:$BE$13,MATCH(CUI_SCC_Chloride!$AH16,'Tables - Part 2'!$AV$6:$AV$13,0),MATCH(CUI_SCC_Chloride!$X16,'Tables - Part 2'!$AX$5:$BA$5,0)),0)</f>
        <v>0</v>
      </c>
      <c r="BB16" s="248">
        <f>IF($W16=$BB$3,((INDEX('Tables - Part 2'!$BB$6:$BE$13,MATCH(CUI_SCC_Chloride!$AH16,'Tables - Part 2'!$AV$6:$AV$13,0),MATCH(CUI_SCC_Chloride!$X16,'Tables - Part 2'!$AX$5:$BA$5,0)))+(INDEX('Tables - Part 2'!$BB$6:$BE$13,MATCH(CUI_SCC_Chloride!$AH16,'Tables - Part 2'!$AV$6:$AV$13,0),MATCH(CUI_SCC_Chloride!$X16,'Tables - Part 2'!$AX$5:$BA$5,0))+(INDEX('Tables - Part 2'!$BB$6:$BE$13,MATCH(CUI_SCC_Chloride!$AH16,'Tables - Part 2'!$AV$6:$AV$13,0),MATCH(CUI_SCC_Chloride!$X16,'Tables - Part 2'!$AX$5:$BA$5,0))+INDEX('Tables - Part 2'!$BF$6:$BI$13,MATCH(CUI_SCC_Chloride!$AH16,'Tables - Part 2'!$AV$6:$AV$13,0),MATCH(CUI_SCC_Chloride!$X16,'Tables - Part 2'!$AX$5:$BA$5,0)))/2)/2)/2,0)</f>
        <v>0</v>
      </c>
      <c r="BC16" s="248">
        <f>IF($W16=$BC$3,(INDEX('Tables - Part 2'!$BB$6:$BE$13,MATCH(CUI_SCC_Chloride!$AH16,'Tables - Part 2'!$AV$6:$AV$13,0),MATCH(CUI_SCC_Chloride!$X16,'Tables - Part 2'!$AX$5:$BA$5,0))+(INDEX('Tables - Part 2'!$BB$6:$BE$13,MATCH(CUI_SCC_Chloride!$AH16,'Tables - Part 2'!$AV$6:$AV$13,0),MATCH(CUI_SCC_Chloride!$X16,'Tables - Part 2'!$AX$5:$BA$5,0))+INDEX('Tables - Part 2'!$BF$6:$BI$13,MATCH(CUI_SCC_Chloride!$AH16,'Tables - Part 2'!$AV$6:$AV$13,0),MATCH(CUI_SCC_Chloride!$X16,'Tables - Part 2'!$AX$5:$BA$5,0)))/2)/2,0)</f>
        <v>0</v>
      </c>
      <c r="BD16" s="248">
        <f>IF($W16=$BD$3,(((INDEX('Tables - Part 2'!$BB$6:$BE$13,MATCH(CUI_SCC_Chloride!$AH16,'Tables - Part 2'!$AV$6:$AV$13,0),MATCH(CUI_SCC_Chloride!$X16,'Tables - Part 2'!$AX$5:$BA$5,0))+(INDEX('Tables - Part 2'!$BB$6:$BE$13,MATCH(CUI_SCC_Chloride!$AH16,'Tables - Part 2'!$AV$6:$AV$13,0),MATCH(CUI_SCC_Chloride!$X16,'Tables - Part 2'!$AX$5:$BA$5,0))+INDEX('Tables - Part 2'!$BF$6:$BI$13,MATCH(CUI_SCC_Chloride!$AH16,'Tables - Part 2'!$AV$6:$AV$13,0),MATCH(CUI_SCC_Chloride!$X16,'Tables - Part 2'!$AX$5:$BA$5,0)))/2)/2)+((INDEX('Tables - Part 2'!$BB$6:$BE$13,MATCH(CUI_SCC_Chloride!$AH16,'Tables - Part 2'!$AV$6:$AV$13,0),MATCH(CUI_SCC_Chloride!$X16,'Tables - Part 2'!$AX$5:$BA$5,0))+INDEX('Tables - Part 2'!$BF$6:$BI$13,MATCH(CUI_SCC_Chloride!$AH16,'Tables - Part 2'!$AV$6:$AV$13,0),MATCH(CUI_SCC_Chloride!$X16,'Tables - Part 2'!$AX$5:$BA$5,0)))/2))/2,0)</f>
        <v>0</v>
      </c>
      <c r="BE16" s="248">
        <f>IF($W16=$BE$3,(INDEX('Tables - Part 2'!$BB$6:$BE$13,MATCH(CUI_SCC_Chloride!$AH16,'Tables - Part 2'!$AV$6:$AV$13,0),MATCH(CUI_SCC_Chloride!$X16,'Tables - Part 2'!$AX$5:$BA$5,0))+INDEX('Tables - Part 2'!$BF$6:$BI$13,MATCH(CUI_SCC_Chloride!$AH16,'Tables - Part 2'!$AV$6:$AV$13,0),MATCH(CUI_SCC_Chloride!$X16,'Tables - Part 2'!$AX$5:$BA$5,0)))/2,0)</f>
        <v>0</v>
      </c>
      <c r="BF16" s="248">
        <f>IF($W16=$BF$3,(((INDEX('Tables - Part 2'!$BB$6:$BE$13,MATCH(CUI_SCC_Chloride!$AH16,'Tables - Part 2'!$AV$6:$AV$13,0),MATCH(CUI_SCC_Chloride!$X16,'Tables - Part 2'!$AX$5:$BA$5,0))+INDEX('Tables - Part 2'!$BF$6:$BI$13,MATCH(CUI_SCC_Chloride!$AH16,'Tables - Part 2'!$AV$6:$AV$13,0),MATCH(CUI_SCC_Chloride!$X16,'Tables - Part 2'!$AX$5:$BA$5,0)))/2)+((((INDEX('Tables - Part 2'!$BB$6:$BE$13,MATCH(CUI_SCC_Chloride!$AH16,'Tables - Part 2'!$AV$6:$AV$13,0),MATCH(CUI_SCC_Chloride!$X16,'Tables - Part 2'!$AX$5:$BA$5,0))+INDEX('Tables - Part 2'!$BF$6:$BI$13,MATCH(CUI_SCC_Chloride!$AH16,'Tables - Part 2'!$AV$6:$AV$13,0),MATCH(CUI_SCC_Chloride!$X16,'Tables - Part 2'!$AX$5:$BA$5,0)))/2)+INDEX('Tables - Part 2'!$BF$6:$BI$13,MATCH(CUI_SCC_Chloride!$AH16,'Tables - Part 2'!$AV$6:$AV$13,0),MATCH(CUI_SCC_Chloride!$X16,'Tables - Part 2'!$AX$5:$BA$5,0)))/2))/2,0)</f>
        <v>0</v>
      </c>
      <c r="BG16" s="248">
        <f>IF($W16=$BG$3,(((INDEX('Tables - Part 2'!$BB$6:$BE$13,MATCH(CUI_SCC_Chloride!$AH16,'Tables - Part 2'!$AV$6:$AV$13,0),MATCH(CUI_SCC_Chloride!$X16,'Tables - Part 2'!$AX$5:$BA$5,0))+INDEX('Tables - Part 2'!$BF$6:$BI$13,MATCH(CUI_SCC_Chloride!$AH16,'Tables - Part 2'!$AV$6:$AV$13,0),MATCH(CUI_SCC_Chloride!$X16,'Tables - Part 2'!$AX$5:$BA$5,0)))/2)+INDEX('Tables - Part 2'!$BF$6:$BI$13,MATCH(CUI_SCC_Chloride!$AH16,'Tables - Part 2'!$AV$6:$AV$13,0),MATCH(CUI_SCC_Chloride!$X16,'Tables - Part 2'!$AX$5:$BA$5,0)))/2,0)</f>
        <v>0</v>
      </c>
      <c r="BH16" s="248">
        <f>IF($W16=$BH$3,(((((INDEX('Tables - Part 2'!$BB$6:$BE$13,MATCH(CUI_SCC_Chloride!$AH16,'Tables - Part 2'!$AV$6:$AV$13,0),MATCH(CUI_SCC_Chloride!$X16,'Tables - Part 2'!$AX$5:$BA$5,0))+INDEX('Tables - Part 2'!$BF$6:$BI$13,MATCH(CUI_SCC_Chloride!$AH16,'Tables - Part 2'!$AV$6:$AV$13,0),MATCH(CUI_SCC_Chloride!$X16,'Tables - Part 2'!$AX$5:$BA$5,0)))/2)+INDEX('Tables - Part 2'!$BF$6:$BI$13,MATCH(CUI_SCC_Chloride!$AH16,'Tables - Part 2'!$AV$6:$AV$13,0),MATCH(CUI_SCC_Chloride!$X16,'Tables - Part 2'!$AX$5:$BA$5,0)))/2)+INDEX('Tables - Part 2'!$BF$6:$BI$13,MATCH(CUI_SCC_Chloride!$AH16,'Tables - Part 2'!$AV$6:$AV$13,0),MATCH(CUI_SCC_Chloride!$X16,'Tables - Part 2'!$AX$5:$BA$5,0)))/2,0)</f>
        <v>0</v>
      </c>
      <c r="BI16" s="248">
        <f>IF($W16=$BI$3,INDEX('Tables - Part 2'!$BF$6:$BI$13,MATCH(CUI_SCC_Chloride!$AH16,'Tables - Part 2'!$AV$6:$AV$13,0),MATCH(CUI_SCC_Chloride!$X16,'Tables - Part 2'!$AX$5:$BA$5,0)),0)</f>
        <v>0</v>
      </c>
      <c r="BJ16" s="248">
        <f>IF($W16=$BJ$3,(INDEX('Tables - Part 2'!$BF$6:$BI$13,MATCH(CUI_SCC_Chloride!$AH16,'Tables - Part 2'!$AV$6:$AV$13,0),MATCH(CUI_SCC_Chloride!$X16,'Tables - Part 2'!$AX$5:$BA$5,0))+((INDEX('Tables - Part 2'!$BF$6:$BI$13,MATCH(CUI_SCC_Chloride!$AH16,'Tables - Part 2'!$AV$6:$AV$13,0),MATCH(CUI_SCC_Chloride!$X16,'Tables - Part 2'!$AX$5:$BA$5,0))+(INDEX('Tables - Part 2'!$BF$6:$BI$13,MATCH(CUI_SCC_Chloride!$AH16,'Tables - Part 2'!$AV$6:$AV$13,0),MATCH(CUI_SCC_Chloride!$X16,'Tables - Part 2'!$AX$5:$BA$5,0))+INDEX('Tables - Part 2'!$AX$17:$BA$24,MATCH(CUI_SCC_Chloride!$AH16,'Tables - Part 2'!$AV$6:$AV$13,0),MATCH(CUI_SCC_Chloride!$X16,'Tables - Part 2'!$AX$5:$BA$5,0)))/2)/2))/2,0)</f>
        <v>0</v>
      </c>
      <c r="BK16" s="248">
        <f>IF($W16=$BK$3,(INDEX('Tables - Part 2'!$BF$6:$BI$13,MATCH(CUI_SCC_Chloride!$AH16,'Tables - Part 2'!$AV$6:$AV$13,0),MATCH(CUI_SCC_Chloride!$X16,'Tables - Part 2'!$AX$5:$BA$5,0))+(INDEX('Tables - Part 2'!$BF$6:$BI$13,MATCH(CUI_SCC_Chloride!$AH16,'Tables - Part 2'!$AV$6:$AV$13,0),MATCH(CUI_SCC_Chloride!$X16,'Tables - Part 2'!$AX$5:$BA$5,0))+INDEX('Tables - Part 2'!$AX$17:$BA$24,MATCH(CUI_SCC_Chloride!$AH16,'Tables - Part 2'!$AV$6:$AV$13,0),MATCH(CUI_SCC_Chloride!$X16,'Tables - Part 2'!$AX$5:$BA$5,0)))/2)/2,0)</f>
        <v>0</v>
      </c>
      <c r="BL16" s="248">
        <f>IF($W16=$BL$3,(((INDEX('Tables - Part 2'!$BF$6:$BI$13,MATCH(CUI_SCC_Chloride!$AH16,'Tables - Part 2'!$AV$6:$AV$13,0),MATCH(CUI_SCC_Chloride!$X16,'Tables - Part 2'!$AX$5:$BA$5,0))+(INDEX('Tables - Part 2'!$BF$6:$BI$13,MATCH(CUI_SCC_Chloride!$AH16,'Tables - Part 2'!$AV$6:$AV$13,0),MATCH(CUI_SCC_Chloride!$X16,'Tables - Part 2'!$AX$5:$BA$5,0))+INDEX('Tables - Part 2'!$AX$17:$BA$24,MATCH(CUI_SCC_Chloride!$AH16,'Tables - Part 2'!$AV$6:$AV$13,0),MATCH(CUI_SCC_Chloride!$X16,'Tables - Part 2'!$AX$5:$BA$5,0)))/2)/2)+((INDEX('Tables - Part 2'!$BF$6:$BI$13,MATCH(CUI_SCC_Chloride!$AH16,'Tables - Part 2'!$AV$6:$AV$13,0),MATCH(CUI_SCC_Chloride!$X16,'Tables - Part 2'!$AX$5:$BA$5,0))+INDEX('Tables - Part 2'!$AX$17:$BA$24,MATCH(CUI_SCC_Chloride!$AH16,'Tables - Part 2'!$AV$6:$AV$13,0),MATCH(CUI_SCC_Chloride!$X16,'Tables - Part 2'!$AX$5:$BA$5,0)))/2))/2,0)</f>
        <v>0</v>
      </c>
      <c r="BM16" s="248">
        <f>IF($W16=$BM$3,(INDEX('Tables - Part 2'!$BF$6:$BI$13,MATCH(CUI_SCC_Chloride!$AH16,'Tables - Part 2'!$AV$6:$AV$13,0),MATCH(CUI_SCC_Chloride!$X16,'Tables - Part 2'!$AX$5:$BA$5,0))+INDEX('Tables - Part 2'!$AX$17:$BA$24,MATCH(CUI_SCC_Chloride!$AH16,'Tables - Part 2'!$AV$6:$AV$13,0),MATCH(CUI_SCC_Chloride!$X16,'Tables - Part 2'!$AX$5:$BA$5,0)))/2,0)</f>
        <v>0</v>
      </c>
      <c r="BN16" s="248">
        <f>IF($W16=$BN$3,(((INDEX('Tables - Part 2'!$BF$6:$BI$13,MATCH(CUI_SCC_Chloride!$AH16,'Tables - Part 2'!$AV$6:$AV$13,0),MATCH(CUI_SCC_Chloride!$X16,'Tables - Part 2'!$AX$5:$BA$5,0))+INDEX('Tables - Part 2'!$AX$17:$BA$24,MATCH(CUI_SCC_Chloride!$AH16,'Tables - Part 2'!$AV$6:$AV$13,0),MATCH(CUI_SCC_Chloride!$X16,'Tables - Part 2'!$AX$5:$BA$5,0)))/2)+((((INDEX('Tables - Part 2'!$BF$6:$BI$13,MATCH(CUI_SCC_Chloride!$AH16,'Tables - Part 2'!$AV$6:$AV$13,0),MATCH(CUI_SCC_Chloride!$X16,'Tables - Part 2'!$AX$5:$BA$5,0))+INDEX('Tables - Part 2'!$AX$17:$BA$24,MATCH(CUI_SCC_Chloride!$AH16,'Tables - Part 2'!$AV$6:$AV$13,0),MATCH(CUI_SCC_Chloride!$X16,'Tables - Part 2'!$AX$5:$BA$5,0)))/2)+INDEX('Tables - Part 2'!$AX$17:$BA$24,MATCH(CUI_SCC_Chloride!$AH16,'Tables - Part 2'!$AV$6:$AV$13,0),MATCH(CUI_SCC_Chloride!$X16,'Tables - Part 2'!$AX$5:$BA$5,0)))/2))/2,0)</f>
        <v>0</v>
      </c>
      <c r="BO16" s="248">
        <f>IF($W16=$BO$3,(((INDEX('Tables - Part 2'!$BF$6:$BI$13,MATCH(CUI_SCC_Chloride!$AH16,'Tables - Part 2'!$AV$6:$AV$13,0),MATCH(CUI_SCC_Chloride!$X16,'Tables - Part 2'!$AX$5:$BA$5,0))+INDEX('Tables - Part 2'!$AX$17:$BA$24,MATCH(CUI_SCC_Chloride!$AH16,'Tables - Part 2'!$AV$6:$AV$13,0),MATCH(CUI_SCC_Chloride!$X16,'Tables - Part 2'!$AX$5:$BA$5,0)))/2)+INDEX('Tables - Part 2'!$AX$17:$BA$24,MATCH(CUI_SCC_Chloride!$AH16,'Tables - Part 2'!$AV$6:$AV$13,0),MATCH(CUI_SCC_Chloride!$X16,'Tables - Part 2'!$AX$5:$BA$5,0)))/2,0)</f>
        <v>0</v>
      </c>
      <c r="BP16" s="248">
        <f>IF($W16=$BP$3,(((((INDEX('Tables - Part 2'!$BF$6:$BI$13,MATCH(CUI_SCC_Chloride!$AH16,'Tables - Part 2'!$AV$6:$AV$13,0),MATCH(CUI_SCC_Chloride!$X16,'Tables - Part 2'!$AX$5:$BA$5,0))+INDEX('Tables - Part 2'!$AX$17:$BA$24,MATCH(CUI_SCC_Chloride!$AH16,'Tables - Part 2'!$AV$6:$AV$13,0),MATCH(CUI_SCC_Chloride!$X16,'Tables - Part 2'!$AX$5:$BA$5,0)))/2)+INDEX('Tables - Part 2'!$AX$17:$BA$24,MATCH(CUI_SCC_Chloride!$AH16,'Tables - Part 2'!$AV$6:$AV$13,0),MATCH(CUI_SCC_Chloride!$X16,'Tables - Part 2'!$AX$5:$BA$5,0)))/2)+(INDEX('Tables - Part 2'!$AX$17:$BA$24,MATCH(CUI_SCC_Chloride!$AH16,'Tables - Part 2'!$AV$6:$AV$13,0),MATCH(CUI_SCC_Chloride!$X16,'Tables - Part 2'!$AX$5:$BA$5,0))))/2,0)</f>
        <v>0</v>
      </c>
      <c r="BQ16" s="248">
        <f>IF($W16=$BQ$3,INDEX('Tables - Part 2'!$AX$17:$BA$24,MATCH(CUI_SCC_Chloride!$AH16,'Tables - Part 2'!$AV$6:$AV$13,0),MATCH(CUI_SCC_Chloride!$X16,'Tables - Part 2'!$AX$5:$BA$5,0)),0)</f>
        <v>0</v>
      </c>
      <c r="BR16" s="248">
        <f>IF($W16=$BR$3,((INDEX('Tables - Part 2'!$AX$17:$BA$24,MATCH(CUI_SCC_Chloride!$AH16,'Tables - Part 2'!$AV$6:$AV$13,0),MATCH(CUI_SCC_Chloride!$X16,'Tables - Part 2'!$AX$5:$BA$5,0)))+(((INDEX('Tables - Part 2'!$AX$17:$BA$24,MATCH(CUI_SCC_Chloride!$AH16,'Tables - Part 2'!$AV$6:$AV$13,0),MATCH(CUI_SCC_Chloride!$X16,'Tables - Part 2'!$AX$5:$BA$5,0)))+(INDEX('Tables - Part 2'!$AX$17:$BA$24,MATCH(CUI_SCC_Chloride!$AH16,'Tables - Part 2'!$AV$6:$AV$13,0),MATCH(CUI_SCC_Chloride!$X16,'Tables - Part 2'!$AX$5:$BA$5,0))+INDEX('Tables - Part 2'!$BB$17:$BE$24,MATCH(CUI_SCC_Chloride!$AH16,'Tables - Part 2'!$AV$6:$AV$13,0),MATCH(CUI_SCC_Chloride!$X16,'Tables - Part 2'!$AX$5:$BA$5,0)))/2)/2))/2,0)</f>
        <v>0</v>
      </c>
      <c r="BS16" s="248">
        <f>IF($W16=$BS$3,((INDEX('Tables - Part 2'!$AX$17:$BA$24,MATCH(CUI_SCC_Chloride!$AH16,'Tables - Part 2'!$AV$6:$AV$13,0),MATCH(CUI_SCC_Chloride!$X16,'Tables - Part 2'!$AX$5:$BA$5,0)))+(INDEX('Tables - Part 2'!$AX$17:$BA$24,MATCH(CUI_SCC_Chloride!$AH16,'Tables - Part 2'!$AV$6:$AV$13,0),MATCH(CUI_SCC_Chloride!$X16,'Tables - Part 2'!$AX$5:$BA$5,0))+INDEX('Tables - Part 2'!$BB$17:$BE$24,MATCH(CUI_SCC_Chloride!$AH16,'Tables - Part 2'!$AV$6:$AV$13,0),MATCH(CUI_SCC_Chloride!$X16,'Tables - Part 2'!$AX$5:$BA$5,0)))/2)/2,0)</f>
        <v>0</v>
      </c>
      <c r="BT16" s="248">
        <f>IF($W16=$BT$3,((((INDEX('Tables - Part 2'!$AX$17:$BA$24,MATCH(CUI_SCC_Chloride!$AH16,'Tables - Part 2'!$AV$6:$AV$13,0),MATCH(CUI_SCC_Chloride!$X16,'Tables - Part 2'!$AX$5:$BA$5,0)))+(INDEX('Tables - Part 2'!$AX$17:$BA$24,MATCH(CUI_SCC_Chloride!$AH16,'Tables - Part 2'!$AV$6:$AV$13,0),MATCH(CUI_SCC_Chloride!$X16,'Tables - Part 2'!$AX$5:$BA$5,0))+INDEX('Tables - Part 2'!$BB$17:$BE$24,MATCH(CUI_SCC_Chloride!$AH16,'Tables - Part 2'!$AV$6:$AV$13,0),MATCH(CUI_SCC_Chloride!$X16,'Tables - Part 2'!$AX$5:$BA$5,0)))/2)/2)+((INDEX('Tables - Part 2'!$AX$17:$BA$24,MATCH(CUI_SCC_Chloride!$AH16,'Tables - Part 2'!$AV$6:$AV$13,0),MATCH(CUI_SCC_Chloride!$X16,'Tables - Part 2'!$AX$5:$BA$5,0))+INDEX('Tables - Part 2'!$BB$17:$BE$24,MATCH(CUI_SCC_Chloride!$AH16,'Tables - Part 2'!$AV$6:$AV$13,0),MATCH(CUI_SCC_Chloride!$X16,'Tables - Part 2'!$AX$5:$BA$5,0)))/2))/2,0)</f>
        <v>0</v>
      </c>
      <c r="BU16" s="248">
        <f>IF($W16=$BU$3,(INDEX('Tables - Part 2'!$AX$17:$BA$24,MATCH(CUI_SCC_Chloride!$AH16,'Tables - Part 2'!$AV$6:$AV$13,0),MATCH(CUI_SCC_Chloride!$X16,'Tables - Part 2'!$AX$5:$BA$5,0))+INDEX('Tables - Part 2'!$BB$17:$BE$24,MATCH(CUI_SCC_Chloride!$AH16,'Tables - Part 2'!$AV$6:$AV$13,0),MATCH(CUI_SCC_Chloride!$X16,'Tables - Part 2'!$AX$5:$BA$5,0)))/2,0)</f>
        <v>0</v>
      </c>
      <c r="BV16" s="248">
        <f>IF($W16=$BV$3,(((INDEX('Tables - Part 2'!$AX$17:$BA$24,MATCH(CUI_SCC_Chloride!$AH16,'Tables - Part 2'!$AV$6:$AV$13,0),MATCH(CUI_SCC_Chloride!$X16,'Tables - Part 2'!$AX$5:$BA$5,0))+INDEX('Tables - Part 2'!$BB$17:$BE$24,MATCH(CUI_SCC_Chloride!$AH16,'Tables - Part 2'!$AV$6:$AV$13,0),MATCH(CUI_SCC_Chloride!$X16,'Tables - Part 2'!$AX$5:$BA$5,0)))/2)+((((INDEX('Tables - Part 2'!$AX$17:$BA$24,MATCH(CUI_SCC_Chloride!$AH16,'Tables - Part 2'!$AV$6:$AV$13,0),MATCH(CUI_SCC_Chloride!$X16,'Tables - Part 2'!$AX$5:$BA$5,0))+INDEX('Tables - Part 2'!$BB$17:$BE$24,MATCH(CUI_SCC_Chloride!$AH16,'Tables - Part 2'!$AV$6:$AV$13,0),MATCH(CUI_SCC_Chloride!$X16,'Tables - Part 2'!$AX$5:$BA$5,0)))/2)+INDEX('Tables - Part 2'!$BB$17:$BE$24,MATCH(CUI_SCC_Chloride!$AH16,'Tables - Part 2'!$AV$6:$AV$13,0),MATCH(CUI_SCC_Chloride!$X16,'Tables - Part 2'!$AX$5:$BA$5,0)))/2))/2,0)</f>
        <v>0</v>
      </c>
      <c r="BW16" s="248">
        <f>IF($W16=$BW$3,(((INDEX('Tables - Part 2'!$AX$17:$BA$24,MATCH(CUI_SCC_Chloride!$AH16,'Tables - Part 2'!$AV$6:$AV$13,0),MATCH(CUI_SCC_Chloride!$X16,'Tables - Part 2'!$AX$5:$BA$5,0))+INDEX('Tables - Part 2'!$BB$17:$BE$24,MATCH(CUI_SCC_Chloride!$AH16,'Tables - Part 2'!$AV$6:$AV$13,0),MATCH(CUI_SCC_Chloride!$X16,'Tables - Part 2'!$AX$5:$BA$5,0)))/2)+INDEX('Tables - Part 2'!$BB$17:$BE$24,MATCH(CUI_SCC_Chloride!$AH16,'Tables - Part 2'!$AV$6:$AV$13,0),MATCH(CUI_SCC_Chloride!$X16,'Tables - Part 2'!$AX$5:$BA$5,0)))/2,0)</f>
        <v>0</v>
      </c>
      <c r="BX16" s="248">
        <f>IF($W16=$BX$3,(((((INDEX('Tables - Part 2'!$AX$17:$BA$24,MATCH(CUI_SCC_Chloride!$AH16,'Tables - Part 2'!$AV$6:$AV$13,0),MATCH(CUI_SCC_Chloride!$X16,'Tables - Part 2'!$AX$5:$BA$5,0))+INDEX('Tables - Part 2'!$BB$17:$BE$24,MATCH(CUI_SCC_Chloride!$AH16,'Tables - Part 2'!$AV$6:$AV$13,0),MATCH(CUI_SCC_Chloride!$X16,'Tables - Part 2'!$AX$5:$BA$5,0)))/2)+INDEX('Tables - Part 2'!$BB$17:$BE$24,MATCH(CUI_SCC_Chloride!$AH16,'Tables - Part 2'!$AV$6:$AV$13,0),MATCH(CUI_SCC_Chloride!$X16,'Tables - Part 2'!$AX$5:$BA$5,0)))/2)+(INDEX('Tables - Part 2'!$BB$17:$BE$24,MATCH(CUI_SCC_Chloride!$AH16,'Tables - Part 2'!$AV$6:$AV$13,0),MATCH(CUI_SCC_Chloride!$X16,'Tables - Part 2'!$AX$5:$BA$5,0))))/2,0)</f>
        <v>0</v>
      </c>
      <c r="BY16" s="248">
        <f>IF($W16=$BY$3,INDEX('Tables - Part 2'!$BB$17:$BE$24,MATCH(CUI_SCC_Chloride!$AH16,'Tables - Part 2'!$AV$6:$AV$13,0),MATCH(CUI_SCC_Chloride!$X16,'Tables - Part 2'!$AX$5:$BA$5,0)),0)</f>
        <v>0</v>
      </c>
      <c r="BZ16" s="248">
        <f>IF($W16=$BZ$3,((INDEX('Tables - Part 2'!$BB$17:$BE$24,MATCH(CUI_SCC_Chloride!$AH16,'Tables - Part 2'!$AV$6:$AV$13,0),MATCH(CUI_SCC_Chloride!$X16,'Tables - Part 2'!$AX$5:$BA$5,0)))+(((INDEX('Tables - Part 2'!$BB$17:$BE$24,MATCH(CUI_SCC_Chloride!$AH16,'Tables - Part 2'!$AV$6:$AV$13,0),MATCH(CUI_SCC_Chloride!$X16,'Tables - Part 2'!$AX$5:$BA$5,0)))+(INDEX('Tables - Part 2'!$BB$17:$BE$24,MATCH(CUI_SCC_Chloride!$AH16,'Tables - Part 2'!$AV$6:$AV$13,0),MATCH(CUI_SCC_Chloride!$X16,'Tables - Part 2'!$AX$5:$BA$5,0))+INDEX('Tables - Part 2'!$BF$17:$BI$24,MATCH(CUI_SCC_Chloride!$AH16,'Tables - Part 2'!$AV$6:$AV$13,0),MATCH(CUI_SCC_Chloride!$X16,'Tables - Part 2'!$AX$5:$BA$5,0)))/2)/2))/2,0)</f>
        <v>0</v>
      </c>
      <c r="CA16" s="248">
        <f>IF($W16=$CA$3,((INDEX('Tables - Part 2'!$BB$17:$BE$24,MATCH(CUI_SCC_Chloride!$AH16,'Tables - Part 2'!$AV$6:$AV$13,0),MATCH(CUI_SCC_Chloride!$X16,'Tables - Part 2'!$AX$5:$BA$5,0)))+(INDEX('Tables - Part 2'!$BB$17:$BE$24,MATCH(CUI_SCC_Chloride!$AH16,'Tables - Part 2'!$AV$6:$AV$13,0),MATCH(CUI_SCC_Chloride!$X16,'Tables - Part 2'!$AX$5:$BA$5,0))+INDEX('Tables - Part 2'!$BF$17:$BI$24,MATCH(CUI_SCC_Chloride!$AH16,'Tables - Part 2'!$AV$6:$AV$13,0),MATCH(CUI_SCC_Chloride!$X16,'Tables - Part 2'!$AX$5:$BA$5,0)))/2)/2,0)</f>
        <v>0</v>
      </c>
      <c r="CB16" s="248">
        <f>IF($W16=$CB$3,((((INDEX('Tables - Part 2'!$BB$17:$BE$24,MATCH(CUI_SCC_Chloride!$AH16,'Tables - Part 2'!$AV$6:$AV$13,0),MATCH(CUI_SCC_Chloride!$X16,'Tables - Part 2'!$AX$5:$BA$5,0)))+(INDEX('Tables - Part 2'!$BB$17:$BE$24,MATCH(CUI_SCC_Chloride!$AH16,'Tables - Part 2'!$AV$6:$AV$13,0),MATCH(CUI_SCC_Chloride!$X16,'Tables - Part 2'!$AX$5:$BA$5,0))+INDEX('Tables - Part 2'!$BF$17:$BI$24,MATCH(CUI_SCC_Chloride!$AH16,'Tables - Part 2'!$AV$6:$AV$13,0),MATCH(CUI_SCC_Chloride!$X16,'Tables - Part 2'!$AX$5:$BA$5,0)))/2)/2)+((INDEX('Tables - Part 2'!$BB$17:$BE$24,MATCH(CUI_SCC_Chloride!$AH16,'Tables - Part 2'!$AV$6:$AV$13,0),MATCH(CUI_SCC_Chloride!$X16,'Tables - Part 2'!$AX$5:$BA$5,0))+INDEX('Tables - Part 2'!$BF$17:$BI$24,MATCH(CUI_SCC_Chloride!$AH16,'Tables - Part 2'!$AV$6:$AV$13,0),MATCH(CUI_SCC_Chloride!$X16,'Tables - Part 2'!$AX$5:$BA$5,0)))/2))/2,0)</f>
        <v>0</v>
      </c>
      <c r="CC16" s="248">
        <f>IF($W16=$CC$3,(INDEX('Tables - Part 2'!$BB$17:$BE$24,MATCH(CUI_SCC_Chloride!$AH16,'Tables - Part 2'!$AV$6:$AV$13,0),MATCH(CUI_SCC_Chloride!$X16,'Tables - Part 2'!$AX$5:$BA$5,0))+INDEX('Tables - Part 2'!$BF$17:$BI$24,MATCH(CUI_SCC_Chloride!$AH16,'Tables - Part 2'!$AV$6:$AV$13,0),MATCH(CUI_SCC_Chloride!$X16,'Tables - Part 2'!$AX$5:$BA$5,0)))/2,0)</f>
        <v>0</v>
      </c>
      <c r="CD16" s="248">
        <f>IF($W16=$CD$3,(((INDEX('Tables - Part 2'!$BB$17:$BE$24,MATCH(CUI_SCC_Chloride!$AH16,'Tables - Part 2'!$AV$6:$AV$13,0),MATCH(CUI_SCC_Chloride!$X16,'Tables - Part 2'!$AX$5:$BA$5,0))+INDEX('Tables - Part 2'!$BF$17:$BI$24,MATCH(CUI_SCC_Chloride!$AH16,'Tables - Part 2'!$AV$6:$AV$13,0),MATCH(CUI_SCC_Chloride!$X16,'Tables - Part 2'!$AX$5:$BA$5,0)))/2)+((((INDEX('Tables - Part 2'!$BB$17:$BE$24,MATCH(CUI_SCC_Chloride!$AH16,'Tables - Part 2'!$AV$6:$AV$13,0),MATCH(CUI_SCC_Chloride!$X16,'Tables - Part 2'!$AX$5:$BA$5,0))+INDEX('Tables - Part 2'!$BF$17:$BI$24,MATCH(CUI_SCC_Chloride!$AH16,'Tables - Part 2'!$AV$6:$AV$13,0),MATCH(CUI_SCC_Chloride!$X16,'Tables - Part 2'!$AX$5:$BA$5,0)))/2)+INDEX('Tables - Part 2'!$BF$17:$BI$24,MATCH(CUI_SCC_Chloride!$AH16,'Tables - Part 2'!$AV$6:$AV$13,0),MATCH(CUI_SCC_Chloride!$X16,'Tables - Part 2'!$AX$5:$BA$5,0)))/2))/2,0)</f>
        <v>0</v>
      </c>
      <c r="CE16" s="248">
        <f>IF($W16=$CE$3,(((INDEX('Tables - Part 2'!$BB$17:$BE$24,MATCH(CUI_SCC_Chloride!$AH16,'Tables - Part 2'!$AV$6:$AV$13,0),MATCH(CUI_SCC_Chloride!$X16,'Tables - Part 2'!$AX$5:$BA$5,0))+INDEX('Tables - Part 2'!$BF$17:$BI$24,MATCH(CUI_SCC_Chloride!$AH16,'Tables - Part 2'!$AV$6:$AV$13,0),MATCH(CUI_SCC_Chloride!$X16,'Tables - Part 2'!$AX$5:$BA$5,0)))/2)+INDEX('Tables - Part 2'!$BF$17:$BI$24,MATCH(CUI_SCC_Chloride!$AH16,'Tables - Part 2'!$AV$6:$AV$13,0),MATCH(CUI_SCC_Chloride!$X16,'Tables - Part 2'!$AX$5:$BA$5,0)))/2,0)</f>
        <v>0</v>
      </c>
      <c r="CF16" s="248">
        <f>IF($W16=$CF$3,(((((INDEX('Tables - Part 2'!$BB$17:$BE$24,MATCH(CUI_SCC_Chloride!$AH16,'Tables - Part 2'!$AV$6:$AV$13,0),MATCH(CUI_SCC_Chloride!$X16,'Tables - Part 2'!$AX$5:$BA$5,0))+INDEX('Tables - Part 2'!$BF$17:$BI$24,MATCH(CUI_SCC_Chloride!$AH16,'Tables - Part 2'!$AV$6:$AV$13,0),MATCH(CUI_SCC_Chloride!$X16,'Tables - Part 2'!$AX$5:$BA$5,0)))/2)+INDEX('Tables - Part 2'!$BF$17:$BI$24,MATCH(CUI_SCC_Chloride!$AH16,'Tables - Part 2'!$AV$6:$AV$13,0),MATCH(CUI_SCC_Chloride!$X16,'Tables - Part 2'!$AX$5:$BA$5,0)))/2)+(INDEX('Tables - Part 2'!$BF$17:$BI$24,MATCH(CUI_SCC_Chloride!$AH16,'Tables - Part 2'!$AV$6:$AV$13,0),MATCH(CUI_SCC_Chloride!$X16,'Tables - Part 2'!$AX$5:$BA$5,0))))/2,0)</f>
        <v>0</v>
      </c>
      <c r="CG16" s="248">
        <f>IF($W16=$CG$3,INDEX('Tables - Part 2'!$BF$17:$BI$24,MATCH(CUI_SCC_Chloride!$AH16,'Tables - Part 2'!$AV$6:$AV$13,0),MATCH(CUI_SCC_Chloride!$X16,'Tables - Part 2'!$AX$5:$BA$5,0)),0)</f>
        <v>0</v>
      </c>
      <c r="CH16" s="248">
        <f t="shared" si="5"/>
        <v>0</v>
      </c>
      <c r="CI16" s="238">
        <f t="shared" si="19"/>
        <v>0</v>
      </c>
      <c r="CJ16" s="238">
        <f t="shared" si="20"/>
        <v>0</v>
      </c>
    </row>
    <row r="17" spans="2:88" x14ac:dyDescent="0.35">
      <c r="B17" s="161" t="str">
        <f>'Tratamento de Dados'!B25</f>
        <v>V-7</v>
      </c>
      <c r="C17" s="161" t="str">
        <f>'Tratamento de Dados'!D25</f>
        <v>Casco</v>
      </c>
      <c r="D17" s="209" t="s">
        <v>245</v>
      </c>
      <c r="E17" s="209" t="s">
        <v>61</v>
      </c>
      <c r="F17" s="247">
        <f>'Tratamento de Dados'!S25</f>
        <v>2</v>
      </c>
      <c r="G17" s="209" t="s">
        <v>953</v>
      </c>
      <c r="H17" s="210">
        <v>35234</v>
      </c>
      <c r="I17" s="210">
        <v>43983</v>
      </c>
      <c r="J17" s="210">
        <v>39092</v>
      </c>
      <c r="K17" s="210">
        <f>'Tratamento de Dados'!CC25</f>
        <v>0</v>
      </c>
      <c r="L17" s="209">
        <f>'Tratamento de Dados'!CD25</f>
        <v>0</v>
      </c>
      <c r="M17" s="209" t="s">
        <v>905</v>
      </c>
      <c r="N17" s="209" t="s">
        <v>1081</v>
      </c>
      <c r="O17" s="209" t="s">
        <v>1081</v>
      </c>
      <c r="P17" s="209" t="s">
        <v>244</v>
      </c>
      <c r="Q17" s="209">
        <v>0</v>
      </c>
      <c r="R17" s="209">
        <v>1</v>
      </c>
      <c r="S17" s="209">
        <v>1</v>
      </c>
      <c r="T17" s="209">
        <v>4</v>
      </c>
      <c r="U17" s="253">
        <f>'Tratamento de Dados'!DA25</f>
        <v>0</v>
      </c>
      <c r="V17" s="253">
        <f>'Tratamento de Dados'!DB25</f>
        <v>0</v>
      </c>
      <c r="W17" s="256">
        <f t="shared" si="0"/>
        <v>2.5</v>
      </c>
      <c r="X17" s="246" t="str">
        <f t="shared" si="1"/>
        <v>B</v>
      </c>
      <c r="Y17" s="246" t="str">
        <f>IF(F17&lt;49,'Tables - Part 2'!$FH$5,IF(F17&lt;=93,'Tables - Part 2'!$FH$6,IF(F17&lt;=149,'Tables - Part 2'!$FH$7,'Tables - Part 2'!$FH$8)))</f>
        <v>&lt;49</v>
      </c>
      <c r="Z17" s="246" t="str">
        <f>IF(D17=$CO$2,$CM$5,INDEX('Tables - Part 2'!$FR$5:$FU$8,MATCH(CUI_SCC_Chloride!Y17,'Tables - Part 2'!$FQ$5:$FQ$8,0),MATCH(CUI_SCC_Chloride!M17,'Tables - Part 2'!$FR$4:$FU$4,0)))</f>
        <v>None</v>
      </c>
      <c r="AA17" s="246" t="str">
        <f t="shared" si="6"/>
        <v>None</v>
      </c>
      <c r="AB17" s="219">
        <f t="shared" si="7"/>
        <v>0</v>
      </c>
      <c r="AC17" s="246" t="str">
        <f t="shared" si="8"/>
        <v>None</v>
      </c>
      <c r="AD17" s="219">
        <f t="shared" si="9"/>
        <v>0</v>
      </c>
      <c r="AE17" s="246" t="str">
        <f t="shared" si="10"/>
        <v>None</v>
      </c>
      <c r="AF17" s="219">
        <f t="shared" si="11"/>
        <v>0</v>
      </c>
      <c r="AG17" s="467" t="str">
        <f t="shared" si="12"/>
        <v>None</v>
      </c>
      <c r="AH17" s="238">
        <f>IF(AND(D17=$CO$2,E17&lt;&gt;$CO$2),"Fitness-For-Service",INDEX('Tables - Part 2'!$FO$4:$FO$7,MATCH(CUI_SCC_Chloride!AG17,'Tables - Part 2'!$FN$4:$FN$7,0),))</f>
        <v>0</v>
      </c>
      <c r="AI17" s="238">
        <f>IF(J17=0,(Thinning!G18-Thinning!F18)/365.25,(Thinning!G18-J17)/365.25)</f>
        <v>12.980150581793293</v>
      </c>
      <c r="AJ17" s="248">
        <f t="shared" si="2"/>
        <v>0</v>
      </c>
      <c r="AK17" s="248">
        <f t="shared" si="3"/>
        <v>2.5</v>
      </c>
      <c r="AL17" s="247">
        <f t="shared" si="13"/>
        <v>3</v>
      </c>
      <c r="AM17" s="247">
        <f t="shared" si="4"/>
        <v>4</v>
      </c>
      <c r="AN17" s="247">
        <f t="shared" si="14"/>
        <v>120.41889117043121</v>
      </c>
      <c r="AO17" s="247">
        <f t="shared" si="15"/>
        <v>0</v>
      </c>
      <c r="AP17" s="247">
        <f t="shared" si="16"/>
        <v>0</v>
      </c>
      <c r="AQ17" s="247">
        <f t="shared" si="17"/>
        <v>0</v>
      </c>
      <c r="AR17" s="247">
        <f t="shared" si="18"/>
        <v>12.980150581793293</v>
      </c>
      <c r="AS17" s="248">
        <f>IF($W17=$AS$3,INDEX('Tables - Part 2'!$AX$6:$BA$13,MATCH(CUI_SCC_Chloride!AH17,'Tables - Part 2'!$AV$6:$AV$13,0),MATCH(CUI_SCC_Chloride!X17,'Tables - Part 2'!$AX$5:$BA$5,0)),0)</f>
        <v>0</v>
      </c>
      <c r="AT17" s="248">
        <f>IF($W17=$AT$3,(INDEX('Tables - Part 2'!$AX$6:$BA$13,MATCH(CUI_SCC_Chloride!AH17,'Tables - Part 2'!$AV$6:$AV$13,0),MATCH(CUI_SCC_Chloride!X17,'Tables - Part 2'!$AX$5:$BA$5,0))+(INDEX('Tables - Part 2'!$AX$6:$BA$13,MATCH(CUI_SCC_Chloride!AH17,'Tables - Part 2'!$AV$6:$AV$13,0),MATCH(CUI_SCC_Chloride!X17,'Tables - Part 2'!$AX$5:$BA$5,0))+((INDEX('Tables - Part 2'!$AX$6:$BA$13,MATCH(CUI_SCC_Chloride!AH17,'Tables - Part 2'!$AV$6:$AV$13,0),MATCH(CUI_SCC_Chloride!X17,'Tables - Part 2'!$AX$5:$BA$5,0))+INDEX('Tables - Part 2'!$BB$6:$BE$13,MATCH(CUI_SCC_Chloride!$AH17,'Tables - Part 2'!$AV$6:$AV$13,0),MATCH(CUI_SCC_Chloride!$X17,'Tables - Part 2'!$AX$5:$BA$5,0)))/2))/2)/2,0)</f>
        <v>0</v>
      </c>
      <c r="AU17" s="248">
        <f>IF($W17=$AU$3,(INDEX('Tables - Part 2'!$AX$6:$BA$13,MATCH(CUI_SCC_Chloride!AH17,'Tables - Part 2'!$AV$6:$AV$13,0),MATCH(CUI_SCC_Chloride!X17,'Tables - Part 2'!$AX$5:$BA$5,0))+((INDEX('Tables - Part 2'!$AX$6:$BA$13,MATCH(CUI_SCC_Chloride!AH17,'Tables - Part 2'!$AV$6:$AV$13,0),MATCH(CUI_SCC_Chloride!X17,'Tables - Part 2'!$AX$5:$BA$5,0))+INDEX('Tables - Part 2'!$BB$6:$BE$13,MATCH(CUI_SCC_Chloride!$AH17,'Tables - Part 2'!$AV$6:$AV$13,0),MATCH(CUI_SCC_Chloride!$X17,'Tables - Part 2'!$AX$5:$BA$5,0)))/2))/2,0)</f>
        <v>0</v>
      </c>
      <c r="AV17" s="248">
        <f>IF($W17=$AV$3,(((INDEX('Tables - Part 2'!$AX$6:$BA$13,MATCH(CUI_SCC_Chloride!AH17,'Tables - Part 2'!$AV$6:$AV$13,0),MATCH(CUI_SCC_Chloride!X17,'Tables - Part 2'!$AX$5:$BA$5,0))+((INDEX('Tables - Part 2'!$AX$6:$BA$13,MATCH(CUI_SCC_Chloride!AH17,'Tables - Part 2'!$AV$6:$AV$13,0),MATCH(CUI_SCC_Chloride!X17,'Tables - Part 2'!$AX$5:$BA$5,0))+INDEX('Tables - Part 2'!$BB$6:$BE$13,MATCH(CUI_SCC_Chloride!$AH17,'Tables - Part 2'!$AV$6:$AV$13,0),MATCH(CUI_SCC_Chloride!$X17,'Tables - Part 2'!$AX$5:$BA$5,0)))/2))/2)+(INDEX('Tables - Part 2'!$AX$6:$BA$13,MATCH(CUI_SCC_Chloride!AH17,'Tables - Part 2'!$AV$6:$AV$13,0),MATCH(CUI_SCC_Chloride!X17,'Tables - Part 2'!$AX$5:$BA$5,0))+INDEX('Tables - Part 2'!$BB$6:$BE$13,MATCH(CUI_SCC_Chloride!$AH17,'Tables - Part 2'!$AV$6:$AV$13,0),MATCH(CUI_SCC_Chloride!$X17,'Tables - Part 2'!$AX$5:$BA$5,0)))/2)/2,0)</f>
        <v>0</v>
      </c>
      <c r="AW17" s="248">
        <f>IF($W17=$AW$3,(INDEX('Tables - Part 2'!$AX$6:$BA$13,MATCH(CUI_SCC_Chloride!AH17,'Tables - Part 2'!$AV$6:$AV$13,0),MATCH(CUI_SCC_Chloride!X17,'Tables - Part 2'!$AX$5:$BA$5,0))+INDEX('Tables - Part 2'!$BB$6:$BE$13,MATCH(CUI_SCC_Chloride!$AH17,'Tables - Part 2'!$AV$6:$AV$13,0),MATCH(CUI_SCC_Chloride!$X17,'Tables - Part 2'!$AX$5:$BA$5,0)))/2,0)</f>
        <v>0</v>
      </c>
      <c r="AX17" s="248">
        <f>IF($W17=$AX$3,(((INDEX('Tables - Part 2'!$AX$6:$BA$13,MATCH(CUI_SCC_Chloride!AH17,'Tables - Part 2'!$AV$6:$AV$13,0),MATCH(CUI_SCC_Chloride!X17,'Tables - Part 2'!$AX$5:$BA$5,0))+INDEX('Tables - Part 2'!$BB$6:$BE$13,MATCH(CUI_SCC_Chloride!$AH17,'Tables - Part 2'!$AV$6:$AV$13,0),MATCH(CUI_SCC_Chloride!$X17,'Tables - Part 2'!$AX$5:$BA$5,0)))/2)+(((INDEX('Tables - Part 2'!$AX$6:$BA$13,MATCH(CUI_SCC_Chloride!AH17,'Tables - Part 2'!$AV$6:$AV$13,0),MATCH(CUI_SCC_Chloride!X17,'Tables - Part 2'!$AX$5:$BA$5,0))+INDEX('Tables - Part 2'!$BB$6:$BE$13,MATCH(CUI_SCC_Chloride!$AH17,'Tables - Part 2'!$AV$6:$AV$13,0),MATCH(CUI_SCC_Chloride!$X17,'Tables - Part 2'!$AX$5:$BA$5,0)))/2)+INDEX('Tables - Part 2'!$BB$6:$BE$13,MATCH(CUI_SCC_Chloride!$AH17,'Tables - Part 2'!$AV$6:$AV$13,0),MATCH(CUI_SCC_Chloride!$X17,'Tables - Part 2'!$AX$5:$BA$5,0)))/2)/2,0)</f>
        <v>0</v>
      </c>
      <c r="AY17" s="248">
        <f>IF($W17=$AY$3,(((INDEX('Tables - Part 2'!$AX$6:$BA$13,MATCH(CUI_SCC_Chloride!AH17,'Tables - Part 2'!$AV$6:$AV$13,0),MATCH(CUI_SCC_Chloride!X17,'Tables - Part 2'!$AX$5:$BA$5,0))+INDEX('Tables - Part 2'!$BB$6:$BE$13,MATCH(CUI_SCC_Chloride!$AH17,'Tables - Part 2'!$AV$6:$AV$13,0),MATCH(CUI_SCC_Chloride!$X17,'Tables - Part 2'!$AX$5:$BA$5,0)))/2)+INDEX('Tables - Part 2'!$BB$6:$BE$13,MATCH(CUI_SCC_Chloride!$AH17,'Tables - Part 2'!$AV$6:$AV$13,0),MATCH(CUI_SCC_Chloride!$X17,'Tables - Part 2'!$AX$5:$BA$5,0)))/2,0)</f>
        <v>0</v>
      </c>
      <c r="AZ17" s="248">
        <f>IF($W17=$AZ$3,(((((INDEX('Tables - Part 2'!$AX$6:$BA$13,MATCH(CUI_SCC_Chloride!AH17,'Tables - Part 2'!$AV$6:$AV$13,0),MATCH(CUI_SCC_Chloride!X17,'Tables - Part 2'!$AX$5:$BA$5,0))+INDEX('Tables - Part 2'!$BB$6:$BE$13,MATCH(CUI_SCC_Chloride!$AH17,'Tables - Part 2'!$AV$6:$AV$13,0),MATCH(CUI_SCC_Chloride!$X17,'Tables - Part 2'!$AX$5:$BA$5,0)))/2)+INDEX('Tables - Part 2'!$BB$6:$BE$13,MATCH(CUI_SCC_Chloride!$AH17,'Tables - Part 2'!$AV$6:$AV$13,0),MATCH(CUI_SCC_Chloride!$X17,'Tables - Part 2'!$AX$5:$BA$5,0)))/2)+INDEX('Tables - Part 2'!$BB$6:$BE$13,MATCH(CUI_SCC_Chloride!$AH17,'Tables - Part 2'!$AV$6:$AV$13,0),MATCH(CUI_SCC_Chloride!$X17,'Tables - Part 2'!$AX$5:$BA$5,0)))/2,0)</f>
        <v>0</v>
      </c>
      <c r="BA17" s="248">
        <f>IF($W17=$BA$3,INDEX('Tables - Part 2'!$BB$6:$BE$13,MATCH(CUI_SCC_Chloride!$AH17,'Tables - Part 2'!$AV$6:$AV$13,0),MATCH(CUI_SCC_Chloride!$X17,'Tables - Part 2'!$AX$5:$BA$5,0)),0)</f>
        <v>0</v>
      </c>
      <c r="BB17" s="248">
        <f>IF($W17=$BB$3,((INDEX('Tables - Part 2'!$BB$6:$BE$13,MATCH(CUI_SCC_Chloride!$AH17,'Tables - Part 2'!$AV$6:$AV$13,0),MATCH(CUI_SCC_Chloride!$X17,'Tables - Part 2'!$AX$5:$BA$5,0)))+(INDEX('Tables - Part 2'!$BB$6:$BE$13,MATCH(CUI_SCC_Chloride!$AH17,'Tables - Part 2'!$AV$6:$AV$13,0),MATCH(CUI_SCC_Chloride!$X17,'Tables - Part 2'!$AX$5:$BA$5,0))+(INDEX('Tables - Part 2'!$BB$6:$BE$13,MATCH(CUI_SCC_Chloride!$AH17,'Tables - Part 2'!$AV$6:$AV$13,0),MATCH(CUI_SCC_Chloride!$X17,'Tables - Part 2'!$AX$5:$BA$5,0))+INDEX('Tables - Part 2'!$BF$6:$BI$13,MATCH(CUI_SCC_Chloride!$AH17,'Tables - Part 2'!$AV$6:$AV$13,0),MATCH(CUI_SCC_Chloride!$X17,'Tables - Part 2'!$AX$5:$BA$5,0)))/2)/2)/2,0)</f>
        <v>0</v>
      </c>
      <c r="BC17" s="248">
        <f>IF($W17=$BC$3,(INDEX('Tables - Part 2'!$BB$6:$BE$13,MATCH(CUI_SCC_Chloride!$AH17,'Tables - Part 2'!$AV$6:$AV$13,0),MATCH(CUI_SCC_Chloride!$X17,'Tables - Part 2'!$AX$5:$BA$5,0))+(INDEX('Tables - Part 2'!$BB$6:$BE$13,MATCH(CUI_SCC_Chloride!$AH17,'Tables - Part 2'!$AV$6:$AV$13,0),MATCH(CUI_SCC_Chloride!$X17,'Tables - Part 2'!$AX$5:$BA$5,0))+INDEX('Tables - Part 2'!$BF$6:$BI$13,MATCH(CUI_SCC_Chloride!$AH17,'Tables - Part 2'!$AV$6:$AV$13,0),MATCH(CUI_SCC_Chloride!$X17,'Tables - Part 2'!$AX$5:$BA$5,0)))/2)/2,0)</f>
        <v>0</v>
      </c>
      <c r="BD17" s="248">
        <f>IF($W17=$BD$3,(((INDEX('Tables - Part 2'!$BB$6:$BE$13,MATCH(CUI_SCC_Chloride!$AH17,'Tables - Part 2'!$AV$6:$AV$13,0),MATCH(CUI_SCC_Chloride!$X17,'Tables - Part 2'!$AX$5:$BA$5,0))+(INDEX('Tables - Part 2'!$BB$6:$BE$13,MATCH(CUI_SCC_Chloride!$AH17,'Tables - Part 2'!$AV$6:$AV$13,0),MATCH(CUI_SCC_Chloride!$X17,'Tables - Part 2'!$AX$5:$BA$5,0))+INDEX('Tables - Part 2'!$BF$6:$BI$13,MATCH(CUI_SCC_Chloride!$AH17,'Tables - Part 2'!$AV$6:$AV$13,0),MATCH(CUI_SCC_Chloride!$X17,'Tables - Part 2'!$AX$5:$BA$5,0)))/2)/2)+((INDEX('Tables - Part 2'!$BB$6:$BE$13,MATCH(CUI_SCC_Chloride!$AH17,'Tables - Part 2'!$AV$6:$AV$13,0),MATCH(CUI_SCC_Chloride!$X17,'Tables - Part 2'!$AX$5:$BA$5,0))+INDEX('Tables - Part 2'!$BF$6:$BI$13,MATCH(CUI_SCC_Chloride!$AH17,'Tables - Part 2'!$AV$6:$AV$13,0),MATCH(CUI_SCC_Chloride!$X17,'Tables - Part 2'!$AX$5:$BA$5,0)))/2))/2,0)</f>
        <v>0</v>
      </c>
      <c r="BE17" s="248">
        <f>IF($W17=$BE$3,(INDEX('Tables - Part 2'!$BB$6:$BE$13,MATCH(CUI_SCC_Chloride!$AH17,'Tables - Part 2'!$AV$6:$AV$13,0),MATCH(CUI_SCC_Chloride!$X17,'Tables - Part 2'!$AX$5:$BA$5,0))+INDEX('Tables - Part 2'!$BF$6:$BI$13,MATCH(CUI_SCC_Chloride!$AH17,'Tables - Part 2'!$AV$6:$AV$13,0),MATCH(CUI_SCC_Chloride!$X17,'Tables - Part 2'!$AX$5:$BA$5,0)))/2,0)</f>
        <v>0</v>
      </c>
      <c r="BF17" s="248">
        <f>IF($W17=$BF$3,(((INDEX('Tables - Part 2'!$BB$6:$BE$13,MATCH(CUI_SCC_Chloride!$AH17,'Tables - Part 2'!$AV$6:$AV$13,0),MATCH(CUI_SCC_Chloride!$X17,'Tables - Part 2'!$AX$5:$BA$5,0))+INDEX('Tables - Part 2'!$BF$6:$BI$13,MATCH(CUI_SCC_Chloride!$AH17,'Tables - Part 2'!$AV$6:$AV$13,0),MATCH(CUI_SCC_Chloride!$X17,'Tables - Part 2'!$AX$5:$BA$5,0)))/2)+((((INDEX('Tables - Part 2'!$BB$6:$BE$13,MATCH(CUI_SCC_Chloride!$AH17,'Tables - Part 2'!$AV$6:$AV$13,0),MATCH(CUI_SCC_Chloride!$X17,'Tables - Part 2'!$AX$5:$BA$5,0))+INDEX('Tables - Part 2'!$BF$6:$BI$13,MATCH(CUI_SCC_Chloride!$AH17,'Tables - Part 2'!$AV$6:$AV$13,0),MATCH(CUI_SCC_Chloride!$X17,'Tables - Part 2'!$AX$5:$BA$5,0)))/2)+INDEX('Tables - Part 2'!$BF$6:$BI$13,MATCH(CUI_SCC_Chloride!$AH17,'Tables - Part 2'!$AV$6:$AV$13,0),MATCH(CUI_SCC_Chloride!$X17,'Tables - Part 2'!$AX$5:$BA$5,0)))/2))/2,0)</f>
        <v>0</v>
      </c>
      <c r="BG17" s="248">
        <f>IF($W17=$BG$3,(((INDEX('Tables - Part 2'!$BB$6:$BE$13,MATCH(CUI_SCC_Chloride!$AH17,'Tables - Part 2'!$AV$6:$AV$13,0),MATCH(CUI_SCC_Chloride!$X17,'Tables - Part 2'!$AX$5:$BA$5,0))+INDEX('Tables - Part 2'!$BF$6:$BI$13,MATCH(CUI_SCC_Chloride!$AH17,'Tables - Part 2'!$AV$6:$AV$13,0),MATCH(CUI_SCC_Chloride!$X17,'Tables - Part 2'!$AX$5:$BA$5,0)))/2)+INDEX('Tables - Part 2'!$BF$6:$BI$13,MATCH(CUI_SCC_Chloride!$AH17,'Tables - Part 2'!$AV$6:$AV$13,0),MATCH(CUI_SCC_Chloride!$X17,'Tables - Part 2'!$AX$5:$BA$5,0)))/2,0)</f>
        <v>0</v>
      </c>
      <c r="BH17" s="248">
        <f>IF($W17=$BH$3,(((((INDEX('Tables - Part 2'!$BB$6:$BE$13,MATCH(CUI_SCC_Chloride!$AH17,'Tables - Part 2'!$AV$6:$AV$13,0),MATCH(CUI_SCC_Chloride!$X17,'Tables - Part 2'!$AX$5:$BA$5,0))+INDEX('Tables - Part 2'!$BF$6:$BI$13,MATCH(CUI_SCC_Chloride!$AH17,'Tables - Part 2'!$AV$6:$AV$13,0),MATCH(CUI_SCC_Chloride!$X17,'Tables - Part 2'!$AX$5:$BA$5,0)))/2)+INDEX('Tables - Part 2'!$BF$6:$BI$13,MATCH(CUI_SCC_Chloride!$AH17,'Tables - Part 2'!$AV$6:$AV$13,0),MATCH(CUI_SCC_Chloride!$X17,'Tables - Part 2'!$AX$5:$BA$5,0)))/2)+INDEX('Tables - Part 2'!$BF$6:$BI$13,MATCH(CUI_SCC_Chloride!$AH17,'Tables - Part 2'!$AV$6:$AV$13,0),MATCH(CUI_SCC_Chloride!$X17,'Tables - Part 2'!$AX$5:$BA$5,0)))/2,0)</f>
        <v>0</v>
      </c>
      <c r="BI17" s="248">
        <f>IF($W17=$BI$3,INDEX('Tables - Part 2'!$BF$6:$BI$13,MATCH(CUI_SCC_Chloride!$AH17,'Tables - Part 2'!$AV$6:$AV$13,0),MATCH(CUI_SCC_Chloride!$X17,'Tables - Part 2'!$AX$5:$BA$5,0)),0)</f>
        <v>0</v>
      </c>
      <c r="BJ17" s="248">
        <f>IF($W17=$BJ$3,(INDEX('Tables - Part 2'!$BF$6:$BI$13,MATCH(CUI_SCC_Chloride!$AH17,'Tables - Part 2'!$AV$6:$AV$13,0),MATCH(CUI_SCC_Chloride!$X17,'Tables - Part 2'!$AX$5:$BA$5,0))+((INDEX('Tables - Part 2'!$BF$6:$BI$13,MATCH(CUI_SCC_Chloride!$AH17,'Tables - Part 2'!$AV$6:$AV$13,0),MATCH(CUI_SCC_Chloride!$X17,'Tables - Part 2'!$AX$5:$BA$5,0))+(INDEX('Tables - Part 2'!$BF$6:$BI$13,MATCH(CUI_SCC_Chloride!$AH17,'Tables - Part 2'!$AV$6:$AV$13,0),MATCH(CUI_SCC_Chloride!$X17,'Tables - Part 2'!$AX$5:$BA$5,0))+INDEX('Tables - Part 2'!$AX$17:$BA$24,MATCH(CUI_SCC_Chloride!$AH17,'Tables - Part 2'!$AV$6:$AV$13,0),MATCH(CUI_SCC_Chloride!$X17,'Tables - Part 2'!$AX$5:$BA$5,0)))/2)/2))/2,0)</f>
        <v>0</v>
      </c>
      <c r="BK17" s="248">
        <f>IF($W17=$BK$3,(INDEX('Tables - Part 2'!$BF$6:$BI$13,MATCH(CUI_SCC_Chloride!$AH17,'Tables - Part 2'!$AV$6:$AV$13,0),MATCH(CUI_SCC_Chloride!$X17,'Tables - Part 2'!$AX$5:$BA$5,0))+(INDEX('Tables - Part 2'!$BF$6:$BI$13,MATCH(CUI_SCC_Chloride!$AH17,'Tables - Part 2'!$AV$6:$AV$13,0),MATCH(CUI_SCC_Chloride!$X17,'Tables - Part 2'!$AX$5:$BA$5,0))+INDEX('Tables - Part 2'!$AX$17:$BA$24,MATCH(CUI_SCC_Chloride!$AH17,'Tables - Part 2'!$AV$6:$AV$13,0),MATCH(CUI_SCC_Chloride!$X17,'Tables - Part 2'!$AX$5:$BA$5,0)))/2)/2,0)</f>
        <v>0</v>
      </c>
      <c r="BL17" s="248">
        <f>IF($W17=$BL$3,(((INDEX('Tables - Part 2'!$BF$6:$BI$13,MATCH(CUI_SCC_Chloride!$AH17,'Tables - Part 2'!$AV$6:$AV$13,0),MATCH(CUI_SCC_Chloride!$X17,'Tables - Part 2'!$AX$5:$BA$5,0))+(INDEX('Tables - Part 2'!$BF$6:$BI$13,MATCH(CUI_SCC_Chloride!$AH17,'Tables - Part 2'!$AV$6:$AV$13,0),MATCH(CUI_SCC_Chloride!$X17,'Tables - Part 2'!$AX$5:$BA$5,0))+INDEX('Tables - Part 2'!$AX$17:$BA$24,MATCH(CUI_SCC_Chloride!$AH17,'Tables - Part 2'!$AV$6:$AV$13,0),MATCH(CUI_SCC_Chloride!$X17,'Tables - Part 2'!$AX$5:$BA$5,0)))/2)/2)+((INDEX('Tables - Part 2'!$BF$6:$BI$13,MATCH(CUI_SCC_Chloride!$AH17,'Tables - Part 2'!$AV$6:$AV$13,0),MATCH(CUI_SCC_Chloride!$X17,'Tables - Part 2'!$AX$5:$BA$5,0))+INDEX('Tables - Part 2'!$AX$17:$BA$24,MATCH(CUI_SCC_Chloride!$AH17,'Tables - Part 2'!$AV$6:$AV$13,0),MATCH(CUI_SCC_Chloride!$X17,'Tables - Part 2'!$AX$5:$BA$5,0)))/2))/2,0)</f>
        <v>0</v>
      </c>
      <c r="BM17" s="248">
        <f>IF($W17=$BM$3,(INDEX('Tables - Part 2'!$BF$6:$BI$13,MATCH(CUI_SCC_Chloride!$AH17,'Tables - Part 2'!$AV$6:$AV$13,0),MATCH(CUI_SCC_Chloride!$X17,'Tables - Part 2'!$AX$5:$BA$5,0))+INDEX('Tables - Part 2'!$AX$17:$BA$24,MATCH(CUI_SCC_Chloride!$AH17,'Tables - Part 2'!$AV$6:$AV$13,0),MATCH(CUI_SCC_Chloride!$X17,'Tables - Part 2'!$AX$5:$BA$5,0)))/2,0)</f>
        <v>0</v>
      </c>
      <c r="BN17" s="248">
        <f>IF($W17=$BN$3,(((INDEX('Tables - Part 2'!$BF$6:$BI$13,MATCH(CUI_SCC_Chloride!$AH17,'Tables - Part 2'!$AV$6:$AV$13,0),MATCH(CUI_SCC_Chloride!$X17,'Tables - Part 2'!$AX$5:$BA$5,0))+INDEX('Tables - Part 2'!$AX$17:$BA$24,MATCH(CUI_SCC_Chloride!$AH17,'Tables - Part 2'!$AV$6:$AV$13,0),MATCH(CUI_SCC_Chloride!$X17,'Tables - Part 2'!$AX$5:$BA$5,0)))/2)+((((INDEX('Tables - Part 2'!$BF$6:$BI$13,MATCH(CUI_SCC_Chloride!$AH17,'Tables - Part 2'!$AV$6:$AV$13,0),MATCH(CUI_SCC_Chloride!$X17,'Tables - Part 2'!$AX$5:$BA$5,0))+INDEX('Tables - Part 2'!$AX$17:$BA$24,MATCH(CUI_SCC_Chloride!$AH17,'Tables - Part 2'!$AV$6:$AV$13,0),MATCH(CUI_SCC_Chloride!$X17,'Tables - Part 2'!$AX$5:$BA$5,0)))/2)+INDEX('Tables - Part 2'!$AX$17:$BA$24,MATCH(CUI_SCC_Chloride!$AH17,'Tables - Part 2'!$AV$6:$AV$13,0),MATCH(CUI_SCC_Chloride!$X17,'Tables - Part 2'!$AX$5:$BA$5,0)))/2))/2,0)</f>
        <v>0</v>
      </c>
      <c r="BO17" s="248">
        <f>IF($W17=$BO$3,(((INDEX('Tables - Part 2'!$BF$6:$BI$13,MATCH(CUI_SCC_Chloride!$AH17,'Tables - Part 2'!$AV$6:$AV$13,0),MATCH(CUI_SCC_Chloride!$X17,'Tables - Part 2'!$AX$5:$BA$5,0))+INDEX('Tables - Part 2'!$AX$17:$BA$24,MATCH(CUI_SCC_Chloride!$AH17,'Tables - Part 2'!$AV$6:$AV$13,0),MATCH(CUI_SCC_Chloride!$X17,'Tables - Part 2'!$AX$5:$BA$5,0)))/2)+INDEX('Tables - Part 2'!$AX$17:$BA$24,MATCH(CUI_SCC_Chloride!$AH17,'Tables - Part 2'!$AV$6:$AV$13,0),MATCH(CUI_SCC_Chloride!$X17,'Tables - Part 2'!$AX$5:$BA$5,0)))/2,0)</f>
        <v>0</v>
      </c>
      <c r="BP17" s="248">
        <f>IF($W17=$BP$3,(((((INDEX('Tables - Part 2'!$BF$6:$BI$13,MATCH(CUI_SCC_Chloride!$AH17,'Tables - Part 2'!$AV$6:$AV$13,0),MATCH(CUI_SCC_Chloride!$X17,'Tables - Part 2'!$AX$5:$BA$5,0))+INDEX('Tables - Part 2'!$AX$17:$BA$24,MATCH(CUI_SCC_Chloride!$AH17,'Tables - Part 2'!$AV$6:$AV$13,0),MATCH(CUI_SCC_Chloride!$X17,'Tables - Part 2'!$AX$5:$BA$5,0)))/2)+INDEX('Tables - Part 2'!$AX$17:$BA$24,MATCH(CUI_SCC_Chloride!$AH17,'Tables - Part 2'!$AV$6:$AV$13,0),MATCH(CUI_SCC_Chloride!$X17,'Tables - Part 2'!$AX$5:$BA$5,0)))/2)+(INDEX('Tables - Part 2'!$AX$17:$BA$24,MATCH(CUI_SCC_Chloride!$AH17,'Tables - Part 2'!$AV$6:$AV$13,0),MATCH(CUI_SCC_Chloride!$X17,'Tables - Part 2'!$AX$5:$BA$5,0))))/2,0)</f>
        <v>0</v>
      </c>
      <c r="BQ17" s="248">
        <f>IF($W17=$BQ$3,INDEX('Tables - Part 2'!$AX$17:$BA$24,MATCH(CUI_SCC_Chloride!$AH17,'Tables - Part 2'!$AV$6:$AV$13,0),MATCH(CUI_SCC_Chloride!$X17,'Tables - Part 2'!$AX$5:$BA$5,0)),0)</f>
        <v>0</v>
      </c>
      <c r="BR17" s="248">
        <f>IF($W17=$BR$3,((INDEX('Tables - Part 2'!$AX$17:$BA$24,MATCH(CUI_SCC_Chloride!$AH17,'Tables - Part 2'!$AV$6:$AV$13,0),MATCH(CUI_SCC_Chloride!$X17,'Tables - Part 2'!$AX$5:$BA$5,0)))+(((INDEX('Tables - Part 2'!$AX$17:$BA$24,MATCH(CUI_SCC_Chloride!$AH17,'Tables - Part 2'!$AV$6:$AV$13,0),MATCH(CUI_SCC_Chloride!$X17,'Tables - Part 2'!$AX$5:$BA$5,0)))+(INDEX('Tables - Part 2'!$AX$17:$BA$24,MATCH(CUI_SCC_Chloride!$AH17,'Tables - Part 2'!$AV$6:$AV$13,0),MATCH(CUI_SCC_Chloride!$X17,'Tables - Part 2'!$AX$5:$BA$5,0))+INDEX('Tables - Part 2'!$BB$17:$BE$24,MATCH(CUI_SCC_Chloride!$AH17,'Tables - Part 2'!$AV$6:$AV$13,0),MATCH(CUI_SCC_Chloride!$X17,'Tables - Part 2'!$AX$5:$BA$5,0)))/2)/2))/2,0)</f>
        <v>0</v>
      </c>
      <c r="BS17" s="248">
        <f>IF($W17=$BS$3,((INDEX('Tables - Part 2'!$AX$17:$BA$24,MATCH(CUI_SCC_Chloride!$AH17,'Tables - Part 2'!$AV$6:$AV$13,0),MATCH(CUI_SCC_Chloride!$X17,'Tables - Part 2'!$AX$5:$BA$5,0)))+(INDEX('Tables - Part 2'!$AX$17:$BA$24,MATCH(CUI_SCC_Chloride!$AH17,'Tables - Part 2'!$AV$6:$AV$13,0),MATCH(CUI_SCC_Chloride!$X17,'Tables - Part 2'!$AX$5:$BA$5,0))+INDEX('Tables - Part 2'!$BB$17:$BE$24,MATCH(CUI_SCC_Chloride!$AH17,'Tables - Part 2'!$AV$6:$AV$13,0),MATCH(CUI_SCC_Chloride!$X17,'Tables - Part 2'!$AX$5:$BA$5,0)))/2)/2,0)</f>
        <v>0</v>
      </c>
      <c r="BT17" s="248">
        <f>IF($W17=$BT$3,((((INDEX('Tables - Part 2'!$AX$17:$BA$24,MATCH(CUI_SCC_Chloride!$AH17,'Tables - Part 2'!$AV$6:$AV$13,0),MATCH(CUI_SCC_Chloride!$X17,'Tables - Part 2'!$AX$5:$BA$5,0)))+(INDEX('Tables - Part 2'!$AX$17:$BA$24,MATCH(CUI_SCC_Chloride!$AH17,'Tables - Part 2'!$AV$6:$AV$13,0),MATCH(CUI_SCC_Chloride!$X17,'Tables - Part 2'!$AX$5:$BA$5,0))+INDEX('Tables - Part 2'!$BB$17:$BE$24,MATCH(CUI_SCC_Chloride!$AH17,'Tables - Part 2'!$AV$6:$AV$13,0),MATCH(CUI_SCC_Chloride!$X17,'Tables - Part 2'!$AX$5:$BA$5,0)))/2)/2)+((INDEX('Tables - Part 2'!$AX$17:$BA$24,MATCH(CUI_SCC_Chloride!$AH17,'Tables - Part 2'!$AV$6:$AV$13,0),MATCH(CUI_SCC_Chloride!$X17,'Tables - Part 2'!$AX$5:$BA$5,0))+INDEX('Tables - Part 2'!$BB$17:$BE$24,MATCH(CUI_SCC_Chloride!$AH17,'Tables - Part 2'!$AV$6:$AV$13,0),MATCH(CUI_SCC_Chloride!$X17,'Tables - Part 2'!$AX$5:$BA$5,0)))/2))/2,0)</f>
        <v>0</v>
      </c>
      <c r="BU17" s="248">
        <f>IF($W17=$BU$3,(INDEX('Tables - Part 2'!$AX$17:$BA$24,MATCH(CUI_SCC_Chloride!$AH17,'Tables - Part 2'!$AV$6:$AV$13,0),MATCH(CUI_SCC_Chloride!$X17,'Tables - Part 2'!$AX$5:$BA$5,0))+INDEX('Tables - Part 2'!$BB$17:$BE$24,MATCH(CUI_SCC_Chloride!$AH17,'Tables - Part 2'!$AV$6:$AV$13,0),MATCH(CUI_SCC_Chloride!$X17,'Tables - Part 2'!$AX$5:$BA$5,0)))/2,0)</f>
        <v>0</v>
      </c>
      <c r="BV17" s="248">
        <f>IF($W17=$BV$3,(((INDEX('Tables - Part 2'!$AX$17:$BA$24,MATCH(CUI_SCC_Chloride!$AH17,'Tables - Part 2'!$AV$6:$AV$13,0),MATCH(CUI_SCC_Chloride!$X17,'Tables - Part 2'!$AX$5:$BA$5,0))+INDEX('Tables - Part 2'!$BB$17:$BE$24,MATCH(CUI_SCC_Chloride!$AH17,'Tables - Part 2'!$AV$6:$AV$13,0),MATCH(CUI_SCC_Chloride!$X17,'Tables - Part 2'!$AX$5:$BA$5,0)))/2)+((((INDEX('Tables - Part 2'!$AX$17:$BA$24,MATCH(CUI_SCC_Chloride!$AH17,'Tables - Part 2'!$AV$6:$AV$13,0),MATCH(CUI_SCC_Chloride!$X17,'Tables - Part 2'!$AX$5:$BA$5,0))+INDEX('Tables - Part 2'!$BB$17:$BE$24,MATCH(CUI_SCC_Chloride!$AH17,'Tables - Part 2'!$AV$6:$AV$13,0),MATCH(CUI_SCC_Chloride!$X17,'Tables - Part 2'!$AX$5:$BA$5,0)))/2)+INDEX('Tables - Part 2'!$BB$17:$BE$24,MATCH(CUI_SCC_Chloride!$AH17,'Tables - Part 2'!$AV$6:$AV$13,0),MATCH(CUI_SCC_Chloride!$X17,'Tables - Part 2'!$AX$5:$BA$5,0)))/2))/2,0)</f>
        <v>0</v>
      </c>
      <c r="BW17" s="248">
        <f>IF($W17=$BW$3,(((INDEX('Tables - Part 2'!$AX$17:$BA$24,MATCH(CUI_SCC_Chloride!$AH17,'Tables - Part 2'!$AV$6:$AV$13,0),MATCH(CUI_SCC_Chloride!$X17,'Tables - Part 2'!$AX$5:$BA$5,0))+INDEX('Tables - Part 2'!$BB$17:$BE$24,MATCH(CUI_SCC_Chloride!$AH17,'Tables - Part 2'!$AV$6:$AV$13,0),MATCH(CUI_SCC_Chloride!$X17,'Tables - Part 2'!$AX$5:$BA$5,0)))/2)+INDEX('Tables - Part 2'!$BB$17:$BE$24,MATCH(CUI_SCC_Chloride!$AH17,'Tables - Part 2'!$AV$6:$AV$13,0),MATCH(CUI_SCC_Chloride!$X17,'Tables - Part 2'!$AX$5:$BA$5,0)))/2,0)</f>
        <v>0</v>
      </c>
      <c r="BX17" s="248">
        <f>IF($W17=$BX$3,(((((INDEX('Tables - Part 2'!$AX$17:$BA$24,MATCH(CUI_SCC_Chloride!$AH17,'Tables - Part 2'!$AV$6:$AV$13,0),MATCH(CUI_SCC_Chloride!$X17,'Tables - Part 2'!$AX$5:$BA$5,0))+INDEX('Tables - Part 2'!$BB$17:$BE$24,MATCH(CUI_SCC_Chloride!$AH17,'Tables - Part 2'!$AV$6:$AV$13,0),MATCH(CUI_SCC_Chloride!$X17,'Tables - Part 2'!$AX$5:$BA$5,0)))/2)+INDEX('Tables - Part 2'!$BB$17:$BE$24,MATCH(CUI_SCC_Chloride!$AH17,'Tables - Part 2'!$AV$6:$AV$13,0),MATCH(CUI_SCC_Chloride!$X17,'Tables - Part 2'!$AX$5:$BA$5,0)))/2)+(INDEX('Tables - Part 2'!$BB$17:$BE$24,MATCH(CUI_SCC_Chloride!$AH17,'Tables - Part 2'!$AV$6:$AV$13,0),MATCH(CUI_SCC_Chloride!$X17,'Tables - Part 2'!$AX$5:$BA$5,0))))/2,0)</f>
        <v>0</v>
      </c>
      <c r="BY17" s="248">
        <f>IF($W17=$BY$3,INDEX('Tables - Part 2'!$BB$17:$BE$24,MATCH(CUI_SCC_Chloride!$AH17,'Tables - Part 2'!$AV$6:$AV$13,0),MATCH(CUI_SCC_Chloride!$X17,'Tables - Part 2'!$AX$5:$BA$5,0)),0)</f>
        <v>0</v>
      </c>
      <c r="BZ17" s="248">
        <f>IF($W17=$BZ$3,((INDEX('Tables - Part 2'!$BB$17:$BE$24,MATCH(CUI_SCC_Chloride!$AH17,'Tables - Part 2'!$AV$6:$AV$13,0),MATCH(CUI_SCC_Chloride!$X17,'Tables - Part 2'!$AX$5:$BA$5,0)))+(((INDEX('Tables - Part 2'!$BB$17:$BE$24,MATCH(CUI_SCC_Chloride!$AH17,'Tables - Part 2'!$AV$6:$AV$13,0),MATCH(CUI_SCC_Chloride!$X17,'Tables - Part 2'!$AX$5:$BA$5,0)))+(INDEX('Tables - Part 2'!$BB$17:$BE$24,MATCH(CUI_SCC_Chloride!$AH17,'Tables - Part 2'!$AV$6:$AV$13,0),MATCH(CUI_SCC_Chloride!$X17,'Tables - Part 2'!$AX$5:$BA$5,0))+INDEX('Tables - Part 2'!$BF$17:$BI$24,MATCH(CUI_SCC_Chloride!$AH17,'Tables - Part 2'!$AV$6:$AV$13,0),MATCH(CUI_SCC_Chloride!$X17,'Tables - Part 2'!$AX$5:$BA$5,0)))/2)/2))/2,0)</f>
        <v>0</v>
      </c>
      <c r="CA17" s="248">
        <f>IF($W17=$CA$3,((INDEX('Tables - Part 2'!$BB$17:$BE$24,MATCH(CUI_SCC_Chloride!$AH17,'Tables - Part 2'!$AV$6:$AV$13,0),MATCH(CUI_SCC_Chloride!$X17,'Tables - Part 2'!$AX$5:$BA$5,0)))+(INDEX('Tables - Part 2'!$BB$17:$BE$24,MATCH(CUI_SCC_Chloride!$AH17,'Tables - Part 2'!$AV$6:$AV$13,0),MATCH(CUI_SCC_Chloride!$X17,'Tables - Part 2'!$AX$5:$BA$5,0))+INDEX('Tables - Part 2'!$BF$17:$BI$24,MATCH(CUI_SCC_Chloride!$AH17,'Tables - Part 2'!$AV$6:$AV$13,0),MATCH(CUI_SCC_Chloride!$X17,'Tables - Part 2'!$AX$5:$BA$5,0)))/2)/2,0)</f>
        <v>0</v>
      </c>
      <c r="CB17" s="248">
        <f>IF($W17=$CB$3,((((INDEX('Tables - Part 2'!$BB$17:$BE$24,MATCH(CUI_SCC_Chloride!$AH17,'Tables - Part 2'!$AV$6:$AV$13,0),MATCH(CUI_SCC_Chloride!$X17,'Tables - Part 2'!$AX$5:$BA$5,0)))+(INDEX('Tables - Part 2'!$BB$17:$BE$24,MATCH(CUI_SCC_Chloride!$AH17,'Tables - Part 2'!$AV$6:$AV$13,0),MATCH(CUI_SCC_Chloride!$X17,'Tables - Part 2'!$AX$5:$BA$5,0))+INDEX('Tables - Part 2'!$BF$17:$BI$24,MATCH(CUI_SCC_Chloride!$AH17,'Tables - Part 2'!$AV$6:$AV$13,0),MATCH(CUI_SCC_Chloride!$X17,'Tables - Part 2'!$AX$5:$BA$5,0)))/2)/2)+((INDEX('Tables - Part 2'!$BB$17:$BE$24,MATCH(CUI_SCC_Chloride!$AH17,'Tables - Part 2'!$AV$6:$AV$13,0),MATCH(CUI_SCC_Chloride!$X17,'Tables - Part 2'!$AX$5:$BA$5,0))+INDEX('Tables - Part 2'!$BF$17:$BI$24,MATCH(CUI_SCC_Chloride!$AH17,'Tables - Part 2'!$AV$6:$AV$13,0),MATCH(CUI_SCC_Chloride!$X17,'Tables - Part 2'!$AX$5:$BA$5,0)))/2))/2,0)</f>
        <v>0</v>
      </c>
      <c r="CC17" s="248">
        <f>IF($W17=$CC$3,(INDEX('Tables - Part 2'!$BB$17:$BE$24,MATCH(CUI_SCC_Chloride!$AH17,'Tables - Part 2'!$AV$6:$AV$13,0),MATCH(CUI_SCC_Chloride!$X17,'Tables - Part 2'!$AX$5:$BA$5,0))+INDEX('Tables - Part 2'!$BF$17:$BI$24,MATCH(CUI_SCC_Chloride!$AH17,'Tables - Part 2'!$AV$6:$AV$13,0),MATCH(CUI_SCC_Chloride!$X17,'Tables - Part 2'!$AX$5:$BA$5,0)))/2,0)</f>
        <v>0</v>
      </c>
      <c r="CD17" s="248">
        <f>IF($W17=$CD$3,(((INDEX('Tables - Part 2'!$BB$17:$BE$24,MATCH(CUI_SCC_Chloride!$AH17,'Tables - Part 2'!$AV$6:$AV$13,0),MATCH(CUI_SCC_Chloride!$X17,'Tables - Part 2'!$AX$5:$BA$5,0))+INDEX('Tables - Part 2'!$BF$17:$BI$24,MATCH(CUI_SCC_Chloride!$AH17,'Tables - Part 2'!$AV$6:$AV$13,0),MATCH(CUI_SCC_Chloride!$X17,'Tables - Part 2'!$AX$5:$BA$5,0)))/2)+((((INDEX('Tables - Part 2'!$BB$17:$BE$24,MATCH(CUI_SCC_Chloride!$AH17,'Tables - Part 2'!$AV$6:$AV$13,0),MATCH(CUI_SCC_Chloride!$X17,'Tables - Part 2'!$AX$5:$BA$5,0))+INDEX('Tables - Part 2'!$BF$17:$BI$24,MATCH(CUI_SCC_Chloride!$AH17,'Tables - Part 2'!$AV$6:$AV$13,0),MATCH(CUI_SCC_Chloride!$X17,'Tables - Part 2'!$AX$5:$BA$5,0)))/2)+INDEX('Tables - Part 2'!$BF$17:$BI$24,MATCH(CUI_SCC_Chloride!$AH17,'Tables - Part 2'!$AV$6:$AV$13,0),MATCH(CUI_SCC_Chloride!$X17,'Tables - Part 2'!$AX$5:$BA$5,0)))/2))/2,0)</f>
        <v>0</v>
      </c>
      <c r="CE17" s="248">
        <f>IF($W17=$CE$3,(((INDEX('Tables - Part 2'!$BB$17:$BE$24,MATCH(CUI_SCC_Chloride!$AH17,'Tables - Part 2'!$AV$6:$AV$13,0),MATCH(CUI_SCC_Chloride!$X17,'Tables - Part 2'!$AX$5:$BA$5,0))+INDEX('Tables - Part 2'!$BF$17:$BI$24,MATCH(CUI_SCC_Chloride!$AH17,'Tables - Part 2'!$AV$6:$AV$13,0),MATCH(CUI_SCC_Chloride!$X17,'Tables - Part 2'!$AX$5:$BA$5,0)))/2)+INDEX('Tables - Part 2'!$BF$17:$BI$24,MATCH(CUI_SCC_Chloride!$AH17,'Tables - Part 2'!$AV$6:$AV$13,0),MATCH(CUI_SCC_Chloride!$X17,'Tables - Part 2'!$AX$5:$BA$5,0)))/2,0)</f>
        <v>0</v>
      </c>
      <c r="CF17" s="248">
        <f>IF($W17=$CF$3,(((((INDEX('Tables - Part 2'!$BB$17:$BE$24,MATCH(CUI_SCC_Chloride!$AH17,'Tables - Part 2'!$AV$6:$AV$13,0),MATCH(CUI_SCC_Chloride!$X17,'Tables - Part 2'!$AX$5:$BA$5,0))+INDEX('Tables - Part 2'!$BF$17:$BI$24,MATCH(CUI_SCC_Chloride!$AH17,'Tables - Part 2'!$AV$6:$AV$13,0),MATCH(CUI_SCC_Chloride!$X17,'Tables - Part 2'!$AX$5:$BA$5,0)))/2)+INDEX('Tables - Part 2'!$BF$17:$BI$24,MATCH(CUI_SCC_Chloride!$AH17,'Tables - Part 2'!$AV$6:$AV$13,0),MATCH(CUI_SCC_Chloride!$X17,'Tables - Part 2'!$AX$5:$BA$5,0)))/2)+(INDEX('Tables - Part 2'!$BF$17:$BI$24,MATCH(CUI_SCC_Chloride!$AH17,'Tables - Part 2'!$AV$6:$AV$13,0),MATCH(CUI_SCC_Chloride!$X17,'Tables - Part 2'!$AX$5:$BA$5,0))))/2,0)</f>
        <v>0</v>
      </c>
      <c r="CG17" s="248">
        <f>IF($W17=$CG$3,INDEX('Tables - Part 2'!$BF$17:$BI$24,MATCH(CUI_SCC_Chloride!$AH17,'Tables - Part 2'!$AV$6:$AV$13,0),MATCH(CUI_SCC_Chloride!$X17,'Tables - Part 2'!$AX$5:$BA$5,0)),0)</f>
        <v>0</v>
      </c>
      <c r="CH17" s="248">
        <f t="shared" si="5"/>
        <v>0</v>
      </c>
      <c r="CI17" s="238">
        <f t="shared" si="19"/>
        <v>0</v>
      </c>
      <c r="CJ17" s="238">
        <f t="shared" si="20"/>
        <v>0</v>
      </c>
    </row>
    <row r="18" spans="2:88" x14ac:dyDescent="0.35">
      <c r="B18" s="161" t="str">
        <f>'Tratamento de Dados'!B26</f>
        <v>V-80</v>
      </c>
      <c r="C18" s="161" t="str">
        <f>'Tratamento de Dados'!D26</f>
        <v>Casco</v>
      </c>
      <c r="D18" s="209" t="s">
        <v>245</v>
      </c>
      <c r="E18" s="209" t="s">
        <v>61</v>
      </c>
      <c r="F18" s="247">
        <f>'Tratamento de Dados'!S26</f>
        <v>2</v>
      </c>
      <c r="G18" s="209" t="s">
        <v>953</v>
      </c>
      <c r="H18" s="210">
        <v>35234</v>
      </c>
      <c r="I18" s="210">
        <v>43983</v>
      </c>
      <c r="J18" s="210">
        <v>39092</v>
      </c>
      <c r="K18" s="210">
        <f>'Tratamento de Dados'!CC26</f>
        <v>0</v>
      </c>
      <c r="L18" s="209">
        <f>'Tratamento de Dados'!CD26</f>
        <v>0</v>
      </c>
      <c r="M18" s="209" t="s">
        <v>905</v>
      </c>
      <c r="N18" s="209" t="s">
        <v>1081</v>
      </c>
      <c r="O18" s="209" t="s">
        <v>1081</v>
      </c>
      <c r="P18" s="209" t="s">
        <v>244</v>
      </c>
      <c r="Q18" s="209">
        <v>0</v>
      </c>
      <c r="R18" s="209">
        <v>1</v>
      </c>
      <c r="S18" s="209">
        <v>1</v>
      </c>
      <c r="T18" s="209">
        <v>4</v>
      </c>
      <c r="U18" s="253">
        <f>'Tratamento de Dados'!DA26</f>
        <v>0</v>
      </c>
      <c r="V18" s="253">
        <f>'Tratamento de Dados'!DB26</f>
        <v>0</v>
      </c>
      <c r="W18" s="256">
        <f t="shared" si="0"/>
        <v>2.5</v>
      </c>
      <c r="X18" s="246" t="str">
        <f t="shared" si="1"/>
        <v>B</v>
      </c>
      <c r="Y18" s="246" t="str">
        <f>IF(F18&lt;49,'Tables - Part 2'!$FH$5,IF(F18&lt;=93,'Tables - Part 2'!$FH$6,IF(F18&lt;=149,'Tables - Part 2'!$FH$7,'Tables - Part 2'!$FH$8)))</f>
        <v>&lt;49</v>
      </c>
      <c r="Z18" s="246" t="str">
        <f>IF(D18=$CO$2,$CM$5,INDEX('Tables - Part 2'!$FR$5:$FU$8,MATCH(CUI_SCC_Chloride!Y18,'Tables - Part 2'!$FQ$5:$FQ$8,0),MATCH(CUI_SCC_Chloride!M18,'Tables - Part 2'!$FR$4:$FU$4,0)))</f>
        <v>None</v>
      </c>
      <c r="AA18" s="246" t="str">
        <f t="shared" si="6"/>
        <v>None</v>
      </c>
      <c r="AB18" s="219">
        <f t="shared" si="7"/>
        <v>0</v>
      </c>
      <c r="AC18" s="246" t="str">
        <f t="shared" si="8"/>
        <v>None</v>
      </c>
      <c r="AD18" s="219">
        <f t="shared" si="9"/>
        <v>0</v>
      </c>
      <c r="AE18" s="246" t="str">
        <f t="shared" si="10"/>
        <v>None</v>
      </c>
      <c r="AF18" s="219">
        <f t="shared" si="11"/>
        <v>0</v>
      </c>
      <c r="AG18" s="467" t="str">
        <f t="shared" si="12"/>
        <v>None</v>
      </c>
      <c r="AH18" s="238">
        <f>IF(AND(D18=$CO$2,E18&lt;&gt;$CO$2),"Fitness-For-Service",INDEX('Tables - Part 2'!$FO$4:$FO$7,MATCH(CUI_SCC_Chloride!AG18,'Tables - Part 2'!$FN$4:$FN$7,0),))</f>
        <v>0</v>
      </c>
      <c r="AI18" s="238">
        <f>IF(J18=0,(Thinning!G19-Thinning!F19)/365.25,(Thinning!G19-J18)/365.25)</f>
        <v>12.980150581793293</v>
      </c>
      <c r="AJ18" s="248">
        <f t="shared" si="2"/>
        <v>0</v>
      </c>
      <c r="AK18" s="248">
        <f t="shared" si="3"/>
        <v>2.5</v>
      </c>
      <c r="AL18" s="247">
        <f t="shared" si="13"/>
        <v>3</v>
      </c>
      <c r="AM18" s="247">
        <f t="shared" si="4"/>
        <v>4</v>
      </c>
      <c r="AN18" s="247">
        <f t="shared" si="14"/>
        <v>120.41889117043121</v>
      </c>
      <c r="AO18" s="247">
        <f t="shared" si="15"/>
        <v>0</v>
      </c>
      <c r="AP18" s="247">
        <f t="shared" si="16"/>
        <v>0</v>
      </c>
      <c r="AQ18" s="247">
        <f t="shared" si="17"/>
        <v>0</v>
      </c>
      <c r="AR18" s="247">
        <f t="shared" si="18"/>
        <v>12.980150581793293</v>
      </c>
      <c r="AS18" s="248">
        <f>IF($W18=$AS$3,INDEX('Tables - Part 2'!$AX$6:$BA$13,MATCH(CUI_SCC_Chloride!AH18,'Tables - Part 2'!$AV$6:$AV$13,0),MATCH(CUI_SCC_Chloride!X18,'Tables - Part 2'!$AX$5:$BA$5,0)),0)</f>
        <v>0</v>
      </c>
      <c r="AT18" s="248">
        <f>IF($W18=$AT$3,(INDEX('Tables - Part 2'!$AX$6:$BA$13,MATCH(CUI_SCC_Chloride!AH18,'Tables - Part 2'!$AV$6:$AV$13,0),MATCH(CUI_SCC_Chloride!X18,'Tables - Part 2'!$AX$5:$BA$5,0))+(INDEX('Tables - Part 2'!$AX$6:$BA$13,MATCH(CUI_SCC_Chloride!AH18,'Tables - Part 2'!$AV$6:$AV$13,0),MATCH(CUI_SCC_Chloride!X18,'Tables - Part 2'!$AX$5:$BA$5,0))+((INDEX('Tables - Part 2'!$AX$6:$BA$13,MATCH(CUI_SCC_Chloride!AH18,'Tables - Part 2'!$AV$6:$AV$13,0),MATCH(CUI_SCC_Chloride!X18,'Tables - Part 2'!$AX$5:$BA$5,0))+INDEX('Tables - Part 2'!$BB$6:$BE$13,MATCH(CUI_SCC_Chloride!$AH18,'Tables - Part 2'!$AV$6:$AV$13,0),MATCH(CUI_SCC_Chloride!$X18,'Tables - Part 2'!$AX$5:$BA$5,0)))/2))/2)/2,0)</f>
        <v>0</v>
      </c>
      <c r="AU18" s="248">
        <f>IF($W18=$AU$3,(INDEX('Tables - Part 2'!$AX$6:$BA$13,MATCH(CUI_SCC_Chloride!AH18,'Tables - Part 2'!$AV$6:$AV$13,0),MATCH(CUI_SCC_Chloride!X18,'Tables - Part 2'!$AX$5:$BA$5,0))+((INDEX('Tables - Part 2'!$AX$6:$BA$13,MATCH(CUI_SCC_Chloride!AH18,'Tables - Part 2'!$AV$6:$AV$13,0),MATCH(CUI_SCC_Chloride!X18,'Tables - Part 2'!$AX$5:$BA$5,0))+INDEX('Tables - Part 2'!$BB$6:$BE$13,MATCH(CUI_SCC_Chloride!$AH18,'Tables - Part 2'!$AV$6:$AV$13,0),MATCH(CUI_SCC_Chloride!$X18,'Tables - Part 2'!$AX$5:$BA$5,0)))/2))/2,0)</f>
        <v>0</v>
      </c>
      <c r="AV18" s="248">
        <f>IF($W18=$AV$3,(((INDEX('Tables - Part 2'!$AX$6:$BA$13,MATCH(CUI_SCC_Chloride!AH18,'Tables - Part 2'!$AV$6:$AV$13,0),MATCH(CUI_SCC_Chloride!X18,'Tables - Part 2'!$AX$5:$BA$5,0))+((INDEX('Tables - Part 2'!$AX$6:$BA$13,MATCH(CUI_SCC_Chloride!AH18,'Tables - Part 2'!$AV$6:$AV$13,0),MATCH(CUI_SCC_Chloride!X18,'Tables - Part 2'!$AX$5:$BA$5,0))+INDEX('Tables - Part 2'!$BB$6:$BE$13,MATCH(CUI_SCC_Chloride!$AH18,'Tables - Part 2'!$AV$6:$AV$13,0),MATCH(CUI_SCC_Chloride!$X18,'Tables - Part 2'!$AX$5:$BA$5,0)))/2))/2)+(INDEX('Tables - Part 2'!$AX$6:$BA$13,MATCH(CUI_SCC_Chloride!AH18,'Tables - Part 2'!$AV$6:$AV$13,0),MATCH(CUI_SCC_Chloride!X18,'Tables - Part 2'!$AX$5:$BA$5,0))+INDEX('Tables - Part 2'!$BB$6:$BE$13,MATCH(CUI_SCC_Chloride!$AH18,'Tables - Part 2'!$AV$6:$AV$13,0),MATCH(CUI_SCC_Chloride!$X18,'Tables - Part 2'!$AX$5:$BA$5,0)))/2)/2,0)</f>
        <v>0</v>
      </c>
      <c r="AW18" s="248">
        <f>IF($W18=$AW$3,(INDEX('Tables - Part 2'!$AX$6:$BA$13,MATCH(CUI_SCC_Chloride!AH18,'Tables - Part 2'!$AV$6:$AV$13,0),MATCH(CUI_SCC_Chloride!X18,'Tables - Part 2'!$AX$5:$BA$5,0))+INDEX('Tables - Part 2'!$BB$6:$BE$13,MATCH(CUI_SCC_Chloride!$AH18,'Tables - Part 2'!$AV$6:$AV$13,0),MATCH(CUI_SCC_Chloride!$X18,'Tables - Part 2'!$AX$5:$BA$5,0)))/2,0)</f>
        <v>0</v>
      </c>
      <c r="AX18" s="248">
        <f>IF($W18=$AX$3,(((INDEX('Tables - Part 2'!$AX$6:$BA$13,MATCH(CUI_SCC_Chloride!AH18,'Tables - Part 2'!$AV$6:$AV$13,0),MATCH(CUI_SCC_Chloride!X18,'Tables - Part 2'!$AX$5:$BA$5,0))+INDEX('Tables - Part 2'!$BB$6:$BE$13,MATCH(CUI_SCC_Chloride!$AH18,'Tables - Part 2'!$AV$6:$AV$13,0),MATCH(CUI_SCC_Chloride!$X18,'Tables - Part 2'!$AX$5:$BA$5,0)))/2)+(((INDEX('Tables - Part 2'!$AX$6:$BA$13,MATCH(CUI_SCC_Chloride!AH18,'Tables - Part 2'!$AV$6:$AV$13,0),MATCH(CUI_SCC_Chloride!X18,'Tables - Part 2'!$AX$5:$BA$5,0))+INDEX('Tables - Part 2'!$BB$6:$BE$13,MATCH(CUI_SCC_Chloride!$AH18,'Tables - Part 2'!$AV$6:$AV$13,0),MATCH(CUI_SCC_Chloride!$X18,'Tables - Part 2'!$AX$5:$BA$5,0)))/2)+INDEX('Tables - Part 2'!$BB$6:$BE$13,MATCH(CUI_SCC_Chloride!$AH18,'Tables - Part 2'!$AV$6:$AV$13,0),MATCH(CUI_SCC_Chloride!$X18,'Tables - Part 2'!$AX$5:$BA$5,0)))/2)/2,0)</f>
        <v>0</v>
      </c>
      <c r="AY18" s="248">
        <f>IF($W18=$AY$3,(((INDEX('Tables - Part 2'!$AX$6:$BA$13,MATCH(CUI_SCC_Chloride!AH18,'Tables - Part 2'!$AV$6:$AV$13,0),MATCH(CUI_SCC_Chloride!X18,'Tables - Part 2'!$AX$5:$BA$5,0))+INDEX('Tables - Part 2'!$BB$6:$BE$13,MATCH(CUI_SCC_Chloride!$AH18,'Tables - Part 2'!$AV$6:$AV$13,0),MATCH(CUI_SCC_Chloride!$X18,'Tables - Part 2'!$AX$5:$BA$5,0)))/2)+INDEX('Tables - Part 2'!$BB$6:$BE$13,MATCH(CUI_SCC_Chloride!$AH18,'Tables - Part 2'!$AV$6:$AV$13,0),MATCH(CUI_SCC_Chloride!$X18,'Tables - Part 2'!$AX$5:$BA$5,0)))/2,0)</f>
        <v>0</v>
      </c>
      <c r="AZ18" s="248">
        <f>IF($W18=$AZ$3,(((((INDEX('Tables - Part 2'!$AX$6:$BA$13,MATCH(CUI_SCC_Chloride!AH18,'Tables - Part 2'!$AV$6:$AV$13,0),MATCH(CUI_SCC_Chloride!X18,'Tables - Part 2'!$AX$5:$BA$5,0))+INDEX('Tables - Part 2'!$BB$6:$BE$13,MATCH(CUI_SCC_Chloride!$AH18,'Tables - Part 2'!$AV$6:$AV$13,0),MATCH(CUI_SCC_Chloride!$X18,'Tables - Part 2'!$AX$5:$BA$5,0)))/2)+INDEX('Tables - Part 2'!$BB$6:$BE$13,MATCH(CUI_SCC_Chloride!$AH18,'Tables - Part 2'!$AV$6:$AV$13,0),MATCH(CUI_SCC_Chloride!$X18,'Tables - Part 2'!$AX$5:$BA$5,0)))/2)+INDEX('Tables - Part 2'!$BB$6:$BE$13,MATCH(CUI_SCC_Chloride!$AH18,'Tables - Part 2'!$AV$6:$AV$13,0),MATCH(CUI_SCC_Chloride!$X18,'Tables - Part 2'!$AX$5:$BA$5,0)))/2,0)</f>
        <v>0</v>
      </c>
      <c r="BA18" s="248">
        <f>IF($W18=$BA$3,INDEX('Tables - Part 2'!$BB$6:$BE$13,MATCH(CUI_SCC_Chloride!$AH18,'Tables - Part 2'!$AV$6:$AV$13,0),MATCH(CUI_SCC_Chloride!$X18,'Tables - Part 2'!$AX$5:$BA$5,0)),0)</f>
        <v>0</v>
      </c>
      <c r="BB18" s="248">
        <f>IF($W18=$BB$3,((INDEX('Tables - Part 2'!$BB$6:$BE$13,MATCH(CUI_SCC_Chloride!$AH18,'Tables - Part 2'!$AV$6:$AV$13,0),MATCH(CUI_SCC_Chloride!$X18,'Tables - Part 2'!$AX$5:$BA$5,0)))+(INDEX('Tables - Part 2'!$BB$6:$BE$13,MATCH(CUI_SCC_Chloride!$AH18,'Tables - Part 2'!$AV$6:$AV$13,0),MATCH(CUI_SCC_Chloride!$X18,'Tables - Part 2'!$AX$5:$BA$5,0))+(INDEX('Tables - Part 2'!$BB$6:$BE$13,MATCH(CUI_SCC_Chloride!$AH18,'Tables - Part 2'!$AV$6:$AV$13,0),MATCH(CUI_SCC_Chloride!$X18,'Tables - Part 2'!$AX$5:$BA$5,0))+INDEX('Tables - Part 2'!$BF$6:$BI$13,MATCH(CUI_SCC_Chloride!$AH18,'Tables - Part 2'!$AV$6:$AV$13,0),MATCH(CUI_SCC_Chloride!$X18,'Tables - Part 2'!$AX$5:$BA$5,0)))/2)/2)/2,0)</f>
        <v>0</v>
      </c>
      <c r="BC18" s="248">
        <f>IF($W18=$BC$3,(INDEX('Tables - Part 2'!$BB$6:$BE$13,MATCH(CUI_SCC_Chloride!$AH18,'Tables - Part 2'!$AV$6:$AV$13,0),MATCH(CUI_SCC_Chloride!$X18,'Tables - Part 2'!$AX$5:$BA$5,0))+(INDEX('Tables - Part 2'!$BB$6:$BE$13,MATCH(CUI_SCC_Chloride!$AH18,'Tables - Part 2'!$AV$6:$AV$13,0),MATCH(CUI_SCC_Chloride!$X18,'Tables - Part 2'!$AX$5:$BA$5,0))+INDEX('Tables - Part 2'!$BF$6:$BI$13,MATCH(CUI_SCC_Chloride!$AH18,'Tables - Part 2'!$AV$6:$AV$13,0),MATCH(CUI_SCC_Chloride!$X18,'Tables - Part 2'!$AX$5:$BA$5,0)))/2)/2,0)</f>
        <v>0</v>
      </c>
      <c r="BD18" s="248">
        <f>IF($W18=$BD$3,(((INDEX('Tables - Part 2'!$BB$6:$BE$13,MATCH(CUI_SCC_Chloride!$AH18,'Tables - Part 2'!$AV$6:$AV$13,0),MATCH(CUI_SCC_Chloride!$X18,'Tables - Part 2'!$AX$5:$BA$5,0))+(INDEX('Tables - Part 2'!$BB$6:$BE$13,MATCH(CUI_SCC_Chloride!$AH18,'Tables - Part 2'!$AV$6:$AV$13,0),MATCH(CUI_SCC_Chloride!$X18,'Tables - Part 2'!$AX$5:$BA$5,0))+INDEX('Tables - Part 2'!$BF$6:$BI$13,MATCH(CUI_SCC_Chloride!$AH18,'Tables - Part 2'!$AV$6:$AV$13,0),MATCH(CUI_SCC_Chloride!$X18,'Tables - Part 2'!$AX$5:$BA$5,0)))/2)/2)+((INDEX('Tables - Part 2'!$BB$6:$BE$13,MATCH(CUI_SCC_Chloride!$AH18,'Tables - Part 2'!$AV$6:$AV$13,0),MATCH(CUI_SCC_Chloride!$X18,'Tables - Part 2'!$AX$5:$BA$5,0))+INDEX('Tables - Part 2'!$BF$6:$BI$13,MATCH(CUI_SCC_Chloride!$AH18,'Tables - Part 2'!$AV$6:$AV$13,0),MATCH(CUI_SCC_Chloride!$X18,'Tables - Part 2'!$AX$5:$BA$5,0)))/2))/2,0)</f>
        <v>0</v>
      </c>
      <c r="BE18" s="248">
        <f>IF($W18=$BE$3,(INDEX('Tables - Part 2'!$BB$6:$BE$13,MATCH(CUI_SCC_Chloride!$AH18,'Tables - Part 2'!$AV$6:$AV$13,0),MATCH(CUI_SCC_Chloride!$X18,'Tables - Part 2'!$AX$5:$BA$5,0))+INDEX('Tables - Part 2'!$BF$6:$BI$13,MATCH(CUI_SCC_Chloride!$AH18,'Tables - Part 2'!$AV$6:$AV$13,0),MATCH(CUI_SCC_Chloride!$X18,'Tables - Part 2'!$AX$5:$BA$5,0)))/2,0)</f>
        <v>0</v>
      </c>
      <c r="BF18" s="248">
        <f>IF($W18=$BF$3,(((INDEX('Tables - Part 2'!$BB$6:$BE$13,MATCH(CUI_SCC_Chloride!$AH18,'Tables - Part 2'!$AV$6:$AV$13,0),MATCH(CUI_SCC_Chloride!$X18,'Tables - Part 2'!$AX$5:$BA$5,0))+INDEX('Tables - Part 2'!$BF$6:$BI$13,MATCH(CUI_SCC_Chloride!$AH18,'Tables - Part 2'!$AV$6:$AV$13,0),MATCH(CUI_SCC_Chloride!$X18,'Tables - Part 2'!$AX$5:$BA$5,0)))/2)+((((INDEX('Tables - Part 2'!$BB$6:$BE$13,MATCH(CUI_SCC_Chloride!$AH18,'Tables - Part 2'!$AV$6:$AV$13,0),MATCH(CUI_SCC_Chloride!$X18,'Tables - Part 2'!$AX$5:$BA$5,0))+INDEX('Tables - Part 2'!$BF$6:$BI$13,MATCH(CUI_SCC_Chloride!$AH18,'Tables - Part 2'!$AV$6:$AV$13,0),MATCH(CUI_SCC_Chloride!$X18,'Tables - Part 2'!$AX$5:$BA$5,0)))/2)+INDEX('Tables - Part 2'!$BF$6:$BI$13,MATCH(CUI_SCC_Chloride!$AH18,'Tables - Part 2'!$AV$6:$AV$13,0),MATCH(CUI_SCC_Chloride!$X18,'Tables - Part 2'!$AX$5:$BA$5,0)))/2))/2,0)</f>
        <v>0</v>
      </c>
      <c r="BG18" s="248">
        <f>IF($W18=$BG$3,(((INDEX('Tables - Part 2'!$BB$6:$BE$13,MATCH(CUI_SCC_Chloride!$AH18,'Tables - Part 2'!$AV$6:$AV$13,0),MATCH(CUI_SCC_Chloride!$X18,'Tables - Part 2'!$AX$5:$BA$5,0))+INDEX('Tables - Part 2'!$BF$6:$BI$13,MATCH(CUI_SCC_Chloride!$AH18,'Tables - Part 2'!$AV$6:$AV$13,0),MATCH(CUI_SCC_Chloride!$X18,'Tables - Part 2'!$AX$5:$BA$5,0)))/2)+INDEX('Tables - Part 2'!$BF$6:$BI$13,MATCH(CUI_SCC_Chloride!$AH18,'Tables - Part 2'!$AV$6:$AV$13,0),MATCH(CUI_SCC_Chloride!$X18,'Tables - Part 2'!$AX$5:$BA$5,0)))/2,0)</f>
        <v>0</v>
      </c>
      <c r="BH18" s="248">
        <f>IF($W18=$BH$3,(((((INDEX('Tables - Part 2'!$BB$6:$BE$13,MATCH(CUI_SCC_Chloride!$AH18,'Tables - Part 2'!$AV$6:$AV$13,0),MATCH(CUI_SCC_Chloride!$X18,'Tables - Part 2'!$AX$5:$BA$5,0))+INDEX('Tables - Part 2'!$BF$6:$BI$13,MATCH(CUI_SCC_Chloride!$AH18,'Tables - Part 2'!$AV$6:$AV$13,0),MATCH(CUI_SCC_Chloride!$X18,'Tables - Part 2'!$AX$5:$BA$5,0)))/2)+INDEX('Tables - Part 2'!$BF$6:$BI$13,MATCH(CUI_SCC_Chloride!$AH18,'Tables - Part 2'!$AV$6:$AV$13,0),MATCH(CUI_SCC_Chloride!$X18,'Tables - Part 2'!$AX$5:$BA$5,0)))/2)+INDEX('Tables - Part 2'!$BF$6:$BI$13,MATCH(CUI_SCC_Chloride!$AH18,'Tables - Part 2'!$AV$6:$AV$13,0),MATCH(CUI_SCC_Chloride!$X18,'Tables - Part 2'!$AX$5:$BA$5,0)))/2,0)</f>
        <v>0</v>
      </c>
      <c r="BI18" s="248">
        <f>IF($W18=$BI$3,INDEX('Tables - Part 2'!$BF$6:$BI$13,MATCH(CUI_SCC_Chloride!$AH18,'Tables - Part 2'!$AV$6:$AV$13,0),MATCH(CUI_SCC_Chloride!$X18,'Tables - Part 2'!$AX$5:$BA$5,0)),0)</f>
        <v>0</v>
      </c>
      <c r="BJ18" s="248">
        <f>IF($W18=$BJ$3,(INDEX('Tables - Part 2'!$BF$6:$BI$13,MATCH(CUI_SCC_Chloride!$AH18,'Tables - Part 2'!$AV$6:$AV$13,0),MATCH(CUI_SCC_Chloride!$X18,'Tables - Part 2'!$AX$5:$BA$5,0))+((INDEX('Tables - Part 2'!$BF$6:$BI$13,MATCH(CUI_SCC_Chloride!$AH18,'Tables - Part 2'!$AV$6:$AV$13,0),MATCH(CUI_SCC_Chloride!$X18,'Tables - Part 2'!$AX$5:$BA$5,0))+(INDEX('Tables - Part 2'!$BF$6:$BI$13,MATCH(CUI_SCC_Chloride!$AH18,'Tables - Part 2'!$AV$6:$AV$13,0),MATCH(CUI_SCC_Chloride!$X18,'Tables - Part 2'!$AX$5:$BA$5,0))+INDEX('Tables - Part 2'!$AX$17:$BA$24,MATCH(CUI_SCC_Chloride!$AH18,'Tables - Part 2'!$AV$6:$AV$13,0),MATCH(CUI_SCC_Chloride!$X18,'Tables - Part 2'!$AX$5:$BA$5,0)))/2)/2))/2,0)</f>
        <v>0</v>
      </c>
      <c r="BK18" s="248">
        <f>IF($W18=$BK$3,(INDEX('Tables - Part 2'!$BF$6:$BI$13,MATCH(CUI_SCC_Chloride!$AH18,'Tables - Part 2'!$AV$6:$AV$13,0),MATCH(CUI_SCC_Chloride!$X18,'Tables - Part 2'!$AX$5:$BA$5,0))+(INDEX('Tables - Part 2'!$BF$6:$BI$13,MATCH(CUI_SCC_Chloride!$AH18,'Tables - Part 2'!$AV$6:$AV$13,0),MATCH(CUI_SCC_Chloride!$X18,'Tables - Part 2'!$AX$5:$BA$5,0))+INDEX('Tables - Part 2'!$AX$17:$BA$24,MATCH(CUI_SCC_Chloride!$AH18,'Tables - Part 2'!$AV$6:$AV$13,0),MATCH(CUI_SCC_Chloride!$X18,'Tables - Part 2'!$AX$5:$BA$5,0)))/2)/2,0)</f>
        <v>0</v>
      </c>
      <c r="BL18" s="248">
        <f>IF($W18=$BL$3,(((INDEX('Tables - Part 2'!$BF$6:$BI$13,MATCH(CUI_SCC_Chloride!$AH18,'Tables - Part 2'!$AV$6:$AV$13,0),MATCH(CUI_SCC_Chloride!$X18,'Tables - Part 2'!$AX$5:$BA$5,0))+(INDEX('Tables - Part 2'!$BF$6:$BI$13,MATCH(CUI_SCC_Chloride!$AH18,'Tables - Part 2'!$AV$6:$AV$13,0),MATCH(CUI_SCC_Chloride!$X18,'Tables - Part 2'!$AX$5:$BA$5,0))+INDEX('Tables - Part 2'!$AX$17:$BA$24,MATCH(CUI_SCC_Chloride!$AH18,'Tables - Part 2'!$AV$6:$AV$13,0),MATCH(CUI_SCC_Chloride!$X18,'Tables - Part 2'!$AX$5:$BA$5,0)))/2)/2)+((INDEX('Tables - Part 2'!$BF$6:$BI$13,MATCH(CUI_SCC_Chloride!$AH18,'Tables - Part 2'!$AV$6:$AV$13,0),MATCH(CUI_SCC_Chloride!$X18,'Tables - Part 2'!$AX$5:$BA$5,0))+INDEX('Tables - Part 2'!$AX$17:$BA$24,MATCH(CUI_SCC_Chloride!$AH18,'Tables - Part 2'!$AV$6:$AV$13,0),MATCH(CUI_SCC_Chloride!$X18,'Tables - Part 2'!$AX$5:$BA$5,0)))/2))/2,0)</f>
        <v>0</v>
      </c>
      <c r="BM18" s="248">
        <f>IF($W18=$BM$3,(INDEX('Tables - Part 2'!$BF$6:$BI$13,MATCH(CUI_SCC_Chloride!$AH18,'Tables - Part 2'!$AV$6:$AV$13,0),MATCH(CUI_SCC_Chloride!$X18,'Tables - Part 2'!$AX$5:$BA$5,0))+INDEX('Tables - Part 2'!$AX$17:$BA$24,MATCH(CUI_SCC_Chloride!$AH18,'Tables - Part 2'!$AV$6:$AV$13,0),MATCH(CUI_SCC_Chloride!$X18,'Tables - Part 2'!$AX$5:$BA$5,0)))/2,0)</f>
        <v>0</v>
      </c>
      <c r="BN18" s="248">
        <f>IF($W18=$BN$3,(((INDEX('Tables - Part 2'!$BF$6:$BI$13,MATCH(CUI_SCC_Chloride!$AH18,'Tables - Part 2'!$AV$6:$AV$13,0),MATCH(CUI_SCC_Chloride!$X18,'Tables - Part 2'!$AX$5:$BA$5,0))+INDEX('Tables - Part 2'!$AX$17:$BA$24,MATCH(CUI_SCC_Chloride!$AH18,'Tables - Part 2'!$AV$6:$AV$13,0),MATCH(CUI_SCC_Chloride!$X18,'Tables - Part 2'!$AX$5:$BA$5,0)))/2)+((((INDEX('Tables - Part 2'!$BF$6:$BI$13,MATCH(CUI_SCC_Chloride!$AH18,'Tables - Part 2'!$AV$6:$AV$13,0),MATCH(CUI_SCC_Chloride!$X18,'Tables - Part 2'!$AX$5:$BA$5,0))+INDEX('Tables - Part 2'!$AX$17:$BA$24,MATCH(CUI_SCC_Chloride!$AH18,'Tables - Part 2'!$AV$6:$AV$13,0),MATCH(CUI_SCC_Chloride!$X18,'Tables - Part 2'!$AX$5:$BA$5,0)))/2)+INDEX('Tables - Part 2'!$AX$17:$BA$24,MATCH(CUI_SCC_Chloride!$AH18,'Tables - Part 2'!$AV$6:$AV$13,0),MATCH(CUI_SCC_Chloride!$X18,'Tables - Part 2'!$AX$5:$BA$5,0)))/2))/2,0)</f>
        <v>0</v>
      </c>
      <c r="BO18" s="248">
        <f>IF($W18=$BO$3,(((INDEX('Tables - Part 2'!$BF$6:$BI$13,MATCH(CUI_SCC_Chloride!$AH18,'Tables - Part 2'!$AV$6:$AV$13,0),MATCH(CUI_SCC_Chloride!$X18,'Tables - Part 2'!$AX$5:$BA$5,0))+INDEX('Tables - Part 2'!$AX$17:$BA$24,MATCH(CUI_SCC_Chloride!$AH18,'Tables - Part 2'!$AV$6:$AV$13,0),MATCH(CUI_SCC_Chloride!$X18,'Tables - Part 2'!$AX$5:$BA$5,0)))/2)+INDEX('Tables - Part 2'!$AX$17:$BA$24,MATCH(CUI_SCC_Chloride!$AH18,'Tables - Part 2'!$AV$6:$AV$13,0),MATCH(CUI_SCC_Chloride!$X18,'Tables - Part 2'!$AX$5:$BA$5,0)))/2,0)</f>
        <v>0</v>
      </c>
      <c r="BP18" s="248">
        <f>IF($W18=$BP$3,(((((INDEX('Tables - Part 2'!$BF$6:$BI$13,MATCH(CUI_SCC_Chloride!$AH18,'Tables - Part 2'!$AV$6:$AV$13,0),MATCH(CUI_SCC_Chloride!$X18,'Tables - Part 2'!$AX$5:$BA$5,0))+INDEX('Tables - Part 2'!$AX$17:$BA$24,MATCH(CUI_SCC_Chloride!$AH18,'Tables - Part 2'!$AV$6:$AV$13,0),MATCH(CUI_SCC_Chloride!$X18,'Tables - Part 2'!$AX$5:$BA$5,0)))/2)+INDEX('Tables - Part 2'!$AX$17:$BA$24,MATCH(CUI_SCC_Chloride!$AH18,'Tables - Part 2'!$AV$6:$AV$13,0),MATCH(CUI_SCC_Chloride!$X18,'Tables - Part 2'!$AX$5:$BA$5,0)))/2)+(INDEX('Tables - Part 2'!$AX$17:$BA$24,MATCH(CUI_SCC_Chloride!$AH18,'Tables - Part 2'!$AV$6:$AV$13,0),MATCH(CUI_SCC_Chloride!$X18,'Tables - Part 2'!$AX$5:$BA$5,0))))/2,0)</f>
        <v>0</v>
      </c>
      <c r="BQ18" s="248">
        <f>IF($W18=$BQ$3,INDEX('Tables - Part 2'!$AX$17:$BA$24,MATCH(CUI_SCC_Chloride!$AH18,'Tables - Part 2'!$AV$6:$AV$13,0),MATCH(CUI_SCC_Chloride!$X18,'Tables - Part 2'!$AX$5:$BA$5,0)),0)</f>
        <v>0</v>
      </c>
      <c r="BR18" s="248">
        <f>IF($W18=$BR$3,((INDEX('Tables - Part 2'!$AX$17:$BA$24,MATCH(CUI_SCC_Chloride!$AH18,'Tables - Part 2'!$AV$6:$AV$13,0),MATCH(CUI_SCC_Chloride!$X18,'Tables - Part 2'!$AX$5:$BA$5,0)))+(((INDEX('Tables - Part 2'!$AX$17:$BA$24,MATCH(CUI_SCC_Chloride!$AH18,'Tables - Part 2'!$AV$6:$AV$13,0),MATCH(CUI_SCC_Chloride!$X18,'Tables - Part 2'!$AX$5:$BA$5,0)))+(INDEX('Tables - Part 2'!$AX$17:$BA$24,MATCH(CUI_SCC_Chloride!$AH18,'Tables - Part 2'!$AV$6:$AV$13,0),MATCH(CUI_SCC_Chloride!$X18,'Tables - Part 2'!$AX$5:$BA$5,0))+INDEX('Tables - Part 2'!$BB$17:$BE$24,MATCH(CUI_SCC_Chloride!$AH18,'Tables - Part 2'!$AV$6:$AV$13,0),MATCH(CUI_SCC_Chloride!$X18,'Tables - Part 2'!$AX$5:$BA$5,0)))/2)/2))/2,0)</f>
        <v>0</v>
      </c>
      <c r="BS18" s="248">
        <f>IF($W18=$BS$3,((INDEX('Tables - Part 2'!$AX$17:$BA$24,MATCH(CUI_SCC_Chloride!$AH18,'Tables - Part 2'!$AV$6:$AV$13,0),MATCH(CUI_SCC_Chloride!$X18,'Tables - Part 2'!$AX$5:$BA$5,0)))+(INDEX('Tables - Part 2'!$AX$17:$BA$24,MATCH(CUI_SCC_Chloride!$AH18,'Tables - Part 2'!$AV$6:$AV$13,0),MATCH(CUI_SCC_Chloride!$X18,'Tables - Part 2'!$AX$5:$BA$5,0))+INDEX('Tables - Part 2'!$BB$17:$BE$24,MATCH(CUI_SCC_Chloride!$AH18,'Tables - Part 2'!$AV$6:$AV$13,0),MATCH(CUI_SCC_Chloride!$X18,'Tables - Part 2'!$AX$5:$BA$5,0)))/2)/2,0)</f>
        <v>0</v>
      </c>
      <c r="BT18" s="248">
        <f>IF($W18=$BT$3,((((INDEX('Tables - Part 2'!$AX$17:$BA$24,MATCH(CUI_SCC_Chloride!$AH18,'Tables - Part 2'!$AV$6:$AV$13,0),MATCH(CUI_SCC_Chloride!$X18,'Tables - Part 2'!$AX$5:$BA$5,0)))+(INDEX('Tables - Part 2'!$AX$17:$BA$24,MATCH(CUI_SCC_Chloride!$AH18,'Tables - Part 2'!$AV$6:$AV$13,0),MATCH(CUI_SCC_Chloride!$X18,'Tables - Part 2'!$AX$5:$BA$5,0))+INDEX('Tables - Part 2'!$BB$17:$BE$24,MATCH(CUI_SCC_Chloride!$AH18,'Tables - Part 2'!$AV$6:$AV$13,0),MATCH(CUI_SCC_Chloride!$X18,'Tables - Part 2'!$AX$5:$BA$5,0)))/2)/2)+((INDEX('Tables - Part 2'!$AX$17:$BA$24,MATCH(CUI_SCC_Chloride!$AH18,'Tables - Part 2'!$AV$6:$AV$13,0),MATCH(CUI_SCC_Chloride!$X18,'Tables - Part 2'!$AX$5:$BA$5,0))+INDEX('Tables - Part 2'!$BB$17:$BE$24,MATCH(CUI_SCC_Chloride!$AH18,'Tables - Part 2'!$AV$6:$AV$13,0),MATCH(CUI_SCC_Chloride!$X18,'Tables - Part 2'!$AX$5:$BA$5,0)))/2))/2,0)</f>
        <v>0</v>
      </c>
      <c r="BU18" s="248">
        <f>IF($W18=$BU$3,(INDEX('Tables - Part 2'!$AX$17:$BA$24,MATCH(CUI_SCC_Chloride!$AH18,'Tables - Part 2'!$AV$6:$AV$13,0),MATCH(CUI_SCC_Chloride!$X18,'Tables - Part 2'!$AX$5:$BA$5,0))+INDEX('Tables - Part 2'!$BB$17:$BE$24,MATCH(CUI_SCC_Chloride!$AH18,'Tables - Part 2'!$AV$6:$AV$13,0),MATCH(CUI_SCC_Chloride!$X18,'Tables - Part 2'!$AX$5:$BA$5,0)))/2,0)</f>
        <v>0</v>
      </c>
      <c r="BV18" s="248">
        <f>IF($W18=$BV$3,(((INDEX('Tables - Part 2'!$AX$17:$BA$24,MATCH(CUI_SCC_Chloride!$AH18,'Tables - Part 2'!$AV$6:$AV$13,0),MATCH(CUI_SCC_Chloride!$X18,'Tables - Part 2'!$AX$5:$BA$5,0))+INDEX('Tables - Part 2'!$BB$17:$BE$24,MATCH(CUI_SCC_Chloride!$AH18,'Tables - Part 2'!$AV$6:$AV$13,0),MATCH(CUI_SCC_Chloride!$X18,'Tables - Part 2'!$AX$5:$BA$5,0)))/2)+((((INDEX('Tables - Part 2'!$AX$17:$BA$24,MATCH(CUI_SCC_Chloride!$AH18,'Tables - Part 2'!$AV$6:$AV$13,0),MATCH(CUI_SCC_Chloride!$X18,'Tables - Part 2'!$AX$5:$BA$5,0))+INDEX('Tables - Part 2'!$BB$17:$BE$24,MATCH(CUI_SCC_Chloride!$AH18,'Tables - Part 2'!$AV$6:$AV$13,0),MATCH(CUI_SCC_Chloride!$X18,'Tables - Part 2'!$AX$5:$BA$5,0)))/2)+INDEX('Tables - Part 2'!$BB$17:$BE$24,MATCH(CUI_SCC_Chloride!$AH18,'Tables - Part 2'!$AV$6:$AV$13,0),MATCH(CUI_SCC_Chloride!$X18,'Tables - Part 2'!$AX$5:$BA$5,0)))/2))/2,0)</f>
        <v>0</v>
      </c>
      <c r="BW18" s="248">
        <f>IF($W18=$BW$3,(((INDEX('Tables - Part 2'!$AX$17:$BA$24,MATCH(CUI_SCC_Chloride!$AH18,'Tables - Part 2'!$AV$6:$AV$13,0),MATCH(CUI_SCC_Chloride!$X18,'Tables - Part 2'!$AX$5:$BA$5,0))+INDEX('Tables - Part 2'!$BB$17:$BE$24,MATCH(CUI_SCC_Chloride!$AH18,'Tables - Part 2'!$AV$6:$AV$13,0),MATCH(CUI_SCC_Chloride!$X18,'Tables - Part 2'!$AX$5:$BA$5,0)))/2)+INDEX('Tables - Part 2'!$BB$17:$BE$24,MATCH(CUI_SCC_Chloride!$AH18,'Tables - Part 2'!$AV$6:$AV$13,0),MATCH(CUI_SCC_Chloride!$X18,'Tables - Part 2'!$AX$5:$BA$5,0)))/2,0)</f>
        <v>0</v>
      </c>
      <c r="BX18" s="248">
        <f>IF($W18=$BX$3,(((((INDEX('Tables - Part 2'!$AX$17:$BA$24,MATCH(CUI_SCC_Chloride!$AH18,'Tables - Part 2'!$AV$6:$AV$13,0),MATCH(CUI_SCC_Chloride!$X18,'Tables - Part 2'!$AX$5:$BA$5,0))+INDEX('Tables - Part 2'!$BB$17:$BE$24,MATCH(CUI_SCC_Chloride!$AH18,'Tables - Part 2'!$AV$6:$AV$13,0),MATCH(CUI_SCC_Chloride!$X18,'Tables - Part 2'!$AX$5:$BA$5,0)))/2)+INDEX('Tables - Part 2'!$BB$17:$BE$24,MATCH(CUI_SCC_Chloride!$AH18,'Tables - Part 2'!$AV$6:$AV$13,0),MATCH(CUI_SCC_Chloride!$X18,'Tables - Part 2'!$AX$5:$BA$5,0)))/2)+(INDEX('Tables - Part 2'!$BB$17:$BE$24,MATCH(CUI_SCC_Chloride!$AH18,'Tables - Part 2'!$AV$6:$AV$13,0),MATCH(CUI_SCC_Chloride!$X18,'Tables - Part 2'!$AX$5:$BA$5,0))))/2,0)</f>
        <v>0</v>
      </c>
      <c r="BY18" s="248">
        <f>IF($W18=$BY$3,INDEX('Tables - Part 2'!$BB$17:$BE$24,MATCH(CUI_SCC_Chloride!$AH18,'Tables - Part 2'!$AV$6:$AV$13,0),MATCH(CUI_SCC_Chloride!$X18,'Tables - Part 2'!$AX$5:$BA$5,0)),0)</f>
        <v>0</v>
      </c>
      <c r="BZ18" s="248">
        <f>IF($W18=$BZ$3,((INDEX('Tables - Part 2'!$BB$17:$BE$24,MATCH(CUI_SCC_Chloride!$AH18,'Tables - Part 2'!$AV$6:$AV$13,0),MATCH(CUI_SCC_Chloride!$X18,'Tables - Part 2'!$AX$5:$BA$5,0)))+(((INDEX('Tables - Part 2'!$BB$17:$BE$24,MATCH(CUI_SCC_Chloride!$AH18,'Tables - Part 2'!$AV$6:$AV$13,0),MATCH(CUI_SCC_Chloride!$X18,'Tables - Part 2'!$AX$5:$BA$5,0)))+(INDEX('Tables - Part 2'!$BB$17:$BE$24,MATCH(CUI_SCC_Chloride!$AH18,'Tables - Part 2'!$AV$6:$AV$13,0),MATCH(CUI_SCC_Chloride!$X18,'Tables - Part 2'!$AX$5:$BA$5,0))+INDEX('Tables - Part 2'!$BF$17:$BI$24,MATCH(CUI_SCC_Chloride!$AH18,'Tables - Part 2'!$AV$6:$AV$13,0),MATCH(CUI_SCC_Chloride!$X18,'Tables - Part 2'!$AX$5:$BA$5,0)))/2)/2))/2,0)</f>
        <v>0</v>
      </c>
      <c r="CA18" s="248">
        <f>IF($W18=$CA$3,((INDEX('Tables - Part 2'!$BB$17:$BE$24,MATCH(CUI_SCC_Chloride!$AH18,'Tables - Part 2'!$AV$6:$AV$13,0),MATCH(CUI_SCC_Chloride!$X18,'Tables - Part 2'!$AX$5:$BA$5,0)))+(INDEX('Tables - Part 2'!$BB$17:$BE$24,MATCH(CUI_SCC_Chloride!$AH18,'Tables - Part 2'!$AV$6:$AV$13,0),MATCH(CUI_SCC_Chloride!$X18,'Tables - Part 2'!$AX$5:$BA$5,0))+INDEX('Tables - Part 2'!$BF$17:$BI$24,MATCH(CUI_SCC_Chloride!$AH18,'Tables - Part 2'!$AV$6:$AV$13,0),MATCH(CUI_SCC_Chloride!$X18,'Tables - Part 2'!$AX$5:$BA$5,0)))/2)/2,0)</f>
        <v>0</v>
      </c>
      <c r="CB18" s="248">
        <f>IF($W18=$CB$3,((((INDEX('Tables - Part 2'!$BB$17:$BE$24,MATCH(CUI_SCC_Chloride!$AH18,'Tables - Part 2'!$AV$6:$AV$13,0),MATCH(CUI_SCC_Chloride!$X18,'Tables - Part 2'!$AX$5:$BA$5,0)))+(INDEX('Tables - Part 2'!$BB$17:$BE$24,MATCH(CUI_SCC_Chloride!$AH18,'Tables - Part 2'!$AV$6:$AV$13,0),MATCH(CUI_SCC_Chloride!$X18,'Tables - Part 2'!$AX$5:$BA$5,0))+INDEX('Tables - Part 2'!$BF$17:$BI$24,MATCH(CUI_SCC_Chloride!$AH18,'Tables - Part 2'!$AV$6:$AV$13,0),MATCH(CUI_SCC_Chloride!$X18,'Tables - Part 2'!$AX$5:$BA$5,0)))/2)/2)+((INDEX('Tables - Part 2'!$BB$17:$BE$24,MATCH(CUI_SCC_Chloride!$AH18,'Tables - Part 2'!$AV$6:$AV$13,0),MATCH(CUI_SCC_Chloride!$X18,'Tables - Part 2'!$AX$5:$BA$5,0))+INDEX('Tables - Part 2'!$BF$17:$BI$24,MATCH(CUI_SCC_Chloride!$AH18,'Tables - Part 2'!$AV$6:$AV$13,0),MATCH(CUI_SCC_Chloride!$X18,'Tables - Part 2'!$AX$5:$BA$5,0)))/2))/2,0)</f>
        <v>0</v>
      </c>
      <c r="CC18" s="248">
        <f>IF($W18=$CC$3,(INDEX('Tables - Part 2'!$BB$17:$BE$24,MATCH(CUI_SCC_Chloride!$AH18,'Tables - Part 2'!$AV$6:$AV$13,0),MATCH(CUI_SCC_Chloride!$X18,'Tables - Part 2'!$AX$5:$BA$5,0))+INDEX('Tables - Part 2'!$BF$17:$BI$24,MATCH(CUI_SCC_Chloride!$AH18,'Tables - Part 2'!$AV$6:$AV$13,0),MATCH(CUI_SCC_Chloride!$X18,'Tables - Part 2'!$AX$5:$BA$5,0)))/2,0)</f>
        <v>0</v>
      </c>
      <c r="CD18" s="248">
        <f>IF($W18=$CD$3,(((INDEX('Tables - Part 2'!$BB$17:$BE$24,MATCH(CUI_SCC_Chloride!$AH18,'Tables - Part 2'!$AV$6:$AV$13,0),MATCH(CUI_SCC_Chloride!$X18,'Tables - Part 2'!$AX$5:$BA$5,0))+INDEX('Tables - Part 2'!$BF$17:$BI$24,MATCH(CUI_SCC_Chloride!$AH18,'Tables - Part 2'!$AV$6:$AV$13,0),MATCH(CUI_SCC_Chloride!$X18,'Tables - Part 2'!$AX$5:$BA$5,0)))/2)+((((INDEX('Tables - Part 2'!$BB$17:$BE$24,MATCH(CUI_SCC_Chloride!$AH18,'Tables - Part 2'!$AV$6:$AV$13,0),MATCH(CUI_SCC_Chloride!$X18,'Tables - Part 2'!$AX$5:$BA$5,0))+INDEX('Tables - Part 2'!$BF$17:$BI$24,MATCH(CUI_SCC_Chloride!$AH18,'Tables - Part 2'!$AV$6:$AV$13,0),MATCH(CUI_SCC_Chloride!$X18,'Tables - Part 2'!$AX$5:$BA$5,0)))/2)+INDEX('Tables - Part 2'!$BF$17:$BI$24,MATCH(CUI_SCC_Chloride!$AH18,'Tables - Part 2'!$AV$6:$AV$13,0),MATCH(CUI_SCC_Chloride!$X18,'Tables - Part 2'!$AX$5:$BA$5,0)))/2))/2,0)</f>
        <v>0</v>
      </c>
      <c r="CE18" s="248">
        <f>IF($W18=$CE$3,(((INDEX('Tables - Part 2'!$BB$17:$BE$24,MATCH(CUI_SCC_Chloride!$AH18,'Tables - Part 2'!$AV$6:$AV$13,0),MATCH(CUI_SCC_Chloride!$X18,'Tables - Part 2'!$AX$5:$BA$5,0))+INDEX('Tables - Part 2'!$BF$17:$BI$24,MATCH(CUI_SCC_Chloride!$AH18,'Tables - Part 2'!$AV$6:$AV$13,0),MATCH(CUI_SCC_Chloride!$X18,'Tables - Part 2'!$AX$5:$BA$5,0)))/2)+INDEX('Tables - Part 2'!$BF$17:$BI$24,MATCH(CUI_SCC_Chloride!$AH18,'Tables - Part 2'!$AV$6:$AV$13,0),MATCH(CUI_SCC_Chloride!$X18,'Tables - Part 2'!$AX$5:$BA$5,0)))/2,0)</f>
        <v>0</v>
      </c>
      <c r="CF18" s="248">
        <f>IF($W18=$CF$3,(((((INDEX('Tables - Part 2'!$BB$17:$BE$24,MATCH(CUI_SCC_Chloride!$AH18,'Tables - Part 2'!$AV$6:$AV$13,0),MATCH(CUI_SCC_Chloride!$X18,'Tables - Part 2'!$AX$5:$BA$5,0))+INDEX('Tables - Part 2'!$BF$17:$BI$24,MATCH(CUI_SCC_Chloride!$AH18,'Tables - Part 2'!$AV$6:$AV$13,0),MATCH(CUI_SCC_Chloride!$X18,'Tables - Part 2'!$AX$5:$BA$5,0)))/2)+INDEX('Tables - Part 2'!$BF$17:$BI$24,MATCH(CUI_SCC_Chloride!$AH18,'Tables - Part 2'!$AV$6:$AV$13,0),MATCH(CUI_SCC_Chloride!$X18,'Tables - Part 2'!$AX$5:$BA$5,0)))/2)+(INDEX('Tables - Part 2'!$BF$17:$BI$24,MATCH(CUI_SCC_Chloride!$AH18,'Tables - Part 2'!$AV$6:$AV$13,0),MATCH(CUI_SCC_Chloride!$X18,'Tables - Part 2'!$AX$5:$BA$5,0))))/2,0)</f>
        <v>0</v>
      </c>
      <c r="CG18" s="248">
        <f>IF($W18=$CG$3,INDEX('Tables - Part 2'!$BF$17:$BI$24,MATCH(CUI_SCC_Chloride!$AH18,'Tables - Part 2'!$AV$6:$AV$13,0),MATCH(CUI_SCC_Chloride!$X18,'Tables - Part 2'!$AX$5:$BA$5,0)),0)</f>
        <v>0</v>
      </c>
      <c r="CH18" s="248">
        <f t="shared" si="5"/>
        <v>0</v>
      </c>
      <c r="CI18" s="238">
        <f t="shared" si="19"/>
        <v>0</v>
      </c>
      <c r="CJ18" s="238">
        <f t="shared" si="20"/>
        <v>0</v>
      </c>
    </row>
    <row r="19" spans="2:88" x14ac:dyDescent="0.35">
      <c r="B19" s="161" t="str">
        <f>'Tratamento de Dados'!B27</f>
        <v>V-8</v>
      </c>
      <c r="C19" s="161" t="str">
        <f>'Tratamento de Dados'!D27</f>
        <v>Casco</v>
      </c>
      <c r="D19" s="209" t="s">
        <v>245</v>
      </c>
      <c r="E19" s="209" t="s">
        <v>61</v>
      </c>
      <c r="F19" s="247">
        <f>'Tratamento de Dados'!S27</f>
        <v>2</v>
      </c>
      <c r="G19" s="209" t="s">
        <v>953</v>
      </c>
      <c r="H19" s="210">
        <v>35234</v>
      </c>
      <c r="I19" s="210">
        <v>43983</v>
      </c>
      <c r="J19" s="210">
        <v>39092</v>
      </c>
      <c r="K19" s="210">
        <f>'Tratamento de Dados'!CC27</f>
        <v>0</v>
      </c>
      <c r="L19" s="209">
        <f>'Tratamento de Dados'!CD27</f>
        <v>0</v>
      </c>
      <c r="M19" s="209" t="s">
        <v>905</v>
      </c>
      <c r="N19" s="209" t="s">
        <v>1081</v>
      </c>
      <c r="O19" s="209" t="s">
        <v>1081</v>
      </c>
      <c r="P19" s="209" t="s">
        <v>244</v>
      </c>
      <c r="Q19" s="209">
        <v>0</v>
      </c>
      <c r="R19" s="209">
        <v>1</v>
      </c>
      <c r="S19" s="209">
        <v>1</v>
      </c>
      <c r="T19" s="209">
        <v>4</v>
      </c>
      <c r="U19" s="253">
        <f>'Tratamento de Dados'!DA27</f>
        <v>0</v>
      </c>
      <c r="V19" s="253">
        <f>'Tratamento de Dados'!DB27</f>
        <v>0</v>
      </c>
      <c r="W19" s="256">
        <f t="shared" si="0"/>
        <v>2.5</v>
      </c>
      <c r="X19" s="246" t="str">
        <f t="shared" si="1"/>
        <v>B</v>
      </c>
      <c r="Y19" s="246" t="str">
        <f>IF(F19&lt;49,'Tables - Part 2'!$FH$5,IF(F19&lt;=93,'Tables - Part 2'!$FH$6,IF(F19&lt;=149,'Tables - Part 2'!$FH$7,'Tables - Part 2'!$FH$8)))</f>
        <v>&lt;49</v>
      </c>
      <c r="Z19" s="246" t="str">
        <f>IF(D19=$CO$2,$CM$5,INDEX('Tables - Part 2'!$FR$5:$FU$8,MATCH(CUI_SCC_Chloride!Y19,'Tables - Part 2'!$FQ$5:$FQ$8,0),MATCH(CUI_SCC_Chloride!M19,'Tables - Part 2'!$FR$4:$FU$4,0)))</f>
        <v>None</v>
      </c>
      <c r="AA19" s="246" t="str">
        <f t="shared" si="6"/>
        <v>None</v>
      </c>
      <c r="AB19" s="219">
        <f t="shared" si="7"/>
        <v>0</v>
      </c>
      <c r="AC19" s="246" t="str">
        <f t="shared" si="8"/>
        <v>None</v>
      </c>
      <c r="AD19" s="219">
        <f t="shared" si="9"/>
        <v>0</v>
      </c>
      <c r="AE19" s="246" t="str">
        <f t="shared" si="10"/>
        <v>None</v>
      </c>
      <c r="AF19" s="219">
        <f t="shared" si="11"/>
        <v>0</v>
      </c>
      <c r="AG19" s="467" t="str">
        <f t="shared" si="12"/>
        <v>None</v>
      </c>
      <c r="AH19" s="238">
        <f>IF(AND(D19=$CO$2,E19&lt;&gt;$CO$2),"Fitness-For-Service",INDEX('Tables - Part 2'!$FO$4:$FO$7,MATCH(CUI_SCC_Chloride!AG19,'Tables - Part 2'!$FN$4:$FN$7,0),))</f>
        <v>0</v>
      </c>
      <c r="AI19" s="238">
        <f>IF(J19=0,(Thinning!G20-Thinning!F20)/365.25,(Thinning!G20-J19)/365.25)</f>
        <v>12.980150581793293</v>
      </c>
      <c r="AJ19" s="248">
        <f t="shared" si="2"/>
        <v>0</v>
      </c>
      <c r="AK19" s="248">
        <f t="shared" si="3"/>
        <v>2.5</v>
      </c>
      <c r="AL19" s="247">
        <f t="shared" si="13"/>
        <v>3</v>
      </c>
      <c r="AM19" s="247">
        <f t="shared" si="4"/>
        <v>4</v>
      </c>
      <c r="AN19" s="247">
        <f t="shared" si="14"/>
        <v>120.41889117043121</v>
      </c>
      <c r="AO19" s="247">
        <f t="shared" si="15"/>
        <v>0</v>
      </c>
      <c r="AP19" s="247">
        <f t="shared" si="16"/>
        <v>0</v>
      </c>
      <c r="AQ19" s="247">
        <f t="shared" si="17"/>
        <v>0</v>
      </c>
      <c r="AR19" s="247">
        <f t="shared" si="18"/>
        <v>12.980150581793293</v>
      </c>
      <c r="AS19" s="248">
        <f>IF($W19=$AS$3,INDEX('Tables - Part 2'!$AX$6:$BA$13,MATCH(CUI_SCC_Chloride!AH19,'Tables - Part 2'!$AV$6:$AV$13,0),MATCH(CUI_SCC_Chloride!X19,'Tables - Part 2'!$AX$5:$BA$5,0)),0)</f>
        <v>0</v>
      </c>
      <c r="AT19" s="248">
        <f>IF($W19=$AT$3,(INDEX('Tables - Part 2'!$AX$6:$BA$13,MATCH(CUI_SCC_Chloride!AH19,'Tables - Part 2'!$AV$6:$AV$13,0),MATCH(CUI_SCC_Chloride!X19,'Tables - Part 2'!$AX$5:$BA$5,0))+(INDEX('Tables - Part 2'!$AX$6:$BA$13,MATCH(CUI_SCC_Chloride!AH19,'Tables - Part 2'!$AV$6:$AV$13,0),MATCH(CUI_SCC_Chloride!X19,'Tables - Part 2'!$AX$5:$BA$5,0))+((INDEX('Tables - Part 2'!$AX$6:$BA$13,MATCH(CUI_SCC_Chloride!AH19,'Tables - Part 2'!$AV$6:$AV$13,0),MATCH(CUI_SCC_Chloride!X19,'Tables - Part 2'!$AX$5:$BA$5,0))+INDEX('Tables - Part 2'!$BB$6:$BE$13,MATCH(CUI_SCC_Chloride!$AH19,'Tables - Part 2'!$AV$6:$AV$13,0),MATCH(CUI_SCC_Chloride!$X19,'Tables - Part 2'!$AX$5:$BA$5,0)))/2))/2)/2,0)</f>
        <v>0</v>
      </c>
      <c r="AU19" s="248">
        <f>IF($W19=$AU$3,(INDEX('Tables - Part 2'!$AX$6:$BA$13,MATCH(CUI_SCC_Chloride!AH19,'Tables - Part 2'!$AV$6:$AV$13,0),MATCH(CUI_SCC_Chloride!X19,'Tables - Part 2'!$AX$5:$BA$5,0))+((INDEX('Tables - Part 2'!$AX$6:$BA$13,MATCH(CUI_SCC_Chloride!AH19,'Tables - Part 2'!$AV$6:$AV$13,0),MATCH(CUI_SCC_Chloride!X19,'Tables - Part 2'!$AX$5:$BA$5,0))+INDEX('Tables - Part 2'!$BB$6:$BE$13,MATCH(CUI_SCC_Chloride!$AH19,'Tables - Part 2'!$AV$6:$AV$13,0),MATCH(CUI_SCC_Chloride!$X19,'Tables - Part 2'!$AX$5:$BA$5,0)))/2))/2,0)</f>
        <v>0</v>
      </c>
      <c r="AV19" s="248">
        <f>IF($W19=$AV$3,(((INDEX('Tables - Part 2'!$AX$6:$BA$13,MATCH(CUI_SCC_Chloride!AH19,'Tables - Part 2'!$AV$6:$AV$13,0),MATCH(CUI_SCC_Chloride!X19,'Tables - Part 2'!$AX$5:$BA$5,0))+((INDEX('Tables - Part 2'!$AX$6:$BA$13,MATCH(CUI_SCC_Chloride!AH19,'Tables - Part 2'!$AV$6:$AV$13,0),MATCH(CUI_SCC_Chloride!X19,'Tables - Part 2'!$AX$5:$BA$5,0))+INDEX('Tables - Part 2'!$BB$6:$BE$13,MATCH(CUI_SCC_Chloride!$AH19,'Tables - Part 2'!$AV$6:$AV$13,0),MATCH(CUI_SCC_Chloride!$X19,'Tables - Part 2'!$AX$5:$BA$5,0)))/2))/2)+(INDEX('Tables - Part 2'!$AX$6:$BA$13,MATCH(CUI_SCC_Chloride!AH19,'Tables - Part 2'!$AV$6:$AV$13,0),MATCH(CUI_SCC_Chloride!X19,'Tables - Part 2'!$AX$5:$BA$5,0))+INDEX('Tables - Part 2'!$BB$6:$BE$13,MATCH(CUI_SCC_Chloride!$AH19,'Tables - Part 2'!$AV$6:$AV$13,0),MATCH(CUI_SCC_Chloride!$X19,'Tables - Part 2'!$AX$5:$BA$5,0)))/2)/2,0)</f>
        <v>0</v>
      </c>
      <c r="AW19" s="248">
        <f>IF($W19=$AW$3,(INDEX('Tables - Part 2'!$AX$6:$BA$13,MATCH(CUI_SCC_Chloride!AH19,'Tables - Part 2'!$AV$6:$AV$13,0),MATCH(CUI_SCC_Chloride!X19,'Tables - Part 2'!$AX$5:$BA$5,0))+INDEX('Tables - Part 2'!$BB$6:$BE$13,MATCH(CUI_SCC_Chloride!$AH19,'Tables - Part 2'!$AV$6:$AV$13,0),MATCH(CUI_SCC_Chloride!$X19,'Tables - Part 2'!$AX$5:$BA$5,0)))/2,0)</f>
        <v>0</v>
      </c>
      <c r="AX19" s="248">
        <f>IF($W19=$AX$3,(((INDEX('Tables - Part 2'!$AX$6:$BA$13,MATCH(CUI_SCC_Chloride!AH19,'Tables - Part 2'!$AV$6:$AV$13,0),MATCH(CUI_SCC_Chloride!X19,'Tables - Part 2'!$AX$5:$BA$5,0))+INDEX('Tables - Part 2'!$BB$6:$BE$13,MATCH(CUI_SCC_Chloride!$AH19,'Tables - Part 2'!$AV$6:$AV$13,0),MATCH(CUI_SCC_Chloride!$X19,'Tables - Part 2'!$AX$5:$BA$5,0)))/2)+(((INDEX('Tables - Part 2'!$AX$6:$BA$13,MATCH(CUI_SCC_Chloride!AH19,'Tables - Part 2'!$AV$6:$AV$13,0),MATCH(CUI_SCC_Chloride!X19,'Tables - Part 2'!$AX$5:$BA$5,0))+INDEX('Tables - Part 2'!$BB$6:$BE$13,MATCH(CUI_SCC_Chloride!$AH19,'Tables - Part 2'!$AV$6:$AV$13,0),MATCH(CUI_SCC_Chloride!$X19,'Tables - Part 2'!$AX$5:$BA$5,0)))/2)+INDEX('Tables - Part 2'!$BB$6:$BE$13,MATCH(CUI_SCC_Chloride!$AH19,'Tables - Part 2'!$AV$6:$AV$13,0),MATCH(CUI_SCC_Chloride!$X19,'Tables - Part 2'!$AX$5:$BA$5,0)))/2)/2,0)</f>
        <v>0</v>
      </c>
      <c r="AY19" s="248">
        <f>IF($W19=$AY$3,(((INDEX('Tables - Part 2'!$AX$6:$BA$13,MATCH(CUI_SCC_Chloride!AH19,'Tables - Part 2'!$AV$6:$AV$13,0),MATCH(CUI_SCC_Chloride!X19,'Tables - Part 2'!$AX$5:$BA$5,0))+INDEX('Tables - Part 2'!$BB$6:$BE$13,MATCH(CUI_SCC_Chloride!$AH19,'Tables - Part 2'!$AV$6:$AV$13,0),MATCH(CUI_SCC_Chloride!$X19,'Tables - Part 2'!$AX$5:$BA$5,0)))/2)+INDEX('Tables - Part 2'!$BB$6:$BE$13,MATCH(CUI_SCC_Chloride!$AH19,'Tables - Part 2'!$AV$6:$AV$13,0),MATCH(CUI_SCC_Chloride!$X19,'Tables - Part 2'!$AX$5:$BA$5,0)))/2,0)</f>
        <v>0</v>
      </c>
      <c r="AZ19" s="248">
        <f>IF($W19=$AZ$3,(((((INDEX('Tables - Part 2'!$AX$6:$BA$13,MATCH(CUI_SCC_Chloride!AH19,'Tables - Part 2'!$AV$6:$AV$13,0),MATCH(CUI_SCC_Chloride!X19,'Tables - Part 2'!$AX$5:$BA$5,0))+INDEX('Tables - Part 2'!$BB$6:$BE$13,MATCH(CUI_SCC_Chloride!$AH19,'Tables - Part 2'!$AV$6:$AV$13,0),MATCH(CUI_SCC_Chloride!$X19,'Tables - Part 2'!$AX$5:$BA$5,0)))/2)+INDEX('Tables - Part 2'!$BB$6:$BE$13,MATCH(CUI_SCC_Chloride!$AH19,'Tables - Part 2'!$AV$6:$AV$13,0),MATCH(CUI_SCC_Chloride!$X19,'Tables - Part 2'!$AX$5:$BA$5,0)))/2)+INDEX('Tables - Part 2'!$BB$6:$BE$13,MATCH(CUI_SCC_Chloride!$AH19,'Tables - Part 2'!$AV$6:$AV$13,0),MATCH(CUI_SCC_Chloride!$X19,'Tables - Part 2'!$AX$5:$BA$5,0)))/2,0)</f>
        <v>0</v>
      </c>
      <c r="BA19" s="248">
        <f>IF($W19=$BA$3,INDEX('Tables - Part 2'!$BB$6:$BE$13,MATCH(CUI_SCC_Chloride!$AH19,'Tables - Part 2'!$AV$6:$AV$13,0),MATCH(CUI_SCC_Chloride!$X19,'Tables - Part 2'!$AX$5:$BA$5,0)),0)</f>
        <v>0</v>
      </c>
      <c r="BB19" s="248">
        <f>IF($W19=$BB$3,((INDEX('Tables - Part 2'!$BB$6:$BE$13,MATCH(CUI_SCC_Chloride!$AH19,'Tables - Part 2'!$AV$6:$AV$13,0),MATCH(CUI_SCC_Chloride!$X19,'Tables - Part 2'!$AX$5:$BA$5,0)))+(INDEX('Tables - Part 2'!$BB$6:$BE$13,MATCH(CUI_SCC_Chloride!$AH19,'Tables - Part 2'!$AV$6:$AV$13,0),MATCH(CUI_SCC_Chloride!$X19,'Tables - Part 2'!$AX$5:$BA$5,0))+(INDEX('Tables - Part 2'!$BB$6:$BE$13,MATCH(CUI_SCC_Chloride!$AH19,'Tables - Part 2'!$AV$6:$AV$13,0),MATCH(CUI_SCC_Chloride!$X19,'Tables - Part 2'!$AX$5:$BA$5,0))+INDEX('Tables - Part 2'!$BF$6:$BI$13,MATCH(CUI_SCC_Chloride!$AH19,'Tables - Part 2'!$AV$6:$AV$13,0),MATCH(CUI_SCC_Chloride!$X19,'Tables - Part 2'!$AX$5:$BA$5,0)))/2)/2)/2,0)</f>
        <v>0</v>
      </c>
      <c r="BC19" s="248">
        <f>IF($W19=$BC$3,(INDEX('Tables - Part 2'!$BB$6:$BE$13,MATCH(CUI_SCC_Chloride!$AH19,'Tables - Part 2'!$AV$6:$AV$13,0),MATCH(CUI_SCC_Chloride!$X19,'Tables - Part 2'!$AX$5:$BA$5,0))+(INDEX('Tables - Part 2'!$BB$6:$BE$13,MATCH(CUI_SCC_Chloride!$AH19,'Tables - Part 2'!$AV$6:$AV$13,0),MATCH(CUI_SCC_Chloride!$X19,'Tables - Part 2'!$AX$5:$BA$5,0))+INDEX('Tables - Part 2'!$BF$6:$BI$13,MATCH(CUI_SCC_Chloride!$AH19,'Tables - Part 2'!$AV$6:$AV$13,0),MATCH(CUI_SCC_Chloride!$X19,'Tables - Part 2'!$AX$5:$BA$5,0)))/2)/2,0)</f>
        <v>0</v>
      </c>
      <c r="BD19" s="248">
        <f>IF($W19=$BD$3,(((INDEX('Tables - Part 2'!$BB$6:$BE$13,MATCH(CUI_SCC_Chloride!$AH19,'Tables - Part 2'!$AV$6:$AV$13,0),MATCH(CUI_SCC_Chloride!$X19,'Tables - Part 2'!$AX$5:$BA$5,0))+(INDEX('Tables - Part 2'!$BB$6:$BE$13,MATCH(CUI_SCC_Chloride!$AH19,'Tables - Part 2'!$AV$6:$AV$13,0),MATCH(CUI_SCC_Chloride!$X19,'Tables - Part 2'!$AX$5:$BA$5,0))+INDEX('Tables - Part 2'!$BF$6:$BI$13,MATCH(CUI_SCC_Chloride!$AH19,'Tables - Part 2'!$AV$6:$AV$13,0),MATCH(CUI_SCC_Chloride!$X19,'Tables - Part 2'!$AX$5:$BA$5,0)))/2)/2)+((INDEX('Tables - Part 2'!$BB$6:$BE$13,MATCH(CUI_SCC_Chloride!$AH19,'Tables - Part 2'!$AV$6:$AV$13,0),MATCH(CUI_SCC_Chloride!$X19,'Tables - Part 2'!$AX$5:$BA$5,0))+INDEX('Tables - Part 2'!$BF$6:$BI$13,MATCH(CUI_SCC_Chloride!$AH19,'Tables - Part 2'!$AV$6:$AV$13,0),MATCH(CUI_SCC_Chloride!$X19,'Tables - Part 2'!$AX$5:$BA$5,0)))/2))/2,0)</f>
        <v>0</v>
      </c>
      <c r="BE19" s="248">
        <f>IF($W19=$BE$3,(INDEX('Tables - Part 2'!$BB$6:$BE$13,MATCH(CUI_SCC_Chloride!$AH19,'Tables - Part 2'!$AV$6:$AV$13,0),MATCH(CUI_SCC_Chloride!$X19,'Tables - Part 2'!$AX$5:$BA$5,0))+INDEX('Tables - Part 2'!$BF$6:$BI$13,MATCH(CUI_SCC_Chloride!$AH19,'Tables - Part 2'!$AV$6:$AV$13,0),MATCH(CUI_SCC_Chloride!$X19,'Tables - Part 2'!$AX$5:$BA$5,0)))/2,0)</f>
        <v>0</v>
      </c>
      <c r="BF19" s="248">
        <f>IF($W19=$BF$3,(((INDEX('Tables - Part 2'!$BB$6:$BE$13,MATCH(CUI_SCC_Chloride!$AH19,'Tables - Part 2'!$AV$6:$AV$13,0),MATCH(CUI_SCC_Chloride!$X19,'Tables - Part 2'!$AX$5:$BA$5,0))+INDEX('Tables - Part 2'!$BF$6:$BI$13,MATCH(CUI_SCC_Chloride!$AH19,'Tables - Part 2'!$AV$6:$AV$13,0),MATCH(CUI_SCC_Chloride!$X19,'Tables - Part 2'!$AX$5:$BA$5,0)))/2)+((((INDEX('Tables - Part 2'!$BB$6:$BE$13,MATCH(CUI_SCC_Chloride!$AH19,'Tables - Part 2'!$AV$6:$AV$13,0),MATCH(CUI_SCC_Chloride!$X19,'Tables - Part 2'!$AX$5:$BA$5,0))+INDEX('Tables - Part 2'!$BF$6:$BI$13,MATCH(CUI_SCC_Chloride!$AH19,'Tables - Part 2'!$AV$6:$AV$13,0),MATCH(CUI_SCC_Chloride!$X19,'Tables - Part 2'!$AX$5:$BA$5,0)))/2)+INDEX('Tables - Part 2'!$BF$6:$BI$13,MATCH(CUI_SCC_Chloride!$AH19,'Tables - Part 2'!$AV$6:$AV$13,0),MATCH(CUI_SCC_Chloride!$X19,'Tables - Part 2'!$AX$5:$BA$5,0)))/2))/2,0)</f>
        <v>0</v>
      </c>
      <c r="BG19" s="248">
        <f>IF($W19=$BG$3,(((INDEX('Tables - Part 2'!$BB$6:$BE$13,MATCH(CUI_SCC_Chloride!$AH19,'Tables - Part 2'!$AV$6:$AV$13,0),MATCH(CUI_SCC_Chloride!$X19,'Tables - Part 2'!$AX$5:$BA$5,0))+INDEX('Tables - Part 2'!$BF$6:$BI$13,MATCH(CUI_SCC_Chloride!$AH19,'Tables - Part 2'!$AV$6:$AV$13,0),MATCH(CUI_SCC_Chloride!$X19,'Tables - Part 2'!$AX$5:$BA$5,0)))/2)+INDEX('Tables - Part 2'!$BF$6:$BI$13,MATCH(CUI_SCC_Chloride!$AH19,'Tables - Part 2'!$AV$6:$AV$13,0),MATCH(CUI_SCC_Chloride!$X19,'Tables - Part 2'!$AX$5:$BA$5,0)))/2,0)</f>
        <v>0</v>
      </c>
      <c r="BH19" s="248">
        <f>IF($W19=$BH$3,(((((INDEX('Tables - Part 2'!$BB$6:$BE$13,MATCH(CUI_SCC_Chloride!$AH19,'Tables - Part 2'!$AV$6:$AV$13,0),MATCH(CUI_SCC_Chloride!$X19,'Tables - Part 2'!$AX$5:$BA$5,0))+INDEX('Tables - Part 2'!$BF$6:$BI$13,MATCH(CUI_SCC_Chloride!$AH19,'Tables - Part 2'!$AV$6:$AV$13,0),MATCH(CUI_SCC_Chloride!$X19,'Tables - Part 2'!$AX$5:$BA$5,0)))/2)+INDEX('Tables - Part 2'!$BF$6:$BI$13,MATCH(CUI_SCC_Chloride!$AH19,'Tables - Part 2'!$AV$6:$AV$13,0),MATCH(CUI_SCC_Chloride!$X19,'Tables - Part 2'!$AX$5:$BA$5,0)))/2)+INDEX('Tables - Part 2'!$BF$6:$BI$13,MATCH(CUI_SCC_Chloride!$AH19,'Tables - Part 2'!$AV$6:$AV$13,0),MATCH(CUI_SCC_Chloride!$X19,'Tables - Part 2'!$AX$5:$BA$5,0)))/2,0)</f>
        <v>0</v>
      </c>
      <c r="BI19" s="248">
        <f>IF($W19=$BI$3,INDEX('Tables - Part 2'!$BF$6:$BI$13,MATCH(CUI_SCC_Chloride!$AH19,'Tables - Part 2'!$AV$6:$AV$13,0),MATCH(CUI_SCC_Chloride!$X19,'Tables - Part 2'!$AX$5:$BA$5,0)),0)</f>
        <v>0</v>
      </c>
      <c r="BJ19" s="248">
        <f>IF($W19=$BJ$3,(INDEX('Tables - Part 2'!$BF$6:$BI$13,MATCH(CUI_SCC_Chloride!$AH19,'Tables - Part 2'!$AV$6:$AV$13,0),MATCH(CUI_SCC_Chloride!$X19,'Tables - Part 2'!$AX$5:$BA$5,0))+((INDEX('Tables - Part 2'!$BF$6:$BI$13,MATCH(CUI_SCC_Chloride!$AH19,'Tables - Part 2'!$AV$6:$AV$13,0),MATCH(CUI_SCC_Chloride!$X19,'Tables - Part 2'!$AX$5:$BA$5,0))+(INDEX('Tables - Part 2'!$BF$6:$BI$13,MATCH(CUI_SCC_Chloride!$AH19,'Tables - Part 2'!$AV$6:$AV$13,0),MATCH(CUI_SCC_Chloride!$X19,'Tables - Part 2'!$AX$5:$BA$5,0))+INDEX('Tables - Part 2'!$AX$17:$BA$24,MATCH(CUI_SCC_Chloride!$AH19,'Tables - Part 2'!$AV$6:$AV$13,0),MATCH(CUI_SCC_Chloride!$X19,'Tables - Part 2'!$AX$5:$BA$5,0)))/2)/2))/2,0)</f>
        <v>0</v>
      </c>
      <c r="BK19" s="248">
        <f>IF($W19=$BK$3,(INDEX('Tables - Part 2'!$BF$6:$BI$13,MATCH(CUI_SCC_Chloride!$AH19,'Tables - Part 2'!$AV$6:$AV$13,0),MATCH(CUI_SCC_Chloride!$X19,'Tables - Part 2'!$AX$5:$BA$5,0))+(INDEX('Tables - Part 2'!$BF$6:$BI$13,MATCH(CUI_SCC_Chloride!$AH19,'Tables - Part 2'!$AV$6:$AV$13,0),MATCH(CUI_SCC_Chloride!$X19,'Tables - Part 2'!$AX$5:$BA$5,0))+INDEX('Tables - Part 2'!$AX$17:$BA$24,MATCH(CUI_SCC_Chloride!$AH19,'Tables - Part 2'!$AV$6:$AV$13,0),MATCH(CUI_SCC_Chloride!$X19,'Tables - Part 2'!$AX$5:$BA$5,0)))/2)/2,0)</f>
        <v>0</v>
      </c>
      <c r="BL19" s="248">
        <f>IF($W19=$BL$3,(((INDEX('Tables - Part 2'!$BF$6:$BI$13,MATCH(CUI_SCC_Chloride!$AH19,'Tables - Part 2'!$AV$6:$AV$13,0),MATCH(CUI_SCC_Chloride!$X19,'Tables - Part 2'!$AX$5:$BA$5,0))+(INDEX('Tables - Part 2'!$BF$6:$BI$13,MATCH(CUI_SCC_Chloride!$AH19,'Tables - Part 2'!$AV$6:$AV$13,0),MATCH(CUI_SCC_Chloride!$X19,'Tables - Part 2'!$AX$5:$BA$5,0))+INDEX('Tables - Part 2'!$AX$17:$BA$24,MATCH(CUI_SCC_Chloride!$AH19,'Tables - Part 2'!$AV$6:$AV$13,0),MATCH(CUI_SCC_Chloride!$X19,'Tables - Part 2'!$AX$5:$BA$5,0)))/2)/2)+((INDEX('Tables - Part 2'!$BF$6:$BI$13,MATCH(CUI_SCC_Chloride!$AH19,'Tables - Part 2'!$AV$6:$AV$13,0),MATCH(CUI_SCC_Chloride!$X19,'Tables - Part 2'!$AX$5:$BA$5,0))+INDEX('Tables - Part 2'!$AX$17:$BA$24,MATCH(CUI_SCC_Chloride!$AH19,'Tables - Part 2'!$AV$6:$AV$13,0),MATCH(CUI_SCC_Chloride!$X19,'Tables - Part 2'!$AX$5:$BA$5,0)))/2))/2,0)</f>
        <v>0</v>
      </c>
      <c r="BM19" s="248">
        <f>IF($W19=$BM$3,(INDEX('Tables - Part 2'!$BF$6:$BI$13,MATCH(CUI_SCC_Chloride!$AH19,'Tables - Part 2'!$AV$6:$AV$13,0),MATCH(CUI_SCC_Chloride!$X19,'Tables - Part 2'!$AX$5:$BA$5,0))+INDEX('Tables - Part 2'!$AX$17:$BA$24,MATCH(CUI_SCC_Chloride!$AH19,'Tables - Part 2'!$AV$6:$AV$13,0),MATCH(CUI_SCC_Chloride!$X19,'Tables - Part 2'!$AX$5:$BA$5,0)))/2,0)</f>
        <v>0</v>
      </c>
      <c r="BN19" s="248">
        <f>IF($W19=$BN$3,(((INDEX('Tables - Part 2'!$BF$6:$BI$13,MATCH(CUI_SCC_Chloride!$AH19,'Tables - Part 2'!$AV$6:$AV$13,0),MATCH(CUI_SCC_Chloride!$X19,'Tables - Part 2'!$AX$5:$BA$5,0))+INDEX('Tables - Part 2'!$AX$17:$BA$24,MATCH(CUI_SCC_Chloride!$AH19,'Tables - Part 2'!$AV$6:$AV$13,0),MATCH(CUI_SCC_Chloride!$X19,'Tables - Part 2'!$AX$5:$BA$5,0)))/2)+((((INDEX('Tables - Part 2'!$BF$6:$BI$13,MATCH(CUI_SCC_Chloride!$AH19,'Tables - Part 2'!$AV$6:$AV$13,0),MATCH(CUI_SCC_Chloride!$X19,'Tables - Part 2'!$AX$5:$BA$5,0))+INDEX('Tables - Part 2'!$AX$17:$BA$24,MATCH(CUI_SCC_Chloride!$AH19,'Tables - Part 2'!$AV$6:$AV$13,0),MATCH(CUI_SCC_Chloride!$X19,'Tables - Part 2'!$AX$5:$BA$5,0)))/2)+INDEX('Tables - Part 2'!$AX$17:$BA$24,MATCH(CUI_SCC_Chloride!$AH19,'Tables - Part 2'!$AV$6:$AV$13,0),MATCH(CUI_SCC_Chloride!$X19,'Tables - Part 2'!$AX$5:$BA$5,0)))/2))/2,0)</f>
        <v>0</v>
      </c>
      <c r="BO19" s="248">
        <f>IF($W19=$BO$3,(((INDEX('Tables - Part 2'!$BF$6:$BI$13,MATCH(CUI_SCC_Chloride!$AH19,'Tables - Part 2'!$AV$6:$AV$13,0),MATCH(CUI_SCC_Chloride!$X19,'Tables - Part 2'!$AX$5:$BA$5,0))+INDEX('Tables - Part 2'!$AX$17:$BA$24,MATCH(CUI_SCC_Chloride!$AH19,'Tables - Part 2'!$AV$6:$AV$13,0),MATCH(CUI_SCC_Chloride!$X19,'Tables - Part 2'!$AX$5:$BA$5,0)))/2)+INDEX('Tables - Part 2'!$AX$17:$BA$24,MATCH(CUI_SCC_Chloride!$AH19,'Tables - Part 2'!$AV$6:$AV$13,0),MATCH(CUI_SCC_Chloride!$X19,'Tables - Part 2'!$AX$5:$BA$5,0)))/2,0)</f>
        <v>0</v>
      </c>
      <c r="BP19" s="248">
        <f>IF($W19=$BP$3,(((((INDEX('Tables - Part 2'!$BF$6:$BI$13,MATCH(CUI_SCC_Chloride!$AH19,'Tables - Part 2'!$AV$6:$AV$13,0),MATCH(CUI_SCC_Chloride!$X19,'Tables - Part 2'!$AX$5:$BA$5,0))+INDEX('Tables - Part 2'!$AX$17:$BA$24,MATCH(CUI_SCC_Chloride!$AH19,'Tables - Part 2'!$AV$6:$AV$13,0),MATCH(CUI_SCC_Chloride!$X19,'Tables - Part 2'!$AX$5:$BA$5,0)))/2)+INDEX('Tables - Part 2'!$AX$17:$BA$24,MATCH(CUI_SCC_Chloride!$AH19,'Tables - Part 2'!$AV$6:$AV$13,0),MATCH(CUI_SCC_Chloride!$X19,'Tables - Part 2'!$AX$5:$BA$5,0)))/2)+(INDEX('Tables - Part 2'!$AX$17:$BA$24,MATCH(CUI_SCC_Chloride!$AH19,'Tables - Part 2'!$AV$6:$AV$13,0),MATCH(CUI_SCC_Chloride!$X19,'Tables - Part 2'!$AX$5:$BA$5,0))))/2,0)</f>
        <v>0</v>
      </c>
      <c r="BQ19" s="248">
        <f>IF($W19=$BQ$3,INDEX('Tables - Part 2'!$AX$17:$BA$24,MATCH(CUI_SCC_Chloride!$AH19,'Tables - Part 2'!$AV$6:$AV$13,0),MATCH(CUI_SCC_Chloride!$X19,'Tables - Part 2'!$AX$5:$BA$5,0)),0)</f>
        <v>0</v>
      </c>
      <c r="BR19" s="248">
        <f>IF($W19=$BR$3,((INDEX('Tables - Part 2'!$AX$17:$BA$24,MATCH(CUI_SCC_Chloride!$AH19,'Tables - Part 2'!$AV$6:$AV$13,0),MATCH(CUI_SCC_Chloride!$X19,'Tables - Part 2'!$AX$5:$BA$5,0)))+(((INDEX('Tables - Part 2'!$AX$17:$BA$24,MATCH(CUI_SCC_Chloride!$AH19,'Tables - Part 2'!$AV$6:$AV$13,0),MATCH(CUI_SCC_Chloride!$X19,'Tables - Part 2'!$AX$5:$BA$5,0)))+(INDEX('Tables - Part 2'!$AX$17:$BA$24,MATCH(CUI_SCC_Chloride!$AH19,'Tables - Part 2'!$AV$6:$AV$13,0),MATCH(CUI_SCC_Chloride!$X19,'Tables - Part 2'!$AX$5:$BA$5,0))+INDEX('Tables - Part 2'!$BB$17:$BE$24,MATCH(CUI_SCC_Chloride!$AH19,'Tables - Part 2'!$AV$6:$AV$13,0),MATCH(CUI_SCC_Chloride!$X19,'Tables - Part 2'!$AX$5:$BA$5,0)))/2)/2))/2,0)</f>
        <v>0</v>
      </c>
      <c r="BS19" s="248">
        <f>IF($W19=$BS$3,((INDEX('Tables - Part 2'!$AX$17:$BA$24,MATCH(CUI_SCC_Chloride!$AH19,'Tables - Part 2'!$AV$6:$AV$13,0),MATCH(CUI_SCC_Chloride!$X19,'Tables - Part 2'!$AX$5:$BA$5,0)))+(INDEX('Tables - Part 2'!$AX$17:$BA$24,MATCH(CUI_SCC_Chloride!$AH19,'Tables - Part 2'!$AV$6:$AV$13,0),MATCH(CUI_SCC_Chloride!$X19,'Tables - Part 2'!$AX$5:$BA$5,0))+INDEX('Tables - Part 2'!$BB$17:$BE$24,MATCH(CUI_SCC_Chloride!$AH19,'Tables - Part 2'!$AV$6:$AV$13,0),MATCH(CUI_SCC_Chloride!$X19,'Tables - Part 2'!$AX$5:$BA$5,0)))/2)/2,0)</f>
        <v>0</v>
      </c>
      <c r="BT19" s="248">
        <f>IF($W19=$BT$3,((((INDEX('Tables - Part 2'!$AX$17:$BA$24,MATCH(CUI_SCC_Chloride!$AH19,'Tables - Part 2'!$AV$6:$AV$13,0),MATCH(CUI_SCC_Chloride!$X19,'Tables - Part 2'!$AX$5:$BA$5,0)))+(INDEX('Tables - Part 2'!$AX$17:$BA$24,MATCH(CUI_SCC_Chloride!$AH19,'Tables - Part 2'!$AV$6:$AV$13,0),MATCH(CUI_SCC_Chloride!$X19,'Tables - Part 2'!$AX$5:$BA$5,0))+INDEX('Tables - Part 2'!$BB$17:$BE$24,MATCH(CUI_SCC_Chloride!$AH19,'Tables - Part 2'!$AV$6:$AV$13,0),MATCH(CUI_SCC_Chloride!$X19,'Tables - Part 2'!$AX$5:$BA$5,0)))/2)/2)+((INDEX('Tables - Part 2'!$AX$17:$BA$24,MATCH(CUI_SCC_Chloride!$AH19,'Tables - Part 2'!$AV$6:$AV$13,0),MATCH(CUI_SCC_Chloride!$X19,'Tables - Part 2'!$AX$5:$BA$5,0))+INDEX('Tables - Part 2'!$BB$17:$BE$24,MATCH(CUI_SCC_Chloride!$AH19,'Tables - Part 2'!$AV$6:$AV$13,0),MATCH(CUI_SCC_Chloride!$X19,'Tables - Part 2'!$AX$5:$BA$5,0)))/2))/2,0)</f>
        <v>0</v>
      </c>
      <c r="BU19" s="248">
        <f>IF($W19=$BU$3,(INDEX('Tables - Part 2'!$AX$17:$BA$24,MATCH(CUI_SCC_Chloride!$AH19,'Tables - Part 2'!$AV$6:$AV$13,0),MATCH(CUI_SCC_Chloride!$X19,'Tables - Part 2'!$AX$5:$BA$5,0))+INDEX('Tables - Part 2'!$BB$17:$BE$24,MATCH(CUI_SCC_Chloride!$AH19,'Tables - Part 2'!$AV$6:$AV$13,0),MATCH(CUI_SCC_Chloride!$X19,'Tables - Part 2'!$AX$5:$BA$5,0)))/2,0)</f>
        <v>0</v>
      </c>
      <c r="BV19" s="248">
        <f>IF($W19=$BV$3,(((INDEX('Tables - Part 2'!$AX$17:$BA$24,MATCH(CUI_SCC_Chloride!$AH19,'Tables - Part 2'!$AV$6:$AV$13,0),MATCH(CUI_SCC_Chloride!$X19,'Tables - Part 2'!$AX$5:$BA$5,0))+INDEX('Tables - Part 2'!$BB$17:$BE$24,MATCH(CUI_SCC_Chloride!$AH19,'Tables - Part 2'!$AV$6:$AV$13,0),MATCH(CUI_SCC_Chloride!$X19,'Tables - Part 2'!$AX$5:$BA$5,0)))/2)+((((INDEX('Tables - Part 2'!$AX$17:$BA$24,MATCH(CUI_SCC_Chloride!$AH19,'Tables - Part 2'!$AV$6:$AV$13,0),MATCH(CUI_SCC_Chloride!$X19,'Tables - Part 2'!$AX$5:$BA$5,0))+INDEX('Tables - Part 2'!$BB$17:$BE$24,MATCH(CUI_SCC_Chloride!$AH19,'Tables - Part 2'!$AV$6:$AV$13,0),MATCH(CUI_SCC_Chloride!$X19,'Tables - Part 2'!$AX$5:$BA$5,0)))/2)+INDEX('Tables - Part 2'!$BB$17:$BE$24,MATCH(CUI_SCC_Chloride!$AH19,'Tables - Part 2'!$AV$6:$AV$13,0),MATCH(CUI_SCC_Chloride!$X19,'Tables - Part 2'!$AX$5:$BA$5,0)))/2))/2,0)</f>
        <v>0</v>
      </c>
      <c r="BW19" s="248">
        <f>IF($W19=$BW$3,(((INDEX('Tables - Part 2'!$AX$17:$BA$24,MATCH(CUI_SCC_Chloride!$AH19,'Tables - Part 2'!$AV$6:$AV$13,0),MATCH(CUI_SCC_Chloride!$X19,'Tables - Part 2'!$AX$5:$BA$5,0))+INDEX('Tables - Part 2'!$BB$17:$BE$24,MATCH(CUI_SCC_Chloride!$AH19,'Tables - Part 2'!$AV$6:$AV$13,0),MATCH(CUI_SCC_Chloride!$X19,'Tables - Part 2'!$AX$5:$BA$5,0)))/2)+INDEX('Tables - Part 2'!$BB$17:$BE$24,MATCH(CUI_SCC_Chloride!$AH19,'Tables - Part 2'!$AV$6:$AV$13,0),MATCH(CUI_SCC_Chloride!$X19,'Tables - Part 2'!$AX$5:$BA$5,0)))/2,0)</f>
        <v>0</v>
      </c>
      <c r="BX19" s="248">
        <f>IF($W19=$BX$3,(((((INDEX('Tables - Part 2'!$AX$17:$BA$24,MATCH(CUI_SCC_Chloride!$AH19,'Tables - Part 2'!$AV$6:$AV$13,0),MATCH(CUI_SCC_Chloride!$X19,'Tables - Part 2'!$AX$5:$BA$5,0))+INDEX('Tables - Part 2'!$BB$17:$BE$24,MATCH(CUI_SCC_Chloride!$AH19,'Tables - Part 2'!$AV$6:$AV$13,0),MATCH(CUI_SCC_Chloride!$X19,'Tables - Part 2'!$AX$5:$BA$5,0)))/2)+INDEX('Tables - Part 2'!$BB$17:$BE$24,MATCH(CUI_SCC_Chloride!$AH19,'Tables - Part 2'!$AV$6:$AV$13,0),MATCH(CUI_SCC_Chloride!$X19,'Tables - Part 2'!$AX$5:$BA$5,0)))/2)+(INDEX('Tables - Part 2'!$BB$17:$BE$24,MATCH(CUI_SCC_Chloride!$AH19,'Tables - Part 2'!$AV$6:$AV$13,0),MATCH(CUI_SCC_Chloride!$X19,'Tables - Part 2'!$AX$5:$BA$5,0))))/2,0)</f>
        <v>0</v>
      </c>
      <c r="BY19" s="248">
        <f>IF($W19=$BY$3,INDEX('Tables - Part 2'!$BB$17:$BE$24,MATCH(CUI_SCC_Chloride!$AH19,'Tables - Part 2'!$AV$6:$AV$13,0),MATCH(CUI_SCC_Chloride!$X19,'Tables - Part 2'!$AX$5:$BA$5,0)),0)</f>
        <v>0</v>
      </c>
      <c r="BZ19" s="248">
        <f>IF($W19=$BZ$3,((INDEX('Tables - Part 2'!$BB$17:$BE$24,MATCH(CUI_SCC_Chloride!$AH19,'Tables - Part 2'!$AV$6:$AV$13,0),MATCH(CUI_SCC_Chloride!$X19,'Tables - Part 2'!$AX$5:$BA$5,0)))+(((INDEX('Tables - Part 2'!$BB$17:$BE$24,MATCH(CUI_SCC_Chloride!$AH19,'Tables - Part 2'!$AV$6:$AV$13,0),MATCH(CUI_SCC_Chloride!$X19,'Tables - Part 2'!$AX$5:$BA$5,0)))+(INDEX('Tables - Part 2'!$BB$17:$BE$24,MATCH(CUI_SCC_Chloride!$AH19,'Tables - Part 2'!$AV$6:$AV$13,0),MATCH(CUI_SCC_Chloride!$X19,'Tables - Part 2'!$AX$5:$BA$5,0))+INDEX('Tables - Part 2'!$BF$17:$BI$24,MATCH(CUI_SCC_Chloride!$AH19,'Tables - Part 2'!$AV$6:$AV$13,0),MATCH(CUI_SCC_Chloride!$X19,'Tables - Part 2'!$AX$5:$BA$5,0)))/2)/2))/2,0)</f>
        <v>0</v>
      </c>
      <c r="CA19" s="248">
        <f>IF($W19=$CA$3,((INDEX('Tables - Part 2'!$BB$17:$BE$24,MATCH(CUI_SCC_Chloride!$AH19,'Tables - Part 2'!$AV$6:$AV$13,0),MATCH(CUI_SCC_Chloride!$X19,'Tables - Part 2'!$AX$5:$BA$5,0)))+(INDEX('Tables - Part 2'!$BB$17:$BE$24,MATCH(CUI_SCC_Chloride!$AH19,'Tables - Part 2'!$AV$6:$AV$13,0),MATCH(CUI_SCC_Chloride!$X19,'Tables - Part 2'!$AX$5:$BA$5,0))+INDEX('Tables - Part 2'!$BF$17:$BI$24,MATCH(CUI_SCC_Chloride!$AH19,'Tables - Part 2'!$AV$6:$AV$13,0),MATCH(CUI_SCC_Chloride!$X19,'Tables - Part 2'!$AX$5:$BA$5,0)))/2)/2,0)</f>
        <v>0</v>
      </c>
      <c r="CB19" s="248">
        <f>IF($W19=$CB$3,((((INDEX('Tables - Part 2'!$BB$17:$BE$24,MATCH(CUI_SCC_Chloride!$AH19,'Tables - Part 2'!$AV$6:$AV$13,0),MATCH(CUI_SCC_Chloride!$X19,'Tables - Part 2'!$AX$5:$BA$5,0)))+(INDEX('Tables - Part 2'!$BB$17:$BE$24,MATCH(CUI_SCC_Chloride!$AH19,'Tables - Part 2'!$AV$6:$AV$13,0),MATCH(CUI_SCC_Chloride!$X19,'Tables - Part 2'!$AX$5:$BA$5,0))+INDEX('Tables - Part 2'!$BF$17:$BI$24,MATCH(CUI_SCC_Chloride!$AH19,'Tables - Part 2'!$AV$6:$AV$13,0),MATCH(CUI_SCC_Chloride!$X19,'Tables - Part 2'!$AX$5:$BA$5,0)))/2)/2)+((INDEX('Tables - Part 2'!$BB$17:$BE$24,MATCH(CUI_SCC_Chloride!$AH19,'Tables - Part 2'!$AV$6:$AV$13,0),MATCH(CUI_SCC_Chloride!$X19,'Tables - Part 2'!$AX$5:$BA$5,0))+INDEX('Tables - Part 2'!$BF$17:$BI$24,MATCH(CUI_SCC_Chloride!$AH19,'Tables - Part 2'!$AV$6:$AV$13,0),MATCH(CUI_SCC_Chloride!$X19,'Tables - Part 2'!$AX$5:$BA$5,0)))/2))/2,0)</f>
        <v>0</v>
      </c>
      <c r="CC19" s="248">
        <f>IF($W19=$CC$3,(INDEX('Tables - Part 2'!$BB$17:$BE$24,MATCH(CUI_SCC_Chloride!$AH19,'Tables - Part 2'!$AV$6:$AV$13,0),MATCH(CUI_SCC_Chloride!$X19,'Tables - Part 2'!$AX$5:$BA$5,0))+INDEX('Tables - Part 2'!$BF$17:$BI$24,MATCH(CUI_SCC_Chloride!$AH19,'Tables - Part 2'!$AV$6:$AV$13,0),MATCH(CUI_SCC_Chloride!$X19,'Tables - Part 2'!$AX$5:$BA$5,0)))/2,0)</f>
        <v>0</v>
      </c>
      <c r="CD19" s="248">
        <f>IF($W19=$CD$3,(((INDEX('Tables - Part 2'!$BB$17:$BE$24,MATCH(CUI_SCC_Chloride!$AH19,'Tables - Part 2'!$AV$6:$AV$13,0),MATCH(CUI_SCC_Chloride!$X19,'Tables - Part 2'!$AX$5:$BA$5,0))+INDEX('Tables - Part 2'!$BF$17:$BI$24,MATCH(CUI_SCC_Chloride!$AH19,'Tables - Part 2'!$AV$6:$AV$13,0),MATCH(CUI_SCC_Chloride!$X19,'Tables - Part 2'!$AX$5:$BA$5,0)))/2)+((((INDEX('Tables - Part 2'!$BB$17:$BE$24,MATCH(CUI_SCC_Chloride!$AH19,'Tables - Part 2'!$AV$6:$AV$13,0),MATCH(CUI_SCC_Chloride!$X19,'Tables - Part 2'!$AX$5:$BA$5,0))+INDEX('Tables - Part 2'!$BF$17:$BI$24,MATCH(CUI_SCC_Chloride!$AH19,'Tables - Part 2'!$AV$6:$AV$13,0),MATCH(CUI_SCC_Chloride!$X19,'Tables - Part 2'!$AX$5:$BA$5,0)))/2)+INDEX('Tables - Part 2'!$BF$17:$BI$24,MATCH(CUI_SCC_Chloride!$AH19,'Tables - Part 2'!$AV$6:$AV$13,0),MATCH(CUI_SCC_Chloride!$X19,'Tables - Part 2'!$AX$5:$BA$5,0)))/2))/2,0)</f>
        <v>0</v>
      </c>
      <c r="CE19" s="248">
        <f>IF($W19=$CE$3,(((INDEX('Tables - Part 2'!$BB$17:$BE$24,MATCH(CUI_SCC_Chloride!$AH19,'Tables - Part 2'!$AV$6:$AV$13,0),MATCH(CUI_SCC_Chloride!$X19,'Tables - Part 2'!$AX$5:$BA$5,0))+INDEX('Tables - Part 2'!$BF$17:$BI$24,MATCH(CUI_SCC_Chloride!$AH19,'Tables - Part 2'!$AV$6:$AV$13,0),MATCH(CUI_SCC_Chloride!$X19,'Tables - Part 2'!$AX$5:$BA$5,0)))/2)+INDEX('Tables - Part 2'!$BF$17:$BI$24,MATCH(CUI_SCC_Chloride!$AH19,'Tables - Part 2'!$AV$6:$AV$13,0),MATCH(CUI_SCC_Chloride!$X19,'Tables - Part 2'!$AX$5:$BA$5,0)))/2,0)</f>
        <v>0</v>
      </c>
      <c r="CF19" s="248">
        <f>IF($W19=$CF$3,(((((INDEX('Tables - Part 2'!$BB$17:$BE$24,MATCH(CUI_SCC_Chloride!$AH19,'Tables - Part 2'!$AV$6:$AV$13,0),MATCH(CUI_SCC_Chloride!$X19,'Tables - Part 2'!$AX$5:$BA$5,0))+INDEX('Tables - Part 2'!$BF$17:$BI$24,MATCH(CUI_SCC_Chloride!$AH19,'Tables - Part 2'!$AV$6:$AV$13,0),MATCH(CUI_SCC_Chloride!$X19,'Tables - Part 2'!$AX$5:$BA$5,0)))/2)+INDEX('Tables - Part 2'!$BF$17:$BI$24,MATCH(CUI_SCC_Chloride!$AH19,'Tables - Part 2'!$AV$6:$AV$13,0),MATCH(CUI_SCC_Chloride!$X19,'Tables - Part 2'!$AX$5:$BA$5,0)))/2)+(INDEX('Tables - Part 2'!$BF$17:$BI$24,MATCH(CUI_SCC_Chloride!$AH19,'Tables - Part 2'!$AV$6:$AV$13,0),MATCH(CUI_SCC_Chloride!$X19,'Tables - Part 2'!$AX$5:$BA$5,0))))/2,0)</f>
        <v>0</v>
      </c>
      <c r="CG19" s="248">
        <f>IF($W19=$CG$3,INDEX('Tables - Part 2'!$BF$17:$BI$24,MATCH(CUI_SCC_Chloride!$AH19,'Tables - Part 2'!$AV$6:$AV$13,0),MATCH(CUI_SCC_Chloride!$X19,'Tables - Part 2'!$AX$5:$BA$5,0)),0)</f>
        <v>0</v>
      </c>
      <c r="CH19" s="248">
        <f t="shared" si="5"/>
        <v>0</v>
      </c>
      <c r="CI19" s="238">
        <f t="shared" si="19"/>
        <v>0</v>
      </c>
      <c r="CJ19" s="238">
        <f t="shared" si="20"/>
        <v>0</v>
      </c>
    </row>
    <row r="20" spans="2:88" x14ac:dyDescent="0.35">
      <c r="B20" s="161" t="str">
        <f>'Tratamento de Dados'!B28</f>
        <v>V-90</v>
      </c>
      <c r="C20" s="161" t="str">
        <f>'Tratamento de Dados'!D28</f>
        <v>Casco</v>
      </c>
      <c r="D20" s="209" t="s">
        <v>245</v>
      </c>
      <c r="E20" s="209" t="s">
        <v>61</v>
      </c>
      <c r="F20" s="247">
        <f>'Tratamento de Dados'!S28</f>
        <v>2</v>
      </c>
      <c r="G20" s="209" t="s">
        <v>953</v>
      </c>
      <c r="H20" s="210">
        <v>35234</v>
      </c>
      <c r="I20" s="210">
        <v>43983</v>
      </c>
      <c r="J20" s="210">
        <v>39092</v>
      </c>
      <c r="K20" s="210">
        <f>'Tratamento de Dados'!CC28</f>
        <v>0</v>
      </c>
      <c r="L20" s="209">
        <f>'Tratamento de Dados'!CD28</f>
        <v>0</v>
      </c>
      <c r="M20" s="209" t="s">
        <v>905</v>
      </c>
      <c r="N20" s="209" t="s">
        <v>1081</v>
      </c>
      <c r="O20" s="209" t="s">
        <v>1081</v>
      </c>
      <c r="P20" s="209" t="s">
        <v>244</v>
      </c>
      <c r="Q20" s="209">
        <v>0</v>
      </c>
      <c r="R20" s="209">
        <v>1</v>
      </c>
      <c r="S20" s="209">
        <v>1</v>
      </c>
      <c r="T20" s="209">
        <v>4</v>
      </c>
      <c r="U20" s="253">
        <f>'Tratamento de Dados'!DA28</f>
        <v>0</v>
      </c>
      <c r="V20" s="253">
        <f>'Tratamento de Dados'!DB28</f>
        <v>0</v>
      </c>
      <c r="W20" s="256">
        <f t="shared" si="0"/>
        <v>2.5</v>
      </c>
      <c r="X20" s="246" t="str">
        <f t="shared" si="1"/>
        <v>B</v>
      </c>
      <c r="Y20" s="246" t="str">
        <f>IF(F20&lt;49,'Tables - Part 2'!$FH$5,IF(F20&lt;=93,'Tables - Part 2'!$FH$6,IF(F20&lt;=149,'Tables - Part 2'!$FH$7,'Tables - Part 2'!$FH$8)))</f>
        <v>&lt;49</v>
      </c>
      <c r="Z20" s="246" t="str">
        <f>IF(D20=$CO$2,$CM$5,INDEX('Tables - Part 2'!$FR$5:$FU$8,MATCH(CUI_SCC_Chloride!Y20,'Tables - Part 2'!$FQ$5:$FQ$8,0),MATCH(CUI_SCC_Chloride!M20,'Tables - Part 2'!$FR$4:$FU$4,0)))</f>
        <v>None</v>
      </c>
      <c r="AA20" s="246" t="str">
        <f t="shared" si="6"/>
        <v>None</v>
      </c>
      <c r="AB20" s="219">
        <f t="shared" si="7"/>
        <v>0</v>
      </c>
      <c r="AC20" s="246" t="str">
        <f t="shared" si="8"/>
        <v>None</v>
      </c>
      <c r="AD20" s="219">
        <f t="shared" si="9"/>
        <v>0</v>
      </c>
      <c r="AE20" s="246" t="str">
        <f t="shared" si="10"/>
        <v>None</v>
      </c>
      <c r="AF20" s="219">
        <f t="shared" si="11"/>
        <v>0</v>
      </c>
      <c r="AG20" s="467" t="str">
        <f t="shared" si="12"/>
        <v>None</v>
      </c>
      <c r="AH20" s="238">
        <f>IF(AND(D20=$CO$2,E20&lt;&gt;$CO$2),"Fitness-For-Service",INDEX('Tables - Part 2'!$FO$4:$FO$7,MATCH(CUI_SCC_Chloride!AG20,'Tables - Part 2'!$FN$4:$FN$7,0),))</f>
        <v>0</v>
      </c>
      <c r="AI20" s="238">
        <f>IF(J20=0,(Thinning!G21-Thinning!F21)/365.25,(Thinning!G21-J20)/365.25)</f>
        <v>12.980150581793293</v>
      </c>
      <c r="AJ20" s="248">
        <f t="shared" si="2"/>
        <v>0</v>
      </c>
      <c r="AK20" s="248">
        <f t="shared" si="3"/>
        <v>2.5</v>
      </c>
      <c r="AL20" s="247">
        <f t="shared" si="13"/>
        <v>3</v>
      </c>
      <c r="AM20" s="247">
        <f t="shared" si="4"/>
        <v>4</v>
      </c>
      <c r="AN20" s="247">
        <f t="shared" si="14"/>
        <v>120.41889117043121</v>
      </c>
      <c r="AO20" s="247">
        <f t="shared" si="15"/>
        <v>0</v>
      </c>
      <c r="AP20" s="247">
        <f t="shared" si="16"/>
        <v>0</v>
      </c>
      <c r="AQ20" s="247">
        <f t="shared" si="17"/>
        <v>0</v>
      </c>
      <c r="AR20" s="247">
        <f t="shared" si="18"/>
        <v>12.980150581793293</v>
      </c>
      <c r="AS20" s="248">
        <f>IF($W20=$AS$3,INDEX('Tables - Part 2'!$AX$6:$BA$13,MATCH(CUI_SCC_Chloride!AH20,'Tables - Part 2'!$AV$6:$AV$13,0),MATCH(CUI_SCC_Chloride!X20,'Tables - Part 2'!$AX$5:$BA$5,0)),0)</f>
        <v>0</v>
      </c>
      <c r="AT20" s="248">
        <f>IF($W20=$AT$3,(INDEX('Tables - Part 2'!$AX$6:$BA$13,MATCH(CUI_SCC_Chloride!AH20,'Tables - Part 2'!$AV$6:$AV$13,0),MATCH(CUI_SCC_Chloride!X20,'Tables - Part 2'!$AX$5:$BA$5,0))+(INDEX('Tables - Part 2'!$AX$6:$BA$13,MATCH(CUI_SCC_Chloride!AH20,'Tables - Part 2'!$AV$6:$AV$13,0),MATCH(CUI_SCC_Chloride!X20,'Tables - Part 2'!$AX$5:$BA$5,0))+((INDEX('Tables - Part 2'!$AX$6:$BA$13,MATCH(CUI_SCC_Chloride!AH20,'Tables - Part 2'!$AV$6:$AV$13,0),MATCH(CUI_SCC_Chloride!X20,'Tables - Part 2'!$AX$5:$BA$5,0))+INDEX('Tables - Part 2'!$BB$6:$BE$13,MATCH(CUI_SCC_Chloride!$AH20,'Tables - Part 2'!$AV$6:$AV$13,0),MATCH(CUI_SCC_Chloride!$X20,'Tables - Part 2'!$AX$5:$BA$5,0)))/2))/2)/2,0)</f>
        <v>0</v>
      </c>
      <c r="AU20" s="248">
        <f>IF($W20=$AU$3,(INDEX('Tables - Part 2'!$AX$6:$BA$13,MATCH(CUI_SCC_Chloride!AH20,'Tables - Part 2'!$AV$6:$AV$13,0),MATCH(CUI_SCC_Chloride!X20,'Tables - Part 2'!$AX$5:$BA$5,0))+((INDEX('Tables - Part 2'!$AX$6:$BA$13,MATCH(CUI_SCC_Chloride!AH20,'Tables - Part 2'!$AV$6:$AV$13,0),MATCH(CUI_SCC_Chloride!X20,'Tables - Part 2'!$AX$5:$BA$5,0))+INDEX('Tables - Part 2'!$BB$6:$BE$13,MATCH(CUI_SCC_Chloride!$AH20,'Tables - Part 2'!$AV$6:$AV$13,0),MATCH(CUI_SCC_Chloride!$X20,'Tables - Part 2'!$AX$5:$BA$5,0)))/2))/2,0)</f>
        <v>0</v>
      </c>
      <c r="AV20" s="248">
        <f>IF($W20=$AV$3,(((INDEX('Tables - Part 2'!$AX$6:$BA$13,MATCH(CUI_SCC_Chloride!AH20,'Tables - Part 2'!$AV$6:$AV$13,0),MATCH(CUI_SCC_Chloride!X20,'Tables - Part 2'!$AX$5:$BA$5,0))+((INDEX('Tables - Part 2'!$AX$6:$BA$13,MATCH(CUI_SCC_Chloride!AH20,'Tables - Part 2'!$AV$6:$AV$13,0),MATCH(CUI_SCC_Chloride!X20,'Tables - Part 2'!$AX$5:$BA$5,0))+INDEX('Tables - Part 2'!$BB$6:$BE$13,MATCH(CUI_SCC_Chloride!$AH20,'Tables - Part 2'!$AV$6:$AV$13,0),MATCH(CUI_SCC_Chloride!$X20,'Tables - Part 2'!$AX$5:$BA$5,0)))/2))/2)+(INDEX('Tables - Part 2'!$AX$6:$BA$13,MATCH(CUI_SCC_Chloride!AH20,'Tables - Part 2'!$AV$6:$AV$13,0),MATCH(CUI_SCC_Chloride!X20,'Tables - Part 2'!$AX$5:$BA$5,0))+INDEX('Tables - Part 2'!$BB$6:$BE$13,MATCH(CUI_SCC_Chloride!$AH20,'Tables - Part 2'!$AV$6:$AV$13,0),MATCH(CUI_SCC_Chloride!$X20,'Tables - Part 2'!$AX$5:$BA$5,0)))/2)/2,0)</f>
        <v>0</v>
      </c>
      <c r="AW20" s="248">
        <f>IF($W20=$AW$3,(INDEX('Tables - Part 2'!$AX$6:$BA$13,MATCH(CUI_SCC_Chloride!AH20,'Tables - Part 2'!$AV$6:$AV$13,0),MATCH(CUI_SCC_Chloride!X20,'Tables - Part 2'!$AX$5:$BA$5,0))+INDEX('Tables - Part 2'!$BB$6:$BE$13,MATCH(CUI_SCC_Chloride!$AH20,'Tables - Part 2'!$AV$6:$AV$13,0),MATCH(CUI_SCC_Chloride!$X20,'Tables - Part 2'!$AX$5:$BA$5,0)))/2,0)</f>
        <v>0</v>
      </c>
      <c r="AX20" s="248">
        <f>IF($W20=$AX$3,(((INDEX('Tables - Part 2'!$AX$6:$BA$13,MATCH(CUI_SCC_Chloride!AH20,'Tables - Part 2'!$AV$6:$AV$13,0),MATCH(CUI_SCC_Chloride!X20,'Tables - Part 2'!$AX$5:$BA$5,0))+INDEX('Tables - Part 2'!$BB$6:$BE$13,MATCH(CUI_SCC_Chloride!$AH20,'Tables - Part 2'!$AV$6:$AV$13,0),MATCH(CUI_SCC_Chloride!$X20,'Tables - Part 2'!$AX$5:$BA$5,0)))/2)+(((INDEX('Tables - Part 2'!$AX$6:$BA$13,MATCH(CUI_SCC_Chloride!AH20,'Tables - Part 2'!$AV$6:$AV$13,0),MATCH(CUI_SCC_Chloride!X20,'Tables - Part 2'!$AX$5:$BA$5,0))+INDEX('Tables - Part 2'!$BB$6:$BE$13,MATCH(CUI_SCC_Chloride!$AH20,'Tables - Part 2'!$AV$6:$AV$13,0),MATCH(CUI_SCC_Chloride!$X20,'Tables - Part 2'!$AX$5:$BA$5,0)))/2)+INDEX('Tables - Part 2'!$BB$6:$BE$13,MATCH(CUI_SCC_Chloride!$AH20,'Tables - Part 2'!$AV$6:$AV$13,0),MATCH(CUI_SCC_Chloride!$X20,'Tables - Part 2'!$AX$5:$BA$5,0)))/2)/2,0)</f>
        <v>0</v>
      </c>
      <c r="AY20" s="248">
        <f>IF($W20=$AY$3,(((INDEX('Tables - Part 2'!$AX$6:$BA$13,MATCH(CUI_SCC_Chloride!AH20,'Tables - Part 2'!$AV$6:$AV$13,0),MATCH(CUI_SCC_Chloride!X20,'Tables - Part 2'!$AX$5:$BA$5,0))+INDEX('Tables - Part 2'!$BB$6:$BE$13,MATCH(CUI_SCC_Chloride!$AH20,'Tables - Part 2'!$AV$6:$AV$13,0),MATCH(CUI_SCC_Chloride!$X20,'Tables - Part 2'!$AX$5:$BA$5,0)))/2)+INDEX('Tables - Part 2'!$BB$6:$BE$13,MATCH(CUI_SCC_Chloride!$AH20,'Tables - Part 2'!$AV$6:$AV$13,0),MATCH(CUI_SCC_Chloride!$X20,'Tables - Part 2'!$AX$5:$BA$5,0)))/2,0)</f>
        <v>0</v>
      </c>
      <c r="AZ20" s="248">
        <f>IF($W20=$AZ$3,(((((INDEX('Tables - Part 2'!$AX$6:$BA$13,MATCH(CUI_SCC_Chloride!AH20,'Tables - Part 2'!$AV$6:$AV$13,0),MATCH(CUI_SCC_Chloride!X20,'Tables - Part 2'!$AX$5:$BA$5,0))+INDEX('Tables - Part 2'!$BB$6:$BE$13,MATCH(CUI_SCC_Chloride!$AH20,'Tables - Part 2'!$AV$6:$AV$13,0),MATCH(CUI_SCC_Chloride!$X20,'Tables - Part 2'!$AX$5:$BA$5,0)))/2)+INDEX('Tables - Part 2'!$BB$6:$BE$13,MATCH(CUI_SCC_Chloride!$AH20,'Tables - Part 2'!$AV$6:$AV$13,0),MATCH(CUI_SCC_Chloride!$X20,'Tables - Part 2'!$AX$5:$BA$5,0)))/2)+INDEX('Tables - Part 2'!$BB$6:$BE$13,MATCH(CUI_SCC_Chloride!$AH20,'Tables - Part 2'!$AV$6:$AV$13,0),MATCH(CUI_SCC_Chloride!$X20,'Tables - Part 2'!$AX$5:$BA$5,0)))/2,0)</f>
        <v>0</v>
      </c>
      <c r="BA20" s="248">
        <f>IF($W20=$BA$3,INDEX('Tables - Part 2'!$BB$6:$BE$13,MATCH(CUI_SCC_Chloride!$AH20,'Tables - Part 2'!$AV$6:$AV$13,0),MATCH(CUI_SCC_Chloride!$X20,'Tables - Part 2'!$AX$5:$BA$5,0)),0)</f>
        <v>0</v>
      </c>
      <c r="BB20" s="248">
        <f>IF($W20=$BB$3,((INDEX('Tables - Part 2'!$BB$6:$BE$13,MATCH(CUI_SCC_Chloride!$AH20,'Tables - Part 2'!$AV$6:$AV$13,0),MATCH(CUI_SCC_Chloride!$X20,'Tables - Part 2'!$AX$5:$BA$5,0)))+(INDEX('Tables - Part 2'!$BB$6:$BE$13,MATCH(CUI_SCC_Chloride!$AH20,'Tables - Part 2'!$AV$6:$AV$13,0),MATCH(CUI_SCC_Chloride!$X20,'Tables - Part 2'!$AX$5:$BA$5,0))+(INDEX('Tables - Part 2'!$BB$6:$BE$13,MATCH(CUI_SCC_Chloride!$AH20,'Tables - Part 2'!$AV$6:$AV$13,0),MATCH(CUI_SCC_Chloride!$X20,'Tables - Part 2'!$AX$5:$BA$5,0))+INDEX('Tables - Part 2'!$BF$6:$BI$13,MATCH(CUI_SCC_Chloride!$AH20,'Tables - Part 2'!$AV$6:$AV$13,0),MATCH(CUI_SCC_Chloride!$X20,'Tables - Part 2'!$AX$5:$BA$5,0)))/2)/2)/2,0)</f>
        <v>0</v>
      </c>
      <c r="BC20" s="248">
        <f>IF($W20=$BC$3,(INDEX('Tables - Part 2'!$BB$6:$BE$13,MATCH(CUI_SCC_Chloride!$AH20,'Tables - Part 2'!$AV$6:$AV$13,0),MATCH(CUI_SCC_Chloride!$X20,'Tables - Part 2'!$AX$5:$BA$5,0))+(INDEX('Tables - Part 2'!$BB$6:$BE$13,MATCH(CUI_SCC_Chloride!$AH20,'Tables - Part 2'!$AV$6:$AV$13,0),MATCH(CUI_SCC_Chloride!$X20,'Tables - Part 2'!$AX$5:$BA$5,0))+INDEX('Tables - Part 2'!$BF$6:$BI$13,MATCH(CUI_SCC_Chloride!$AH20,'Tables - Part 2'!$AV$6:$AV$13,0),MATCH(CUI_SCC_Chloride!$X20,'Tables - Part 2'!$AX$5:$BA$5,0)))/2)/2,0)</f>
        <v>0</v>
      </c>
      <c r="BD20" s="248">
        <f>IF($W20=$BD$3,(((INDEX('Tables - Part 2'!$BB$6:$BE$13,MATCH(CUI_SCC_Chloride!$AH20,'Tables - Part 2'!$AV$6:$AV$13,0),MATCH(CUI_SCC_Chloride!$X20,'Tables - Part 2'!$AX$5:$BA$5,0))+(INDEX('Tables - Part 2'!$BB$6:$BE$13,MATCH(CUI_SCC_Chloride!$AH20,'Tables - Part 2'!$AV$6:$AV$13,0),MATCH(CUI_SCC_Chloride!$X20,'Tables - Part 2'!$AX$5:$BA$5,0))+INDEX('Tables - Part 2'!$BF$6:$BI$13,MATCH(CUI_SCC_Chloride!$AH20,'Tables - Part 2'!$AV$6:$AV$13,0),MATCH(CUI_SCC_Chloride!$X20,'Tables - Part 2'!$AX$5:$BA$5,0)))/2)/2)+((INDEX('Tables - Part 2'!$BB$6:$BE$13,MATCH(CUI_SCC_Chloride!$AH20,'Tables - Part 2'!$AV$6:$AV$13,0),MATCH(CUI_SCC_Chloride!$X20,'Tables - Part 2'!$AX$5:$BA$5,0))+INDEX('Tables - Part 2'!$BF$6:$BI$13,MATCH(CUI_SCC_Chloride!$AH20,'Tables - Part 2'!$AV$6:$AV$13,0),MATCH(CUI_SCC_Chloride!$X20,'Tables - Part 2'!$AX$5:$BA$5,0)))/2))/2,0)</f>
        <v>0</v>
      </c>
      <c r="BE20" s="248">
        <f>IF($W20=$BE$3,(INDEX('Tables - Part 2'!$BB$6:$BE$13,MATCH(CUI_SCC_Chloride!$AH20,'Tables - Part 2'!$AV$6:$AV$13,0),MATCH(CUI_SCC_Chloride!$X20,'Tables - Part 2'!$AX$5:$BA$5,0))+INDEX('Tables - Part 2'!$BF$6:$BI$13,MATCH(CUI_SCC_Chloride!$AH20,'Tables - Part 2'!$AV$6:$AV$13,0),MATCH(CUI_SCC_Chloride!$X20,'Tables - Part 2'!$AX$5:$BA$5,0)))/2,0)</f>
        <v>0</v>
      </c>
      <c r="BF20" s="248">
        <f>IF($W20=$BF$3,(((INDEX('Tables - Part 2'!$BB$6:$BE$13,MATCH(CUI_SCC_Chloride!$AH20,'Tables - Part 2'!$AV$6:$AV$13,0),MATCH(CUI_SCC_Chloride!$X20,'Tables - Part 2'!$AX$5:$BA$5,0))+INDEX('Tables - Part 2'!$BF$6:$BI$13,MATCH(CUI_SCC_Chloride!$AH20,'Tables - Part 2'!$AV$6:$AV$13,0),MATCH(CUI_SCC_Chloride!$X20,'Tables - Part 2'!$AX$5:$BA$5,0)))/2)+((((INDEX('Tables - Part 2'!$BB$6:$BE$13,MATCH(CUI_SCC_Chloride!$AH20,'Tables - Part 2'!$AV$6:$AV$13,0),MATCH(CUI_SCC_Chloride!$X20,'Tables - Part 2'!$AX$5:$BA$5,0))+INDEX('Tables - Part 2'!$BF$6:$BI$13,MATCH(CUI_SCC_Chloride!$AH20,'Tables - Part 2'!$AV$6:$AV$13,0),MATCH(CUI_SCC_Chloride!$X20,'Tables - Part 2'!$AX$5:$BA$5,0)))/2)+INDEX('Tables - Part 2'!$BF$6:$BI$13,MATCH(CUI_SCC_Chloride!$AH20,'Tables - Part 2'!$AV$6:$AV$13,0),MATCH(CUI_SCC_Chloride!$X20,'Tables - Part 2'!$AX$5:$BA$5,0)))/2))/2,0)</f>
        <v>0</v>
      </c>
      <c r="BG20" s="248">
        <f>IF($W20=$BG$3,(((INDEX('Tables - Part 2'!$BB$6:$BE$13,MATCH(CUI_SCC_Chloride!$AH20,'Tables - Part 2'!$AV$6:$AV$13,0),MATCH(CUI_SCC_Chloride!$X20,'Tables - Part 2'!$AX$5:$BA$5,0))+INDEX('Tables - Part 2'!$BF$6:$BI$13,MATCH(CUI_SCC_Chloride!$AH20,'Tables - Part 2'!$AV$6:$AV$13,0),MATCH(CUI_SCC_Chloride!$X20,'Tables - Part 2'!$AX$5:$BA$5,0)))/2)+INDEX('Tables - Part 2'!$BF$6:$BI$13,MATCH(CUI_SCC_Chloride!$AH20,'Tables - Part 2'!$AV$6:$AV$13,0),MATCH(CUI_SCC_Chloride!$X20,'Tables - Part 2'!$AX$5:$BA$5,0)))/2,0)</f>
        <v>0</v>
      </c>
      <c r="BH20" s="248">
        <f>IF($W20=$BH$3,(((((INDEX('Tables - Part 2'!$BB$6:$BE$13,MATCH(CUI_SCC_Chloride!$AH20,'Tables - Part 2'!$AV$6:$AV$13,0),MATCH(CUI_SCC_Chloride!$X20,'Tables - Part 2'!$AX$5:$BA$5,0))+INDEX('Tables - Part 2'!$BF$6:$BI$13,MATCH(CUI_SCC_Chloride!$AH20,'Tables - Part 2'!$AV$6:$AV$13,0),MATCH(CUI_SCC_Chloride!$X20,'Tables - Part 2'!$AX$5:$BA$5,0)))/2)+INDEX('Tables - Part 2'!$BF$6:$BI$13,MATCH(CUI_SCC_Chloride!$AH20,'Tables - Part 2'!$AV$6:$AV$13,0),MATCH(CUI_SCC_Chloride!$X20,'Tables - Part 2'!$AX$5:$BA$5,0)))/2)+INDEX('Tables - Part 2'!$BF$6:$BI$13,MATCH(CUI_SCC_Chloride!$AH20,'Tables - Part 2'!$AV$6:$AV$13,0),MATCH(CUI_SCC_Chloride!$X20,'Tables - Part 2'!$AX$5:$BA$5,0)))/2,0)</f>
        <v>0</v>
      </c>
      <c r="BI20" s="248">
        <f>IF($W20=$BI$3,INDEX('Tables - Part 2'!$BF$6:$BI$13,MATCH(CUI_SCC_Chloride!$AH20,'Tables - Part 2'!$AV$6:$AV$13,0),MATCH(CUI_SCC_Chloride!$X20,'Tables - Part 2'!$AX$5:$BA$5,0)),0)</f>
        <v>0</v>
      </c>
      <c r="BJ20" s="248">
        <f>IF($W20=$BJ$3,(INDEX('Tables - Part 2'!$BF$6:$BI$13,MATCH(CUI_SCC_Chloride!$AH20,'Tables - Part 2'!$AV$6:$AV$13,0),MATCH(CUI_SCC_Chloride!$X20,'Tables - Part 2'!$AX$5:$BA$5,0))+((INDEX('Tables - Part 2'!$BF$6:$BI$13,MATCH(CUI_SCC_Chloride!$AH20,'Tables - Part 2'!$AV$6:$AV$13,0),MATCH(CUI_SCC_Chloride!$X20,'Tables - Part 2'!$AX$5:$BA$5,0))+(INDEX('Tables - Part 2'!$BF$6:$BI$13,MATCH(CUI_SCC_Chloride!$AH20,'Tables - Part 2'!$AV$6:$AV$13,0),MATCH(CUI_SCC_Chloride!$X20,'Tables - Part 2'!$AX$5:$BA$5,0))+INDEX('Tables - Part 2'!$AX$17:$BA$24,MATCH(CUI_SCC_Chloride!$AH20,'Tables - Part 2'!$AV$6:$AV$13,0),MATCH(CUI_SCC_Chloride!$X20,'Tables - Part 2'!$AX$5:$BA$5,0)))/2)/2))/2,0)</f>
        <v>0</v>
      </c>
      <c r="BK20" s="248">
        <f>IF($W20=$BK$3,(INDEX('Tables - Part 2'!$BF$6:$BI$13,MATCH(CUI_SCC_Chloride!$AH20,'Tables - Part 2'!$AV$6:$AV$13,0),MATCH(CUI_SCC_Chloride!$X20,'Tables - Part 2'!$AX$5:$BA$5,0))+(INDEX('Tables - Part 2'!$BF$6:$BI$13,MATCH(CUI_SCC_Chloride!$AH20,'Tables - Part 2'!$AV$6:$AV$13,0),MATCH(CUI_SCC_Chloride!$X20,'Tables - Part 2'!$AX$5:$BA$5,0))+INDEX('Tables - Part 2'!$AX$17:$BA$24,MATCH(CUI_SCC_Chloride!$AH20,'Tables - Part 2'!$AV$6:$AV$13,0),MATCH(CUI_SCC_Chloride!$X20,'Tables - Part 2'!$AX$5:$BA$5,0)))/2)/2,0)</f>
        <v>0</v>
      </c>
      <c r="BL20" s="248">
        <f>IF($W20=$BL$3,(((INDEX('Tables - Part 2'!$BF$6:$BI$13,MATCH(CUI_SCC_Chloride!$AH20,'Tables - Part 2'!$AV$6:$AV$13,0),MATCH(CUI_SCC_Chloride!$X20,'Tables - Part 2'!$AX$5:$BA$5,0))+(INDEX('Tables - Part 2'!$BF$6:$BI$13,MATCH(CUI_SCC_Chloride!$AH20,'Tables - Part 2'!$AV$6:$AV$13,0),MATCH(CUI_SCC_Chloride!$X20,'Tables - Part 2'!$AX$5:$BA$5,0))+INDEX('Tables - Part 2'!$AX$17:$BA$24,MATCH(CUI_SCC_Chloride!$AH20,'Tables - Part 2'!$AV$6:$AV$13,0),MATCH(CUI_SCC_Chloride!$X20,'Tables - Part 2'!$AX$5:$BA$5,0)))/2)/2)+((INDEX('Tables - Part 2'!$BF$6:$BI$13,MATCH(CUI_SCC_Chloride!$AH20,'Tables - Part 2'!$AV$6:$AV$13,0),MATCH(CUI_SCC_Chloride!$X20,'Tables - Part 2'!$AX$5:$BA$5,0))+INDEX('Tables - Part 2'!$AX$17:$BA$24,MATCH(CUI_SCC_Chloride!$AH20,'Tables - Part 2'!$AV$6:$AV$13,0),MATCH(CUI_SCC_Chloride!$X20,'Tables - Part 2'!$AX$5:$BA$5,0)))/2))/2,0)</f>
        <v>0</v>
      </c>
      <c r="BM20" s="248">
        <f>IF($W20=$BM$3,(INDEX('Tables - Part 2'!$BF$6:$BI$13,MATCH(CUI_SCC_Chloride!$AH20,'Tables - Part 2'!$AV$6:$AV$13,0),MATCH(CUI_SCC_Chloride!$X20,'Tables - Part 2'!$AX$5:$BA$5,0))+INDEX('Tables - Part 2'!$AX$17:$BA$24,MATCH(CUI_SCC_Chloride!$AH20,'Tables - Part 2'!$AV$6:$AV$13,0),MATCH(CUI_SCC_Chloride!$X20,'Tables - Part 2'!$AX$5:$BA$5,0)))/2,0)</f>
        <v>0</v>
      </c>
      <c r="BN20" s="248">
        <f>IF($W20=$BN$3,(((INDEX('Tables - Part 2'!$BF$6:$BI$13,MATCH(CUI_SCC_Chloride!$AH20,'Tables - Part 2'!$AV$6:$AV$13,0),MATCH(CUI_SCC_Chloride!$X20,'Tables - Part 2'!$AX$5:$BA$5,0))+INDEX('Tables - Part 2'!$AX$17:$BA$24,MATCH(CUI_SCC_Chloride!$AH20,'Tables - Part 2'!$AV$6:$AV$13,0),MATCH(CUI_SCC_Chloride!$X20,'Tables - Part 2'!$AX$5:$BA$5,0)))/2)+((((INDEX('Tables - Part 2'!$BF$6:$BI$13,MATCH(CUI_SCC_Chloride!$AH20,'Tables - Part 2'!$AV$6:$AV$13,0),MATCH(CUI_SCC_Chloride!$X20,'Tables - Part 2'!$AX$5:$BA$5,0))+INDEX('Tables - Part 2'!$AX$17:$BA$24,MATCH(CUI_SCC_Chloride!$AH20,'Tables - Part 2'!$AV$6:$AV$13,0),MATCH(CUI_SCC_Chloride!$X20,'Tables - Part 2'!$AX$5:$BA$5,0)))/2)+INDEX('Tables - Part 2'!$AX$17:$BA$24,MATCH(CUI_SCC_Chloride!$AH20,'Tables - Part 2'!$AV$6:$AV$13,0),MATCH(CUI_SCC_Chloride!$X20,'Tables - Part 2'!$AX$5:$BA$5,0)))/2))/2,0)</f>
        <v>0</v>
      </c>
      <c r="BO20" s="248">
        <f>IF($W20=$BO$3,(((INDEX('Tables - Part 2'!$BF$6:$BI$13,MATCH(CUI_SCC_Chloride!$AH20,'Tables - Part 2'!$AV$6:$AV$13,0),MATCH(CUI_SCC_Chloride!$X20,'Tables - Part 2'!$AX$5:$BA$5,0))+INDEX('Tables - Part 2'!$AX$17:$BA$24,MATCH(CUI_SCC_Chloride!$AH20,'Tables - Part 2'!$AV$6:$AV$13,0),MATCH(CUI_SCC_Chloride!$X20,'Tables - Part 2'!$AX$5:$BA$5,0)))/2)+INDEX('Tables - Part 2'!$AX$17:$BA$24,MATCH(CUI_SCC_Chloride!$AH20,'Tables - Part 2'!$AV$6:$AV$13,0),MATCH(CUI_SCC_Chloride!$X20,'Tables - Part 2'!$AX$5:$BA$5,0)))/2,0)</f>
        <v>0</v>
      </c>
      <c r="BP20" s="248">
        <f>IF($W20=$BP$3,(((((INDEX('Tables - Part 2'!$BF$6:$BI$13,MATCH(CUI_SCC_Chloride!$AH20,'Tables - Part 2'!$AV$6:$AV$13,0),MATCH(CUI_SCC_Chloride!$X20,'Tables - Part 2'!$AX$5:$BA$5,0))+INDEX('Tables - Part 2'!$AX$17:$BA$24,MATCH(CUI_SCC_Chloride!$AH20,'Tables - Part 2'!$AV$6:$AV$13,0),MATCH(CUI_SCC_Chloride!$X20,'Tables - Part 2'!$AX$5:$BA$5,0)))/2)+INDEX('Tables - Part 2'!$AX$17:$BA$24,MATCH(CUI_SCC_Chloride!$AH20,'Tables - Part 2'!$AV$6:$AV$13,0),MATCH(CUI_SCC_Chloride!$X20,'Tables - Part 2'!$AX$5:$BA$5,0)))/2)+(INDEX('Tables - Part 2'!$AX$17:$BA$24,MATCH(CUI_SCC_Chloride!$AH20,'Tables - Part 2'!$AV$6:$AV$13,0),MATCH(CUI_SCC_Chloride!$X20,'Tables - Part 2'!$AX$5:$BA$5,0))))/2,0)</f>
        <v>0</v>
      </c>
      <c r="BQ20" s="248">
        <f>IF($W20=$BQ$3,INDEX('Tables - Part 2'!$AX$17:$BA$24,MATCH(CUI_SCC_Chloride!$AH20,'Tables - Part 2'!$AV$6:$AV$13,0),MATCH(CUI_SCC_Chloride!$X20,'Tables - Part 2'!$AX$5:$BA$5,0)),0)</f>
        <v>0</v>
      </c>
      <c r="BR20" s="248">
        <f>IF($W20=$BR$3,((INDEX('Tables - Part 2'!$AX$17:$BA$24,MATCH(CUI_SCC_Chloride!$AH20,'Tables - Part 2'!$AV$6:$AV$13,0),MATCH(CUI_SCC_Chloride!$X20,'Tables - Part 2'!$AX$5:$BA$5,0)))+(((INDEX('Tables - Part 2'!$AX$17:$BA$24,MATCH(CUI_SCC_Chloride!$AH20,'Tables - Part 2'!$AV$6:$AV$13,0),MATCH(CUI_SCC_Chloride!$X20,'Tables - Part 2'!$AX$5:$BA$5,0)))+(INDEX('Tables - Part 2'!$AX$17:$BA$24,MATCH(CUI_SCC_Chloride!$AH20,'Tables - Part 2'!$AV$6:$AV$13,0),MATCH(CUI_SCC_Chloride!$X20,'Tables - Part 2'!$AX$5:$BA$5,0))+INDEX('Tables - Part 2'!$BB$17:$BE$24,MATCH(CUI_SCC_Chloride!$AH20,'Tables - Part 2'!$AV$6:$AV$13,0),MATCH(CUI_SCC_Chloride!$X20,'Tables - Part 2'!$AX$5:$BA$5,0)))/2)/2))/2,0)</f>
        <v>0</v>
      </c>
      <c r="BS20" s="248">
        <f>IF($W20=$BS$3,((INDEX('Tables - Part 2'!$AX$17:$BA$24,MATCH(CUI_SCC_Chloride!$AH20,'Tables - Part 2'!$AV$6:$AV$13,0),MATCH(CUI_SCC_Chloride!$X20,'Tables - Part 2'!$AX$5:$BA$5,0)))+(INDEX('Tables - Part 2'!$AX$17:$BA$24,MATCH(CUI_SCC_Chloride!$AH20,'Tables - Part 2'!$AV$6:$AV$13,0),MATCH(CUI_SCC_Chloride!$X20,'Tables - Part 2'!$AX$5:$BA$5,0))+INDEX('Tables - Part 2'!$BB$17:$BE$24,MATCH(CUI_SCC_Chloride!$AH20,'Tables - Part 2'!$AV$6:$AV$13,0),MATCH(CUI_SCC_Chloride!$X20,'Tables - Part 2'!$AX$5:$BA$5,0)))/2)/2,0)</f>
        <v>0</v>
      </c>
      <c r="BT20" s="248">
        <f>IF($W20=$BT$3,((((INDEX('Tables - Part 2'!$AX$17:$BA$24,MATCH(CUI_SCC_Chloride!$AH20,'Tables - Part 2'!$AV$6:$AV$13,0),MATCH(CUI_SCC_Chloride!$X20,'Tables - Part 2'!$AX$5:$BA$5,0)))+(INDEX('Tables - Part 2'!$AX$17:$BA$24,MATCH(CUI_SCC_Chloride!$AH20,'Tables - Part 2'!$AV$6:$AV$13,0),MATCH(CUI_SCC_Chloride!$X20,'Tables - Part 2'!$AX$5:$BA$5,0))+INDEX('Tables - Part 2'!$BB$17:$BE$24,MATCH(CUI_SCC_Chloride!$AH20,'Tables - Part 2'!$AV$6:$AV$13,0),MATCH(CUI_SCC_Chloride!$X20,'Tables - Part 2'!$AX$5:$BA$5,0)))/2)/2)+((INDEX('Tables - Part 2'!$AX$17:$BA$24,MATCH(CUI_SCC_Chloride!$AH20,'Tables - Part 2'!$AV$6:$AV$13,0),MATCH(CUI_SCC_Chloride!$X20,'Tables - Part 2'!$AX$5:$BA$5,0))+INDEX('Tables - Part 2'!$BB$17:$BE$24,MATCH(CUI_SCC_Chloride!$AH20,'Tables - Part 2'!$AV$6:$AV$13,0),MATCH(CUI_SCC_Chloride!$X20,'Tables - Part 2'!$AX$5:$BA$5,0)))/2))/2,0)</f>
        <v>0</v>
      </c>
      <c r="BU20" s="248">
        <f>IF($W20=$BU$3,(INDEX('Tables - Part 2'!$AX$17:$BA$24,MATCH(CUI_SCC_Chloride!$AH20,'Tables - Part 2'!$AV$6:$AV$13,0),MATCH(CUI_SCC_Chloride!$X20,'Tables - Part 2'!$AX$5:$BA$5,0))+INDEX('Tables - Part 2'!$BB$17:$BE$24,MATCH(CUI_SCC_Chloride!$AH20,'Tables - Part 2'!$AV$6:$AV$13,0),MATCH(CUI_SCC_Chloride!$X20,'Tables - Part 2'!$AX$5:$BA$5,0)))/2,0)</f>
        <v>0</v>
      </c>
      <c r="BV20" s="248">
        <f>IF($W20=$BV$3,(((INDEX('Tables - Part 2'!$AX$17:$BA$24,MATCH(CUI_SCC_Chloride!$AH20,'Tables - Part 2'!$AV$6:$AV$13,0),MATCH(CUI_SCC_Chloride!$X20,'Tables - Part 2'!$AX$5:$BA$5,0))+INDEX('Tables - Part 2'!$BB$17:$BE$24,MATCH(CUI_SCC_Chloride!$AH20,'Tables - Part 2'!$AV$6:$AV$13,0),MATCH(CUI_SCC_Chloride!$X20,'Tables - Part 2'!$AX$5:$BA$5,0)))/2)+((((INDEX('Tables - Part 2'!$AX$17:$BA$24,MATCH(CUI_SCC_Chloride!$AH20,'Tables - Part 2'!$AV$6:$AV$13,0),MATCH(CUI_SCC_Chloride!$X20,'Tables - Part 2'!$AX$5:$BA$5,0))+INDEX('Tables - Part 2'!$BB$17:$BE$24,MATCH(CUI_SCC_Chloride!$AH20,'Tables - Part 2'!$AV$6:$AV$13,0),MATCH(CUI_SCC_Chloride!$X20,'Tables - Part 2'!$AX$5:$BA$5,0)))/2)+INDEX('Tables - Part 2'!$BB$17:$BE$24,MATCH(CUI_SCC_Chloride!$AH20,'Tables - Part 2'!$AV$6:$AV$13,0),MATCH(CUI_SCC_Chloride!$X20,'Tables - Part 2'!$AX$5:$BA$5,0)))/2))/2,0)</f>
        <v>0</v>
      </c>
      <c r="BW20" s="248">
        <f>IF($W20=$BW$3,(((INDEX('Tables - Part 2'!$AX$17:$BA$24,MATCH(CUI_SCC_Chloride!$AH20,'Tables - Part 2'!$AV$6:$AV$13,0),MATCH(CUI_SCC_Chloride!$X20,'Tables - Part 2'!$AX$5:$BA$5,0))+INDEX('Tables - Part 2'!$BB$17:$BE$24,MATCH(CUI_SCC_Chloride!$AH20,'Tables - Part 2'!$AV$6:$AV$13,0),MATCH(CUI_SCC_Chloride!$X20,'Tables - Part 2'!$AX$5:$BA$5,0)))/2)+INDEX('Tables - Part 2'!$BB$17:$BE$24,MATCH(CUI_SCC_Chloride!$AH20,'Tables - Part 2'!$AV$6:$AV$13,0),MATCH(CUI_SCC_Chloride!$X20,'Tables - Part 2'!$AX$5:$BA$5,0)))/2,0)</f>
        <v>0</v>
      </c>
      <c r="BX20" s="248">
        <f>IF($W20=$BX$3,(((((INDEX('Tables - Part 2'!$AX$17:$BA$24,MATCH(CUI_SCC_Chloride!$AH20,'Tables - Part 2'!$AV$6:$AV$13,0),MATCH(CUI_SCC_Chloride!$X20,'Tables - Part 2'!$AX$5:$BA$5,0))+INDEX('Tables - Part 2'!$BB$17:$BE$24,MATCH(CUI_SCC_Chloride!$AH20,'Tables - Part 2'!$AV$6:$AV$13,0),MATCH(CUI_SCC_Chloride!$X20,'Tables - Part 2'!$AX$5:$BA$5,0)))/2)+INDEX('Tables - Part 2'!$BB$17:$BE$24,MATCH(CUI_SCC_Chloride!$AH20,'Tables - Part 2'!$AV$6:$AV$13,0),MATCH(CUI_SCC_Chloride!$X20,'Tables - Part 2'!$AX$5:$BA$5,0)))/2)+(INDEX('Tables - Part 2'!$BB$17:$BE$24,MATCH(CUI_SCC_Chloride!$AH20,'Tables - Part 2'!$AV$6:$AV$13,0),MATCH(CUI_SCC_Chloride!$X20,'Tables - Part 2'!$AX$5:$BA$5,0))))/2,0)</f>
        <v>0</v>
      </c>
      <c r="BY20" s="248">
        <f>IF($W20=$BY$3,INDEX('Tables - Part 2'!$BB$17:$BE$24,MATCH(CUI_SCC_Chloride!$AH20,'Tables - Part 2'!$AV$6:$AV$13,0),MATCH(CUI_SCC_Chloride!$X20,'Tables - Part 2'!$AX$5:$BA$5,0)),0)</f>
        <v>0</v>
      </c>
      <c r="BZ20" s="248">
        <f>IF($W20=$BZ$3,((INDEX('Tables - Part 2'!$BB$17:$BE$24,MATCH(CUI_SCC_Chloride!$AH20,'Tables - Part 2'!$AV$6:$AV$13,0),MATCH(CUI_SCC_Chloride!$X20,'Tables - Part 2'!$AX$5:$BA$5,0)))+(((INDEX('Tables - Part 2'!$BB$17:$BE$24,MATCH(CUI_SCC_Chloride!$AH20,'Tables - Part 2'!$AV$6:$AV$13,0),MATCH(CUI_SCC_Chloride!$X20,'Tables - Part 2'!$AX$5:$BA$5,0)))+(INDEX('Tables - Part 2'!$BB$17:$BE$24,MATCH(CUI_SCC_Chloride!$AH20,'Tables - Part 2'!$AV$6:$AV$13,0),MATCH(CUI_SCC_Chloride!$X20,'Tables - Part 2'!$AX$5:$BA$5,0))+INDEX('Tables - Part 2'!$BF$17:$BI$24,MATCH(CUI_SCC_Chloride!$AH20,'Tables - Part 2'!$AV$6:$AV$13,0),MATCH(CUI_SCC_Chloride!$X20,'Tables - Part 2'!$AX$5:$BA$5,0)))/2)/2))/2,0)</f>
        <v>0</v>
      </c>
      <c r="CA20" s="248">
        <f>IF($W20=$CA$3,((INDEX('Tables - Part 2'!$BB$17:$BE$24,MATCH(CUI_SCC_Chloride!$AH20,'Tables - Part 2'!$AV$6:$AV$13,0),MATCH(CUI_SCC_Chloride!$X20,'Tables - Part 2'!$AX$5:$BA$5,0)))+(INDEX('Tables - Part 2'!$BB$17:$BE$24,MATCH(CUI_SCC_Chloride!$AH20,'Tables - Part 2'!$AV$6:$AV$13,0),MATCH(CUI_SCC_Chloride!$X20,'Tables - Part 2'!$AX$5:$BA$5,0))+INDEX('Tables - Part 2'!$BF$17:$BI$24,MATCH(CUI_SCC_Chloride!$AH20,'Tables - Part 2'!$AV$6:$AV$13,0),MATCH(CUI_SCC_Chloride!$X20,'Tables - Part 2'!$AX$5:$BA$5,0)))/2)/2,0)</f>
        <v>0</v>
      </c>
      <c r="CB20" s="248">
        <f>IF($W20=$CB$3,((((INDEX('Tables - Part 2'!$BB$17:$BE$24,MATCH(CUI_SCC_Chloride!$AH20,'Tables - Part 2'!$AV$6:$AV$13,0),MATCH(CUI_SCC_Chloride!$X20,'Tables - Part 2'!$AX$5:$BA$5,0)))+(INDEX('Tables - Part 2'!$BB$17:$BE$24,MATCH(CUI_SCC_Chloride!$AH20,'Tables - Part 2'!$AV$6:$AV$13,0),MATCH(CUI_SCC_Chloride!$X20,'Tables - Part 2'!$AX$5:$BA$5,0))+INDEX('Tables - Part 2'!$BF$17:$BI$24,MATCH(CUI_SCC_Chloride!$AH20,'Tables - Part 2'!$AV$6:$AV$13,0),MATCH(CUI_SCC_Chloride!$X20,'Tables - Part 2'!$AX$5:$BA$5,0)))/2)/2)+((INDEX('Tables - Part 2'!$BB$17:$BE$24,MATCH(CUI_SCC_Chloride!$AH20,'Tables - Part 2'!$AV$6:$AV$13,0),MATCH(CUI_SCC_Chloride!$X20,'Tables - Part 2'!$AX$5:$BA$5,0))+INDEX('Tables - Part 2'!$BF$17:$BI$24,MATCH(CUI_SCC_Chloride!$AH20,'Tables - Part 2'!$AV$6:$AV$13,0),MATCH(CUI_SCC_Chloride!$X20,'Tables - Part 2'!$AX$5:$BA$5,0)))/2))/2,0)</f>
        <v>0</v>
      </c>
      <c r="CC20" s="248">
        <f>IF($W20=$CC$3,(INDEX('Tables - Part 2'!$BB$17:$BE$24,MATCH(CUI_SCC_Chloride!$AH20,'Tables - Part 2'!$AV$6:$AV$13,0),MATCH(CUI_SCC_Chloride!$X20,'Tables - Part 2'!$AX$5:$BA$5,0))+INDEX('Tables - Part 2'!$BF$17:$BI$24,MATCH(CUI_SCC_Chloride!$AH20,'Tables - Part 2'!$AV$6:$AV$13,0),MATCH(CUI_SCC_Chloride!$X20,'Tables - Part 2'!$AX$5:$BA$5,0)))/2,0)</f>
        <v>0</v>
      </c>
      <c r="CD20" s="248">
        <f>IF($W20=$CD$3,(((INDEX('Tables - Part 2'!$BB$17:$BE$24,MATCH(CUI_SCC_Chloride!$AH20,'Tables - Part 2'!$AV$6:$AV$13,0),MATCH(CUI_SCC_Chloride!$X20,'Tables - Part 2'!$AX$5:$BA$5,0))+INDEX('Tables - Part 2'!$BF$17:$BI$24,MATCH(CUI_SCC_Chloride!$AH20,'Tables - Part 2'!$AV$6:$AV$13,0),MATCH(CUI_SCC_Chloride!$X20,'Tables - Part 2'!$AX$5:$BA$5,0)))/2)+((((INDEX('Tables - Part 2'!$BB$17:$BE$24,MATCH(CUI_SCC_Chloride!$AH20,'Tables - Part 2'!$AV$6:$AV$13,0),MATCH(CUI_SCC_Chloride!$X20,'Tables - Part 2'!$AX$5:$BA$5,0))+INDEX('Tables - Part 2'!$BF$17:$BI$24,MATCH(CUI_SCC_Chloride!$AH20,'Tables - Part 2'!$AV$6:$AV$13,0),MATCH(CUI_SCC_Chloride!$X20,'Tables - Part 2'!$AX$5:$BA$5,0)))/2)+INDEX('Tables - Part 2'!$BF$17:$BI$24,MATCH(CUI_SCC_Chloride!$AH20,'Tables - Part 2'!$AV$6:$AV$13,0),MATCH(CUI_SCC_Chloride!$X20,'Tables - Part 2'!$AX$5:$BA$5,0)))/2))/2,0)</f>
        <v>0</v>
      </c>
      <c r="CE20" s="248">
        <f>IF($W20=$CE$3,(((INDEX('Tables - Part 2'!$BB$17:$BE$24,MATCH(CUI_SCC_Chloride!$AH20,'Tables - Part 2'!$AV$6:$AV$13,0),MATCH(CUI_SCC_Chloride!$X20,'Tables - Part 2'!$AX$5:$BA$5,0))+INDEX('Tables - Part 2'!$BF$17:$BI$24,MATCH(CUI_SCC_Chloride!$AH20,'Tables - Part 2'!$AV$6:$AV$13,0),MATCH(CUI_SCC_Chloride!$X20,'Tables - Part 2'!$AX$5:$BA$5,0)))/2)+INDEX('Tables - Part 2'!$BF$17:$BI$24,MATCH(CUI_SCC_Chloride!$AH20,'Tables - Part 2'!$AV$6:$AV$13,0),MATCH(CUI_SCC_Chloride!$X20,'Tables - Part 2'!$AX$5:$BA$5,0)))/2,0)</f>
        <v>0</v>
      </c>
      <c r="CF20" s="248">
        <f>IF($W20=$CF$3,(((((INDEX('Tables - Part 2'!$BB$17:$BE$24,MATCH(CUI_SCC_Chloride!$AH20,'Tables - Part 2'!$AV$6:$AV$13,0),MATCH(CUI_SCC_Chloride!$X20,'Tables - Part 2'!$AX$5:$BA$5,0))+INDEX('Tables - Part 2'!$BF$17:$BI$24,MATCH(CUI_SCC_Chloride!$AH20,'Tables - Part 2'!$AV$6:$AV$13,0),MATCH(CUI_SCC_Chloride!$X20,'Tables - Part 2'!$AX$5:$BA$5,0)))/2)+INDEX('Tables - Part 2'!$BF$17:$BI$24,MATCH(CUI_SCC_Chloride!$AH20,'Tables - Part 2'!$AV$6:$AV$13,0),MATCH(CUI_SCC_Chloride!$X20,'Tables - Part 2'!$AX$5:$BA$5,0)))/2)+(INDEX('Tables - Part 2'!$BF$17:$BI$24,MATCH(CUI_SCC_Chloride!$AH20,'Tables - Part 2'!$AV$6:$AV$13,0),MATCH(CUI_SCC_Chloride!$X20,'Tables - Part 2'!$AX$5:$BA$5,0))))/2,0)</f>
        <v>0</v>
      </c>
      <c r="CG20" s="248">
        <f>IF($W20=$CG$3,INDEX('Tables - Part 2'!$BF$17:$BI$24,MATCH(CUI_SCC_Chloride!$AH20,'Tables - Part 2'!$AV$6:$AV$13,0),MATCH(CUI_SCC_Chloride!$X20,'Tables - Part 2'!$AX$5:$BA$5,0)),0)</f>
        <v>0</v>
      </c>
      <c r="CH20" s="248">
        <f t="shared" si="5"/>
        <v>0</v>
      </c>
      <c r="CI20" s="238">
        <f t="shared" si="19"/>
        <v>0</v>
      </c>
      <c r="CJ20" s="238">
        <f t="shared" si="20"/>
        <v>0</v>
      </c>
    </row>
    <row r="21" spans="2:88" x14ac:dyDescent="0.35">
      <c r="B21" s="161" t="str">
        <f>'Tratamento de Dados'!B29</f>
        <v>V-9</v>
      </c>
      <c r="C21" s="161" t="str">
        <f>'Tratamento de Dados'!D29</f>
        <v>Casco</v>
      </c>
      <c r="D21" s="209" t="s">
        <v>245</v>
      </c>
      <c r="E21" s="209" t="s">
        <v>61</v>
      </c>
      <c r="F21" s="247">
        <f>'Tratamento de Dados'!S29</f>
        <v>2</v>
      </c>
      <c r="G21" s="209" t="s">
        <v>953</v>
      </c>
      <c r="H21" s="210">
        <v>35234</v>
      </c>
      <c r="I21" s="210">
        <v>43983</v>
      </c>
      <c r="J21" s="210">
        <v>39092</v>
      </c>
      <c r="K21" s="210">
        <f>'Tratamento de Dados'!CC29</f>
        <v>0</v>
      </c>
      <c r="L21" s="209">
        <f>'Tratamento de Dados'!CD29</f>
        <v>0</v>
      </c>
      <c r="M21" s="209" t="s">
        <v>905</v>
      </c>
      <c r="N21" s="209" t="s">
        <v>1081</v>
      </c>
      <c r="O21" s="209" t="s">
        <v>1081</v>
      </c>
      <c r="P21" s="209" t="s">
        <v>244</v>
      </c>
      <c r="Q21" s="209">
        <v>0</v>
      </c>
      <c r="R21" s="209">
        <v>1</v>
      </c>
      <c r="S21" s="209">
        <v>1</v>
      </c>
      <c r="T21" s="209">
        <v>4</v>
      </c>
      <c r="U21" s="253">
        <f>'Tratamento de Dados'!DA29</f>
        <v>0</v>
      </c>
      <c r="V21" s="253">
        <f>'Tratamento de Dados'!DB29</f>
        <v>0</v>
      </c>
      <c r="W21" s="256">
        <f t="shared" si="0"/>
        <v>2.5</v>
      </c>
      <c r="X21" s="246" t="str">
        <f t="shared" si="1"/>
        <v>B</v>
      </c>
      <c r="Y21" s="246" t="str">
        <f>IF(F21&lt;49,'Tables - Part 2'!$FH$5,IF(F21&lt;=93,'Tables - Part 2'!$FH$6,IF(F21&lt;=149,'Tables - Part 2'!$FH$7,'Tables - Part 2'!$FH$8)))</f>
        <v>&lt;49</v>
      </c>
      <c r="Z21" s="246" t="str">
        <f>IF(D21=$CO$2,$CM$5,INDEX('Tables - Part 2'!$FR$5:$FU$8,MATCH(CUI_SCC_Chloride!Y21,'Tables - Part 2'!$FQ$5:$FQ$8,0),MATCH(CUI_SCC_Chloride!M21,'Tables - Part 2'!$FR$4:$FU$4,0)))</f>
        <v>None</v>
      </c>
      <c r="AA21" s="246" t="str">
        <f t="shared" si="6"/>
        <v>None</v>
      </c>
      <c r="AB21" s="219">
        <f t="shared" si="7"/>
        <v>0</v>
      </c>
      <c r="AC21" s="246" t="str">
        <f t="shared" si="8"/>
        <v>None</v>
      </c>
      <c r="AD21" s="219">
        <f t="shared" si="9"/>
        <v>0</v>
      </c>
      <c r="AE21" s="246" t="str">
        <f t="shared" si="10"/>
        <v>None</v>
      </c>
      <c r="AF21" s="219">
        <f t="shared" si="11"/>
        <v>0</v>
      </c>
      <c r="AG21" s="467" t="str">
        <f t="shared" si="12"/>
        <v>None</v>
      </c>
      <c r="AH21" s="238">
        <f>IF(AND(D21=$CO$2,E21&lt;&gt;$CO$2),"Fitness-For-Service",INDEX('Tables - Part 2'!$FO$4:$FO$7,MATCH(CUI_SCC_Chloride!AG21,'Tables - Part 2'!$FN$4:$FN$7,0),))</f>
        <v>0</v>
      </c>
      <c r="AI21" s="238">
        <f>IF(J21=0,(Thinning!G22-Thinning!F22)/365.25,(Thinning!G22-J21)/365.25)</f>
        <v>12.980150581793293</v>
      </c>
      <c r="AJ21" s="248">
        <f t="shared" si="2"/>
        <v>0</v>
      </c>
      <c r="AK21" s="248">
        <f t="shared" si="3"/>
        <v>2.5</v>
      </c>
      <c r="AL21" s="247">
        <f t="shared" si="13"/>
        <v>3</v>
      </c>
      <c r="AM21" s="247">
        <f t="shared" si="4"/>
        <v>4</v>
      </c>
      <c r="AN21" s="247">
        <f t="shared" si="14"/>
        <v>120.41889117043121</v>
      </c>
      <c r="AO21" s="247">
        <f t="shared" si="15"/>
        <v>0</v>
      </c>
      <c r="AP21" s="247">
        <f t="shared" si="16"/>
        <v>0</v>
      </c>
      <c r="AQ21" s="247">
        <f t="shared" si="17"/>
        <v>0</v>
      </c>
      <c r="AR21" s="247">
        <f t="shared" si="18"/>
        <v>12.980150581793293</v>
      </c>
      <c r="AS21" s="248">
        <f>IF($W21=$AS$3,INDEX('Tables - Part 2'!$AX$6:$BA$13,MATCH(CUI_SCC_Chloride!AH21,'Tables - Part 2'!$AV$6:$AV$13,0),MATCH(CUI_SCC_Chloride!X21,'Tables - Part 2'!$AX$5:$BA$5,0)),0)</f>
        <v>0</v>
      </c>
      <c r="AT21" s="248">
        <f>IF($W21=$AT$3,(INDEX('Tables - Part 2'!$AX$6:$BA$13,MATCH(CUI_SCC_Chloride!AH21,'Tables - Part 2'!$AV$6:$AV$13,0),MATCH(CUI_SCC_Chloride!X21,'Tables - Part 2'!$AX$5:$BA$5,0))+(INDEX('Tables - Part 2'!$AX$6:$BA$13,MATCH(CUI_SCC_Chloride!AH21,'Tables - Part 2'!$AV$6:$AV$13,0),MATCH(CUI_SCC_Chloride!X21,'Tables - Part 2'!$AX$5:$BA$5,0))+((INDEX('Tables - Part 2'!$AX$6:$BA$13,MATCH(CUI_SCC_Chloride!AH21,'Tables - Part 2'!$AV$6:$AV$13,0),MATCH(CUI_SCC_Chloride!X21,'Tables - Part 2'!$AX$5:$BA$5,0))+INDEX('Tables - Part 2'!$BB$6:$BE$13,MATCH(CUI_SCC_Chloride!$AH21,'Tables - Part 2'!$AV$6:$AV$13,0),MATCH(CUI_SCC_Chloride!$X21,'Tables - Part 2'!$AX$5:$BA$5,0)))/2))/2)/2,0)</f>
        <v>0</v>
      </c>
      <c r="AU21" s="248">
        <f>IF($W21=$AU$3,(INDEX('Tables - Part 2'!$AX$6:$BA$13,MATCH(CUI_SCC_Chloride!AH21,'Tables - Part 2'!$AV$6:$AV$13,0),MATCH(CUI_SCC_Chloride!X21,'Tables - Part 2'!$AX$5:$BA$5,0))+((INDEX('Tables - Part 2'!$AX$6:$BA$13,MATCH(CUI_SCC_Chloride!AH21,'Tables - Part 2'!$AV$6:$AV$13,0),MATCH(CUI_SCC_Chloride!X21,'Tables - Part 2'!$AX$5:$BA$5,0))+INDEX('Tables - Part 2'!$BB$6:$BE$13,MATCH(CUI_SCC_Chloride!$AH21,'Tables - Part 2'!$AV$6:$AV$13,0),MATCH(CUI_SCC_Chloride!$X21,'Tables - Part 2'!$AX$5:$BA$5,0)))/2))/2,0)</f>
        <v>0</v>
      </c>
      <c r="AV21" s="248">
        <f>IF($W21=$AV$3,(((INDEX('Tables - Part 2'!$AX$6:$BA$13,MATCH(CUI_SCC_Chloride!AH21,'Tables - Part 2'!$AV$6:$AV$13,0),MATCH(CUI_SCC_Chloride!X21,'Tables - Part 2'!$AX$5:$BA$5,0))+((INDEX('Tables - Part 2'!$AX$6:$BA$13,MATCH(CUI_SCC_Chloride!AH21,'Tables - Part 2'!$AV$6:$AV$13,0),MATCH(CUI_SCC_Chloride!X21,'Tables - Part 2'!$AX$5:$BA$5,0))+INDEX('Tables - Part 2'!$BB$6:$BE$13,MATCH(CUI_SCC_Chloride!$AH21,'Tables - Part 2'!$AV$6:$AV$13,0),MATCH(CUI_SCC_Chloride!$X21,'Tables - Part 2'!$AX$5:$BA$5,0)))/2))/2)+(INDEX('Tables - Part 2'!$AX$6:$BA$13,MATCH(CUI_SCC_Chloride!AH21,'Tables - Part 2'!$AV$6:$AV$13,0),MATCH(CUI_SCC_Chloride!X21,'Tables - Part 2'!$AX$5:$BA$5,0))+INDEX('Tables - Part 2'!$BB$6:$BE$13,MATCH(CUI_SCC_Chloride!$AH21,'Tables - Part 2'!$AV$6:$AV$13,0),MATCH(CUI_SCC_Chloride!$X21,'Tables - Part 2'!$AX$5:$BA$5,0)))/2)/2,0)</f>
        <v>0</v>
      </c>
      <c r="AW21" s="248">
        <f>IF($W21=$AW$3,(INDEX('Tables - Part 2'!$AX$6:$BA$13,MATCH(CUI_SCC_Chloride!AH21,'Tables - Part 2'!$AV$6:$AV$13,0),MATCH(CUI_SCC_Chloride!X21,'Tables - Part 2'!$AX$5:$BA$5,0))+INDEX('Tables - Part 2'!$BB$6:$BE$13,MATCH(CUI_SCC_Chloride!$AH21,'Tables - Part 2'!$AV$6:$AV$13,0),MATCH(CUI_SCC_Chloride!$X21,'Tables - Part 2'!$AX$5:$BA$5,0)))/2,0)</f>
        <v>0</v>
      </c>
      <c r="AX21" s="248">
        <f>IF($W21=$AX$3,(((INDEX('Tables - Part 2'!$AX$6:$BA$13,MATCH(CUI_SCC_Chloride!AH21,'Tables - Part 2'!$AV$6:$AV$13,0),MATCH(CUI_SCC_Chloride!X21,'Tables - Part 2'!$AX$5:$BA$5,0))+INDEX('Tables - Part 2'!$BB$6:$BE$13,MATCH(CUI_SCC_Chloride!$AH21,'Tables - Part 2'!$AV$6:$AV$13,0),MATCH(CUI_SCC_Chloride!$X21,'Tables - Part 2'!$AX$5:$BA$5,0)))/2)+(((INDEX('Tables - Part 2'!$AX$6:$BA$13,MATCH(CUI_SCC_Chloride!AH21,'Tables - Part 2'!$AV$6:$AV$13,0),MATCH(CUI_SCC_Chloride!X21,'Tables - Part 2'!$AX$5:$BA$5,0))+INDEX('Tables - Part 2'!$BB$6:$BE$13,MATCH(CUI_SCC_Chloride!$AH21,'Tables - Part 2'!$AV$6:$AV$13,0),MATCH(CUI_SCC_Chloride!$X21,'Tables - Part 2'!$AX$5:$BA$5,0)))/2)+INDEX('Tables - Part 2'!$BB$6:$BE$13,MATCH(CUI_SCC_Chloride!$AH21,'Tables - Part 2'!$AV$6:$AV$13,0),MATCH(CUI_SCC_Chloride!$X21,'Tables - Part 2'!$AX$5:$BA$5,0)))/2)/2,0)</f>
        <v>0</v>
      </c>
      <c r="AY21" s="248">
        <f>IF($W21=$AY$3,(((INDEX('Tables - Part 2'!$AX$6:$BA$13,MATCH(CUI_SCC_Chloride!AH21,'Tables - Part 2'!$AV$6:$AV$13,0),MATCH(CUI_SCC_Chloride!X21,'Tables - Part 2'!$AX$5:$BA$5,0))+INDEX('Tables - Part 2'!$BB$6:$BE$13,MATCH(CUI_SCC_Chloride!$AH21,'Tables - Part 2'!$AV$6:$AV$13,0),MATCH(CUI_SCC_Chloride!$X21,'Tables - Part 2'!$AX$5:$BA$5,0)))/2)+INDEX('Tables - Part 2'!$BB$6:$BE$13,MATCH(CUI_SCC_Chloride!$AH21,'Tables - Part 2'!$AV$6:$AV$13,0),MATCH(CUI_SCC_Chloride!$X21,'Tables - Part 2'!$AX$5:$BA$5,0)))/2,0)</f>
        <v>0</v>
      </c>
      <c r="AZ21" s="248">
        <f>IF($W21=$AZ$3,(((((INDEX('Tables - Part 2'!$AX$6:$BA$13,MATCH(CUI_SCC_Chloride!AH21,'Tables - Part 2'!$AV$6:$AV$13,0),MATCH(CUI_SCC_Chloride!X21,'Tables - Part 2'!$AX$5:$BA$5,0))+INDEX('Tables - Part 2'!$BB$6:$BE$13,MATCH(CUI_SCC_Chloride!$AH21,'Tables - Part 2'!$AV$6:$AV$13,0),MATCH(CUI_SCC_Chloride!$X21,'Tables - Part 2'!$AX$5:$BA$5,0)))/2)+INDEX('Tables - Part 2'!$BB$6:$BE$13,MATCH(CUI_SCC_Chloride!$AH21,'Tables - Part 2'!$AV$6:$AV$13,0),MATCH(CUI_SCC_Chloride!$X21,'Tables - Part 2'!$AX$5:$BA$5,0)))/2)+INDEX('Tables - Part 2'!$BB$6:$BE$13,MATCH(CUI_SCC_Chloride!$AH21,'Tables - Part 2'!$AV$6:$AV$13,0),MATCH(CUI_SCC_Chloride!$X21,'Tables - Part 2'!$AX$5:$BA$5,0)))/2,0)</f>
        <v>0</v>
      </c>
      <c r="BA21" s="248">
        <f>IF($W21=$BA$3,INDEX('Tables - Part 2'!$BB$6:$BE$13,MATCH(CUI_SCC_Chloride!$AH21,'Tables - Part 2'!$AV$6:$AV$13,0),MATCH(CUI_SCC_Chloride!$X21,'Tables - Part 2'!$AX$5:$BA$5,0)),0)</f>
        <v>0</v>
      </c>
      <c r="BB21" s="248">
        <f>IF($W21=$BB$3,((INDEX('Tables - Part 2'!$BB$6:$BE$13,MATCH(CUI_SCC_Chloride!$AH21,'Tables - Part 2'!$AV$6:$AV$13,0),MATCH(CUI_SCC_Chloride!$X21,'Tables - Part 2'!$AX$5:$BA$5,0)))+(INDEX('Tables - Part 2'!$BB$6:$BE$13,MATCH(CUI_SCC_Chloride!$AH21,'Tables - Part 2'!$AV$6:$AV$13,0),MATCH(CUI_SCC_Chloride!$X21,'Tables - Part 2'!$AX$5:$BA$5,0))+(INDEX('Tables - Part 2'!$BB$6:$BE$13,MATCH(CUI_SCC_Chloride!$AH21,'Tables - Part 2'!$AV$6:$AV$13,0),MATCH(CUI_SCC_Chloride!$X21,'Tables - Part 2'!$AX$5:$BA$5,0))+INDEX('Tables - Part 2'!$BF$6:$BI$13,MATCH(CUI_SCC_Chloride!$AH21,'Tables - Part 2'!$AV$6:$AV$13,0),MATCH(CUI_SCC_Chloride!$X21,'Tables - Part 2'!$AX$5:$BA$5,0)))/2)/2)/2,0)</f>
        <v>0</v>
      </c>
      <c r="BC21" s="248">
        <f>IF($W21=$BC$3,(INDEX('Tables - Part 2'!$BB$6:$BE$13,MATCH(CUI_SCC_Chloride!$AH21,'Tables - Part 2'!$AV$6:$AV$13,0),MATCH(CUI_SCC_Chloride!$X21,'Tables - Part 2'!$AX$5:$BA$5,0))+(INDEX('Tables - Part 2'!$BB$6:$BE$13,MATCH(CUI_SCC_Chloride!$AH21,'Tables - Part 2'!$AV$6:$AV$13,0),MATCH(CUI_SCC_Chloride!$X21,'Tables - Part 2'!$AX$5:$BA$5,0))+INDEX('Tables - Part 2'!$BF$6:$BI$13,MATCH(CUI_SCC_Chloride!$AH21,'Tables - Part 2'!$AV$6:$AV$13,0),MATCH(CUI_SCC_Chloride!$X21,'Tables - Part 2'!$AX$5:$BA$5,0)))/2)/2,0)</f>
        <v>0</v>
      </c>
      <c r="BD21" s="248">
        <f>IF($W21=$BD$3,(((INDEX('Tables - Part 2'!$BB$6:$BE$13,MATCH(CUI_SCC_Chloride!$AH21,'Tables - Part 2'!$AV$6:$AV$13,0),MATCH(CUI_SCC_Chloride!$X21,'Tables - Part 2'!$AX$5:$BA$5,0))+(INDEX('Tables - Part 2'!$BB$6:$BE$13,MATCH(CUI_SCC_Chloride!$AH21,'Tables - Part 2'!$AV$6:$AV$13,0),MATCH(CUI_SCC_Chloride!$X21,'Tables - Part 2'!$AX$5:$BA$5,0))+INDEX('Tables - Part 2'!$BF$6:$BI$13,MATCH(CUI_SCC_Chloride!$AH21,'Tables - Part 2'!$AV$6:$AV$13,0),MATCH(CUI_SCC_Chloride!$X21,'Tables - Part 2'!$AX$5:$BA$5,0)))/2)/2)+((INDEX('Tables - Part 2'!$BB$6:$BE$13,MATCH(CUI_SCC_Chloride!$AH21,'Tables - Part 2'!$AV$6:$AV$13,0),MATCH(CUI_SCC_Chloride!$X21,'Tables - Part 2'!$AX$5:$BA$5,0))+INDEX('Tables - Part 2'!$BF$6:$BI$13,MATCH(CUI_SCC_Chloride!$AH21,'Tables - Part 2'!$AV$6:$AV$13,0),MATCH(CUI_SCC_Chloride!$X21,'Tables - Part 2'!$AX$5:$BA$5,0)))/2))/2,0)</f>
        <v>0</v>
      </c>
      <c r="BE21" s="248">
        <f>IF($W21=$BE$3,(INDEX('Tables - Part 2'!$BB$6:$BE$13,MATCH(CUI_SCC_Chloride!$AH21,'Tables - Part 2'!$AV$6:$AV$13,0),MATCH(CUI_SCC_Chloride!$X21,'Tables - Part 2'!$AX$5:$BA$5,0))+INDEX('Tables - Part 2'!$BF$6:$BI$13,MATCH(CUI_SCC_Chloride!$AH21,'Tables - Part 2'!$AV$6:$AV$13,0),MATCH(CUI_SCC_Chloride!$X21,'Tables - Part 2'!$AX$5:$BA$5,0)))/2,0)</f>
        <v>0</v>
      </c>
      <c r="BF21" s="248">
        <f>IF($W21=$BF$3,(((INDEX('Tables - Part 2'!$BB$6:$BE$13,MATCH(CUI_SCC_Chloride!$AH21,'Tables - Part 2'!$AV$6:$AV$13,0),MATCH(CUI_SCC_Chloride!$X21,'Tables - Part 2'!$AX$5:$BA$5,0))+INDEX('Tables - Part 2'!$BF$6:$BI$13,MATCH(CUI_SCC_Chloride!$AH21,'Tables - Part 2'!$AV$6:$AV$13,0),MATCH(CUI_SCC_Chloride!$X21,'Tables - Part 2'!$AX$5:$BA$5,0)))/2)+((((INDEX('Tables - Part 2'!$BB$6:$BE$13,MATCH(CUI_SCC_Chloride!$AH21,'Tables - Part 2'!$AV$6:$AV$13,0),MATCH(CUI_SCC_Chloride!$X21,'Tables - Part 2'!$AX$5:$BA$5,0))+INDEX('Tables - Part 2'!$BF$6:$BI$13,MATCH(CUI_SCC_Chloride!$AH21,'Tables - Part 2'!$AV$6:$AV$13,0),MATCH(CUI_SCC_Chloride!$X21,'Tables - Part 2'!$AX$5:$BA$5,0)))/2)+INDEX('Tables - Part 2'!$BF$6:$BI$13,MATCH(CUI_SCC_Chloride!$AH21,'Tables - Part 2'!$AV$6:$AV$13,0),MATCH(CUI_SCC_Chloride!$X21,'Tables - Part 2'!$AX$5:$BA$5,0)))/2))/2,0)</f>
        <v>0</v>
      </c>
      <c r="BG21" s="248">
        <f>IF($W21=$BG$3,(((INDEX('Tables - Part 2'!$BB$6:$BE$13,MATCH(CUI_SCC_Chloride!$AH21,'Tables - Part 2'!$AV$6:$AV$13,0),MATCH(CUI_SCC_Chloride!$X21,'Tables - Part 2'!$AX$5:$BA$5,0))+INDEX('Tables - Part 2'!$BF$6:$BI$13,MATCH(CUI_SCC_Chloride!$AH21,'Tables - Part 2'!$AV$6:$AV$13,0),MATCH(CUI_SCC_Chloride!$X21,'Tables - Part 2'!$AX$5:$BA$5,0)))/2)+INDEX('Tables - Part 2'!$BF$6:$BI$13,MATCH(CUI_SCC_Chloride!$AH21,'Tables - Part 2'!$AV$6:$AV$13,0),MATCH(CUI_SCC_Chloride!$X21,'Tables - Part 2'!$AX$5:$BA$5,0)))/2,0)</f>
        <v>0</v>
      </c>
      <c r="BH21" s="248">
        <f>IF($W21=$BH$3,(((((INDEX('Tables - Part 2'!$BB$6:$BE$13,MATCH(CUI_SCC_Chloride!$AH21,'Tables - Part 2'!$AV$6:$AV$13,0),MATCH(CUI_SCC_Chloride!$X21,'Tables - Part 2'!$AX$5:$BA$5,0))+INDEX('Tables - Part 2'!$BF$6:$BI$13,MATCH(CUI_SCC_Chloride!$AH21,'Tables - Part 2'!$AV$6:$AV$13,0),MATCH(CUI_SCC_Chloride!$X21,'Tables - Part 2'!$AX$5:$BA$5,0)))/2)+INDEX('Tables - Part 2'!$BF$6:$BI$13,MATCH(CUI_SCC_Chloride!$AH21,'Tables - Part 2'!$AV$6:$AV$13,0),MATCH(CUI_SCC_Chloride!$X21,'Tables - Part 2'!$AX$5:$BA$5,0)))/2)+INDEX('Tables - Part 2'!$BF$6:$BI$13,MATCH(CUI_SCC_Chloride!$AH21,'Tables - Part 2'!$AV$6:$AV$13,0),MATCH(CUI_SCC_Chloride!$X21,'Tables - Part 2'!$AX$5:$BA$5,0)))/2,0)</f>
        <v>0</v>
      </c>
      <c r="BI21" s="248">
        <f>IF($W21=$BI$3,INDEX('Tables - Part 2'!$BF$6:$BI$13,MATCH(CUI_SCC_Chloride!$AH21,'Tables - Part 2'!$AV$6:$AV$13,0),MATCH(CUI_SCC_Chloride!$X21,'Tables - Part 2'!$AX$5:$BA$5,0)),0)</f>
        <v>0</v>
      </c>
      <c r="BJ21" s="248">
        <f>IF($W21=$BJ$3,(INDEX('Tables - Part 2'!$BF$6:$BI$13,MATCH(CUI_SCC_Chloride!$AH21,'Tables - Part 2'!$AV$6:$AV$13,0),MATCH(CUI_SCC_Chloride!$X21,'Tables - Part 2'!$AX$5:$BA$5,0))+((INDEX('Tables - Part 2'!$BF$6:$BI$13,MATCH(CUI_SCC_Chloride!$AH21,'Tables - Part 2'!$AV$6:$AV$13,0),MATCH(CUI_SCC_Chloride!$X21,'Tables - Part 2'!$AX$5:$BA$5,0))+(INDEX('Tables - Part 2'!$BF$6:$BI$13,MATCH(CUI_SCC_Chloride!$AH21,'Tables - Part 2'!$AV$6:$AV$13,0),MATCH(CUI_SCC_Chloride!$X21,'Tables - Part 2'!$AX$5:$BA$5,0))+INDEX('Tables - Part 2'!$AX$17:$BA$24,MATCH(CUI_SCC_Chloride!$AH21,'Tables - Part 2'!$AV$6:$AV$13,0),MATCH(CUI_SCC_Chloride!$X21,'Tables - Part 2'!$AX$5:$BA$5,0)))/2)/2))/2,0)</f>
        <v>0</v>
      </c>
      <c r="BK21" s="248">
        <f>IF($W21=$BK$3,(INDEX('Tables - Part 2'!$BF$6:$BI$13,MATCH(CUI_SCC_Chloride!$AH21,'Tables - Part 2'!$AV$6:$AV$13,0),MATCH(CUI_SCC_Chloride!$X21,'Tables - Part 2'!$AX$5:$BA$5,0))+(INDEX('Tables - Part 2'!$BF$6:$BI$13,MATCH(CUI_SCC_Chloride!$AH21,'Tables - Part 2'!$AV$6:$AV$13,0),MATCH(CUI_SCC_Chloride!$X21,'Tables - Part 2'!$AX$5:$BA$5,0))+INDEX('Tables - Part 2'!$AX$17:$BA$24,MATCH(CUI_SCC_Chloride!$AH21,'Tables - Part 2'!$AV$6:$AV$13,0),MATCH(CUI_SCC_Chloride!$X21,'Tables - Part 2'!$AX$5:$BA$5,0)))/2)/2,0)</f>
        <v>0</v>
      </c>
      <c r="BL21" s="248">
        <f>IF($W21=$BL$3,(((INDEX('Tables - Part 2'!$BF$6:$BI$13,MATCH(CUI_SCC_Chloride!$AH21,'Tables - Part 2'!$AV$6:$AV$13,0),MATCH(CUI_SCC_Chloride!$X21,'Tables - Part 2'!$AX$5:$BA$5,0))+(INDEX('Tables - Part 2'!$BF$6:$BI$13,MATCH(CUI_SCC_Chloride!$AH21,'Tables - Part 2'!$AV$6:$AV$13,0),MATCH(CUI_SCC_Chloride!$X21,'Tables - Part 2'!$AX$5:$BA$5,0))+INDEX('Tables - Part 2'!$AX$17:$BA$24,MATCH(CUI_SCC_Chloride!$AH21,'Tables - Part 2'!$AV$6:$AV$13,0),MATCH(CUI_SCC_Chloride!$X21,'Tables - Part 2'!$AX$5:$BA$5,0)))/2)/2)+((INDEX('Tables - Part 2'!$BF$6:$BI$13,MATCH(CUI_SCC_Chloride!$AH21,'Tables - Part 2'!$AV$6:$AV$13,0),MATCH(CUI_SCC_Chloride!$X21,'Tables - Part 2'!$AX$5:$BA$5,0))+INDEX('Tables - Part 2'!$AX$17:$BA$24,MATCH(CUI_SCC_Chloride!$AH21,'Tables - Part 2'!$AV$6:$AV$13,0),MATCH(CUI_SCC_Chloride!$X21,'Tables - Part 2'!$AX$5:$BA$5,0)))/2))/2,0)</f>
        <v>0</v>
      </c>
      <c r="BM21" s="248">
        <f>IF($W21=$BM$3,(INDEX('Tables - Part 2'!$BF$6:$BI$13,MATCH(CUI_SCC_Chloride!$AH21,'Tables - Part 2'!$AV$6:$AV$13,0),MATCH(CUI_SCC_Chloride!$X21,'Tables - Part 2'!$AX$5:$BA$5,0))+INDEX('Tables - Part 2'!$AX$17:$BA$24,MATCH(CUI_SCC_Chloride!$AH21,'Tables - Part 2'!$AV$6:$AV$13,0),MATCH(CUI_SCC_Chloride!$X21,'Tables - Part 2'!$AX$5:$BA$5,0)))/2,0)</f>
        <v>0</v>
      </c>
      <c r="BN21" s="248">
        <f>IF($W21=$BN$3,(((INDEX('Tables - Part 2'!$BF$6:$BI$13,MATCH(CUI_SCC_Chloride!$AH21,'Tables - Part 2'!$AV$6:$AV$13,0),MATCH(CUI_SCC_Chloride!$X21,'Tables - Part 2'!$AX$5:$BA$5,0))+INDEX('Tables - Part 2'!$AX$17:$BA$24,MATCH(CUI_SCC_Chloride!$AH21,'Tables - Part 2'!$AV$6:$AV$13,0),MATCH(CUI_SCC_Chloride!$X21,'Tables - Part 2'!$AX$5:$BA$5,0)))/2)+((((INDEX('Tables - Part 2'!$BF$6:$BI$13,MATCH(CUI_SCC_Chloride!$AH21,'Tables - Part 2'!$AV$6:$AV$13,0),MATCH(CUI_SCC_Chloride!$X21,'Tables - Part 2'!$AX$5:$BA$5,0))+INDEX('Tables - Part 2'!$AX$17:$BA$24,MATCH(CUI_SCC_Chloride!$AH21,'Tables - Part 2'!$AV$6:$AV$13,0),MATCH(CUI_SCC_Chloride!$X21,'Tables - Part 2'!$AX$5:$BA$5,0)))/2)+INDEX('Tables - Part 2'!$AX$17:$BA$24,MATCH(CUI_SCC_Chloride!$AH21,'Tables - Part 2'!$AV$6:$AV$13,0),MATCH(CUI_SCC_Chloride!$X21,'Tables - Part 2'!$AX$5:$BA$5,0)))/2))/2,0)</f>
        <v>0</v>
      </c>
      <c r="BO21" s="248">
        <f>IF($W21=$BO$3,(((INDEX('Tables - Part 2'!$BF$6:$BI$13,MATCH(CUI_SCC_Chloride!$AH21,'Tables - Part 2'!$AV$6:$AV$13,0),MATCH(CUI_SCC_Chloride!$X21,'Tables - Part 2'!$AX$5:$BA$5,0))+INDEX('Tables - Part 2'!$AX$17:$BA$24,MATCH(CUI_SCC_Chloride!$AH21,'Tables - Part 2'!$AV$6:$AV$13,0),MATCH(CUI_SCC_Chloride!$X21,'Tables - Part 2'!$AX$5:$BA$5,0)))/2)+INDEX('Tables - Part 2'!$AX$17:$BA$24,MATCH(CUI_SCC_Chloride!$AH21,'Tables - Part 2'!$AV$6:$AV$13,0),MATCH(CUI_SCC_Chloride!$X21,'Tables - Part 2'!$AX$5:$BA$5,0)))/2,0)</f>
        <v>0</v>
      </c>
      <c r="BP21" s="248">
        <f>IF($W21=$BP$3,(((((INDEX('Tables - Part 2'!$BF$6:$BI$13,MATCH(CUI_SCC_Chloride!$AH21,'Tables - Part 2'!$AV$6:$AV$13,0),MATCH(CUI_SCC_Chloride!$X21,'Tables - Part 2'!$AX$5:$BA$5,0))+INDEX('Tables - Part 2'!$AX$17:$BA$24,MATCH(CUI_SCC_Chloride!$AH21,'Tables - Part 2'!$AV$6:$AV$13,0),MATCH(CUI_SCC_Chloride!$X21,'Tables - Part 2'!$AX$5:$BA$5,0)))/2)+INDEX('Tables - Part 2'!$AX$17:$BA$24,MATCH(CUI_SCC_Chloride!$AH21,'Tables - Part 2'!$AV$6:$AV$13,0),MATCH(CUI_SCC_Chloride!$X21,'Tables - Part 2'!$AX$5:$BA$5,0)))/2)+(INDEX('Tables - Part 2'!$AX$17:$BA$24,MATCH(CUI_SCC_Chloride!$AH21,'Tables - Part 2'!$AV$6:$AV$13,0),MATCH(CUI_SCC_Chloride!$X21,'Tables - Part 2'!$AX$5:$BA$5,0))))/2,0)</f>
        <v>0</v>
      </c>
      <c r="BQ21" s="248">
        <f>IF($W21=$BQ$3,INDEX('Tables - Part 2'!$AX$17:$BA$24,MATCH(CUI_SCC_Chloride!$AH21,'Tables - Part 2'!$AV$6:$AV$13,0),MATCH(CUI_SCC_Chloride!$X21,'Tables - Part 2'!$AX$5:$BA$5,0)),0)</f>
        <v>0</v>
      </c>
      <c r="BR21" s="248">
        <f>IF($W21=$BR$3,((INDEX('Tables - Part 2'!$AX$17:$BA$24,MATCH(CUI_SCC_Chloride!$AH21,'Tables - Part 2'!$AV$6:$AV$13,0),MATCH(CUI_SCC_Chloride!$X21,'Tables - Part 2'!$AX$5:$BA$5,0)))+(((INDEX('Tables - Part 2'!$AX$17:$BA$24,MATCH(CUI_SCC_Chloride!$AH21,'Tables - Part 2'!$AV$6:$AV$13,0),MATCH(CUI_SCC_Chloride!$X21,'Tables - Part 2'!$AX$5:$BA$5,0)))+(INDEX('Tables - Part 2'!$AX$17:$BA$24,MATCH(CUI_SCC_Chloride!$AH21,'Tables - Part 2'!$AV$6:$AV$13,0),MATCH(CUI_SCC_Chloride!$X21,'Tables - Part 2'!$AX$5:$BA$5,0))+INDEX('Tables - Part 2'!$BB$17:$BE$24,MATCH(CUI_SCC_Chloride!$AH21,'Tables - Part 2'!$AV$6:$AV$13,0),MATCH(CUI_SCC_Chloride!$X21,'Tables - Part 2'!$AX$5:$BA$5,0)))/2)/2))/2,0)</f>
        <v>0</v>
      </c>
      <c r="BS21" s="248">
        <f>IF($W21=$BS$3,((INDEX('Tables - Part 2'!$AX$17:$BA$24,MATCH(CUI_SCC_Chloride!$AH21,'Tables - Part 2'!$AV$6:$AV$13,0),MATCH(CUI_SCC_Chloride!$X21,'Tables - Part 2'!$AX$5:$BA$5,0)))+(INDEX('Tables - Part 2'!$AX$17:$BA$24,MATCH(CUI_SCC_Chloride!$AH21,'Tables - Part 2'!$AV$6:$AV$13,0),MATCH(CUI_SCC_Chloride!$X21,'Tables - Part 2'!$AX$5:$BA$5,0))+INDEX('Tables - Part 2'!$BB$17:$BE$24,MATCH(CUI_SCC_Chloride!$AH21,'Tables - Part 2'!$AV$6:$AV$13,0),MATCH(CUI_SCC_Chloride!$X21,'Tables - Part 2'!$AX$5:$BA$5,0)))/2)/2,0)</f>
        <v>0</v>
      </c>
      <c r="BT21" s="248">
        <f>IF($W21=$BT$3,((((INDEX('Tables - Part 2'!$AX$17:$BA$24,MATCH(CUI_SCC_Chloride!$AH21,'Tables - Part 2'!$AV$6:$AV$13,0),MATCH(CUI_SCC_Chloride!$X21,'Tables - Part 2'!$AX$5:$BA$5,0)))+(INDEX('Tables - Part 2'!$AX$17:$BA$24,MATCH(CUI_SCC_Chloride!$AH21,'Tables - Part 2'!$AV$6:$AV$13,0),MATCH(CUI_SCC_Chloride!$X21,'Tables - Part 2'!$AX$5:$BA$5,0))+INDEX('Tables - Part 2'!$BB$17:$BE$24,MATCH(CUI_SCC_Chloride!$AH21,'Tables - Part 2'!$AV$6:$AV$13,0),MATCH(CUI_SCC_Chloride!$X21,'Tables - Part 2'!$AX$5:$BA$5,0)))/2)/2)+((INDEX('Tables - Part 2'!$AX$17:$BA$24,MATCH(CUI_SCC_Chloride!$AH21,'Tables - Part 2'!$AV$6:$AV$13,0),MATCH(CUI_SCC_Chloride!$X21,'Tables - Part 2'!$AX$5:$BA$5,0))+INDEX('Tables - Part 2'!$BB$17:$BE$24,MATCH(CUI_SCC_Chloride!$AH21,'Tables - Part 2'!$AV$6:$AV$13,0),MATCH(CUI_SCC_Chloride!$X21,'Tables - Part 2'!$AX$5:$BA$5,0)))/2))/2,0)</f>
        <v>0</v>
      </c>
      <c r="BU21" s="248">
        <f>IF($W21=$BU$3,(INDEX('Tables - Part 2'!$AX$17:$BA$24,MATCH(CUI_SCC_Chloride!$AH21,'Tables - Part 2'!$AV$6:$AV$13,0),MATCH(CUI_SCC_Chloride!$X21,'Tables - Part 2'!$AX$5:$BA$5,0))+INDEX('Tables - Part 2'!$BB$17:$BE$24,MATCH(CUI_SCC_Chloride!$AH21,'Tables - Part 2'!$AV$6:$AV$13,0),MATCH(CUI_SCC_Chloride!$X21,'Tables - Part 2'!$AX$5:$BA$5,0)))/2,0)</f>
        <v>0</v>
      </c>
      <c r="BV21" s="248">
        <f>IF($W21=$BV$3,(((INDEX('Tables - Part 2'!$AX$17:$BA$24,MATCH(CUI_SCC_Chloride!$AH21,'Tables - Part 2'!$AV$6:$AV$13,0),MATCH(CUI_SCC_Chloride!$X21,'Tables - Part 2'!$AX$5:$BA$5,0))+INDEX('Tables - Part 2'!$BB$17:$BE$24,MATCH(CUI_SCC_Chloride!$AH21,'Tables - Part 2'!$AV$6:$AV$13,0),MATCH(CUI_SCC_Chloride!$X21,'Tables - Part 2'!$AX$5:$BA$5,0)))/2)+((((INDEX('Tables - Part 2'!$AX$17:$BA$24,MATCH(CUI_SCC_Chloride!$AH21,'Tables - Part 2'!$AV$6:$AV$13,0),MATCH(CUI_SCC_Chloride!$X21,'Tables - Part 2'!$AX$5:$BA$5,0))+INDEX('Tables - Part 2'!$BB$17:$BE$24,MATCH(CUI_SCC_Chloride!$AH21,'Tables - Part 2'!$AV$6:$AV$13,0),MATCH(CUI_SCC_Chloride!$X21,'Tables - Part 2'!$AX$5:$BA$5,0)))/2)+INDEX('Tables - Part 2'!$BB$17:$BE$24,MATCH(CUI_SCC_Chloride!$AH21,'Tables - Part 2'!$AV$6:$AV$13,0),MATCH(CUI_SCC_Chloride!$X21,'Tables - Part 2'!$AX$5:$BA$5,0)))/2))/2,0)</f>
        <v>0</v>
      </c>
      <c r="BW21" s="248">
        <f>IF($W21=$BW$3,(((INDEX('Tables - Part 2'!$AX$17:$BA$24,MATCH(CUI_SCC_Chloride!$AH21,'Tables - Part 2'!$AV$6:$AV$13,0),MATCH(CUI_SCC_Chloride!$X21,'Tables - Part 2'!$AX$5:$BA$5,0))+INDEX('Tables - Part 2'!$BB$17:$BE$24,MATCH(CUI_SCC_Chloride!$AH21,'Tables - Part 2'!$AV$6:$AV$13,0),MATCH(CUI_SCC_Chloride!$X21,'Tables - Part 2'!$AX$5:$BA$5,0)))/2)+INDEX('Tables - Part 2'!$BB$17:$BE$24,MATCH(CUI_SCC_Chloride!$AH21,'Tables - Part 2'!$AV$6:$AV$13,0),MATCH(CUI_SCC_Chloride!$X21,'Tables - Part 2'!$AX$5:$BA$5,0)))/2,0)</f>
        <v>0</v>
      </c>
      <c r="BX21" s="248">
        <f>IF($W21=$BX$3,(((((INDEX('Tables - Part 2'!$AX$17:$BA$24,MATCH(CUI_SCC_Chloride!$AH21,'Tables - Part 2'!$AV$6:$AV$13,0),MATCH(CUI_SCC_Chloride!$X21,'Tables - Part 2'!$AX$5:$BA$5,0))+INDEX('Tables - Part 2'!$BB$17:$BE$24,MATCH(CUI_SCC_Chloride!$AH21,'Tables - Part 2'!$AV$6:$AV$13,0),MATCH(CUI_SCC_Chloride!$X21,'Tables - Part 2'!$AX$5:$BA$5,0)))/2)+INDEX('Tables - Part 2'!$BB$17:$BE$24,MATCH(CUI_SCC_Chloride!$AH21,'Tables - Part 2'!$AV$6:$AV$13,0),MATCH(CUI_SCC_Chloride!$X21,'Tables - Part 2'!$AX$5:$BA$5,0)))/2)+(INDEX('Tables - Part 2'!$BB$17:$BE$24,MATCH(CUI_SCC_Chloride!$AH21,'Tables - Part 2'!$AV$6:$AV$13,0),MATCH(CUI_SCC_Chloride!$X21,'Tables - Part 2'!$AX$5:$BA$5,0))))/2,0)</f>
        <v>0</v>
      </c>
      <c r="BY21" s="248">
        <f>IF($W21=$BY$3,INDEX('Tables - Part 2'!$BB$17:$BE$24,MATCH(CUI_SCC_Chloride!$AH21,'Tables - Part 2'!$AV$6:$AV$13,0),MATCH(CUI_SCC_Chloride!$X21,'Tables - Part 2'!$AX$5:$BA$5,0)),0)</f>
        <v>0</v>
      </c>
      <c r="BZ21" s="248">
        <f>IF($W21=$BZ$3,((INDEX('Tables - Part 2'!$BB$17:$BE$24,MATCH(CUI_SCC_Chloride!$AH21,'Tables - Part 2'!$AV$6:$AV$13,0),MATCH(CUI_SCC_Chloride!$X21,'Tables - Part 2'!$AX$5:$BA$5,0)))+(((INDEX('Tables - Part 2'!$BB$17:$BE$24,MATCH(CUI_SCC_Chloride!$AH21,'Tables - Part 2'!$AV$6:$AV$13,0),MATCH(CUI_SCC_Chloride!$X21,'Tables - Part 2'!$AX$5:$BA$5,0)))+(INDEX('Tables - Part 2'!$BB$17:$BE$24,MATCH(CUI_SCC_Chloride!$AH21,'Tables - Part 2'!$AV$6:$AV$13,0),MATCH(CUI_SCC_Chloride!$X21,'Tables - Part 2'!$AX$5:$BA$5,0))+INDEX('Tables - Part 2'!$BF$17:$BI$24,MATCH(CUI_SCC_Chloride!$AH21,'Tables - Part 2'!$AV$6:$AV$13,0),MATCH(CUI_SCC_Chloride!$X21,'Tables - Part 2'!$AX$5:$BA$5,0)))/2)/2))/2,0)</f>
        <v>0</v>
      </c>
      <c r="CA21" s="248">
        <f>IF($W21=$CA$3,((INDEX('Tables - Part 2'!$BB$17:$BE$24,MATCH(CUI_SCC_Chloride!$AH21,'Tables - Part 2'!$AV$6:$AV$13,0),MATCH(CUI_SCC_Chloride!$X21,'Tables - Part 2'!$AX$5:$BA$5,0)))+(INDEX('Tables - Part 2'!$BB$17:$BE$24,MATCH(CUI_SCC_Chloride!$AH21,'Tables - Part 2'!$AV$6:$AV$13,0),MATCH(CUI_SCC_Chloride!$X21,'Tables - Part 2'!$AX$5:$BA$5,0))+INDEX('Tables - Part 2'!$BF$17:$BI$24,MATCH(CUI_SCC_Chloride!$AH21,'Tables - Part 2'!$AV$6:$AV$13,0),MATCH(CUI_SCC_Chloride!$X21,'Tables - Part 2'!$AX$5:$BA$5,0)))/2)/2,0)</f>
        <v>0</v>
      </c>
      <c r="CB21" s="248">
        <f>IF($W21=$CB$3,((((INDEX('Tables - Part 2'!$BB$17:$BE$24,MATCH(CUI_SCC_Chloride!$AH21,'Tables - Part 2'!$AV$6:$AV$13,0),MATCH(CUI_SCC_Chloride!$X21,'Tables - Part 2'!$AX$5:$BA$5,0)))+(INDEX('Tables - Part 2'!$BB$17:$BE$24,MATCH(CUI_SCC_Chloride!$AH21,'Tables - Part 2'!$AV$6:$AV$13,0),MATCH(CUI_SCC_Chloride!$X21,'Tables - Part 2'!$AX$5:$BA$5,0))+INDEX('Tables - Part 2'!$BF$17:$BI$24,MATCH(CUI_SCC_Chloride!$AH21,'Tables - Part 2'!$AV$6:$AV$13,0),MATCH(CUI_SCC_Chloride!$X21,'Tables - Part 2'!$AX$5:$BA$5,0)))/2)/2)+((INDEX('Tables - Part 2'!$BB$17:$BE$24,MATCH(CUI_SCC_Chloride!$AH21,'Tables - Part 2'!$AV$6:$AV$13,0),MATCH(CUI_SCC_Chloride!$X21,'Tables - Part 2'!$AX$5:$BA$5,0))+INDEX('Tables - Part 2'!$BF$17:$BI$24,MATCH(CUI_SCC_Chloride!$AH21,'Tables - Part 2'!$AV$6:$AV$13,0),MATCH(CUI_SCC_Chloride!$X21,'Tables - Part 2'!$AX$5:$BA$5,0)))/2))/2,0)</f>
        <v>0</v>
      </c>
      <c r="CC21" s="248">
        <f>IF($W21=$CC$3,(INDEX('Tables - Part 2'!$BB$17:$BE$24,MATCH(CUI_SCC_Chloride!$AH21,'Tables - Part 2'!$AV$6:$AV$13,0),MATCH(CUI_SCC_Chloride!$X21,'Tables - Part 2'!$AX$5:$BA$5,0))+INDEX('Tables - Part 2'!$BF$17:$BI$24,MATCH(CUI_SCC_Chloride!$AH21,'Tables - Part 2'!$AV$6:$AV$13,0),MATCH(CUI_SCC_Chloride!$X21,'Tables - Part 2'!$AX$5:$BA$5,0)))/2,0)</f>
        <v>0</v>
      </c>
      <c r="CD21" s="248">
        <f>IF($W21=$CD$3,(((INDEX('Tables - Part 2'!$BB$17:$BE$24,MATCH(CUI_SCC_Chloride!$AH21,'Tables - Part 2'!$AV$6:$AV$13,0),MATCH(CUI_SCC_Chloride!$X21,'Tables - Part 2'!$AX$5:$BA$5,0))+INDEX('Tables - Part 2'!$BF$17:$BI$24,MATCH(CUI_SCC_Chloride!$AH21,'Tables - Part 2'!$AV$6:$AV$13,0),MATCH(CUI_SCC_Chloride!$X21,'Tables - Part 2'!$AX$5:$BA$5,0)))/2)+((((INDEX('Tables - Part 2'!$BB$17:$BE$24,MATCH(CUI_SCC_Chloride!$AH21,'Tables - Part 2'!$AV$6:$AV$13,0),MATCH(CUI_SCC_Chloride!$X21,'Tables - Part 2'!$AX$5:$BA$5,0))+INDEX('Tables - Part 2'!$BF$17:$BI$24,MATCH(CUI_SCC_Chloride!$AH21,'Tables - Part 2'!$AV$6:$AV$13,0),MATCH(CUI_SCC_Chloride!$X21,'Tables - Part 2'!$AX$5:$BA$5,0)))/2)+INDEX('Tables - Part 2'!$BF$17:$BI$24,MATCH(CUI_SCC_Chloride!$AH21,'Tables - Part 2'!$AV$6:$AV$13,0),MATCH(CUI_SCC_Chloride!$X21,'Tables - Part 2'!$AX$5:$BA$5,0)))/2))/2,0)</f>
        <v>0</v>
      </c>
      <c r="CE21" s="248">
        <f>IF($W21=$CE$3,(((INDEX('Tables - Part 2'!$BB$17:$BE$24,MATCH(CUI_SCC_Chloride!$AH21,'Tables - Part 2'!$AV$6:$AV$13,0),MATCH(CUI_SCC_Chloride!$X21,'Tables - Part 2'!$AX$5:$BA$5,0))+INDEX('Tables - Part 2'!$BF$17:$BI$24,MATCH(CUI_SCC_Chloride!$AH21,'Tables - Part 2'!$AV$6:$AV$13,0),MATCH(CUI_SCC_Chloride!$X21,'Tables - Part 2'!$AX$5:$BA$5,0)))/2)+INDEX('Tables - Part 2'!$BF$17:$BI$24,MATCH(CUI_SCC_Chloride!$AH21,'Tables - Part 2'!$AV$6:$AV$13,0),MATCH(CUI_SCC_Chloride!$X21,'Tables - Part 2'!$AX$5:$BA$5,0)))/2,0)</f>
        <v>0</v>
      </c>
      <c r="CF21" s="248">
        <f>IF($W21=$CF$3,(((((INDEX('Tables - Part 2'!$BB$17:$BE$24,MATCH(CUI_SCC_Chloride!$AH21,'Tables - Part 2'!$AV$6:$AV$13,0),MATCH(CUI_SCC_Chloride!$X21,'Tables - Part 2'!$AX$5:$BA$5,0))+INDEX('Tables - Part 2'!$BF$17:$BI$24,MATCH(CUI_SCC_Chloride!$AH21,'Tables - Part 2'!$AV$6:$AV$13,0),MATCH(CUI_SCC_Chloride!$X21,'Tables - Part 2'!$AX$5:$BA$5,0)))/2)+INDEX('Tables - Part 2'!$BF$17:$BI$24,MATCH(CUI_SCC_Chloride!$AH21,'Tables - Part 2'!$AV$6:$AV$13,0),MATCH(CUI_SCC_Chloride!$X21,'Tables - Part 2'!$AX$5:$BA$5,0)))/2)+(INDEX('Tables - Part 2'!$BF$17:$BI$24,MATCH(CUI_SCC_Chloride!$AH21,'Tables - Part 2'!$AV$6:$AV$13,0),MATCH(CUI_SCC_Chloride!$X21,'Tables - Part 2'!$AX$5:$BA$5,0))))/2,0)</f>
        <v>0</v>
      </c>
      <c r="CG21" s="248">
        <f>IF($W21=$CG$3,INDEX('Tables - Part 2'!$BF$17:$BI$24,MATCH(CUI_SCC_Chloride!$AH21,'Tables - Part 2'!$AV$6:$AV$13,0),MATCH(CUI_SCC_Chloride!$X21,'Tables - Part 2'!$AX$5:$BA$5,0)),0)</f>
        <v>0</v>
      </c>
      <c r="CH21" s="248">
        <f t="shared" si="5"/>
        <v>0</v>
      </c>
      <c r="CI21" s="238">
        <f t="shared" si="19"/>
        <v>0</v>
      </c>
      <c r="CJ21" s="238">
        <f t="shared" si="20"/>
        <v>0</v>
      </c>
    </row>
  </sheetData>
  <mergeCells count="1">
    <mergeCell ref="AJ2:AM2"/>
  </mergeCells>
  <dataValidations count="3">
    <dataValidation type="list" allowBlank="1" showInputMessage="1" showErrorMessage="1" sqref="E4:E21" xr:uid="{00000000-0002-0000-1B00-000000000000}">
      <formula1>$CO$2:$CO$4</formula1>
    </dataValidation>
    <dataValidation type="list" allowBlank="1" showInputMessage="1" showErrorMessage="1" sqref="D4:D21 P4:P21" xr:uid="{00000000-0002-0000-1B00-000001000000}">
      <formula1>$CO$2:$CO$3</formula1>
    </dataValidation>
    <dataValidation type="list" allowBlank="1" showInputMessage="1" showErrorMessage="1" sqref="N4:O21" xr:uid="{00000000-0002-0000-1B00-000002000000}">
      <formula1>$CQ$2:$CQ$4</formula1>
    </dataValidation>
  </dataValidations>
  <pageMargins left="0.511811024" right="0.511811024" top="0.78740157499999996" bottom="0.78740157499999996" header="0.31496062000000002" footer="0.31496062000000002"/>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B00-000003000000}">
          <x14:formula1>
            <xm:f>'Tables - Part 2'!$FI$4:$FL$4</xm:f>
          </x14:formula1>
          <xm:sqref>M4:M21</xm:sqref>
        </x14:dataValidation>
        <x14:dataValidation type="list" allowBlank="1" showInputMessage="1" showErrorMessage="1" xr:uid="{00000000-0002-0000-1B00-000004000000}">
          <x14:formula1>
            <xm:f>POF!$BC$2:$BC$3</xm:f>
          </x14:formula1>
          <xm:sqref>G4:G21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6"/>
  <dimension ref="B1:TQ36"/>
  <sheetViews>
    <sheetView tabSelected="1" topLeftCell="ML1" zoomScale="70" zoomScaleNormal="70" workbookViewId="0">
      <selection activeCell="MX8" sqref="MX8"/>
    </sheetView>
  </sheetViews>
  <sheetFormatPr defaultColWidth="9.1796875" defaultRowHeight="14.5" x14ac:dyDescent="0.35"/>
  <cols>
    <col min="1" max="1" width="1.453125" style="162" customWidth="1"/>
    <col min="2" max="2" width="34.7265625" style="162" customWidth="1"/>
    <col min="3" max="3" width="23.54296875" style="162" customWidth="1"/>
    <col min="4" max="4" width="30" style="162" customWidth="1"/>
    <col min="5" max="5" width="17.453125" style="163" customWidth="1"/>
    <col min="6" max="6" width="30" style="162" customWidth="1"/>
    <col min="7" max="13" width="22.1796875" style="162" customWidth="1"/>
    <col min="14" max="14" width="21.81640625" style="162" customWidth="1"/>
    <col min="15" max="15" width="20.453125" style="162" customWidth="1"/>
    <col min="16" max="16" width="23.26953125" style="162" customWidth="1"/>
    <col min="17" max="17" width="16.54296875" style="162" customWidth="1"/>
    <col min="18" max="18" width="20.7265625" style="162" customWidth="1"/>
    <col min="19" max="19" width="22" style="162" customWidth="1"/>
    <col min="20" max="20" width="17" style="162" customWidth="1"/>
    <col min="21" max="21" width="16.453125" style="162" customWidth="1"/>
    <col min="22" max="22" width="25.54296875" style="162" bestFit="1" customWidth="1"/>
    <col min="23" max="42" width="16.7265625" style="162" customWidth="1"/>
    <col min="43" max="44" width="14.26953125" style="162" customWidth="1"/>
    <col min="45" max="46" width="16.26953125" style="162" customWidth="1"/>
    <col min="47" max="47" width="14.26953125" style="162" customWidth="1"/>
    <col min="48" max="48" width="18.7265625" style="162" customWidth="1"/>
    <col min="49" max="49" width="18.81640625" style="162" customWidth="1"/>
    <col min="50" max="50" width="22.81640625" style="162" customWidth="1"/>
    <col min="51" max="51" width="18.54296875" style="162" customWidth="1"/>
    <col min="52" max="52" width="19.54296875" style="162" customWidth="1"/>
    <col min="53" max="53" width="16.26953125" style="162" customWidth="1"/>
    <col min="54" max="54" width="11.54296875" style="162" customWidth="1"/>
    <col min="55" max="55" width="22.1796875" style="162" customWidth="1"/>
    <col min="56" max="56" width="16.26953125" style="162" customWidth="1"/>
    <col min="57" max="57" width="17.1796875" style="162" customWidth="1"/>
    <col min="58" max="58" width="18.81640625" style="162" customWidth="1"/>
    <col min="59" max="60" width="14.81640625" style="162" customWidth="1"/>
    <col min="61" max="62" width="9.1796875" style="162" customWidth="1"/>
    <col min="63" max="63" width="12.453125" style="162" customWidth="1"/>
    <col min="64" max="64" width="12.26953125" style="162" customWidth="1"/>
    <col min="65" max="65" width="15.54296875" style="162" customWidth="1"/>
    <col min="66" max="68" width="12.26953125" style="162" customWidth="1"/>
    <col min="69" max="70" width="12.54296875" style="162" customWidth="1"/>
    <col min="71" max="71" width="17" style="162" customWidth="1"/>
    <col min="72" max="72" width="12.453125" style="162" customWidth="1"/>
    <col min="73" max="73" width="12.26953125" style="162" customWidth="1"/>
    <col min="74" max="74" width="15.453125" style="162" customWidth="1"/>
    <col min="75" max="75" width="9.1796875" style="162" customWidth="1"/>
    <col min="76" max="76" width="13" style="162" customWidth="1"/>
    <col min="77" max="77" width="14.453125" style="162" customWidth="1"/>
    <col min="78" max="78" width="13.1796875" style="162" customWidth="1"/>
    <col min="79" max="80" width="16" style="162" customWidth="1"/>
    <col min="81" max="81" width="9" style="162" customWidth="1"/>
    <col min="82" max="102" width="9.1796875" style="162" customWidth="1"/>
    <col min="103" max="103" width="13.453125" style="162" customWidth="1"/>
    <col min="104" max="107" width="13.81640625" style="162" customWidth="1"/>
    <col min="108" max="111" width="9.1796875" style="162" customWidth="1"/>
    <col min="112" max="112" width="12.1796875" style="162" customWidth="1"/>
    <col min="113" max="119" width="9.1796875" style="162" customWidth="1"/>
    <col min="120" max="120" width="11" style="162" customWidth="1"/>
    <col min="121" max="121" width="10.453125" style="162" customWidth="1"/>
    <col min="122" max="122" width="10.1796875" style="162" customWidth="1"/>
    <col min="123" max="123" width="10.7265625" style="162" customWidth="1"/>
    <col min="124" max="124" width="11.7265625" style="162" customWidth="1"/>
    <col min="125" max="127" width="9.1796875" style="162" customWidth="1"/>
    <col min="128" max="128" width="12.453125" style="162" customWidth="1"/>
    <col min="129" max="129" width="11.81640625" style="162" customWidth="1"/>
    <col min="130" max="130" width="11" style="162" customWidth="1"/>
    <col min="131" max="131" width="11.54296875" style="162" customWidth="1"/>
    <col min="132" max="139" width="9.1796875" style="162" customWidth="1"/>
    <col min="140" max="140" width="10.54296875" style="162" customWidth="1"/>
    <col min="141" max="141" width="11.1796875" style="162" customWidth="1"/>
    <col min="142" max="142" width="10.1796875" style="162" customWidth="1"/>
    <col min="143" max="147" width="10.54296875" style="162" customWidth="1"/>
    <col min="148" max="148" width="9.1796875" style="162" customWidth="1"/>
    <col min="149" max="163" width="10.54296875" style="162" customWidth="1"/>
    <col min="164" max="167" width="10" style="162" customWidth="1"/>
    <col min="168" max="173" width="10.54296875" style="162" customWidth="1"/>
    <col min="174" max="174" width="13.81640625" style="162" customWidth="1"/>
    <col min="175" max="205" width="14.26953125" style="162" customWidth="1"/>
    <col min="206" max="225" width="10.54296875" style="162" customWidth="1"/>
    <col min="226" max="226" width="10.7265625" style="162" customWidth="1"/>
    <col min="227" max="227" width="11.54296875" style="162" customWidth="1"/>
    <col min="228" max="228" width="12.54296875" style="162" customWidth="1"/>
    <col min="229" max="229" width="12.26953125" style="162" customWidth="1"/>
    <col min="230" max="231" width="11.7265625" style="162" customWidth="1"/>
    <col min="232" max="232" width="12.1796875" style="162" customWidth="1"/>
    <col min="233" max="233" width="12.54296875" style="162" customWidth="1"/>
    <col min="234" max="237" width="17" style="162" customWidth="1"/>
    <col min="238" max="245" width="10.7265625" style="162" customWidth="1"/>
    <col min="246" max="250" width="10.54296875" style="162" customWidth="1"/>
    <col min="251" max="261" width="12.54296875" style="162" customWidth="1"/>
    <col min="262" max="262" width="16.1796875" style="162" customWidth="1"/>
    <col min="263" max="263" width="15.453125" style="162" customWidth="1"/>
    <col min="264" max="264" width="16" style="162" customWidth="1"/>
    <col min="265" max="265" width="16.26953125" style="162" customWidth="1"/>
    <col min="266" max="278" width="12.54296875" style="162" customWidth="1"/>
    <col min="279" max="294" width="17.453125" style="162" customWidth="1"/>
    <col min="295" max="297" width="12.54296875" style="162" customWidth="1"/>
    <col min="298" max="315" width="11.1796875" style="162" customWidth="1"/>
    <col min="316" max="316" width="11.453125" style="162" customWidth="1"/>
    <col min="317" max="318" width="12.54296875" style="162" customWidth="1"/>
    <col min="319" max="320" width="11.1796875" style="162" customWidth="1"/>
    <col min="321" max="326" width="11.453125" style="162" customWidth="1"/>
    <col min="327" max="327" width="13.81640625" style="162" customWidth="1"/>
    <col min="328" max="330" width="11.453125" style="162" customWidth="1"/>
    <col min="331" max="331" width="13.26953125" style="162" customWidth="1"/>
    <col min="332" max="332" width="12.81640625" style="162" customWidth="1"/>
    <col min="333" max="342" width="13" style="162" customWidth="1"/>
    <col min="343" max="362" width="13.26953125" style="162" customWidth="1"/>
    <col min="363" max="363" width="13.81640625" style="162" customWidth="1"/>
    <col min="364" max="364" width="15.453125" style="162" customWidth="1"/>
    <col min="365" max="365" width="12.26953125" style="162" customWidth="1"/>
    <col min="366" max="366" width="13.453125" style="162" customWidth="1"/>
    <col min="367" max="368" width="13.81640625" style="162" customWidth="1"/>
    <col min="369" max="370" width="12.7265625" style="162" customWidth="1"/>
    <col min="371" max="371" width="11.81640625" style="162" customWidth="1"/>
    <col min="372" max="376" width="12" style="162" customWidth="1"/>
    <col min="377" max="377" width="9.1796875" style="162" customWidth="1"/>
    <col min="378" max="378" width="8" style="162" customWidth="1"/>
    <col min="379" max="379" width="7.7265625" style="162" customWidth="1"/>
    <col min="380" max="386" width="10" style="162" customWidth="1"/>
    <col min="387" max="387" width="12.7265625" style="162" customWidth="1"/>
    <col min="388" max="388" width="15" style="162" bestFit="1" customWidth="1"/>
    <col min="389" max="389" width="10" style="162" customWidth="1"/>
    <col min="390" max="393" width="16.7265625" style="162" customWidth="1"/>
    <col min="394" max="397" width="15" style="162" customWidth="1"/>
    <col min="398" max="401" width="15.26953125" style="162" customWidth="1"/>
    <col min="402" max="406" width="13.81640625" style="162" customWidth="1"/>
    <col min="407" max="409" width="9.1796875" style="162" customWidth="1"/>
    <col min="410" max="411" width="11.1796875" style="162" customWidth="1"/>
    <col min="412" max="422" width="9.1796875" style="162" customWidth="1"/>
    <col min="423" max="423" width="12.54296875" style="162" bestFit="1" customWidth="1"/>
    <col min="424" max="453" width="9.1796875" style="162" customWidth="1"/>
    <col min="454" max="454" width="12.453125" style="162" customWidth="1"/>
    <col min="455" max="455" width="12.26953125" style="162" customWidth="1"/>
    <col min="456" max="456" width="15.54296875" style="162" customWidth="1"/>
    <col min="457" max="459" width="12.26953125" style="162" customWidth="1"/>
    <col min="460" max="460" width="12.7265625" style="162" bestFit="1" customWidth="1"/>
    <col min="461" max="505" width="12.7265625" style="162" customWidth="1"/>
    <col min="506" max="508" width="13" style="162" bestFit="1" customWidth="1"/>
    <col min="509" max="524" width="12.7265625" style="162" customWidth="1"/>
    <col min="525" max="525" width="13" style="162" bestFit="1" customWidth="1"/>
    <col min="526" max="527" width="9.1796875" style="162"/>
    <col min="528" max="528" width="22.26953125" style="162" bestFit="1" customWidth="1"/>
    <col min="529" max="529" width="9.1796875" style="162"/>
    <col min="530" max="530" width="17.7265625" style="162" bestFit="1" customWidth="1"/>
    <col min="531" max="531" width="16.54296875" style="162" bestFit="1" customWidth="1"/>
    <col min="532" max="16384" width="9.1796875" style="162"/>
  </cols>
  <sheetData>
    <row r="1" spans="2:537" ht="6.75" customHeight="1" x14ac:dyDescent="0.35">
      <c r="E1" s="162"/>
    </row>
    <row r="2" spans="2:537" x14ac:dyDescent="0.35">
      <c r="E2" s="162"/>
      <c r="BC2" s="163"/>
      <c r="BD2" s="163"/>
      <c r="DB2" s="162">
        <v>9.2902999999999999E-2</v>
      </c>
      <c r="DC2" s="162">
        <v>9.2902999999999999E-2</v>
      </c>
      <c r="DD2" s="162">
        <v>9.2902999999999999E-2</v>
      </c>
      <c r="DE2" s="162">
        <v>9.2902999999999999E-2</v>
      </c>
      <c r="DF2" s="162">
        <v>9.2902999999999999E-2</v>
      </c>
      <c r="DG2" s="162">
        <v>9.2902999999999999E-2</v>
      </c>
      <c r="DH2" s="162">
        <v>9.2902999999999999E-2</v>
      </c>
      <c r="DI2" s="162">
        <v>9.2902999999999999E-2</v>
      </c>
      <c r="DJ2" s="162">
        <v>9.2902999999999999E-2</v>
      </c>
      <c r="DK2" s="162">
        <v>9.2902999999999999E-2</v>
      </c>
      <c r="DL2" s="162">
        <v>9.2902999999999999E-2</v>
      </c>
      <c r="DM2" s="162">
        <v>9.2902999999999999E-2</v>
      </c>
      <c r="DN2" s="162">
        <v>9.2902999999999999E-2</v>
      </c>
      <c r="DO2" s="162">
        <v>9.2902999999999999E-2</v>
      </c>
      <c r="DP2" s="162">
        <v>9.2902999999999999E-2</v>
      </c>
      <c r="DQ2" s="162">
        <v>9.2902999999999999E-2</v>
      </c>
      <c r="DR2" s="162">
        <v>9.2902999999999999E-2</v>
      </c>
      <c r="DS2" s="162">
        <v>9.2902999999999999E-2</v>
      </c>
      <c r="DT2" s="162">
        <v>9.2902999999999999E-2</v>
      </c>
      <c r="DU2" s="162">
        <v>9.2902999999999999E-2</v>
      </c>
      <c r="DV2" s="162">
        <v>9.2902999999999999E-2</v>
      </c>
      <c r="DW2" s="162">
        <v>9.2902999999999999E-2</v>
      </c>
      <c r="DX2" s="162">
        <v>9.2902999999999999E-2</v>
      </c>
      <c r="DY2" s="162">
        <v>9.2902999999999999E-2</v>
      </c>
      <c r="DZ2" s="162">
        <v>9.2902999999999999E-2</v>
      </c>
      <c r="EA2" s="162">
        <v>9.2902999999999999E-2</v>
      </c>
      <c r="EB2" s="162">
        <v>9.2902999999999999E-2</v>
      </c>
      <c r="EC2" s="162">
        <v>9.2902999999999999E-2</v>
      </c>
      <c r="ED2" s="162">
        <v>9.2902999999999999E-2</v>
      </c>
      <c r="EE2" s="162">
        <v>9.2902999999999999E-2</v>
      </c>
      <c r="EF2" s="162">
        <v>9.2902999999999999E-2</v>
      </c>
      <c r="EG2" s="162">
        <v>9.2902999999999999E-2</v>
      </c>
      <c r="EH2" s="162">
        <v>9.2902999999999999E-2</v>
      </c>
      <c r="EI2" s="162">
        <v>9.2902999999999999E-2</v>
      </c>
      <c r="EJ2" s="162">
        <v>9.2902999999999999E-2</v>
      </c>
      <c r="EK2" s="162">
        <v>9.2902999999999999E-2</v>
      </c>
      <c r="EL2" s="162">
        <v>9.2902999999999999E-2</v>
      </c>
      <c r="EM2" s="162">
        <v>9.2902999999999999E-2</v>
      </c>
      <c r="EN2" s="162">
        <v>9.2902999999999999E-2</v>
      </c>
      <c r="EO2" s="162">
        <v>9.2902999999999999E-2</v>
      </c>
      <c r="EP2" s="162">
        <v>9.2902999999999999E-2</v>
      </c>
      <c r="EQ2" s="162">
        <v>9.2902999999999999E-2</v>
      </c>
      <c r="ER2" s="162">
        <v>9.2902999999999999E-2</v>
      </c>
      <c r="ES2" s="162">
        <v>9.2902999999999999E-2</v>
      </c>
      <c r="ET2" s="162">
        <v>9.2902999999999999E-2</v>
      </c>
      <c r="EU2" s="162">
        <v>9.2902999999999999E-2</v>
      </c>
      <c r="EV2" s="162">
        <v>9.2902999999999999E-2</v>
      </c>
      <c r="EW2" s="162">
        <v>9.2902999999999999E-2</v>
      </c>
      <c r="EX2" s="162">
        <v>9.2902999999999999E-2</v>
      </c>
      <c r="EY2" s="162">
        <v>9.2902999999999999E-2</v>
      </c>
      <c r="EZ2" s="162">
        <v>9.2902999999999999E-2</v>
      </c>
      <c r="FA2" s="162">
        <v>9.2902999999999999E-2</v>
      </c>
      <c r="FB2" s="162">
        <v>9.2902999999999999E-2</v>
      </c>
      <c r="FC2" s="162">
        <v>9.2902999999999999E-2</v>
      </c>
      <c r="FD2" s="162">
        <v>9.2902999999999999E-2</v>
      </c>
      <c r="FE2" s="162">
        <v>9.2902999999999999E-2</v>
      </c>
      <c r="FF2" s="162">
        <v>9.2902999999999999E-2</v>
      </c>
      <c r="FG2" s="162">
        <v>9.2902999999999999E-2</v>
      </c>
      <c r="FH2" s="162">
        <v>9.2902999999999999E-2</v>
      </c>
      <c r="FI2" s="162">
        <v>9.2902999999999999E-2</v>
      </c>
      <c r="FJ2" s="162">
        <v>9.2902999999999999E-2</v>
      </c>
      <c r="FK2" s="162">
        <v>9.2902999999999999E-2</v>
      </c>
      <c r="FL2" s="162">
        <v>9.2902999999999999E-2</v>
      </c>
      <c r="FM2" s="162">
        <v>9.2902999999999999E-2</v>
      </c>
      <c r="FN2" s="162">
        <v>9.2902999999999999E-2</v>
      </c>
      <c r="FO2" s="162">
        <v>9.2902999999999999E-2</v>
      </c>
      <c r="LG2" s="162">
        <f>((COF!GF7-COF!GJ7)*(INDEX('Tables - Part 3'!$CN$5:$CN$9,MATCH(COF!GN7,'Tables - Part 3'!$CK$5:$CK$9,0))-INDEX('Tables - Part 3'!$CN$5:$CN$9,MATCH(COF!GJ7,'Tables - Part 3'!$CK$5:$CK$9,0)))/(GN7-GJ7)+INDEX('Tables - Part 3'!$CN$5:$CN$9,MATCH(COF!GJ7,'Tables - Part 3'!$CK$5:$CK$9,0)))</f>
        <v>1.2355400000000001</v>
      </c>
    </row>
    <row r="3" spans="2:537" x14ac:dyDescent="0.35">
      <c r="E3" s="162"/>
      <c r="AY3" s="163"/>
      <c r="AZ3" s="163"/>
      <c r="BA3" s="169"/>
      <c r="BB3" s="163"/>
      <c r="BC3" s="163"/>
      <c r="BD3" s="163"/>
      <c r="BV3" s="151">
        <f>IF($G3=$TH$6,NY3,IF($OO3&gt;$PB3,OD3,OI3))</f>
        <v>0</v>
      </c>
      <c r="BW3" s="151">
        <f t="shared" ref="BW3" si="0">IF($G3=$TH$6,NZ3,IF($OO3&gt;$PB3,OE3,OJ3))</f>
        <v>0</v>
      </c>
      <c r="BX3" s="151">
        <f t="shared" ref="BX3" si="1">IF($G3=$TH$6,OA3,IF($OO3&gt;$PB3,OF3,OK3))</f>
        <v>0</v>
      </c>
      <c r="DB3" s="162">
        <v>57.72</v>
      </c>
      <c r="DC3" s="162">
        <v>923.67</v>
      </c>
      <c r="DF3" s="162">
        <v>365.8</v>
      </c>
      <c r="DG3" s="162">
        <v>5853.98</v>
      </c>
      <c r="DJ3" s="162">
        <v>11357.3</v>
      </c>
      <c r="DK3" s="162">
        <v>15907.8</v>
      </c>
      <c r="DN3" s="162">
        <v>100245</v>
      </c>
      <c r="DO3" s="162">
        <v>118785</v>
      </c>
      <c r="DR3" s="162">
        <v>146.09</v>
      </c>
      <c r="DS3" s="162">
        <v>2337.5</v>
      </c>
      <c r="DV3" s="162">
        <v>976.1</v>
      </c>
      <c r="DW3" s="162">
        <v>15619.1</v>
      </c>
      <c r="DZ3" s="162">
        <v>30113</v>
      </c>
      <c r="EA3" s="162">
        <v>44598</v>
      </c>
      <c r="ED3" s="162">
        <v>339136</v>
      </c>
      <c r="EE3" s="162">
        <v>401748.1</v>
      </c>
      <c r="EH3" s="162" t="s">
        <v>1529</v>
      </c>
      <c r="EI3" s="162" t="s">
        <v>1529</v>
      </c>
      <c r="EL3" s="162" t="s">
        <v>1529</v>
      </c>
      <c r="EM3" s="162" t="s">
        <v>1529</v>
      </c>
      <c r="EP3" s="162">
        <v>2462</v>
      </c>
      <c r="EQ3" s="162">
        <v>43770</v>
      </c>
      <c r="ET3" s="162">
        <v>8070</v>
      </c>
      <c r="EU3" s="162">
        <v>145261</v>
      </c>
      <c r="EX3" s="162">
        <v>294</v>
      </c>
      <c r="EY3" s="162">
        <v>5954.6</v>
      </c>
      <c r="EZ3" s="162">
        <v>16526</v>
      </c>
      <c r="FB3" s="162">
        <v>774.8</v>
      </c>
      <c r="FF3" s="162">
        <v>294.10000000000002</v>
      </c>
      <c r="FG3" s="162">
        <v>5955</v>
      </c>
      <c r="FH3" s="162">
        <v>20608</v>
      </c>
      <c r="FI3" s="162">
        <v>32179</v>
      </c>
      <c r="FJ3" s="162">
        <v>775.5</v>
      </c>
      <c r="FK3" s="162">
        <v>16526</v>
      </c>
      <c r="FL3" s="162">
        <v>59711</v>
      </c>
      <c r="FM3" s="162">
        <v>96353</v>
      </c>
      <c r="FN3" s="162">
        <v>5993</v>
      </c>
      <c r="FO3" s="162">
        <v>16957</v>
      </c>
      <c r="GZ3" s="576"/>
      <c r="NY3" s="162" t="s">
        <v>1429</v>
      </c>
    </row>
    <row r="4" spans="2:537" ht="15" thickBot="1" x14ac:dyDescent="0.4">
      <c r="W4" s="506" t="s">
        <v>1557</v>
      </c>
      <c r="X4" s="506"/>
      <c r="Y4" s="506"/>
      <c r="Z4" s="506"/>
      <c r="AA4" s="506"/>
      <c r="AB4" s="506"/>
      <c r="AC4" s="506"/>
      <c r="AD4" s="506"/>
      <c r="AE4" s="506"/>
      <c r="AF4" s="572" t="s">
        <v>1470</v>
      </c>
      <c r="AG4" s="572"/>
      <c r="AH4" s="572"/>
      <c r="AI4" s="572"/>
      <c r="AJ4" s="572"/>
      <c r="AK4" s="572"/>
      <c r="AL4" s="572"/>
      <c r="AM4" s="572"/>
      <c r="AN4" s="572"/>
      <c r="AO4" s="572"/>
      <c r="AP4" s="572"/>
      <c r="AY4" s="168"/>
      <c r="AZ4" s="169"/>
      <c r="BA4" s="169"/>
      <c r="BB4" s="163"/>
      <c r="BC4" s="163"/>
      <c r="BD4" s="163"/>
      <c r="CE4" s="168"/>
      <c r="CM4" s="168"/>
      <c r="CW4" s="168" t="s">
        <v>1530</v>
      </c>
      <c r="DB4" s="162">
        <f t="shared" ref="DB4:FE4" si="2">DB3*DB2</f>
        <v>5.3623611599999998</v>
      </c>
      <c r="DC4" s="162">
        <f>DC3*DC2</f>
        <v>85.811714009999989</v>
      </c>
      <c r="DD4" s="162">
        <f t="shared" si="2"/>
        <v>0</v>
      </c>
      <c r="DE4" s="162">
        <f t="shared" si="2"/>
        <v>0</v>
      </c>
      <c r="DF4" s="162">
        <f>DF3*DF2</f>
        <v>33.983917400000003</v>
      </c>
      <c r="DG4" s="162">
        <f t="shared" si="2"/>
        <v>543.85230393999996</v>
      </c>
      <c r="DH4" s="162">
        <f t="shared" si="2"/>
        <v>0</v>
      </c>
      <c r="DI4" s="162">
        <f t="shared" si="2"/>
        <v>0</v>
      </c>
      <c r="DJ4" s="162">
        <f t="shared" si="2"/>
        <v>1055.1272418999999</v>
      </c>
      <c r="DK4" s="162">
        <f t="shared" si="2"/>
        <v>1477.8823433999999</v>
      </c>
      <c r="DL4" s="162">
        <f t="shared" si="2"/>
        <v>0</v>
      </c>
      <c r="DM4" s="162">
        <f t="shared" si="2"/>
        <v>0</v>
      </c>
      <c r="DN4" s="162">
        <f t="shared" si="2"/>
        <v>9313.0612349999992</v>
      </c>
      <c r="DO4" s="162">
        <f t="shared" si="2"/>
        <v>11035.482855</v>
      </c>
      <c r="DP4" s="162">
        <f t="shared" si="2"/>
        <v>0</v>
      </c>
      <c r="DQ4" s="162">
        <f t="shared" si="2"/>
        <v>0</v>
      </c>
      <c r="DR4" s="162">
        <f t="shared" si="2"/>
        <v>13.57219927</v>
      </c>
      <c r="DS4" s="162">
        <f t="shared" si="2"/>
        <v>217.1607625</v>
      </c>
      <c r="DT4" s="162">
        <f t="shared" si="2"/>
        <v>0</v>
      </c>
      <c r="DU4" s="162">
        <f t="shared" si="2"/>
        <v>0</v>
      </c>
      <c r="DV4" s="162">
        <f t="shared" si="2"/>
        <v>90.682618300000001</v>
      </c>
      <c r="DW4" s="162">
        <f t="shared" si="2"/>
        <v>1451.0612473000001</v>
      </c>
      <c r="DX4" s="162">
        <f t="shared" si="2"/>
        <v>0</v>
      </c>
      <c r="DY4" s="162">
        <f t="shared" si="2"/>
        <v>0</v>
      </c>
      <c r="DZ4" s="162">
        <f t="shared" si="2"/>
        <v>2797.5880390000002</v>
      </c>
      <c r="EA4" s="162">
        <f t="shared" si="2"/>
        <v>4143.2879940000003</v>
      </c>
      <c r="EB4" s="162">
        <f t="shared" si="2"/>
        <v>0</v>
      </c>
      <c r="EC4" s="162">
        <f t="shared" si="2"/>
        <v>0</v>
      </c>
      <c r="ED4" s="162">
        <f t="shared" si="2"/>
        <v>31506.751808000001</v>
      </c>
      <c r="EE4" s="162">
        <f t="shared" si="2"/>
        <v>37323.603734299999</v>
      </c>
      <c r="EF4" s="162">
        <f t="shared" si="2"/>
        <v>0</v>
      </c>
      <c r="EG4" s="162">
        <f t="shared" si="2"/>
        <v>0</v>
      </c>
      <c r="EJ4" s="162">
        <f t="shared" si="2"/>
        <v>0</v>
      </c>
      <c r="EK4" s="162">
        <f t="shared" si="2"/>
        <v>0</v>
      </c>
      <c r="EN4" s="162">
        <f t="shared" si="2"/>
        <v>0</v>
      </c>
      <c r="EO4" s="162">
        <f t="shared" si="2"/>
        <v>0</v>
      </c>
      <c r="EP4" s="162">
        <f t="shared" si="2"/>
        <v>228.72718599999999</v>
      </c>
      <c r="EQ4" s="162">
        <f t="shared" si="2"/>
        <v>4066.3643099999999</v>
      </c>
      <c r="ER4" s="162">
        <f t="shared" si="2"/>
        <v>0</v>
      </c>
      <c r="ES4" s="162">
        <f t="shared" si="2"/>
        <v>0</v>
      </c>
      <c r="ET4" s="162">
        <f t="shared" si="2"/>
        <v>749.72721000000001</v>
      </c>
      <c r="EU4" s="162">
        <f t="shared" si="2"/>
        <v>13495.182682999999</v>
      </c>
      <c r="EV4" s="162">
        <f t="shared" si="2"/>
        <v>0</v>
      </c>
      <c r="EW4" s="162">
        <f t="shared" si="2"/>
        <v>0</v>
      </c>
      <c r="EX4" s="162">
        <f t="shared" si="2"/>
        <v>27.313482</v>
      </c>
      <c r="EY4" s="162">
        <f t="shared" si="2"/>
        <v>553.20020380000005</v>
      </c>
      <c r="EZ4" s="162">
        <f t="shared" si="2"/>
        <v>1535.3149779999999</v>
      </c>
      <c r="FA4" s="162">
        <f t="shared" si="2"/>
        <v>0</v>
      </c>
      <c r="FB4" s="162">
        <f t="shared" si="2"/>
        <v>71.981244399999994</v>
      </c>
      <c r="FC4" s="162">
        <f t="shared" si="2"/>
        <v>0</v>
      </c>
      <c r="FD4" s="162">
        <f t="shared" si="2"/>
        <v>0</v>
      </c>
      <c r="FE4" s="162">
        <f t="shared" si="2"/>
        <v>0</v>
      </c>
      <c r="FF4" s="162">
        <f>FF3*FF2</f>
        <v>27.3227723</v>
      </c>
      <c r="FG4" s="162">
        <f t="shared" ref="FG4:FM4" si="3">FG3*FG2</f>
        <v>553.23736499999995</v>
      </c>
      <c r="FH4" s="162">
        <f t="shared" si="3"/>
        <v>1914.545024</v>
      </c>
      <c r="FI4" s="162">
        <f t="shared" si="3"/>
        <v>2989.5256370000002</v>
      </c>
      <c r="FJ4" s="162">
        <f t="shared" si="3"/>
        <v>72.046276500000005</v>
      </c>
      <c r="FK4" s="162">
        <f t="shared" si="3"/>
        <v>1535.3149779999999</v>
      </c>
      <c r="FL4" s="162">
        <f t="shared" si="3"/>
        <v>5547.3310330000004</v>
      </c>
      <c r="FM4" s="162">
        <f t="shared" si="3"/>
        <v>8951.4827590000004</v>
      </c>
      <c r="FN4" s="162">
        <f t="shared" ref="FN4" si="4">FN3*FN2</f>
        <v>556.76767900000004</v>
      </c>
      <c r="FO4" s="162">
        <f t="shared" ref="FO4" si="5">FO3*FO2</f>
        <v>1575.3561709999999</v>
      </c>
      <c r="GW4" s="280">
        <v>3.3605999999999998</v>
      </c>
      <c r="GX4" s="280"/>
      <c r="GY4" s="280"/>
      <c r="GZ4" s="575"/>
      <c r="IO4" s="280">
        <v>2684</v>
      </c>
      <c r="IP4" s="280"/>
      <c r="IQ4" s="280"/>
      <c r="JI4" s="280">
        <v>3528</v>
      </c>
      <c r="JJ4" s="280">
        <v>3528</v>
      </c>
      <c r="JK4" s="280">
        <v>3528</v>
      </c>
      <c r="KH4" s="280">
        <v>217.83</v>
      </c>
      <c r="KI4" s="280">
        <v>21.109000000000002</v>
      </c>
      <c r="KL4" s="280">
        <v>1.1287</v>
      </c>
      <c r="KM4" s="280">
        <v>1.1294</v>
      </c>
      <c r="KX4" s="280">
        <v>557.1884</v>
      </c>
      <c r="KY4" s="280">
        <v>64.837180000000004</v>
      </c>
      <c r="LA4" s="280">
        <v>1.23</v>
      </c>
      <c r="LB4" s="280">
        <v>1.1049199999999999</v>
      </c>
      <c r="LC4" s="280">
        <v>1.10372</v>
      </c>
      <c r="LD4" s="280">
        <v>1.0900000000000001</v>
      </c>
      <c r="LQ4" s="280"/>
      <c r="LR4" s="280"/>
      <c r="LS4" s="280"/>
      <c r="LT4" s="280"/>
      <c r="LU4" s="280"/>
      <c r="LV4" s="280"/>
      <c r="LW4" s="280"/>
      <c r="LX4" s="280"/>
      <c r="LY4" s="280"/>
      <c r="LZ4" s="280"/>
      <c r="MA4" s="280"/>
      <c r="MB4" s="280"/>
      <c r="MC4" s="280"/>
      <c r="MD4" s="280"/>
      <c r="ME4" s="280"/>
      <c r="MF4" s="280"/>
      <c r="MG4" s="280"/>
      <c r="MH4" s="280"/>
      <c r="MI4" s="280"/>
      <c r="MJ4" s="280"/>
      <c r="MK4" s="280"/>
      <c r="ML4" s="280"/>
      <c r="MM4" s="280"/>
      <c r="MN4" s="280"/>
      <c r="MO4" s="280"/>
      <c r="MP4" s="280"/>
      <c r="MQ4" s="280"/>
      <c r="MR4" s="280"/>
      <c r="QJ4" s="572" t="s">
        <v>1470</v>
      </c>
      <c r="QK4" s="572"/>
      <c r="QL4" s="572"/>
      <c r="QM4" s="572"/>
      <c r="QN4" s="572"/>
      <c r="QO4" s="572"/>
      <c r="QP4" s="572"/>
      <c r="QQ4" s="572"/>
      <c r="QR4" s="572"/>
    </row>
    <row r="5" spans="2:537" ht="15" thickBot="1" x14ac:dyDescent="0.4">
      <c r="F5" s="304" t="s">
        <v>1324</v>
      </c>
      <c r="G5" s="304" t="s">
        <v>706</v>
      </c>
      <c r="H5" s="304" t="s">
        <v>1332</v>
      </c>
      <c r="I5" s="711" t="s">
        <v>1331</v>
      </c>
      <c r="J5" s="713"/>
      <c r="K5" s="717" t="s">
        <v>541</v>
      </c>
      <c r="L5" s="718"/>
      <c r="M5" s="243"/>
      <c r="P5" s="708" t="s">
        <v>243</v>
      </c>
      <c r="Q5" s="709"/>
      <c r="T5" s="305" t="s">
        <v>315</v>
      </c>
      <c r="U5" s="305" t="s">
        <v>316</v>
      </c>
      <c r="V5" s="305"/>
      <c r="W5" s="711" t="s">
        <v>1391</v>
      </c>
      <c r="X5" s="712"/>
      <c r="Y5" s="713"/>
      <c r="Z5" s="539"/>
      <c r="AA5" s="539"/>
      <c r="AB5" s="539"/>
      <c r="AC5" s="539"/>
      <c r="AD5" s="539"/>
      <c r="AE5" s="539"/>
      <c r="AF5" s="554" t="s">
        <v>1473</v>
      </c>
      <c r="AG5" s="697" t="s">
        <v>1474</v>
      </c>
      <c r="AH5" s="699"/>
      <c r="AI5" s="554"/>
      <c r="AJ5" s="554"/>
      <c r="AK5" s="554"/>
      <c r="AL5" s="554"/>
      <c r="AM5" s="554"/>
      <c r="AN5" s="554"/>
      <c r="AO5" s="554"/>
      <c r="AP5" s="554"/>
      <c r="AQ5" s="711" t="s">
        <v>1325</v>
      </c>
      <c r="AR5" s="713"/>
      <c r="AS5" s="705" t="s">
        <v>282</v>
      </c>
      <c r="AT5" s="706"/>
      <c r="AU5" s="706"/>
      <c r="AV5" s="706"/>
      <c r="AW5" s="706"/>
      <c r="AX5" s="707"/>
      <c r="AY5" s="342" t="s">
        <v>286</v>
      </c>
      <c r="AZ5" s="342" t="s">
        <v>1328</v>
      </c>
      <c r="BA5" s="705" t="s">
        <v>287</v>
      </c>
      <c r="BB5" s="706"/>
      <c r="BC5" s="706"/>
      <c r="BD5" s="707"/>
      <c r="BE5" s="705" t="s">
        <v>288</v>
      </c>
      <c r="BF5" s="706"/>
      <c r="BG5" s="706"/>
      <c r="BH5" s="707"/>
      <c r="BI5" s="705" t="s">
        <v>289</v>
      </c>
      <c r="BJ5" s="706"/>
      <c r="BK5" s="706"/>
      <c r="BL5" s="707"/>
      <c r="BM5" s="705" t="s">
        <v>283</v>
      </c>
      <c r="BN5" s="706"/>
      <c r="BO5" s="706"/>
      <c r="BP5" s="707"/>
      <c r="BQ5" s="705" t="s">
        <v>290</v>
      </c>
      <c r="BR5" s="706"/>
      <c r="BS5" s="706"/>
      <c r="BT5" s="706"/>
      <c r="BU5" s="707"/>
      <c r="BV5" s="705" t="s">
        <v>285</v>
      </c>
      <c r="BW5" s="706"/>
      <c r="BX5" s="706"/>
      <c r="BY5" s="706"/>
      <c r="BZ5" s="707"/>
      <c r="CA5" s="710" t="s">
        <v>771</v>
      </c>
      <c r="CB5" s="710"/>
      <c r="CC5" s="710"/>
      <c r="CD5" s="710"/>
      <c r="CE5" s="175" t="s">
        <v>319</v>
      </c>
      <c r="CF5" s="710" t="s">
        <v>343</v>
      </c>
      <c r="CG5" s="710"/>
      <c r="CH5" s="710"/>
      <c r="CI5" s="710"/>
      <c r="CJ5" s="710" t="s">
        <v>352</v>
      </c>
      <c r="CK5" s="710"/>
      <c r="CL5" s="710"/>
      <c r="CM5" s="710"/>
      <c r="CN5" s="705" t="s">
        <v>357</v>
      </c>
      <c r="CO5" s="706"/>
      <c r="CP5" s="706"/>
      <c r="CQ5" s="707"/>
      <c r="CR5" s="710" t="s">
        <v>358</v>
      </c>
      <c r="CS5" s="710"/>
      <c r="CT5" s="710"/>
      <c r="CU5" s="710"/>
      <c r="CV5" s="176" t="s">
        <v>375</v>
      </c>
      <c r="CW5" s="710" t="s">
        <v>376</v>
      </c>
      <c r="CX5" s="710"/>
      <c r="CY5" s="710"/>
      <c r="CZ5" s="710"/>
      <c r="DA5" s="500" t="s">
        <v>1333</v>
      </c>
      <c r="DB5" s="710" t="s">
        <v>396</v>
      </c>
      <c r="DC5" s="710"/>
      <c r="DD5" s="710"/>
      <c r="DE5" s="710"/>
      <c r="DF5" s="710" t="s">
        <v>422</v>
      </c>
      <c r="DG5" s="710"/>
      <c r="DH5" s="710"/>
      <c r="DI5" s="710"/>
      <c r="DJ5" s="710" t="s">
        <v>423</v>
      </c>
      <c r="DK5" s="710"/>
      <c r="DL5" s="710"/>
      <c r="DM5" s="710"/>
      <c r="DN5" s="710" t="s">
        <v>424</v>
      </c>
      <c r="DO5" s="710"/>
      <c r="DP5" s="710"/>
      <c r="DQ5" s="710"/>
      <c r="DR5" s="710" t="s">
        <v>469</v>
      </c>
      <c r="DS5" s="710"/>
      <c r="DT5" s="710"/>
      <c r="DU5" s="710"/>
      <c r="DV5" s="710" t="s">
        <v>470</v>
      </c>
      <c r="DW5" s="710"/>
      <c r="DX5" s="710"/>
      <c r="DY5" s="710"/>
      <c r="DZ5" s="710" t="s">
        <v>471</v>
      </c>
      <c r="EA5" s="710"/>
      <c r="EB5" s="710"/>
      <c r="EC5" s="710"/>
      <c r="ED5" s="710" t="s">
        <v>472</v>
      </c>
      <c r="EE5" s="710"/>
      <c r="EF5" s="710"/>
      <c r="EG5" s="710"/>
      <c r="EH5" s="710" t="s">
        <v>473</v>
      </c>
      <c r="EI5" s="710"/>
      <c r="EJ5" s="710"/>
      <c r="EK5" s="710"/>
      <c r="EL5" s="710" t="s">
        <v>483</v>
      </c>
      <c r="EM5" s="710"/>
      <c r="EN5" s="710"/>
      <c r="EO5" s="710"/>
      <c r="EP5" s="705" t="s">
        <v>484</v>
      </c>
      <c r="EQ5" s="706"/>
      <c r="ER5" s="706"/>
      <c r="ES5" s="706"/>
      <c r="ET5" s="706"/>
      <c r="EU5" s="706"/>
      <c r="EV5" s="706"/>
      <c r="EW5" s="706"/>
      <c r="EX5" s="706"/>
      <c r="EY5" s="706"/>
      <c r="EZ5" s="706"/>
      <c r="FA5" s="706"/>
      <c r="FB5" s="706"/>
      <c r="FC5" s="706"/>
      <c r="FD5" s="706"/>
      <c r="FE5" s="707"/>
      <c r="FF5" s="705" t="s">
        <v>501</v>
      </c>
      <c r="FG5" s="706"/>
      <c r="FH5" s="706"/>
      <c r="FI5" s="706"/>
      <c r="FJ5" s="706"/>
      <c r="FK5" s="706"/>
      <c r="FL5" s="706"/>
      <c r="FM5" s="707"/>
      <c r="FN5" s="719" t="s">
        <v>506</v>
      </c>
      <c r="FO5" s="719"/>
      <c r="FP5" s="714" t="s">
        <v>513</v>
      </c>
      <c r="FQ5" s="715"/>
      <c r="FR5" s="715"/>
      <c r="FS5" s="716"/>
      <c r="FT5" s="714" t="s">
        <v>546</v>
      </c>
      <c r="FU5" s="715"/>
      <c r="FV5" s="715"/>
      <c r="FW5" s="715"/>
      <c r="FX5" s="715"/>
      <c r="FY5" s="715"/>
      <c r="FZ5" s="715"/>
      <c r="GA5" s="716"/>
      <c r="GB5" s="714" t="s">
        <v>638</v>
      </c>
      <c r="GC5" s="715"/>
      <c r="GD5" s="715"/>
      <c r="GE5" s="715"/>
      <c r="GF5" s="289"/>
      <c r="GG5" s="289"/>
      <c r="GH5" s="289"/>
      <c r="GI5" s="289"/>
      <c r="GJ5" s="289"/>
      <c r="GK5" s="289"/>
      <c r="GL5" s="289"/>
      <c r="GM5" s="289"/>
      <c r="GN5" s="289"/>
      <c r="GO5" s="289"/>
      <c r="GP5" s="289"/>
      <c r="GQ5" s="289"/>
      <c r="GR5" s="289"/>
      <c r="GS5" s="289"/>
      <c r="GT5" s="289"/>
      <c r="GU5" s="289"/>
      <c r="GV5" s="289"/>
      <c r="GW5" s="290"/>
      <c r="GX5" s="290"/>
      <c r="GY5" s="290"/>
      <c r="GZ5" s="291" t="s">
        <v>5</v>
      </c>
      <c r="HA5" s="291"/>
      <c r="HB5" s="291"/>
      <c r="HC5" s="291"/>
      <c r="HD5" s="291"/>
      <c r="HE5" s="291"/>
      <c r="HF5" s="291"/>
      <c r="HG5" s="291"/>
      <c r="HH5" s="291"/>
      <c r="HI5" s="291"/>
      <c r="HJ5" s="291"/>
      <c r="HK5" s="291"/>
      <c r="HL5" s="291"/>
      <c r="HM5" s="291"/>
      <c r="HN5" s="291"/>
      <c r="HO5" s="291"/>
      <c r="HP5" s="291"/>
      <c r="HQ5" s="291"/>
      <c r="HR5" s="291"/>
      <c r="HS5" s="291"/>
      <c r="HT5" s="291" t="s">
        <v>7</v>
      </c>
      <c r="HU5" s="291"/>
      <c r="HV5" s="291"/>
      <c r="HW5" s="291"/>
      <c r="HX5" s="291"/>
      <c r="HY5" s="291"/>
      <c r="HZ5" s="291"/>
      <c r="IA5" s="291"/>
      <c r="IB5" s="291"/>
      <c r="IC5" s="291"/>
      <c r="ID5" s="291"/>
      <c r="IE5" s="291"/>
      <c r="IF5" s="289"/>
      <c r="IG5" s="289"/>
      <c r="IH5" s="289"/>
      <c r="II5" s="289"/>
      <c r="IJ5" s="289"/>
      <c r="IK5" s="289"/>
      <c r="IL5" s="289"/>
      <c r="IM5" s="289"/>
      <c r="IN5" s="291"/>
      <c r="IO5" s="291"/>
      <c r="IP5" s="291"/>
      <c r="IQ5" s="291"/>
      <c r="IR5" s="291"/>
      <c r="IS5" s="291"/>
      <c r="IT5" s="291"/>
      <c r="IU5" s="291"/>
      <c r="IV5" s="291" t="s">
        <v>8</v>
      </c>
      <c r="IW5" s="291"/>
      <c r="IX5" s="291"/>
      <c r="IY5" s="291"/>
      <c r="IZ5" s="291"/>
      <c r="JA5" s="291"/>
      <c r="JB5" s="291"/>
      <c r="JC5" s="291"/>
      <c r="JD5" s="291"/>
      <c r="JE5" s="291"/>
      <c r="JF5" s="291"/>
      <c r="JG5" s="291"/>
      <c r="JH5" s="291"/>
      <c r="JI5" s="291"/>
      <c r="JJ5" s="291"/>
      <c r="JK5" s="291"/>
      <c r="JL5" s="291"/>
      <c r="JM5" s="291"/>
      <c r="JN5" s="291"/>
      <c r="JO5" s="291"/>
      <c r="JP5" s="291" t="s">
        <v>6</v>
      </c>
      <c r="JQ5" s="291" t="s">
        <v>65</v>
      </c>
      <c r="JR5" s="291"/>
      <c r="JS5" s="291"/>
      <c r="JT5" s="291"/>
      <c r="JU5" s="291"/>
      <c r="JV5" s="291"/>
      <c r="JW5" s="291"/>
      <c r="JX5" s="291"/>
      <c r="JY5" s="291"/>
      <c r="JZ5" s="291"/>
      <c r="KA5" s="291"/>
      <c r="KB5" s="291"/>
      <c r="KC5" s="291"/>
      <c r="KD5" s="291"/>
      <c r="KE5" s="291"/>
      <c r="KF5" s="291"/>
      <c r="KG5" s="291"/>
      <c r="KH5" s="291"/>
      <c r="KI5" s="291"/>
      <c r="KJ5" s="291"/>
      <c r="KK5" s="291"/>
      <c r="KL5" s="291"/>
      <c r="KM5" s="291"/>
      <c r="KN5" s="291"/>
      <c r="KO5" s="291" t="s">
        <v>93</v>
      </c>
      <c r="KP5" s="291"/>
      <c r="KQ5" s="291"/>
      <c r="KR5" s="291"/>
      <c r="KS5" s="291"/>
      <c r="KT5" s="291"/>
      <c r="KU5" s="291"/>
      <c r="KV5" s="291"/>
      <c r="KW5" s="291"/>
      <c r="KX5" s="291"/>
      <c r="KY5" s="291"/>
      <c r="KZ5" s="291"/>
      <c r="LA5" s="291"/>
      <c r="LB5" s="291"/>
      <c r="LC5" s="291"/>
      <c r="LD5" s="291"/>
      <c r="LE5" s="291" t="s">
        <v>9</v>
      </c>
      <c r="LF5" s="291" t="s">
        <v>10</v>
      </c>
      <c r="LG5" s="291" t="s">
        <v>11</v>
      </c>
      <c r="LH5" s="291" t="s">
        <v>13</v>
      </c>
      <c r="LI5" s="291" t="s">
        <v>73</v>
      </c>
      <c r="LJ5" s="291" t="s">
        <v>75</v>
      </c>
      <c r="LK5" s="291" t="s">
        <v>71</v>
      </c>
      <c r="LL5" s="714" t="s">
        <v>639</v>
      </c>
      <c r="LM5" s="715"/>
      <c r="LN5" s="715"/>
      <c r="LO5" s="715"/>
      <c r="LP5" s="716"/>
      <c r="LQ5" s="714" t="s">
        <v>645</v>
      </c>
      <c r="LR5" s="715"/>
      <c r="LS5" s="715"/>
      <c r="LT5" s="715"/>
      <c r="LU5" s="715"/>
      <c r="LV5" s="715"/>
      <c r="LW5" s="715"/>
      <c r="LX5" s="716"/>
      <c r="LY5" s="714" t="s">
        <v>662</v>
      </c>
      <c r="LZ5" s="715"/>
      <c r="MA5" s="715"/>
      <c r="MB5" s="716"/>
      <c r="MC5" s="714" t="s">
        <v>673</v>
      </c>
      <c r="MD5" s="715"/>
      <c r="ME5" s="715"/>
      <c r="MF5" s="716"/>
      <c r="MG5" s="714" t="s">
        <v>646</v>
      </c>
      <c r="MH5" s="715"/>
      <c r="MI5" s="715"/>
      <c r="MJ5" s="715"/>
      <c r="MK5" s="715"/>
      <c r="ML5" s="715"/>
      <c r="MM5" s="716"/>
      <c r="MN5" s="292" t="s">
        <v>663</v>
      </c>
      <c r="MO5" s="714" t="s">
        <v>673</v>
      </c>
      <c r="MP5" s="715"/>
      <c r="MQ5" s="715"/>
      <c r="MR5" s="716"/>
      <c r="MS5" s="714" t="s">
        <v>678</v>
      </c>
      <c r="MT5" s="715"/>
      <c r="MU5" s="715"/>
      <c r="MV5" s="715"/>
      <c r="MW5" s="716"/>
      <c r="MX5" s="289" t="s">
        <v>684</v>
      </c>
      <c r="MY5" s="289" t="s">
        <v>687</v>
      </c>
      <c r="MZ5" s="289" t="s">
        <v>688</v>
      </c>
      <c r="NA5" s="705" t="s">
        <v>1336</v>
      </c>
      <c r="NB5" s="706"/>
      <c r="NC5" s="706"/>
      <c r="ND5" s="706"/>
      <c r="NE5" s="706"/>
      <c r="NF5" s="706"/>
      <c r="NG5" s="707"/>
      <c r="NH5" s="512" t="s">
        <v>1399</v>
      </c>
      <c r="NI5" s="714" t="s">
        <v>1403</v>
      </c>
      <c r="NJ5" s="715"/>
      <c r="NK5" s="715"/>
      <c r="NL5" s="715"/>
      <c r="NM5" s="715"/>
      <c r="NN5" s="715"/>
      <c r="NO5" s="715"/>
      <c r="NP5" s="716"/>
      <c r="NQ5" s="540" t="s">
        <v>1414</v>
      </c>
      <c r="NR5" s="720" t="s">
        <v>1418</v>
      </c>
      <c r="NS5" s="720"/>
      <c r="NT5" s="720"/>
      <c r="NU5" s="720"/>
      <c r="NV5" s="720"/>
      <c r="NW5" s="721"/>
      <c r="NX5" s="520" t="s">
        <v>1421</v>
      </c>
      <c r="NY5" s="707" t="s">
        <v>284</v>
      </c>
      <c r="NZ5" s="710"/>
      <c r="OA5" s="710"/>
      <c r="OB5" s="710"/>
      <c r="OC5" s="710"/>
      <c r="OD5" s="710"/>
      <c r="OE5" s="710"/>
      <c r="OF5" s="710"/>
      <c r="OG5" s="710"/>
      <c r="OH5" s="710"/>
      <c r="OI5" s="710"/>
      <c r="OJ5" s="710"/>
      <c r="OK5" s="710"/>
      <c r="OL5" s="710"/>
      <c r="OM5" s="710"/>
      <c r="ON5" s="501" t="s">
        <v>1326</v>
      </c>
      <c r="OO5" s="158"/>
      <c r="OP5" s="158"/>
      <c r="OQ5" s="158"/>
      <c r="OR5" s="158"/>
      <c r="OS5" s="158"/>
      <c r="OT5" s="158"/>
      <c r="OU5" s="158"/>
      <c r="OV5" s="158"/>
      <c r="OW5" s="158"/>
      <c r="OX5" s="158"/>
      <c r="OY5" s="158"/>
      <c r="OZ5" s="158"/>
      <c r="PA5" s="158"/>
      <c r="PB5" s="158"/>
      <c r="PC5" s="158"/>
      <c r="PD5" s="710" t="s">
        <v>397</v>
      </c>
      <c r="PE5" s="710"/>
      <c r="PF5" s="710"/>
      <c r="PG5" s="710"/>
      <c r="PH5" s="710" t="s">
        <v>402</v>
      </c>
      <c r="PI5" s="710"/>
      <c r="PJ5" s="710"/>
      <c r="PK5" s="710"/>
      <c r="PL5" s="710" t="s">
        <v>403</v>
      </c>
      <c r="PM5" s="710"/>
      <c r="PN5" s="710"/>
      <c r="PO5" s="710"/>
      <c r="PP5" s="710" t="s">
        <v>404</v>
      </c>
      <c r="PQ5" s="710"/>
      <c r="PR5" s="710"/>
      <c r="PS5" s="710"/>
      <c r="PT5" s="710" t="s">
        <v>405</v>
      </c>
      <c r="PU5" s="710"/>
      <c r="PV5" s="710"/>
      <c r="PW5" s="710"/>
      <c r="PX5" s="710" t="s">
        <v>418</v>
      </c>
      <c r="PY5" s="710"/>
      <c r="PZ5" s="710"/>
      <c r="QA5" s="710"/>
      <c r="QB5" s="710" t="s">
        <v>419</v>
      </c>
      <c r="QC5" s="710"/>
      <c r="QD5" s="710"/>
      <c r="QE5" s="710"/>
      <c r="QF5" s="710" t="s">
        <v>420</v>
      </c>
      <c r="QG5" s="710"/>
      <c r="QH5" s="710"/>
      <c r="QI5" s="710"/>
      <c r="QJ5" s="705" t="s">
        <v>289</v>
      </c>
      <c r="QK5" s="706"/>
      <c r="QL5" s="706"/>
      <c r="QM5" s="707"/>
      <c r="QN5" s="705" t="s">
        <v>283</v>
      </c>
      <c r="QO5" s="706"/>
      <c r="QP5" s="706"/>
      <c r="QQ5" s="707"/>
      <c r="QR5" s="705" t="s">
        <v>1475</v>
      </c>
      <c r="QS5" s="706"/>
      <c r="QT5" s="706"/>
      <c r="QU5" s="706"/>
      <c r="QV5" s="707"/>
      <c r="QW5" s="566" t="s">
        <v>1328</v>
      </c>
      <c r="QX5" s="705" t="s">
        <v>1331</v>
      </c>
      <c r="QY5" s="706"/>
      <c r="QZ5" s="706"/>
      <c r="RA5" s="707"/>
      <c r="RB5" s="705" t="s">
        <v>1486</v>
      </c>
      <c r="RC5" s="706"/>
      <c r="RD5" s="706"/>
      <c r="RE5" s="707"/>
      <c r="RF5" s="705" t="s">
        <v>1495</v>
      </c>
      <c r="RG5" s="706"/>
      <c r="RH5" s="706"/>
      <c r="RI5" s="707"/>
      <c r="RJ5" s="705" t="s">
        <v>317</v>
      </c>
      <c r="RK5" s="706"/>
      <c r="RL5" s="706"/>
      <c r="RM5" s="707"/>
      <c r="RN5" s="705" t="s">
        <v>318</v>
      </c>
      <c r="RO5" s="706"/>
      <c r="RP5" s="706"/>
      <c r="RQ5" s="707"/>
      <c r="RR5" s="705" t="s">
        <v>1090</v>
      </c>
      <c r="RS5" s="706"/>
      <c r="RT5" s="706"/>
      <c r="RU5" s="707"/>
      <c r="RV5" s="705" t="s">
        <v>1504</v>
      </c>
      <c r="RW5" s="706"/>
      <c r="RX5" s="706"/>
      <c r="RY5" s="707"/>
      <c r="RZ5" s="705" t="s">
        <v>1513</v>
      </c>
      <c r="SA5" s="706"/>
      <c r="SB5" s="706"/>
      <c r="SC5" s="707"/>
      <c r="SD5" s="705" t="s">
        <v>1514</v>
      </c>
      <c r="SE5" s="706"/>
      <c r="SF5" s="706"/>
      <c r="SG5" s="707"/>
      <c r="SH5" s="705" t="s">
        <v>1519</v>
      </c>
      <c r="SI5" s="706"/>
      <c r="SJ5" s="706"/>
      <c r="SK5" s="707"/>
      <c r="SL5" s="565"/>
      <c r="SM5" s="565"/>
      <c r="SN5" s="565"/>
      <c r="SO5" s="565"/>
      <c r="SP5" s="565"/>
      <c r="SQ5" s="565"/>
      <c r="SR5" s="565"/>
      <c r="SS5" s="565"/>
      <c r="ST5" s="565"/>
      <c r="SU5" s="565"/>
      <c r="SV5" s="565"/>
      <c r="SW5" s="565"/>
      <c r="SX5" s="565"/>
      <c r="SY5" s="565"/>
      <c r="SZ5" s="565"/>
      <c r="TA5" s="565"/>
      <c r="TB5" s="565"/>
      <c r="TC5" s="565"/>
      <c r="TD5" s="565"/>
      <c r="TE5" s="555"/>
      <c r="TH5" s="177" t="s">
        <v>91</v>
      </c>
      <c r="TJ5" s="184" t="s">
        <v>107</v>
      </c>
      <c r="TK5" s="143" t="s">
        <v>262</v>
      </c>
      <c r="TL5" s="185" t="s">
        <v>162</v>
      </c>
      <c r="TM5" s="144">
        <v>101.325</v>
      </c>
      <c r="TN5" s="145" t="s">
        <v>164</v>
      </c>
      <c r="TO5" s="186"/>
      <c r="TQ5" s="513" t="s">
        <v>541</v>
      </c>
    </row>
    <row r="6" spans="2:537" ht="28.5" customHeight="1" x14ac:dyDescent="0.35">
      <c r="B6" s="173" t="s">
        <v>968</v>
      </c>
      <c r="C6" s="172" t="s">
        <v>107</v>
      </c>
      <c r="D6" s="173" t="s">
        <v>969</v>
      </c>
      <c r="E6" s="173" t="s">
        <v>108</v>
      </c>
      <c r="F6" s="343" t="s">
        <v>92</v>
      </c>
      <c r="G6" s="173" t="s">
        <v>90</v>
      </c>
      <c r="H6" s="343" t="s">
        <v>1327</v>
      </c>
      <c r="I6" s="343" t="s">
        <v>1055</v>
      </c>
      <c r="J6" s="344" t="s">
        <v>1329</v>
      </c>
      <c r="K6" s="344" t="s">
        <v>1334</v>
      </c>
      <c r="L6" s="344" t="s">
        <v>1335</v>
      </c>
      <c r="M6" s="344" t="s">
        <v>1337</v>
      </c>
      <c r="N6" s="173" t="s">
        <v>935</v>
      </c>
      <c r="O6" s="174" t="s">
        <v>707</v>
      </c>
      <c r="P6" s="174" t="s">
        <v>212</v>
      </c>
      <c r="Q6" s="173" t="s">
        <v>211</v>
      </c>
      <c r="R6" s="174" t="s">
        <v>825</v>
      </c>
      <c r="S6" s="174" t="s">
        <v>826</v>
      </c>
      <c r="T6" s="306" t="s">
        <v>313</v>
      </c>
      <c r="U6" s="306" t="s">
        <v>314</v>
      </c>
      <c r="V6" s="306" t="s">
        <v>364</v>
      </c>
      <c r="W6" s="306" t="s">
        <v>1137</v>
      </c>
      <c r="X6" s="306" t="s">
        <v>1402</v>
      </c>
      <c r="Y6" s="306" t="s">
        <v>1412</v>
      </c>
      <c r="Z6" s="306" t="s">
        <v>1401</v>
      </c>
      <c r="AA6" s="306" t="s">
        <v>1404</v>
      </c>
      <c r="AB6" s="306" t="s">
        <v>1413</v>
      </c>
      <c r="AC6" s="306" t="s">
        <v>1415</v>
      </c>
      <c r="AD6" s="306" t="s">
        <v>1416</v>
      </c>
      <c r="AE6" s="306" t="s">
        <v>1427</v>
      </c>
      <c r="AF6" s="573" t="s">
        <v>1471</v>
      </c>
      <c r="AG6" s="573" t="s">
        <v>1477</v>
      </c>
      <c r="AH6" s="573" t="s">
        <v>1472</v>
      </c>
      <c r="AI6" s="573"/>
      <c r="AJ6" s="573"/>
      <c r="AK6" s="573"/>
      <c r="AL6" s="573"/>
      <c r="AM6" s="573"/>
      <c r="AN6" s="573"/>
      <c r="AO6" s="573"/>
      <c r="AP6" s="573"/>
      <c r="AQ6" s="343" t="s">
        <v>58</v>
      </c>
      <c r="AR6" s="173" t="s">
        <v>275</v>
      </c>
      <c r="AS6" s="135" t="s">
        <v>100</v>
      </c>
      <c r="AT6" s="278" t="s">
        <v>937</v>
      </c>
      <c r="AU6" s="136" t="s">
        <v>96</v>
      </c>
      <c r="AV6" s="137" t="s">
        <v>98</v>
      </c>
      <c r="AW6" s="137" t="s">
        <v>99</v>
      </c>
      <c r="AX6" s="136" t="s">
        <v>97</v>
      </c>
      <c r="AY6" s="137" t="s">
        <v>213</v>
      </c>
      <c r="AZ6" s="138" t="s">
        <v>242</v>
      </c>
      <c r="BA6" s="134" t="s">
        <v>253</v>
      </c>
      <c r="BB6" s="134" t="s">
        <v>255</v>
      </c>
      <c r="BC6" s="134" t="s">
        <v>256</v>
      </c>
      <c r="BD6" s="134" t="s">
        <v>254</v>
      </c>
      <c r="BE6" s="134" t="s">
        <v>257</v>
      </c>
      <c r="BF6" s="134" t="s">
        <v>258</v>
      </c>
      <c r="BG6" s="134" t="s">
        <v>259</v>
      </c>
      <c r="BH6" s="134" t="s">
        <v>260</v>
      </c>
      <c r="BI6" s="139" t="s">
        <v>214</v>
      </c>
      <c r="BJ6" s="139" t="s">
        <v>215</v>
      </c>
      <c r="BK6" s="139" t="s">
        <v>216</v>
      </c>
      <c r="BL6" s="139" t="s">
        <v>217</v>
      </c>
      <c r="BM6" s="139" t="s">
        <v>218</v>
      </c>
      <c r="BN6" s="139" t="s">
        <v>219</v>
      </c>
      <c r="BO6" s="139" t="s">
        <v>220</v>
      </c>
      <c r="BP6" s="139" t="s">
        <v>221</v>
      </c>
      <c r="BQ6" s="139" t="s">
        <v>222</v>
      </c>
      <c r="BR6" s="139" t="s">
        <v>223</v>
      </c>
      <c r="BS6" s="139" t="s">
        <v>224</v>
      </c>
      <c r="BT6" s="139" t="s">
        <v>225</v>
      </c>
      <c r="BU6" s="139" t="s">
        <v>161</v>
      </c>
      <c r="BV6" s="139" t="s">
        <v>238</v>
      </c>
      <c r="BW6" s="139" t="s">
        <v>239</v>
      </c>
      <c r="BX6" s="139" t="s">
        <v>240</v>
      </c>
      <c r="BY6" s="139" t="s">
        <v>241</v>
      </c>
      <c r="BZ6" s="139" t="s">
        <v>252</v>
      </c>
      <c r="CA6" s="139" t="s">
        <v>264</v>
      </c>
      <c r="CB6" s="139" t="s">
        <v>265</v>
      </c>
      <c r="CC6" s="139" t="s">
        <v>266</v>
      </c>
      <c r="CD6" s="139" t="s">
        <v>267</v>
      </c>
      <c r="CE6" s="139" t="s">
        <v>320</v>
      </c>
      <c r="CF6" s="139" t="s">
        <v>339</v>
      </c>
      <c r="CG6" s="139" t="s">
        <v>340</v>
      </c>
      <c r="CH6" s="139" t="s">
        <v>341</v>
      </c>
      <c r="CI6" s="139" t="s">
        <v>342</v>
      </c>
      <c r="CJ6" s="139" t="s">
        <v>348</v>
      </c>
      <c r="CK6" s="139" t="s">
        <v>349</v>
      </c>
      <c r="CL6" s="139" t="s">
        <v>350</v>
      </c>
      <c r="CM6" s="139" t="s">
        <v>351</v>
      </c>
      <c r="CN6" s="139" t="s">
        <v>353</v>
      </c>
      <c r="CO6" s="139" t="s">
        <v>354</v>
      </c>
      <c r="CP6" s="139" t="s">
        <v>355</v>
      </c>
      <c r="CQ6" s="139" t="s">
        <v>356</v>
      </c>
      <c r="CR6" s="139" t="s">
        <v>359</v>
      </c>
      <c r="CS6" s="139" t="s">
        <v>360</v>
      </c>
      <c r="CT6" s="139" t="s">
        <v>361</v>
      </c>
      <c r="CU6" s="139" t="s">
        <v>362</v>
      </c>
      <c r="CV6" s="139" t="s">
        <v>938</v>
      </c>
      <c r="CW6" s="139" t="s">
        <v>377</v>
      </c>
      <c r="CX6" s="139" t="s">
        <v>378</v>
      </c>
      <c r="CY6" s="139" t="s">
        <v>379</v>
      </c>
      <c r="CZ6" s="139" t="s">
        <v>380</v>
      </c>
      <c r="DA6" s="139" t="s">
        <v>381</v>
      </c>
      <c r="DB6" s="139" t="s">
        <v>382</v>
      </c>
      <c r="DC6" s="139" t="s">
        <v>383</v>
      </c>
      <c r="DD6" s="139" t="s">
        <v>384</v>
      </c>
      <c r="DE6" s="139" t="s">
        <v>385</v>
      </c>
      <c r="DF6" s="139" t="s">
        <v>425</v>
      </c>
      <c r="DG6" s="139" t="s">
        <v>426</v>
      </c>
      <c r="DH6" s="139" t="s">
        <v>427</v>
      </c>
      <c r="DI6" s="139" t="s">
        <v>428</v>
      </c>
      <c r="DJ6" s="139" t="s">
        <v>429</v>
      </c>
      <c r="DK6" s="139" t="s">
        <v>430</v>
      </c>
      <c r="DL6" s="139" t="s">
        <v>431</v>
      </c>
      <c r="DM6" s="139" t="s">
        <v>432</v>
      </c>
      <c r="DN6" s="139" t="s">
        <v>433</v>
      </c>
      <c r="DO6" s="139" t="s">
        <v>434</v>
      </c>
      <c r="DP6" s="139" t="s">
        <v>435</v>
      </c>
      <c r="DQ6" s="139" t="s">
        <v>436</v>
      </c>
      <c r="DR6" s="139" t="s">
        <v>453</v>
      </c>
      <c r="DS6" s="139" t="s">
        <v>454</v>
      </c>
      <c r="DT6" s="139" t="s">
        <v>455</v>
      </c>
      <c r="DU6" s="139" t="s">
        <v>456</v>
      </c>
      <c r="DV6" s="139" t="s">
        <v>457</v>
      </c>
      <c r="DW6" s="139" t="s">
        <v>458</v>
      </c>
      <c r="DX6" s="139" t="s">
        <v>459</v>
      </c>
      <c r="DY6" s="139" t="s">
        <v>460</v>
      </c>
      <c r="DZ6" s="139" t="s">
        <v>461</v>
      </c>
      <c r="EA6" s="139" t="s">
        <v>462</v>
      </c>
      <c r="EB6" s="139" t="s">
        <v>463</v>
      </c>
      <c r="EC6" s="139" t="s">
        <v>464</v>
      </c>
      <c r="ED6" s="139" t="s">
        <v>465</v>
      </c>
      <c r="EE6" s="139" t="s">
        <v>466</v>
      </c>
      <c r="EF6" s="139" t="s">
        <v>467</v>
      </c>
      <c r="EG6" s="139" t="s">
        <v>468</v>
      </c>
      <c r="EH6" s="139" t="s">
        <v>474</v>
      </c>
      <c r="EI6" s="139" t="s">
        <v>475</v>
      </c>
      <c r="EJ6" s="139" t="s">
        <v>476</v>
      </c>
      <c r="EK6" s="139" t="s">
        <v>477</v>
      </c>
      <c r="EL6" s="139" t="s">
        <v>478</v>
      </c>
      <c r="EM6" s="139" t="s">
        <v>479</v>
      </c>
      <c r="EN6" s="139" t="s">
        <v>480</v>
      </c>
      <c r="EO6" s="139" t="s">
        <v>481</v>
      </c>
      <c r="EP6" s="140" t="s">
        <v>485</v>
      </c>
      <c r="EQ6" s="140" t="s">
        <v>486</v>
      </c>
      <c r="ER6" s="140" t="s">
        <v>487</v>
      </c>
      <c r="ES6" s="140" t="s">
        <v>488</v>
      </c>
      <c r="ET6" s="140" t="s">
        <v>489</v>
      </c>
      <c r="EU6" s="140" t="s">
        <v>490</v>
      </c>
      <c r="EV6" s="140" t="s">
        <v>491</v>
      </c>
      <c r="EW6" s="140" t="s">
        <v>492</v>
      </c>
      <c r="EX6" s="140" t="s">
        <v>493</v>
      </c>
      <c r="EY6" s="140" t="s">
        <v>494</v>
      </c>
      <c r="EZ6" s="140" t="s">
        <v>495</v>
      </c>
      <c r="FA6" s="140" t="s">
        <v>496</v>
      </c>
      <c r="FB6" s="140" t="s">
        <v>497</v>
      </c>
      <c r="FC6" s="140" t="s">
        <v>498</v>
      </c>
      <c r="FD6" s="140" t="s">
        <v>499</v>
      </c>
      <c r="FE6" s="140" t="s">
        <v>500</v>
      </c>
      <c r="FF6" s="139" t="s">
        <v>502</v>
      </c>
      <c r="FG6" s="139" t="s">
        <v>503</v>
      </c>
      <c r="FH6" s="139" t="s">
        <v>504</v>
      </c>
      <c r="FI6" s="139" t="s">
        <v>505</v>
      </c>
      <c r="FJ6" s="139" t="s">
        <v>507</v>
      </c>
      <c r="FK6" s="139" t="s">
        <v>508</v>
      </c>
      <c r="FL6" s="139" t="s">
        <v>509</v>
      </c>
      <c r="FM6" s="287" t="s">
        <v>510</v>
      </c>
      <c r="FN6" s="293" t="s">
        <v>511</v>
      </c>
      <c r="FO6" s="298" t="s">
        <v>512</v>
      </c>
      <c r="FP6" s="510" t="s">
        <v>514</v>
      </c>
      <c r="FQ6" s="174" t="s">
        <v>515</v>
      </c>
      <c r="FR6" s="174" t="s">
        <v>516</v>
      </c>
      <c r="FS6" s="174" t="s">
        <v>517</v>
      </c>
      <c r="FT6" s="174" t="s">
        <v>542</v>
      </c>
      <c r="FU6" s="174" t="s">
        <v>543</v>
      </c>
      <c r="FV6" s="174" t="s">
        <v>544</v>
      </c>
      <c r="FW6" s="174" t="s">
        <v>545</v>
      </c>
      <c r="FX6" s="174" t="s">
        <v>547</v>
      </c>
      <c r="FY6" s="174" t="s">
        <v>548</v>
      </c>
      <c r="FZ6" s="174" t="s">
        <v>549</v>
      </c>
      <c r="GA6" s="174" t="s">
        <v>550</v>
      </c>
      <c r="GB6" s="174" t="s">
        <v>626</v>
      </c>
      <c r="GC6" s="174" t="s">
        <v>627</v>
      </c>
      <c r="GD6" s="174" t="s">
        <v>628</v>
      </c>
      <c r="GE6" s="174" t="s">
        <v>629</v>
      </c>
      <c r="GF6" s="295" t="s">
        <v>551</v>
      </c>
      <c r="GG6" s="295" t="s">
        <v>552</v>
      </c>
      <c r="GH6" s="295" t="s">
        <v>553</v>
      </c>
      <c r="GI6" s="295" t="s">
        <v>554</v>
      </c>
      <c r="GJ6" s="295" t="s">
        <v>563</v>
      </c>
      <c r="GK6" s="295" t="s">
        <v>564</v>
      </c>
      <c r="GL6" s="295" t="s">
        <v>565</v>
      </c>
      <c r="GM6" s="295" t="s">
        <v>566</v>
      </c>
      <c r="GN6" s="295" t="s">
        <v>567</v>
      </c>
      <c r="GO6" s="295" t="s">
        <v>568</v>
      </c>
      <c r="GP6" s="295" t="s">
        <v>569</v>
      </c>
      <c r="GQ6" s="295" t="s">
        <v>570</v>
      </c>
      <c r="GR6" s="174" t="s">
        <v>555</v>
      </c>
      <c r="GS6" s="174" t="s">
        <v>556</v>
      </c>
      <c r="GT6" s="174" t="s">
        <v>557</v>
      </c>
      <c r="GU6" s="174" t="s">
        <v>558</v>
      </c>
      <c r="GV6" s="174" t="s">
        <v>559</v>
      </c>
      <c r="GW6" s="174" t="s">
        <v>560</v>
      </c>
      <c r="GX6" s="174" t="s">
        <v>561</v>
      </c>
      <c r="GY6" s="174" t="s">
        <v>562</v>
      </c>
      <c r="GZ6" s="174" t="s">
        <v>571</v>
      </c>
      <c r="HA6" s="174" t="s">
        <v>572</v>
      </c>
      <c r="HB6" s="174" t="s">
        <v>573</v>
      </c>
      <c r="HC6" s="174" t="s">
        <v>574</v>
      </c>
      <c r="HD6" s="174" t="s">
        <v>575</v>
      </c>
      <c r="HE6" s="174" t="s">
        <v>576</v>
      </c>
      <c r="HF6" s="174" t="s">
        <v>577</v>
      </c>
      <c r="HG6" s="174" t="s">
        <v>578</v>
      </c>
      <c r="HH6" s="174" t="s">
        <v>630</v>
      </c>
      <c r="HI6" s="174" t="s">
        <v>631</v>
      </c>
      <c r="HJ6" s="174" t="s">
        <v>632</v>
      </c>
      <c r="HK6" s="174" t="s">
        <v>633</v>
      </c>
      <c r="HL6" s="174" t="s">
        <v>555</v>
      </c>
      <c r="HM6" s="174" t="s">
        <v>556</v>
      </c>
      <c r="HN6" s="174" t="s">
        <v>557</v>
      </c>
      <c r="HO6" s="174" t="s">
        <v>558</v>
      </c>
      <c r="HP6" s="174" t="s">
        <v>559</v>
      </c>
      <c r="HQ6" s="174" t="s">
        <v>560</v>
      </c>
      <c r="HR6" s="174" t="s">
        <v>561</v>
      </c>
      <c r="HS6" s="174" t="s">
        <v>562</v>
      </c>
      <c r="HT6" s="174" t="s">
        <v>579</v>
      </c>
      <c r="HU6" s="174" t="s">
        <v>580</v>
      </c>
      <c r="HV6" s="174" t="s">
        <v>581</v>
      </c>
      <c r="HW6" s="174" t="s">
        <v>582</v>
      </c>
      <c r="HX6" s="174" t="s">
        <v>583</v>
      </c>
      <c r="HY6" s="174" t="s">
        <v>584</v>
      </c>
      <c r="HZ6" s="174" t="s">
        <v>585</v>
      </c>
      <c r="IA6" s="174" t="s">
        <v>586</v>
      </c>
      <c r="IB6" s="174" t="s">
        <v>634</v>
      </c>
      <c r="IC6" s="174" t="s">
        <v>635</v>
      </c>
      <c r="ID6" s="174" t="s">
        <v>636</v>
      </c>
      <c r="IE6" s="174" t="s">
        <v>637</v>
      </c>
      <c r="IF6" s="295" t="s">
        <v>563</v>
      </c>
      <c r="IG6" s="295" t="s">
        <v>564</v>
      </c>
      <c r="IH6" s="295" t="s">
        <v>565</v>
      </c>
      <c r="II6" s="295" t="s">
        <v>566</v>
      </c>
      <c r="IJ6" s="295" t="s">
        <v>567</v>
      </c>
      <c r="IK6" s="295" t="s">
        <v>568</v>
      </c>
      <c r="IL6" s="295" t="s">
        <v>569</v>
      </c>
      <c r="IM6" s="295" t="s">
        <v>570</v>
      </c>
      <c r="IN6" s="174" t="s">
        <v>587</v>
      </c>
      <c r="IO6" s="174" t="s">
        <v>589</v>
      </c>
      <c r="IP6" s="174" t="s">
        <v>590</v>
      </c>
      <c r="IQ6" s="174" t="s">
        <v>591</v>
      </c>
      <c r="IR6" s="174" t="s">
        <v>588</v>
      </c>
      <c r="IS6" s="174" t="s">
        <v>592</v>
      </c>
      <c r="IT6" s="174" t="s">
        <v>593</v>
      </c>
      <c r="IU6" s="174" t="s">
        <v>594</v>
      </c>
      <c r="IV6" s="174" t="s">
        <v>595</v>
      </c>
      <c r="IW6" s="174" t="s">
        <v>596</v>
      </c>
      <c r="IX6" s="174" t="s">
        <v>597</v>
      </c>
      <c r="IY6" s="174" t="s">
        <v>598</v>
      </c>
      <c r="IZ6" s="174" t="s">
        <v>599</v>
      </c>
      <c r="JA6" s="174" t="s">
        <v>600</v>
      </c>
      <c r="JB6" s="174" t="s">
        <v>601</v>
      </c>
      <c r="JC6" s="174" t="s">
        <v>602</v>
      </c>
      <c r="JD6" s="174" t="s">
        <v>622</v>
      </c>
      <c r="JE6" s="174" t="s">
        <v>623</v>
      </c>
      <c r="JF6" s="174" t="s">
        <v>624</v>
      </c>
      <c r="JG6" s="174" t="s">
        <v>625</v>
      </c>
      <c r="JH6" s="174" t="s">
        <v>587</v>
      </c>
      <c r="JI6" s="174" t="s">
        <v>589</v>
      </c>
      <c r="JJ6" s="174" t="s">
        <v>590</v>
      </c>
      <c r="JK6" s="174" t="s">
        <v>591</v>
      </c>
      <c r="JL6" s="174" t="s">
        <v>588</v>
      </c>
      <c r="JM6" s="174" t="s">
        <v>592</v>
      </c>
      <c r="JN6" s="174" t="s">
        <v>593</v>
      </c>
      <c r="JO6" s="174" t="s">
        <v>594</v>
      </c>
      <c r="JP6" s="174"/>
      <c r="JQ6" s="174" t="s">
        <v>603</v>
      </c>
      <c r="JR6" s="174" t="s">
        <v>604</v>
      </c>
      <c r="JS6" s="174" t="s">
        <v>605</v>
      </c>
      <c r="JT6" s="174" t="s">
        <v>606</v>
      </c>
      <c r="JU6" s="174" t="s">
        <v>610</v>
      </c>
      <c r="JV6" s="174" t="s">
        <v>611</v>
      </c>
      <c r="JW6" s="174" t="s">
        <v>612</v>
      </c>
      <c r="JX6" s="174" t="s">
        <v>613</v>
      </c>
      <c r="JY6" s="295" t="s">
        <v>563</v>
      </c>
      <c r="JZ6" s="295" t="s">
        <v>564</v>
      </c>
      <c r="KA6" s="295" t="s">
        <v>565</v>
      </c>
      <c r="KB6" s="295" t="s">
        <v>566</v>
      </c>
      <c r="KC6" s="295" t="s">
        <v>567</v>
      </c>
      <c r="KD6" s="295" t="s">
        <v>568</v>
      </c>
      <c r="KE6" s="295" t="s">
        <v>569</v>
      </c>
      <c r="KF6" s="295" t="s">
        <v>570</v>
      </c>
      <c r="KG6" s="174" t="s">
        <v>587</v>
      </c>
      <c r="KH6" s="174" t="s">
        <v>589</v>
      </c>
      <c r="KI6" s="174" t="s">
        <v>590</v>
      </c>
      <c r="KJ6" s="174" t="s">
        <v>591</v>
      </c>
      <c r="KK6" s="174" t="s">
        <v>588</v>
      </c>
      <c r="KL6" s="174" t="s">
        <v>592</v>
      </c>
      <c r="KM6" s="174" t="s">
        <v>593</v>
      </c>
      <c r="KN6" s="174" t="s">
        <v>594</v>
      </c>
      <c r="KO6" s="174" t="s">
        <v>614</v>
      </c>
      <c r="KP6" s="174" t="s">
        <v>615</v>
      </c>
      <c r="KQ6" s="174" t="s">
        <v>616</v>
      </c>
      <c r="KR6" s="174" t="s">
        <v>617</v>
      </c>
      <c r="KS6" s="174" t="s">
        <v>618</v>
      </c>
      <c r="KT6" s="174" t="s">
        <v>619</v>
      </c>
      <c r="KU6" s="174" t="s">
        <v>620</v>
      </c>
      <c r="KV6" s="174" t="s">
        <v>621</v>
      </c>
      <c r="KW6" s="174" t="s">
        <v>587</v>
      </c>
      <c r="KX6" s="174" t="s">
        <v>589</v>
      </c>
      <c r="KY6" s="174" t="s">
        <v>590</v>
      </c>
      <c r="KZ6" s="174" t="s">
        <v>591</v>
      </c>
      <c r="LA6" s="174" t="s">
        <v>588</v>
      </c>
      <c r="LB6" s="174" t="s">
        <v>592</v>
      </c>
      <c r="LC6" s="174" t="s">
        <v>593</v>
      </c>
      <c r="LD6" s="174" t="s">
        <v>594</v>
      </c>
      <c r="LE6" s="296"/>
      <c r="LF6" s="297"/>
      <c r="LG6" s="297"/>
      <c r="LH6" s="297"/>
      <c r="LI6" s="297"/>
      <c r="LJ6" s="297"/>
      <c r="LK6" s="297"/>
      <c r="LL6" s="174" t="s">
        <v>641</v>
      </c>
      <c r="LM6" s="174" t="s">
        <v>642</v>
      </c>
      <c r="LN6" s="174" t="s">
        <v>643</v>
      </c>
      <c r="LO6" s="174" t="s">
        <v>644</v>
      </c>
      <c r="LP6" s="294" t="s">
        <v>640</v>
      </c>
      <c r="LQ6" s="174" t="s">
        <v>647</v>
      </c>
      <c r="LR6" s="174" t="s">
        <v>648</v>
      </c>
      <c r="LS6" s="174" t="s">
        <v>649</v>
      </c>
      <c r="LT6" s="174" t="s">
        <v>650</v>
      </c>
      <c r="LU6" s="174" t="s">
        <v>651</v>
      </c>
      <c r="LV6" s="174" t="s">
        <v>652</v>
      </c>
      <c r="LW6" s="174" t="s">
        <v>653</v>
      </c>
      <c r="LX6" s="174" t="s">
        <v>654</v>
      </c>
      <c r="LY6" s="174" t="s">
        <v>664</v>
      </c>
      <c r="LZ6" s="174" t="s">
        <v>665</v>
      </c>
      <c r="MA6" s="174" t="s">
        <v>666</v>
      </c>
      <c r="MB6" s="174" t="s">
        <v>667</v>
      </c>
      <c r="MC6" s="174" t="s">
        <v>674</v>
      </c>
      <c r="MD6" s="174" t="s">
        <v>675</v>
      </c>
      <c r="ME6" s="174" t="s">
        <v>676</v>
      </c>
      <c r="MF6" s="174" t="s">
        <v>677</v>
      </c>
      <c r="MG6" s="174" t="s">
        <v>655</v>
      </c>
      <c r="MH6" s="174" t="s">
        <v>656</v>
      </c>
      <c r="MI6" s="174" t="s">
        <v>657</v>
      </c>
      <c r="MJ6" s="174" t="s">
        <v>658</v>
      </c>
      <c r="MK6" s="174" t="s">
        <v>659</v>
      </c>
      <c r="ML6" s="174" t="s">
        <v>660</v>
      </c>
      <c r="MM6" s="174" t="s">
        <v>661</v>
      </c>
      <c r="MN6" s="174" t="s">
        <v>668</v>
      </c>
      <c r="MO6" s="174" t="s">
        <v>669</v>
      </c>
      <c r="MP6" s="174" t="s">
        <v>670</v>
      </c>
      <c r="MQ6" s="174" t="s">
        <v>671</v>
      </c>
      <c r="MR6" s="174" t="s">
        <v>672</v>
      </c>
      <c r="MS6" s="174" t="s">
        <v>679</v>
      </c>
      <c r="MT6" s="174" t="s">
        <v>680</v>
      </c>
      <c r="MU6" s="174" t="s">
        <v>681</v>
      </c>
      <c r="MV6" s="174" t="s">
        <v>682</v>
      </c>
      <c r="MW6" s="294" t="s">
        <v>683</v>
      </c>
      <c r="MX6" s="294" t="s">
        <v>686</v>
      </c>
      <c r="MY6" s="294" t="s">
        <v>685</v>
      </c>
      <c r="MZ6" s="525" t="s">
        <v>691</v>
      </c>
      <c r="NA6" s="344" t="s">
        <v>1392</v>
      </c>
      <c r="NB6" s="344" t="s">
        <v>1393</v>
      </c>
      <c r="NC6" s="344" t="s">
        <v>1394</v>
      </c>
      <c r="ND6" s="344" t="s">
        <v>1395</v>
      </c>
      <c r="NE6" s="344" t="s">
        <v>1396</v>
      </c>
      <c r="NF6" s="344" t="s">
        <v>1397</v>
      </c>
      <c r="NG6" s="344" t="s">
        <v>1398</v>
      </c>
      <c r="NH6" s="344" t="s">
        <v>1400</v>
      </c>
      <c r="NI6" s="344" t="s">
        <v>1405</v>
      </c>
      <c r="NJ6" s="344" t="s">
        <v>1406</v>
      </c>
      <c r="NK6" s="344" t="s">
        <v>1407</v>
      </c>
      <c r="NL6" s="344" t="s">
        <v>1408</v>
      </c>
      <c r="NM6" s="344" t="s">
        <v>1404</v>
      </c>
      <c r="NN6" s="344" t="s">
        <v>1409</v>
      </c>
      <c r="NO6" s="344" t="s">
        <v>1410</v>
      </c>
      <c r="NP6" s="344" t="s">
        <v>1411</v>
      </c>
      <c r="NQ6" s="344" t="s">
        <v>1417</v>
      </c>
      <c r="NR6" s="344" t="s">
        <v>1420</v>
      </c>
      <c r="NS6" s="344" t="s">
        <v>1422</v>
      </c>
      <c r="NT6" s="344" t="s">
        <v>1423</v>
      </c>
      <c r="NU6" s="344" t="s">
        <v>1424</v>
      </c>
      <c r="NV6" s="344" t="s">
        <v>1425</v>
      </c>
      <c r="NW6" s="344" t="s">
        <v>1426</v>
      </c>
      <c r="NX6" s="141" t="s">
        <v>1428</v>
      </c>
      <c r="NY6" s="144" t="s">
        <v>226</v>
      </c>
      <c r="NZ6" s="143" t="s">
        <v>227</v>
      </c>
      <c r="OA6" s="143" t="s">
        <v>228</v>
      </c>
      <c r="OB6" s="143" t="s">
        <v>229</v>
      </c>
      <c r="OC6" s="144" t="s">
        <v>250</v>
      </c>
      <c r="OD6" s="145" t="s">
        <v>230</v>
      </c>
      <c r="OE6" s="145" t="s">
        <v>231</v>
      </c>
      <c r="OF6" s="145" t="s">
        <v>232</v>
      </c>
      <c r="OG6" s="145" t="s">
        <v>233</v>
      </c>
      <c r="OH6" s="145" t="s">
        <v>251</v>
      </c>
      <c r="OI6" s="145" t="s">
        <v>234</v>
      </c>
      <c r="OJ6" s="145" t="s">
        <v>235</v>
      </c>
      <c r="OK6" s="145" t="s">
        <v>236</v>
      </c>
      <c r="OL6" s="145" t="s">
        <v>237</v>
      </c>
      <c r="OM6" s="145" t="s">
        <v>251</v>
      </c>
      <c r="ON6" s="155" t="s">
        <v>165</v>
      </c>
      <c r="OO6" s="142" t="s">
        <v>268</v>
      </c>
      <c r="OP6" s="142" t="s">
        <v>936</v>
      </c>
      <c r="OQ6" s="146" t="s">
        <v>276</v>
      </c>
      <c r="OR6" s="146"/>
      <c r="OS6" s="146" t="s">
        <v>269</v>
      </c>
      <c r="OT6" s="146" t="s">
        <v>270</v>
      </c>
      <c r="OU6" s="146" t="s">
        <v>271</v>
      </c>
      <c r="OV6" s="147" t="s">
        <v>278</v>
      </c>
      <c r="OW6" s="147" t="s">
        <v>279</v>
      </c>
      <c r="OX6" s="147" t="s">
        <v>280</v>
      </c>
      <c r="OY6" s="147" t="s">
        <v>274</v>
      </c>
      <c r="OZ6" s="148" t="s">
        <v>281</v>
      </c>
      <c r="PA6" s="162" t="s">
        <v>950</v>
      </c>
      <c r="PB6" s="146" t="s">
        <v>273</v>
      </c>
      <c r="PC6" s="146" t="s">
        <v>344</v>
      </c>
      <c r="PD6" s="149" t="s">
        <v>400</v>
      </c>
      <c r="PE6" s="149" t="s">
        <v>401</v>
      </c>
      <c r="PF6" s="149" t="s">
        <v>398</v>
      </c>
      <c r="PG6" s="149" t="s">
        <v>399</v>
      </c>
      <c r="PH6" s="149" t="s">
        <v>406</v>
      </c>
      <c r="PI6" s="149" t="s">
        <v>407</v>
      </c>
      <c r="PJ6" s="149" t="s">
        <v>408</v>
      </c>
      <c r="PK6" s="149" t="s">
        <v>409</v>
      </c>
      <c r="PL6" s="149" t="s">
        <v>410</v>
      </c>
      <c r="PM6" s="149" t="s">
        <v>411</v>
      </c>
      <c r="PN6" s="149" t="s">
        <v>412</v>
      </c>
      <c r="PO6" s="149" t="s">
        <v>413</v>
      </c>
      <c r="PP6" s="149" t="s">
        <v>414</v>
      </c>
      <c r="PQ6" s="149" t="s">
        <v>415</v>
      </c>
      <c r="PR6" s="149" t="s">
        <v>416</v>
      </c>
      <c r="PS6" s="149" t="s">
        <v>417</v>
      </c>
      <c r="PT6" s="149" t="s">
        <v>437</v>
      </c>
      <c r="PU6" s="149" t="s">
        <v>438</v>
      </c>
      <c r="PV6" s="149" t="s">
        <v>439</v>
      </c>
      <c r="PW6" s="149" t="s">
        <v>440</v>
      </c>
      <c r="PX6" s="149" t="s">
        <v>441</v>
      </c>
      <c r="PY6" s="149" t="s">
        <v>442</v>
      </c>
      <c r="PZ6" s="149" t="s">
        <v>443</v>
      </c>
      <c r="QA6" s="149" t="s">
        <v>444</v>
      </c>
      <c r="QB6" s="149" t="s">
        <v>445</v>
      </c>
      <c r="QC6" s="149" t="s">
        <v>446</v>
      </c>
      <c r="QD6" s="149" t="s">
        <v>447</v>
      </c>
      <c r="QE6" s="149" t="s">
        <v>448</v>
      </c>
      <c r="QF6" s="149" t="s">
        <v>449</v>
      </c>
      <c r="QG6" s="149" t="s">
        <v>450</v>
      </c>
      <c r="QH6" s="149" t="s">
        <v>451</v>
      </c>
      <c r="QI6" s="149" t="s">
        <v>452</v>
      </c>
      <c r="QJ6" s="139" t="s">
        <v>214</v>
      </c>
      <c r="QK6" s="139" t="s">
        <v>215</v>
      </c>
      <c r="QL6" s="139" t="s">
        <v>216</v>
      </c>
      <c r="QM6" s="139" t="s">
        <v>217</v>
      </c>
      <c r="QN6" s="139" t="s">
        <v>218</v>
      </c>
      <c r="QO6" s="139" t="s">
        <v>219</v>
      </c>
      <c r="QP6" s="139" t="s">
        <v>220</v>
      </c>
      <c r="QQ6" s="139" t="s">
        <v>221</v>
      </c>
      <c r="QR6" s="137" t="s">
        <v>1476</v>
      </c>
      <c r="QS6" s="137" t="s">
        <v>1478</v>
      </c>
      <c r="QT6" s="137" t="s">
        <v>1479</v>
      </c>
      <c r="QU6" s="137" t="s">
        <v>1480</v>
      </c>
      <c r="QV6" s="137" t="s">
        <v>1481</v>
      </c>
      <c r="QW6" s="137" t="s">
        <v>213</v>
      </c>
      <c r="QX6" s="137" t="s">
        <v>1482</v>
      </c>
      <c r="QY6" s="137" t="s">
        <v>1483</v>
      </c>
      <c r="QZ6" s="137" t="s">
        <v>1484</v>
      </c>
      <c r="RA6" s="137" t="s">
        <v>1485</v>
      </c>
      <c r="RB6" s="137" t="s">
        <v>1487</v>
      </c>
      <c r="RC6" s="137" t="s">
        <v>1488</v>
      </c>
      <c r="RD6" s="137" t="s">
        <v>1489</v>
      </c>
      <c r="RE6" s="137" t="s">
        <v>1490</v>
      </c>
      <c r="RF6" s="137" t="s">
        <v>1491</v>
      </c>
      <c r="RG6" s="137" t="s">
        <v>1492</v>
      </c>
      <c r="RH6" s="137" t="s">
        <v>1493</v>
      </c>
      <c r="RI6" s="137" t="s">
        <v>1494</v>
      </c>
      <c r="RJ6" s="137" t="s">
        <v>1496</v>
      </c>
      <c r="RK6" s="137" t="s">
        <v>1497</v>
      </c>
      <c r="RL6" s="137" t="s">
        <v>1498</v>
      </c>
      <c r="RM6" s="137" t="s">
        <v>1499</v>
      </c>
      <c r="RN6" s="137" t="s">
        <v>1500</v>
      </c>
      <c r="RO6" s="137" t="s">
        <v>1501</v>
      </c>
      <c r="RP6" s="137" t="s">
        <v>1502</v>
      </c>
      <c r="RQ6" s="137" t="s">
        <v>1503</v>
      </c>
      <c r="RR6" s="137" t="s">
        <v>353</v>
      </c>
      <c r="RS6" s="137" t="s">
        <v>354</v>
      </c>
      <c r="RT6" s="137" t="s">
        <v>355</v>
      </c>
      <c r="RU6" s="137" t="s">
        <v>356</v>
      </c>
      <c r="RV6" s="137" t="s">
        <v>1505</v>
      </c>
      <c r="RW6" s="137" t="s">
        <v>1506</v>
      </c>
      <c r="RX6" s="137" t="s">
        <v>1507</v>
      </c>
      <c r="RY6" s="137" t="s">
        <v>1508</v>
      </c>
      <c r="RZ6" s="137" t="s">
        <v>1509</v>
      </c>
      <c r="SA6" s="137" t="s">
        <v>1510</v>
      </c>
      <c r="SB6" s="137" t="s">
        <v>1511</v>
      </c>
      <c r="SC6" s="137" t="s">
        <v>1512</v>
      </c>
      <c r="SD6" s="137" t="s">
        <v>1515</v>
      </c>
      <c r="SE6" s="137" t="s">
        <v>1516</v>
      </c>
      <c r="SF6" s="137" t="s">
        <v>1517</v>
      </c>
      <c r="SG6" s="137" t="s">
        <v>1518</v>
      </c>
      <c r="SH6" s="137" t="s">
        <v>1520</v>
      </c>
      <c r="SI6" s="137" t="s">
        <v>1521</v>
      </c>
      <c r="SJ6" s="137" t="s">
        <v>1522</v>
      </c>
      <c r="SK6" s="137" t="s">
        <v>1523</v>
      </c>
      <c r="SL6" s="141" t="s">
        <v>1524</v>
      </c>
      <c r="SM6" s="141" t="s">
        <v>1525</v>
      </c>
      <c r="SN6" s="141" t="s">
        <v>1526</v>
      </c>
      <c r="SO6" s="141" t="s">
        <v>1527</v>
      </c>
      <c r="SP6" s="137"/>
      <c r="SQ6" s="137"/>
      <c r="SR6" s="137"/>
      <c r="SS6" s="137"/>
      <c r="ST6" s="137"/>
      <c r="SU6" s="137"/>
      <c r="SV6" s="137"/>
      <c r="SW6" s="137"/>
      <c r="SX6" s="137"/>
      <c r="SY6" s="137"/>
      <c r="SZ6" s="137"/>
      <c r="TA6" s="137"/>
      <c r="TB6" s="137"/>
      <c r="TC6" s="137"/>
      <c r="TD6" s="137"/>
      <c r="TE6" s="141"/>
      <c r="TH6" s="190" t="s">
        <v>51</v>
      </c>
      <c r="TJ6" s="193" t="s">
        <v>115</v>
      </c>
      <c r="TK6" s="194" t="s">
        <v>263</v>
      </c>
      <c r="TL6" s="155" t="s">
        <v>163</v>
      </c>
      <c r="TM6" s="156">
        <v>98.066500000000005</v>
      </c>
      <c r="TN6" s="156" t="s">
        <v>164</v>
      </c>
      <c r="TO6" s="195"/>
      <c r="TQ6" s="143" t="s">
        <v>701</v>
      </c>
    </row>
    <row r="7" spans="2:537" x14ac:dyDescent="0.35">
      <c r="B7" s="161" t="s">
        <v>1598</v>
      </c>
      <c r="C7" s="161" t="str">
        <f>IF('Tratamento de Dados'!C12="","",'Tratamento de Dados'!C12)</f>
        <v>Vessel</v>
      </c>
      <c r="D7" s="161" t="str">
        <f>IF('Tratamento de Dados'!D12="","",'Tratamento de Dados'!D12)</f>
        <v>Casco</v>
      </c>
      <c r="E7" s="161" t="str">
        <f>IF('Tratamento de Dados'!E12="","",'Tratamento de Dados'!E12)</f>
        <v>DRUM</v>
      </c>
      <c r="F7" s="161" t="s">
        <v>695</v>
      </c>
      <c r="G7" s="161" t="str">
        <f>IF('Tratamento de Dados'!G12="","",'Tratamento de Dados'!G12)</f>
        <v>Liquid</v>
      </c>
      <c r="H7" s="537"/>
      <c r="I7" s="161" t="str">
        <f>IF('Tratamento de Dados'!I12="","",'Tratamento de Dados'!I12)</f>
        <v>U-2111_Topo</v>
      </c>
      <c r="J7" s="161">
        <f>IF('Tratamento de Dados'!J12="","",'Tratamento de Dados'!J12)</f>
        <v>10000</v>
      </c>
      <c r="K7" s="161" t="str">
        <f>IF('Tratamento de Dados'!K12="","",'Tratamento de Dados'!K12)</f>
        <v>H2S</v>
      </c>
      <c r="L7" s="161">
        <v>0.01</v>
      </c>
      <c r="M7" s="161" t="str">
        <f>IF('Tratamento de Dados'!M12="","",'Tratamento de Dados'!M12)</f>
        <v>Sim</v>
      </c>
      <c r="N7" s="161">
        <f>IF('Tratamento de Dados'!N12="","",'Tratamento de Dados'!N12)</f>
        <v>0.5</v>
      </c>
      <c r="O7" s="161">
        <v>2000</v>
      </c>
      <c r="P7" s="161"/>
      <c r="Q7" s="161">
        <v>3</v>
      </c>
      <c r="R7" s="161">
        <v>10</v>
      </c>
      <c r="S7" s="161">
        <v>60</v>
      </c>
      <c r="T7" s="161" t="s">
        <v>278</v>
      </c>
      <c r="U7" s="161" t="s">
        <v>279</v>
      </c>
      <c r="V7" s="161" t="str">
        <f>IF('Tratamento de Dados'!V12="","",'Tratamento de Dados'!V12)</f>
        <v>None</v>
      </c>
      <c r="W7" s="161" t="s">
        <v>1356</v>
      </c>
      <c r="X7" s="537"/>
      <c r="Y7" s="537"/>
      <c r="Z7" s="399">
        <f>1200/0.092903</f>
        <v>12916.6980614189</v>
      </c>
      <c r="AA7" s="537"/>
      <c r="AB7" s="399">
        <v>50000</v>
      </c>
      <c r="AC7" s="399">
        <f>0.00005/0.092903</f>
        <v>5.3819575255912081E-4</v>
      </c>
      <c r="AD7" s="399">
        <v>5000000</v>
      </c>
      <c r="AE7" s="399">
        <v>0</v>
      </c>
      <c r="AF7" s="399">
        <v>10</v>
      </c>
      <c r="AG7" s="399">
        <v>3</v>
      </c>
      <c r="AH7" s="399">
        <v>2</v>
      </c>
      <c r="AI7" s="399"/>
      <c r="AJ7" s="399"/>
      <c r="AK7" s="399"/>
      <c r="AL7" s="399"/>
      <c r="AM7" s="399"/>
      <c r="AN7" s="399"/>
      <c r="AO7" s="399"/>
      <c r="AP7" s="399"/>
      <c r="AQ7" s="151" t="str">
        <f>INDEX('Tables - Part 3'!$J$4:$J$35,MATCH(COF!$F7,'Tables - Part 3'!$F$4:$F$35,0),1)</f>
        <v>Liquid</v>
      </c>
      <c r="AR7" s="151" t="str">
        <f>IF($G7=$TH$7,'Tables - Part 3'!$W$4,IF(AND($AQ7=$TH$7,COF!$PA7&lt;26.67),'Tables - Part 3'!$W$4,'Tables - Part 3'!$W$7))</f>
        <v>Model as liquid</v>
      </c>
      <c r="AS7" s="150">
        <f>INDEX('Tables - Part 3'!$F$4:$R$35,MATCH(COF!$F7,'Tables - Part 3'!$F$4:$F$35,0),COUNTA('Tables - Part 3'!$F$3:$H$3))</f>
        <v>684.01800000000003</v>
      </c>
      <c r="AT7" s="279">
        <f t="shared" ref="AT7:AT24" si="6">OO7*AU7/(8.314*OP7)</f>
        <v>39.063702982274123</v>
      </c>
      <c r="AU7" s="151">
        <f>INDEX('Tables - Part 3'!$F$4:$R$35,MATCH(COF!$F7,'Tables - Part 3'!$F$4:$F$35,0),COUNTA('Tables - Part 3'!$F$3:$G$3))</f>
        <v>100</v>
      </c>
      <c r="AV7" s="151">
        <f>AW7/(AW7-8.314)</f>
        <v>1.0477621744406413</v>
      </c>
      <c r="AW7" s="151">
        <f t="shared" ref="AW7:AW24" si="7">IF(ISERR(OQ7),"",OQ7)</f>
        <v>182.38480178756504</v>
      </c>
      <c r="AX7" s="151">
        <f>INDEX('Tables - Part 3'!$F$4:$R$35,MATCH(COF!$F7,'Tables - Part 3'!$F$4:$F$35,0),COUNTA('Tables - Part 3'!$F$3:$R$3))+273.15</f>
        <v>496.15</v>
      </c>
      <c r="AY7" s="151">
        <f t="shared" ref="AY7:AY24" si="8">IF(OR(Q7="",Q7=0),PI()*POWER(O7,2)*P7/4000000000,Q7)</f>
        <v>3</v>
      </c>
      <c r="AZ7" s="151">
        <f t="shared" ref="AZ7:AZ24" si="9">AS7*AY7*N7+AT7*AY7*(1-N7)</f>
        <v>1084.6225544734111</v>
      </c>
      <c r="BA7" s="151">
        <f>180*MIN(BV7,BZ7)</f>
        <v>129.37733535496682</v>
      </c>
      <c r="BB7" s="151">
        <f>180*MIN(BW7,BZ7)</f>
        <v>1974.1414696497618</v>
      </c>
      <c r="BC7" s="151">
        <f>180*MIN(BX7,BZ7)</f>
        <v>32862.348560377795</v>
      </c>
      <c r="BD7" s="151">
        <f>180*MIN(BY7,BZ7)</f>
        <v>130503.77487621795</v>
      </c>
      <c r="BE7" s="151">
        <f t="shared" ref="BE7:BE24" si="10">MIN(AZ7+BA7,J7)</f>
        <v>1213.9998898283779</v>
      </c>
      <c r="BF7" s="151">
        <f t="shared" ref="BF7:BF24" si="11">MIN(AZ7+BB7,J7)</f>
        <v>3058.7640241231729</v>
      </c>
      <c r="BG7" s="151">
        <f t="shared" ref="BG7:BG24" si="12">MIN(AZ7+BC7,J7)</f>
        <v>10000</v>
      </c>
      <c r="BH7" s="151">
        <f t="shared" ref="BH7:BH24" si="13">MIN(AZ7+BD7,J7)</f>
        <v>10000</v>
      </c>
      <c r="BI7" s="151">
        <f>'Tables - Part 3'!$AD$4</f>
        <v>6.4</v>
      </c>
      <c r="BJ7" s="151">
        <f>MIN($O7,'Tables - Part 3'!$AD$5)</f>
        <v>25</v>
      </c>
      <c r="BK7" s="151">
        <f>MIN($O7,'Tables - Part 3'!$AD$6)</f>
        <v>102</v>
      </c>
      <c r="BL7" s="151">
        <f>MIN($O7,'Tables - Part 3'!$AD$7)</f>
        <v>406</v>
      </c>
      <c r="BM7" s="151">
        <f>PI()*POWER(BI7,2)/4</f>
        <v>32.169908772759484</v>
      </c>
      <c r="BN7" s="151">
        <f>PI()*POWER(BJ7,2)/4</f>
        <v>490.87385212340519</v>
      </c>
      <c r="BO7" s="151">
        <f>PI()*POWER(BK7,2)/4</f>
        <v>8171.2824919870518</v>
      </c>
      <c r="BP7" s="151">
        <f>PI()*POWER(BL7,2)/4</f>
        <v>129461.89166178179</v>
      </c>
      <c r="BQ7" s="151">
        <f>INDEX('Tables - Part 2'!$D$5:$G$30,MATCH(COF!$E7,'Tables - Part 2'!$C$5:$C$30,0),1)</f>
        <v>7.9999999999999996E-6</v>
      </c>
      <c r="BR7" s="571">
        <f>INDEX('Tables - Part 2'!$D$5:$G$30,MATCH(COF!$E7,'Tables - Part 2'!$C$5:$C$30,0),2)</f>
        <v>2.0000000000000002E-5</v>
      </c>
      <c r="BS7" s="571">
        <f>INDEX('Tables - Part 2'!$D$5:$G$30,MATCH(COF!$E7,'Tables - Part 2'!$C$5:$C$30,0),3)</f>
        <v>1.9999999999999999E-6</v>
      </c>
      <c r="BT7" s="151">
        <f>INDEX('Tables - Part 2'!$D$5:$G$30,MATCH(COF!$E7,'Tables - Part 2'!$C$5:$C$30,0),4)</f>
        <v>5.9999999999999997E-7</v>
      </c>
      <c r="BU7" s="151">
        <f>SUM(BQ7:BT7)</f>
        <v>3.0600000000000005E-5</v>
      </c>
      <c r="BV7" s="151">
        <f>IF($G7=$TH$6,NY7,IF($OO7&gt;$PB7,OD7,OI7))</f>
        <v>0.71876297419426005</v>
      </c>
      <c r="BW7" s="151">
        <f t="shared" ref="BW7:BZ7" si="14">IF($G7=$TH$6,NZ7,IF($OO7&gt;$PB7,OE7,OJ7))</f>
        <v>10.967452609165344</v>
      </c>
      <c r="BX7" s="151">
        <f t="shared" si="14"/>
        <v>182.56860311320997</v>
      </c>
      <c r="BY7" s="502">
        <f>MIN(IF($G7=$TH$6,OB7,IF($OO7&gt;$PB7,OG7,OL7)),BZ7)</f>
        <v>725.02097153454417</v>
      </c>
      <c r="BZ7" s="502">
        <f t="shared" si="14"/>
        <v>725.02097153454417</v>
      </c>
      <c r="CA7" s="151" t="str">
        <f>IF(OR(BI7&lt;='Tables - Part 3'!$AD$4,BE7&lt;='Tables - Part 3.B'!$C$6,BV7&lt;=25.22),COF!$TK$6,COF!$TK$5)</f>
        <v>Contínuo</v>
      </c>
      <c r="CB7" s="151" t="str">
        <f>IF(OR(BJ7&lt;='Tables - Part 3'!$AD$4,BF7&lt;='Tables - Part 3.B'!$C$6,BW7&lt;=25.22),COF!$TK$6,COF!$TK$5)</f>
        <v>Contínuo</v>
      </c>
      <c r="CC7" s="151" t="str">
        <f>IF(OR(BK7&lt;='Tables - Part 3'!$AD$4,BG7&lt;='Tables - Part 3.B'!$C$6,BX7&lt;=25.22),COF!$TK$6,COF!$TK$5)</f>
        <v>Instantâneo</v>
      </c>
      <c r="CD7" s="151" t="str">
        <f>IF(OR(BL7&lt;='Tables - Part 3'!$AD$4,BH7&lt;='Tables - Part 3.B'!$C$6,BY7&lt;=25.22),COF!$TK$6,COF!$TK$5)</f>
        <v>Instantâneo</v>
      </c>
      <c r="CE7" s="151">
        <f>IF(AND(T7=$TG$14,U7=$TG$14),$TH$14,IF(AND(T7=$TG$14,U7=$TG$15),$TH$15,IF(AND(OR(T7=$TG$14,T7=$TG$15),U7=$TG$16),$TH$16,IF(AND(T7=$TG$15,U7&lt;&gt;$TG$16),$TH$17,IF(T7=$TG$16,$TH$18,"")))))</f>
        <v>0.2</v>
      </c>
      <c r="CF7" s="151">
        <f>INDEX('Tables - Part 3'!$AR$4:$AR$12,MATCH(COF!$PC7,'Tables - Part 3'!$AP$4:$AP$12,0),1)</f>
        <v>30</v>
      </c>
      <c r="CG7" s="151">
        <f>INDEX('Tables - Part 3'!$AR$13:$AR$21,MATCH(COF!$PC7,'Tables - Part 3'!$AP$13:$AP$21,0),1)</f>
        <v>20</v>
      </c>
      <c r="CH7" s="151">
        <f>INDEX('Tables - Part 3'!$AR$22:$AR$30,MATCH(COF!$PC7,'Tables - Part 3'!$AP$22:$AP$30,0),1)</f>
        <v>10</v>
      </c>
      <c r="CI7" s="151">
        <f>INDEX('Tables - Part 3'!$AR$22:$AR$30,MATCH(COF!$PC7,'Tables - Part 3'!$AP$22:$AP$30,0),1)</f>
        <v>10</v>
      </c>
      <c r="CJ7" s="151">
        <f>BV7*(1-$CE7)</f>
        <v>0.57501037935540811</v>
      </c>
      <c r="CK7" s="151">
        <f t="shared" ref="CK7:CM7" si="15">BW7*(1-$CE7)</f>
        <v>8.7739620873322757</v>
      </c>
      <c r="CL7" s="151">
        <f t="shared" si="15"/>
        <v>146.05488249056799</v>
      </c>
      <c r="CM7" s="151">
        <f t="shared" si="15"/>
        <v>580.01677722763532</v>
      </c>
      <c r="CN7" s="151">
        <f>MIN(BE7/CJ7,60*CF7)</f>
        <v>1800</v>
      </c>
      <c r="CO7" s="151">
        <f>MIN(BF7/CK7,60*CG7)</f>
        <v>348.61833156760201</v>
      </c>
      <c r="CP7" s="151">
        <f>MIN(BG7/CL7,60*CH7)</f>
        <v>68.467413272855055</v>
      </c>
      <c r="CQ7" s="151">
        <f>MIN(BH7/CM7,60*CI7)</f>
        <v>17.240880596244143</v>
      </c>
      <c r="CR7" s="151">
        <f>MIN(CJ7*CN7,BE7)</f>
        <v>1035.0186828397345</v>
      </c>
      <c r="CS7" s="151">
        <f>MIN(CK7*CO7,BF7)</f>
        <v>3058.7640241231729</v>
      </c>
      <c r="CT7" s="151">
        <f>MIN(CL7*CP7,BG7)</f>
        <v>10000</v>
      </c>
      <c r="CU7" s="151">
        <f>MIN(CM7*CQ7,BH7)</f>
        <v>10000</v>
      </c>
      <c r="CV7" s="665">
        <f>INDEX('Tables - Part 3'!$CI$4:$CI$8,MATCH(COF!V7,'Tables - Part 3'!$CG$4:$CG$8,0),1)</f>
        <v>0</v>
      </c>
      <c r="CW7" s="502">
        <f>IF(CR7&gt;'Tables - Part 3.B'!$C$6,4*LOG10('Tables - Part 3.B'!$C$7*CR7)-15,1)</f>
        <v>1</v>
      </c>
      <c r="CX7" s="502">
        <f>IF(CS7&gt;'Tables - Part 3.B'!$C$6,4*LOG10('Tables - Part 3.B'!$C$7*CS7)-15,1)</f>
        <v>1</v>
      </c>
      <c r="CY7" s="502">
        <f>IF(CT7&gt;'Tables - Part 3.B'!$C$6,4*LOG10('Tables - Part 3.B'!$C$7*CT7)-15,1)</f>
        <v>2.3736343752154276</v>
      </c>
      <c r="CZ7" s="502">
        <f>IF(CU7&gt;'Tables - Part 3.B'!$C$6,4*LOG10('Tables - Part 3.B'!$C$7*CU7)-15,1)</f>
        <v>2.3736343752154276</v>
      </c>
      <c r="DA7" s="151" t="str">
        <f>INDEX('Tables - Part 3'!$C$4:$C$37,MATCH(COF!$F7,'Tables - Part 3'!$B$4:$B$37,0),1)</f>
        <v>TYPE 0</v>
      </c>
      <c r="DB7" s="151">
        <f t="shared" ref="DB7" si="16">IF($AR7=$TK$8,$PD7*POWER(CJ7,$PE7)*(1-$CV7),IF($AR7=$TK$9,$PF7*POWER(CJ7,$PG7)*(1-$CV7),0))</f>
        <v>20.881242531026281</v>
      </c>
      <c r="DC7" s="151">
        <f t="shared" ref="DC7" si="17">IF($AR7=$TK$8,$PD7*POWER(CK7,$PE7)*(1-$CV7),IF($AR7=$TK$9,$PF7*POWER(CK7,$PG7)*(1-$CV7),0))</f>
        <v>236.09630996478245</v>
      </c>
      <c r="DD7" s="151">
        <f t="shared" ref="DD7" si="18">IF($AR7=$TK$8,$PD7*POWER(CL7,$PE7)*(1-$CV7),IF($AR7=$TK$9,$PF7*POWER(CL7,$PG7)*(1-$CV7),0))</f>
        <v>2884.4584650366328</v>
      </c>
      <c r="DE7" s="151">
        <f t="shared" ref="DE7" si="19">IF($AR7=$TK$8,$PD7*POWER(CM7,$PE7)*(1-$CV7),IF($AR7=$TK$9,$PF7*POWER(CM7,$PG7)*(1-$CV7),0))</f>
        <v>9842.5373962022459</v>
      </c>
      <c r="DF7" s="151">
        <f t="shared" ref="DF7" si="20">IF($AR7=$TK$8,$PH7*POWER(CJ7,$PI7)*(1-$CV7),IF($AR7=$TK$9,$PJ7*POWER(CJ7,$PK7)*(1-$CV7),0))</f>
        <v>61.12409452230235</v>
      </c>
      <c r="DG7" s="151">
        <f t="shared" ref="DG7" si="21">IF($AR7=$TK$8,$PH7*POWER(CK7,$PI7)*(1-$CV7),IF($AR7=$TK$9,$PJ7*POWER(CK7,$PK7)*(1-$CV7),0))</f>
        <v>813.87274405728976</v>
      </c>
      <c r="DH7" s="151">
        <f t="shared" ref="DH7" si="22">IF($AR7=$TK$8,$PH7*POWER(CL7,$PI7)*(1-$CV7),IF($AR7=$TK$9,$PJ7*POWER(CL7,$PK7)*(1-$CV7),0))</f>
        <v>11770.931013633992</v>
      </c>
      <c r="DI7" s="151">
        <f t="shared" ref="DI7" si="23">IF($AR7=$TK$8,$PH7*POWER(CM7,$PI7)*(1-$CV7),IF($AR7=$TK$9,$PJ7*POWER(CM7,$PK7)*(1-$CV7),0))</f>
        <v>43630.387168425681</v>
      </c>
      <c r="DJ7" s="151">
        <f t="shared" ref="DJ7" si="24">IF($AR7=$TK$8,$PL7*POWER(CR7,$PM7)*((1-$CV7)/CW7),IF($AR7=$TK$9,$PN7*POWER(CR7,$PO7)*((1-$CV7)/CW7),0))</f>
        <v>168.32220250273366</v>
      </c>
      <c r="DK7" s="151">
        <f t="shared" ref="DK7" si="25">IF($AR7=$TK$8,$PL7*POWER(CS7,$PM7)*((1-$CV7)/CX7),IF($AR7=$TK$9,$PN7*POWER(CS7,$PO7)*((1-$CV7)/CX7),0))</f>
        <v>391.92925057510337</v>
      </c>
      <c r="DL7" s="151">
        <f t="shared" ref="DL7" si="26">IF($AR7=$TK$8,$PL7*POWER(CT7,$PM7)*((1-$CV7)/CY7),IF($AR7=$TK$9,$PN7*POWER(CT7,$PO7)*((1-$CV7)/CY7),0))</f>
        <v>415.97573218880331</v>
      </c>
      <c r="DM7" s="151">
        <f t="shared" ref="DM7" si="27">IF($AR7=$TK$8,$PL7*POWER(CU7,$PM7)*((1-$CV7)/CZ7),IF($AR7=$TK$9,$PN7*POWER(CU7,$PO7)*((1-$CV7)/CZ7),0))</f>
        <v>415.97573218880331</v>
      </c>
      <c r="DN7" s="151">
        <f t="shared" ref="DN7" si="28">IF($AR7=$TK$8,$PP7*POWER(CR7,$PQ7)*((1-$CV7)/CW7),IF($AR7=$TK$9,$PR7*POWER(CR7,$PS7)*((1-$CV7)/CW7),0))</f>
        <v>372.37010542546591</v>
      </c>
      <c r="DO7" s="151">
        <f t="shared" ref="DO7" si="29">IF($AR7=$TK$8,$PP7*POWER(CS7,$PQ7)*((1-$CV7)/CX7),IF($AR7=$TK$9,$PR7*POWER(CS7,$PS7)*((1-$CV7)/CX7),0))</f>
        <v>675.7772841425051</v>
      </c>
      <c r="DP7" s="151">
        <f t="shared" ref="DP7" si="30">IF($AR7=$TK$8,$PP7*POWER(CT7,$PQ7)*((1-$CV7)/CY7),IF($AR7=$TK$9,$PR7*POWER(CT7,$PS7)*((1-$CV7)/CY7),0))</f>
        <v>546.18463777325815</v>
      </c>
      <c r="DQ7" s="151">
        <f t="shared" ref="DQ7" si="31">IF($AR7=$TK$8,$PP7*POWER(CU7,$PQ7)*((1-$CV7)/CZ7),IF($AR7=$TK$9,$PR7*POWER(CU7,$PS7)*((1-$CV7)/CZ7),0))</f>
        <v>546.18463777325815</v>
      </c>
      <c r="DR7" s="151">
        <f t="shared" ref="DR7" si="32">IF($AR7=$TK$8,$PT7*POWER(CJ7,$PU7)*(1-$CV7),IF($AR7=$TK$9,$PV7*POWER(CJ7,$PW7)*(1-$CV7),0))</f>
        <v>59.203241919983192</v>
      </c>
      <c r="DS7" s="151">
        <f t="shared" ref="DS7" si="33">IF($AR7=$TK$8,$PT7*POWER(CK7,$PU7)*(1-$CV7),IF($AR7=$TK$9,$PV7*POWER(CK7,$PW7)*(1-$CV7),0))</f>
        <v>669.38865991770911</v>
      </c>
      <c r="DT7" s="151">
        <f t="shared" ref="DT7" si="34">IF($AR7=$TK$8,$PT7*POWER(CL7,$PU7)*(1-$CV7),IF($AR7=$TK$9,$PV7*POWER(CL7,$PW7)*(1-$CV7),0))</f>
        <v>8178.1192886376639</v>
      </c>
      <c r="DU7" s="151">
        <f t="shared" ref="DU7" si="35">IF($AR7=$TK$8,$PT7*POWER(CM7,$PU7)*(1-$CV7),IF($AR7=$TK$9,$PV7*POWER(CM7,$PW7)*(1-$CV7),0))</f>
        <v>27905.912289847045</v>
      </c>
      <c r="DV7" s="151">
        <f t="shared" ref="DV7" si="36">IF($AR7=$TK$8,$PX7*POWER(CJ7,$PY7)*(1-$CV7),IF($AR7=$TK$9,$PZ7*POWER(CJ7,$QA7)*(1-$CV7),0))</f>
        <v>151.94230097952112</v>
      </c>
      <c r="DW7" s="151">
        <f t="shared" ref="DW7" si="37">IF($AR7=$TK$8,$PX7*POWER(CK7,$PY7)*(1-$CV7),IF($AR7=$TK$9,$PZ7*POWER(CK7,$QA7)*(1-$CV7),0))</f>
        <v>1864.3058519439535</v>
      </c>
      <c r="DX7" s="151">
        <f t="shared" ref="DX7" si="38">IF($AR7=$TK$8,$PX7*POWER(CL7,$PY7)*(1-$CV7),IF($AR7=$TK$9,$PZ7*POWER(CL7,$QA7)*(1-$CV7),0))</f>
        <v>24781.74380390139</v>
      </c>
      <c r="DY7" s="151">
        <f t="shared" ref="DY7" si="39">IF($AR7=$TK$8,$PX7*POWER(CM7,$PY7)*(1-$CV7),IF($AR7=$TK$9,$PZ7*POWER(CM7,$QA7)*(1-$CV7),0))</f>
        <v>88133.776733924198</v>
      </c>
      <c r="DZ7" s="151">
        <f t="shared" ref="DZ7" si="40">IF($AR7=$TK$8,$QB7*POWER(CR7,$QC7)*((1-$CV7)/CW7),IF($AR7=$TK$9,$QD7*POWER(CR7,$QE7)*((1-$CV7)/CW7),0))</f>
        <v>491.25812372626945</v>
      </c>
      <c r="EA7" s="151">
        <f t="shared" ref="EA7" si="41">IF($AR7=$TK$8,$QB7*POWER(CS7,$QC7)*((1-$CV7)/CX7),IF($AR7=$TK$9,$QD7*POWER(CS7,$QE7)*((1-$CV7)/CX7),0))</f>
        <v>1143.868280049634</v>
      </c>
      <c r="EB7" s="151">
        <f t="shared" ref="EB7" si="42">IF($AR7=$TK$8,$QB7*POWER(CT7,$QC7)*((1-$CV7)/CY7),IF($AR7=$TK$9,$QD7*POWER(CT7,$QE7)*((1-$CV7)/CY7),0))</f>
        <v>1214.0493331972284</v>
      </c>
      <c r="EC7" s="151">
        <f t="shared" ref="EC7" si="43">IF($AR7=$TK$8,$QB7*POWER(CU7,$QC7)*((1-$CV7)/CZ7),IF($AR7=$TK$9,$QD7*POWER(CU7,$QE7)*((1-$CV7)/CZ7),0))</f>
        <v>1214.0493331972284</v>
      </c>
      <c r="ED7" s="151">
        <f t="shared" ref="ED7" si="44">IF($AR7=$TK$8,$QF7*POWER(CR7,$QG7)*((1-$CV7)/CW7),IF($AR7=$TK$9,$QH7*POWER(CR7,$QI7)*((1-$CV7)/CW7),0))</f>
        <v>1354.3363701050705</v>
      </c>
      <c r="EE7" s="151">
        <f t="shared" ref="EE7" si="45">IF($AR7=$TK$8,$QF7*POWER(CS7,$QG7)*((1-$CV7)/CX7),IF($AR7=$TK$9,$QH7*POWER(CS7,$QI7)*((1-$CV7)/CX7),0))</f>
        <v>2431.3604334688453</v>
      </c>
      <c r="EF7" s="151">
        <f t="shared" ref="EF7" si="46">IF($AR7=$TK$8,$QF7*POWER(CT7,$QG7)*((1-$CV7)/CY7),IF($AR7=$TK$9,$QH7*POWER(CT7,$QI7)*((1-$CV7)/CY7),0))</f>
        <v>1941.9618611187386</v>
      </c>
      <c r="EG7" s="151">
        <f t="shared" ref="EG7" si="47">IF($AR7=$TK$8,$QF7*POWER(CU7,$QG7)*((1-$CV7)/CZ7),IF($AR7=$TK$9,$QH7*POWER(CU7,$QI7)*((1-$CV7)/CZ7),0))</f>
        <v>1941.9618611187386</v>
      </c>
      <c r="EH7" s="151">
        <f>IF(CA7=$TK$5,1,MIN(CJ7/'Tables - Part 3.B'!$C$8,1))</f>
        <v>2.281787219664318E-2</v>
      </c>
      <c r="EI7" s="151">
        <f>IF(CB7=$TK$5,1,MIN(CK7/'Tables - Part 3.B'!$C$8,1))</f>
        <v>0.34817309870366175</v>
      </c>
      <c r="EJ7" s="151">
        <f>IF(CC7=$TK$5,1,MIN(CL7/'Tables - Part 3.B'!$C$8,1))</f>
        <v>1</v>
      </c>
      <c r="EK7" s="151">
        <f>IF(CD7=$TK$5,1,MIN(CM7/'Tables - Part 3.B'!$C$8,1))</f>
        <v>1</v>
      </c>
      <c r="EL7" s="151">
        <f>IF($OP7+$TK$18&lt;=$AX7,0,IF(AND(($OP7+$TK$18)&gt;$AX7,($OP7-$TK$18)&lt;$AX7),($OP7-$AX7+$TK$18)/(2*$TK$18),1))</f>
        <v>0</v>
      </c>
      <c r="EM7" s="151">
        <f t="shared" ref="EM7:EO22" si="48">IF($OP7+$TK$18&lt;=$AX7,0,IF(AND(($OP7+$TK$18)&gt;$AX7,($OP7-$TK$18)&lt;$AX7),($OP7-$AX7+$TK$18)/(2*$TK$18),1))</f>
        <v>0</v>
      </c>
      <c r="EN7" s="151">
        <f t="shared" si="48"/>
        <v>0</v>
      </c>
      <c r="EO7" s="151">
        <f t="shared" si="48"/>
        <v>0</v>
      </c>
      <c r="EP7" s="151">
        <f>DN7*EH7+DF7*(1-EH7)</f>
        <v>68.226066220805734</v>
      </c>
      <c r="EQ7" s="151">
        <f t="shared" ref="EQ7:ES22" si="49">DO7*EI7+DG7*(1-EI7)</f>
        <v>765.79161986185181</v>
      </c>
      <c r="ER7" s="151">
        <f>DP7*EJ7+DH7*(1-EJ7)</f>
        <v>546.18463777325815</v>
      </c>
      <c r="ES7" s="151">
        <f t="shared" si="49"/>
        <v>546.18463777325815</v>
      </c>
      <c r="ET7" s="151">
        <f>ED7*EH7+DV7*(1-EH7)</f>
        <v>179.37837517882966</v>
      </c>
      <c r="EU7" s="151">
        <f t="shared" ref="EU7:EW22" si="50">EE7*EI7+DW7*(1-EI7)</f>
        <v>2061.7390027275833</v>
      </c>
      <c r="EV7" s="151">
        <f t="shared" si="50"/>
        <v>1941.9618611187386</v>
      </c>
      <c r="EW7" s="151">
        <f t="shared" si="50"/>
        <v>1941.9618611187386</v>
      </c>
      <c r="EX7" s="151">
        <f>DJ7*EH7+DB7*(1-EH7)</f>
        <v>24.245531512211084</v>
      </c>
      <c r="EY7" s="151">
        <f t="shared" ref="EY7:FA22" si="51">DK7*EI7+DC7*(1-EI7)</f>
        <v>290.35314777718156</v>
      </c>
      <c r="EZ7" s="151">
        <f>DL7*EJ7+DD7*(1-EJ7)</f>
        <v>415.97573218880331</v>
      </c>
      <c r="FA7" s="151">
        <f t="shared" si="51"/>
        <v>415.97573218880331</v>
      </c>
      <c r="FB7" s="151">
        <f>DZ7*EH7+DR7*(1-EH7)</f>
        <v>69.06181499497481</v>
      </c>
      <c r="FC7" s="151">
        <f>EA7*EI7+DS7*(1-EI7)</f>
        <v>834.58969953077781</v>
      </c>
      <c r="FD7" s="151">
        <f t="shared" ref="FC7:FE22" si="52">EB7*EJ7+DT7*(1-EJ7)</f>
        <v>1214.0493331972284</v>
      </c>
      <c r="FE7" s="151">
        <f t="shared" si="52"/>
        <v>1214.0493331972284</v>
      </c>
      <c r="FF7" s="151">
        <f>EP7*EL7+EX7*(1-EL7)</f>
        <v>24.245531512211084</v>
      </c>
      <c r="FG7" s="151">
        <f t="shared" ref="FG7:FI22" si="53">EQ7*EM7+EY7*(1-EM7)</f>
        <v>290.35314777718156</v>
      </c>
      <c r="FH7" s="151">
        <f t="shared" si="53"/>
        <v>415.97573218880331</v>
      </c>
      <c r="FI7" s="151">
        <f t="shared" si="53"/>
        <v>415.97573218880331</v>
      </c>
      <c r="FJ7" s="151">
        <f>ET7*EL7+FB7*(1-EL7)</f>
        <v>69.06181499497481</v>
      </c>
      <c r="FK7" s="151">
        <f>EU7*EM7+FC7*(1-EM7)</f>
        <v>834.58969953077781</v>
      </c>
      <c r="FL7" s="151">
        <f t="shared" ref="FK7:FM22" si="54">EV7*EN7+FD7*(1-EN7)</f>
        <v>1214.0493331972284</v>
      </c>
      <c r="FM7" s="288">
        <f t="shared" si="54"/>
        <v>1214.0493331972284</v>
      </c>
      <c r="FN7" s="299">
        <f>IF(ISERROR(AX7),0,IF($BU7="",0,($BQ7*FF7+$BR7*FG7+$BS7*FH7+$BT7*FI7)/$BU7))</f>
        <v>231.45634350758851</v>
      </c>
      <c r="FO7" s="511">
        <f>IF(ISERROR(AX7),0,IF($BU7="",0,($BQ7*FJ7+$BR7*FK7+$BS7*FL7+$BT7*FM7)/$BU7))</f>
        <v>666.6933587218349</v>
      </c>
      <c r="FP7" s="150">
        <f>MIN(3600,CR7/BV7,60*CF7)</f>
        <v>1440</v>
      </c>
      <c r="FQ7" s="151">
        <f>MIN(3600,CS7/BW7,60*CG7)</f>
        <v>278.89466525408164</v>
      </c>
      <c r="FR7" s="151">
        <f>MIN(3600,CT7/BX7,60*CH7)</f>
        <v>54.773930618284048</v>
      </c>
      <c r="FS7" s="151">
        <f>MIN(3600,CU7/BY7,60*CI7)</f>
        <v>13.792704476995315</v>
      </c>
      <c r="FT7" s="151">
        <f t="shared" ref="FT7:FT24" si="55">IF($K7=$TQ$6,$L7*BV7,0)</f>
        <v>0</v>
      </c>
      <c r="FU7" s="151">
        <f t="shared" ref="FU7:FU24" si="56">IF($K7=$TQ$6,$L7*BW7,0)</f>
        <v>0</v>
      </c>
      <c r="FV7" s="151">
        <f t="shared" ref="FV7:FV24" si="57">IF($K7=$TQ$6,$L7*BX7,0)</f>
        <v>0</v>
      </c>
      <c r="FW7" s="151">
        <f t="shared" ref="FW7:FW24" si="58">IF($K7=$TQ$6,$L7*BY7,0)</f>
        <v>0</v>
      </c>
      <c r="FX7" s="151">
        <f t="shared" ref="FX7:FX24" si="59">IF($K7=$TQ$6,$L7*CR7,0)</f>
        <v>0</v>
      </c>
      <c r="FY7" s="151">
        <f t="shared" ref="FY7:FY24" si="60">IF($K7=$TQ$6,$L7*CS7,0)</f>
        <v>0</v>
      </c>
      <c r="FZ7" s="151">
        <f t="shared" ref="FZ7:FZ24" si="61">IF($K7=$TQ$6,$L7*CT7,0)</f>
        <v>0</v>
      </c>
      <c r="GA7" s="151">
        <f t="shared" ref="GA7:GA24" si="62">IF($K7=$TQ$6,$L7*CU7,0)</f>
        <v>0</v>
      </c>
      <c r="GB7" s="151">
        <f>IF(CA7=$TK$6,'Tables - Part 3.B'!$C$10*(('Tables - Part 3.B'!$C$7*COF!FT7)^COF!GR7*10^COF!GV7),IF(CA7=$TK$5,'Tables - Part 3.B'!$C$10*(('Tables - Part 3.B'!$C$7*COF!FX7)^COF!GR7*10^COF!GV7),0))</f>
        <v>0</v>
      </c>
      <c r="GC7" s="151">
        <f>IF(CB7=$TK$6,'Tables - Part 3.B'!$C$10*(('Tables - Part 3.B'!$C$7*COF!FU7)^COF!GS7*10^COF!GW7),IF(CB7=$TK$5,'Tables - Part 3.B'!$C$10*(('Tables - Part 3.B'!$C$7*COF!FY7)^COF!GS7*10^COF!GW7),0))</f>
        <v>0</v>
      </c>
      <c r="GD7" s="151">
        <f>IF(CC7=$TK$6,'Tables - Part 3.B'!$C$10*(('Tables - Part 3.B'!$C$7*COF!FV7)^COF!GT7*10^COF!GX7),IF(CC7=$TK$5,'Tables - Part 3.B'!$C$10*(('Tables - Part 3.B'!$C$7*COF!FZ7)^COF!GT7*10^COF!GX7),0))</f>
        <v>0</v>
      </c>
      <c r="GE7" s="151">
        <f>IF(CD7=$TK$6,'Tables - Part 3.B'!$C$10*(('Tables - Part 3.B'!$C$7*COF!FW7)^COF!GU7*10^COF!GY7),IF(CD7=$TK$5,'Tables - Part 3.B'!$C$10*(('Tables - Part 3.B'!$C$7*COF!GA7)^COF!GU7*10^COF!GY7),0))</f>
        <v>0</v>
      </c>
      <c r="GF7" s="152">
        <f>FP7/60</f>
        <v>24</v>
      </c>
      <c r="GG7" s="152">
        <f t="shared" ref="GG7:GG24" si="63">FQ7/60</f>
        <v>4.6482444209013609</v>
      </c>
      <c r="GH7" s="152">
        <f t="shared" ref="GH7:GH24" si="64">FR7/60</f>
        <v>0.9128988436380675</v>
      </c>
      <c r="GI7" s="152">
        <f t="shared" ref="GI7:GI24" si="65">FS7/60</f>
        <v>0.22987840794992193</v>
      </c>
      <c r="GJ7" s="152">
        <f>IF(GF7&lt;'Tables - Part 3'!$CK$5,0,LOOKUP(GF7,'Tables - Part 3'!$CK$5:$CK$9))</f>
        <v>20</v>
      </c>
      <c r="GK7" s="152">
        <f>IF(GG7&lt;'Tables - Part 3'!$CK$5,0,LOOKUP(GG7,'Tables - Part 3'!$CK$5:$CK$9))</f>
        <v>0</v>
      </c>
      <c r="GL7" s="152">
        <f>IF(GH7&lt;'Tables - Part 3'!$CK$5,0,LOOKUP(GH7,'Tables - Part 3'!$CK$5:$CK$9))</f>
        <v>0</v>
      </c>
      <c r="GM7" s="152">
        <f>IF(GI7&lt;'Tables - Part 3'!$CK$5,0,LOOKUP(GI7,'Tables - Part 3'!$CK$5:$CK$9))</f>
        <v>0</v>
      </c>
      <c r="GN7" s="152">
        <f>IF(GF7&lt;'Tables - Part 3'!$CK$5,'Tables - Part 3'!$CK$5,IF(COF!GF7&lt;'Tables - Part 3'!$CK$6,'Tables - Part 3'!$CK$6,IF(COF!GF7&lt;'Tables - Part 3'!$CK$7,'Tables - Part 3'!$CK$7,IF(COF!GF7&lt;'Tables - Part 3'!$CK$8,'Tables - Part 3'!$CK$8,IF(COF!GF7&lt;'Tables - Part 3'!$CK$9,'Tables - Part 3'!$CK$9)))))</f>
        <v>40</v>
      </c>
      <c r="GO7" s="152">
        <f>IF(GG7&lt;'Tables - Part 3'!$CK$5,'Tables - Part 3'!$CK$5,IF(COF!GG7&lt;'Tables - Part 3'!$CK$6,'Tables - Part 3'!$CK$6,IF(COF!GG7&lt;'Tables - Part 3'!$CK$7,'Tables - Part 3'!$CK$7,IF(COF!GG7&lt;'Tables - Part 3'!$CK$8,'Tables - Part 3'!$CK$8,IF(COF!GG7&lt;'Tables - Part 3'!$CK$9,'Tables - Part 3'!$CK$9)))))</f>
        <v>5</v>
      </c>
      <c r="GP7" s="152">
        <f>IF(GH7&lt;'Tables - Part 3'!$CK$5,'Tables - Part 3'!$CK$5,IF(COF!GH7&lt;'Tables - Part 3'!$CK$6,'Tables - Part 3'!$CK$6,IF(COF!GH7&lt;'Tables - Part 3'!$CK$7,'Tables - Part 3'!$CK$7,IF(COF!GH7&lt;'Tables - Part 3'!$CK$8,'Tables - Part 3'!$CK$8,IF(COF!GH7&lt;'Tables - Part 3'!$CK$9,'Tables - Part 3'!$CK$9)))))</f>
        <v>5</v>
      </c>
      <c r="GQ7" s="152">
        <f>IF(GI7&lt;'Tables - Part 3'!$CK$5,'Tables - Part 3'!$CK$5,IF(COF!GI7&lt;'Tables - Part 3'!$CK$6,'Tables - Part 3'!$CK$6,IF(COF!GI7&lt;'Tables - Part 3'!$CK$7,'Tables - Part 3'!$CK$7,IF(COF!GI7&lt;'Tables - Part 3'!$CK$8,'Tables - Part 3'!$CK$8,IF(COF!GI7&lt;'Tables - Part 3'!$CK$9,'Tables - Part 3'!$CK$9)))))</f>
        <v>5</v>
      </c>
      <c r="GR7" s="151">
        <f>IF(CA7=$TK$5,'Tables - Part 3'!$CL$10,IF(COF!CA7=COF!$TK$6,IF(COF!GF7&lt;'Tables - Part 3'!$CK$5,'Tables - Part 3'!$CL$5,IF(GF7&gt;='Tables - Part 3'!$CK$9,'Tables - Part 3'!$CL$9,((COF!GF7-COF!GJ7)*(INDEX('Tables - Part 3'!$CL$5:$CL$9,MATCH(COF!GN7,'Tables - Part 3'!$CK$5:$CK$9,0))-INDEX('Tables - Part 3'!$CL$5:$CL$9,MATCH(COF!GJ7,'Tables - Part 3'!$CK$5:$CK$9,0)))/(GN7-GJ7)+INDEX('Tables - Part 3'!$CL$5:$CL$9,MATCH(COF!GJ7,'Tables - Part 3'!$CK$5:$CK$9,0)))))))</f>
        <v>1.08412</v>
      </c>
      <c r="GS7" s="151">
        <f>IF(CB7=$TK$5,'Tables - Part 3'!$CL$10,IF(COF!CB7=COF!$TK$6,IF(COF!GG7&lt;'Tables - Part 3'!$CK$5,'Tables - Part 3'!$CL$5,IF(GG7&gt;='Tables - Part 3'!$CK$9,'Tables - Part 3'!$CL$9,((COF!GG7-COF!GK7)*(INDEX('Tables - Part 3'!$CL$5:$CL$9,MATCH(COF!GO7,'Tables - Part 3'!$CK$5:$CK$9,0))-INDEX('Tables - Part 3'!$CL$5:$CL$9,MATCH(COF!GK7,'Tables - Part 3'!$CK$5:$CK$9,0)))/(GO7-GK7)+INDEX('Tables - Part 3'!$CL$5:$CL$9,MATCH(COF!GK7,'Tables - Part 3'!$CK$5:$CK$9,0)))))))</f>
        <v>1.1400999999999999</v>
      </c>
      <c r="GT7" s="151">
        <f>IF(CC7=$TK$5,'Tables - Part 3'!$CL$10,IF(COF!CC7=COF!$TK$6,IF(COF!GH7&lt;'Tables - Part 3'!$CK$5,'Tables - Part 3'!$CL$5,IF(GH7&gt;='Tables - Part 3'!$CK$9,'Tables - Part 3'!$CL$9,((COF!GH7-COF!GL7)*(INDEX('Tables - Part 3'!$CL$5:$CL$9,MATCH(COF!GP7,'Tables - Part 3'!$CK$5:$CK$9,0))-INDEX('Tables - Part 3'!$CL$5:$CL$9,MATCH(COF!GL7,'Tables - Part 3'!$CK$5:$CK$9,0)))/(GP7-GL7)+INDEX('Tables - Part 3'!$CL$5:$CL$9,MATCH(COF!GL7,'Tables - Part 3'!$CK$5:$CK$9,0)))))))</f>
        <v>1.4056</v>
      </c>
      <c r="GU7" s="151">
        <f>IF(CD7=$TK$5,'Tables - Part 3'!$CL$10,IF(COF!CD7=COF!$TK$6,IF(COF!GI7&lt;'Tables - Part 3'!$CK$5,'Tables - Part 3'!$CL$5,IF(GI7&gt;='Tables - Part 3'!$CK$9,'Tables - Part 3'!$CL$9,((COF!GI7-COF!GM7)*(INDEX('Tables - Part 3'!$CL$5:$CL$9,MATCH(COF!GQ7,'Tables - Part 3'!$CK$5:$CK$9,0))-INDEX('Tables - Part 3'!$CL$5:$CL$9,MATCH(COF!GM7,'Tables - Part 3'!$CK$5:$CK$9,0)))/(GQ7-GM7)+INDEX('Tables - Part 3'!$CL$5:$CL$9,MATCH(COF!GM7,'Tables - Part 3'!$CK$5:$CK$9,0)))))))</f>
        <v>1.4056</v>
      </c>
      <c r="GV7" s="151">
        <f>IF(CA7=$TK$5,'Tables - Part 3'!$CM$10,IF(COF!CA7=COF!$TK$6,IF(GF7&lt;'Tables - Part 3'!$CK$5,'Tables - Part 3'!$CM$5,IF(GF7&gt;='Tables - Part 3'!$CK$9,'Tables - Part 3'!$CM$9,((COF!GF7-COF!GJ7)*(INDEX('Tables - Part 3'!$CM$5:$CM$9,MATCH(COF!GN7,'Tables - Part 3'!$CK$5:$CK$9,0))-INDEX('Tables - Part 3'!$CM$5:$CM$9,MATCH(COF!GJ7,'Tables - Part 3'!$CK$5:$CK$9,0)))/(GN7-GJ7)+INDEX('Tables - Part 3'!$CM$5:$CM$9,MATCH(COF!GJ7,'Tables - Part 3'!$CK$5:$CK$9,0)))))))</f>
        <v>4.1490999999999998</v>
      </c>
      <c r="GW7" s="151">
        <f>IF(CB7=$TK$5,'Tables - Part 3'!$CM$10,IF(COF!CB7=COF!$TK$6,IF(GG7&lt;'Tables - Part 3'!$CK$5,'Tables - Part 3'!$CM$5,IF(GG7&gt;='Tables - Part 3'!$CK$9,'Tables - Part 3'!$CM$9,((COF!GG7-COF!GK7)*(INDEX('Tables - Part 3'!$CM$5:$CM$9,MATCH(COF!GO7,'Tables - Part 3'!$CK$5:$CK$9,0))-INDEX('Tables - Part 3'!$CM$5:$CM$9,MATCH(COF!GK7,'Tables - Part 3'!$CK$5:$CK$9,0)))/(GO7-GK7)+INDEX('Tables - Part 3'!$CM$5:$CM$9,MATCH(COF!GK7,'Tables - Part 3'!$CK$5:$CK$9,0)))))))</f>
        <v>3.5682999999999998</v>
      </c>
      <c r="GX7" s="151">
        <f>IF(CC7=$TK$5,'Tables - Part 3'!$CM$10,IF(COF!CC7=COF!$TK$6,IF(GH7&lt;'Tables - Part 3'!$CK$5,'Tables - Part 3'!$CM$5,IF(GH7&gt;='Tables - Part 3'!$CK$9,'Tables - Part 3'!$CM$9,((COF!GH7-COF!GL7)*(INDEX('Tables - Part 3'!$CM$5:$CM$9,MATCH(COF!GP7,'Tables - Part 3'!$CK$5:$CK$9,0))-INDEX('Tables - Part 3'!$CM$5:$CM$9,MATCH(COF!GL7,'Tables - Part 3'!$CK$5:$CK$9,0)))/(GP7-GL7)+INDEX('Tables - Part 3'!$CM$5:$CM$9,MATCH(COF!GL7,'Tables - Part 3'!$CK$5:$CK$9,0)))))))</f>
        <v>0.33606000000000003</v>
      </c>
      <c r="GY7" s="151">
        <f>IF(CD7=$TK$5,'Tables - Part 3'!$CM$10,IF(COF!CD7=COF!$TK$6,IF(GI7&lt;'Tables - Part 3'!$CK$5,'Tables - Part 3'!$CM$5,IF(GI7&gt;='Tables - Part 3'!$CK$9,'Tables - Part 3'!$CM$9,((COF!GI7-COF!GM7)*(INDEX('Tables - Part 3'!$CM$5:$CM$9,MATCH(COF!GQ7,'Tables - Part 3'!$CK$5:$CK$9,0))-INDEX('Tables - Part 3'!$CM$5:$CM$9,MATCH(COF!GM7,'Tables - Part 3'!$CK$5:$CK$9,0)))/(GQ7-GM7)+INDEX('Tables - Part 3'!$CM$5:$CM$9,MATCH(COF!GM7,'Tables - Part 3'!$CK$5:$CK$9,0)))))))</f>
        <v>0.33606000000000003</v>
      </c>
      <c r="GZ7" s="151">
        <f t="shared" ref="GZ7:GZ24" si="66">IF($K7=$TQ$7,$L7*BV7,0)</f>
        <v>7.1876297419426003E-3</v>
      </c>
      <c r="HA7" s="151">
        <f t="shared" ref="HA7:HA24" si="67">IF($K7=$TQ$7,$L7*BW7,0)</f>
        <v>0.10967452609165344</v>
      </c>
      <c r="HB7" s="151">
        <f t="shared" ref="HB7:HB24" si="68">IF($K7=$TQ$7,$L7*BX7,0)</f>
        <v>1.8256860311320997</v>
      </c>
      <c r="HC7" s="151">
        <f t="shared" ref="HC7:HC24" si="69">IF($K7=$TQ$7,$L7*BY7,0)</f>
        <v>7.2502097153454415</v>
      </c>
      <c r="HD7" s="151">
        <f t="shared" ref="HD7:HD24" si="70">IF($K7=$TQ$7,$L7*CR7,0)</f>
        <v>10.350186828397346</v>
      </c>
      <c r="HE7" s="151">
        <f t="shared" ref="HE7:HE24" si="71">IF($K7=$TQ$7,$L7*CS7,0)</f>
        <v>30.587640241231728</v>
      </c>
      <c r="HF7" s="151">
        <f t="shared" ref="HF7:HF24" si="72">IF($K7=$TQ$7,$L7*CT7,0)</f>
        <v>100</v>
      </c>
      <c r="HG7" s="151">
        <f t="shared" ref="HG7:HG24" si="73">IF($K7=$TQ$7,$L7*CU7,0)</f>
        <v>100</v>
      </c>
      <c r="HH7" s="151">
        <f>IF(CA7=$TK$6,'Tables - Part 3.B'!$C$10*(('Tables - Part 3.B'!$C$7*COF!GZ7)^COF!HL7*10^COF!HP7),IF(CA7=$TK$5,'Tables - Part 3.B'!$C$10*(('Tables - Part 3.B'!$C$7*COF!HD7)^COF!HL7*10^COF!HP7),0))</f>
        <v>10.16147282783205</v>
      </c>
      <c r="HI7" s="151">
        <f>IF(CB7=$TK$6,'Tables - Part 3.B'!$C$10*(('Tables - Part 3.B'!$C$7*COF!HA7)^COF!HM7*10^COF!HQ7),IF(CB7=$TK$5,'Tables - Part 3.B'!$C$10*(('Tables - Part 3.B'!$C$7*COF!HE7)^COF!HM7*10^COF!HQ7),0))</f>
        <v>148.42101133778326</v>
      </c>
      <c r="HJ7" s="151">
        <f>IF(CC7=$TK$6,'Tables - Part 3.B'!$C$10*(('Tables - Part 3.B'!$C$7*COF!HB7)^COF!HN7*10^COF!HR7),IF(CC7=$TK$5,'Tables - Part 3.B'!$C$10*(('Tables - Part 3.B'!$C$7*COF!HF7)^COF!HN7*10^COF!HR7),0))</f>
        <v>10447.904341166664</v>
      </c>
      <c r="HK7" s="151">
        <f>IF(CD7=$TK$6,'Tables - Part 3.B'!$C$10*(('Tables - Part 3.B'!$C$7*COF!HC7)^COF!HO7*10^COF!HS7),IF(CD7=$TK$5,'Tables - Part 3.B'!$C$10*(('Tables - Part 3.B'!$C$7*COF!HG7)^COF!HO7*10^COF!HS7),0))</f>
        <v>10447.904341166664</v>
      </c>
      <c r="HL7" s="151">
        <f>IF(CA7=$TK$5,'Tables - Part 3'!$CN$10,IF(COF!CA7=COF!$TK$6,IF(COF!GF7&lt;'Tables - Part 3'!$CK$5,'Tables - Part 3'!$CN$5,IF(GF7&gt;='Tables - Part 3'!$CK$9,'Tables - Part 3'!$CN$9,((COF!GF7-COF!GJ7)*(INDEX('Tables - Part 3'!$CN$5:$CN$9,MATCH(COF!GN7,'Tables - Part 3'!$CK$5:$CK$9,0))-INDEX('Tables - Part 3'!$CN$5:$CN$9,MATCH(COF!GJ7,'Tables - Part 3'!$CK$5:$CK$9,0)))/(GN7-GJ7)+INDEX('Tables - Part 3'!$CN$5:$CN$9,MATCH(COF!GJ7,'Tables - Part 3'!$CK$5:$CK$9,0)))))))</f>
        <v>1.2355400000000001</v>
      </c>
      <c r="HM7" s="151">
        <f>IF(CB7=$TK$5,'Tables - Part 3'!$CN$10,IF(COF!CB7=COF!$TK$6,IF(COF!GG7&lt;'Tables - Part 3'!$CK$5,'Tables - Part 3'!$CN$5,IF(GG7&gt;='Tables - Part 3'!$CK$9,'Tables - Part 3'!$CN$9,((COF!GG7-COF!GK7)*(INDEX('Tables - Part 3'!$CN$5:$CN$9,MATCH(COF!GO7,'Tables - Part 3'!$CK$5:$CK$9,0))-INDEX('Tables - Part 3'!$CN$5:$CN$9,MATCH(COF!GK7,'Tables - Part 3'!$CK$5:$CK$9,0)))/(GO7-GK7)+INDEX('Tables - Part 3'!$CN$5:$CN$9,MATCH(COF!GK7,'Tables - Part 3'!$CK$5:$CK$9,0)))))))</f>
        <v>1.2411000000000001</v>
      </c>
      <c r="HN7" s="151">
        <f>IF(CC7=$TK$5,'Tables - Part 3'!$CN$10,IF(COF!CC7=COF!$TK$6,IF(COF!GH7&lt;'Tables - Part 3'!$CK$5,'Tables - Part 3'!$CN$5,IF(GH7&gt;='Tables - Part 3'!$CK$9,'Tables - Part 3'!$CN$9,((COF!GH7-COF!GL7)*(INDEX('Tables - Part 3'!$CN$5:$CN$9,MATCH(COF!GP7,'Tables - Part 3'!$CK$5:$CK$9,0))-INDEX('Tables - Part 3'!$CN$5:$CN$9,MATCH(COF!GL7,'Tables - Part 3'!$CK$5:$CK$9,0)))/(GP7-GL7)+INDEX('Tables - Part 3'!$CN$5:$CN$9,MATCH(COF!GL7,'Tables - Part 3'!$CK$5:$CK$9,0)))))))</f>
        <v>0.96740000000000004</v>
      </c>
      <c r="HO7" s="151">
        <f>IF(CD7=$TK$5,'Tables - Part 3'!$CN$10,IF(COF!CD7=COF!$TK$6,IF(COF!GI7&lt;'Tables - Part 3'!$CK$5,'Tables - Part 3'!$CN$5,IF(GI7&gt;='Tables - Part 3'!$CK$9,'Tables - Part 3'!$CN$9,((COF!GI7-COF!GM7)*(INDEX('Tables - Part 3'!$CN$5:$CN$9,MATCH(COF!GQ7,'Tables - Part 3'!$CK$5:$CK$9,0))-INDEX('Tables - Part 3'!$CN$5:$CN$9,MATCH(COF!GM7,'Tables - Part 3'!$CK$5:$CK$9,0)))/(GQ7-GM7)+INDEX('Tables - Part 3'!$CN$5:$CN$9,MATCH(COF!GM7,'Tables - Part 3'!$CK$5:$CK$9,0)))))))</f>
        <v>0.96740000000000004</v>
      </c>
      <c r="HP7" s="151">
        <f>IF(CA7=$TK$5,'Tables - Part 3'!$CO$10,IF(COF!CA7=COF!$TK$6,IF(GF7&lt;'Tables - Part 3'!$CK$5,'Tables - Part 3'!$CO$5,IF(GF7&gt;='Tables - Part 3'!$CK$9,'Tables - Part 3'!$CO$9,((COF!GF7-COF!GJ7)*(INDEX('Tables - Part 3'!$CO$5:$CO$9,MATCH(COF!GN7,'Tables - Part 3'!$CK$5:$CK$9,0))-INDEX('Tables - Part 3'!$CO$5:$CO$9,MATCH(COF!GJ7,'Tables - Part 3'!$CK$5:$CK$9,0)))/(GN7-GJ7)+INDEX('Tables - Part 3'!$CO$5:$CO$9,MATCH(COF!GJ7,'Tables - Part 3'!$CK$5:$CK$9,0)))))))</f>
        <v>4.2629200000000003</v>
      </c>
      <c r="HQ7" s="151">
        <f>IF(CB7=$TK$5,'Tables - Part 3'!$CO$10,IF(COF!CB7=COF!$TK$6,IF(GG7&lt;'Tables - Part 3'!$CK$5,'Tables - Part 3'!$CO$5,IF(GG7&gt;='Tables - Part 3'!$CK$9,'Tables - Part 3'!$CO$9,((COF!GG7-COF!GK7)*(INDEX('Tables - Part 3'!$CO$5:$CO$9,MATCH(COF!GO7,'Tables - Part 3'!$CK$5:$CK$9,0))-INDEX('Tables - Part 3'!$CO$5:$CO$9,MATCH(COF!GK7,'Tables - Part 3'!$CK$5:$CK$9,0)))/(GO7-GK7)+INDEX('Tables - Part 3'!$CO$5:$CO$9,MATCH(COF!GK7,'Tables - Part 3'!$CK$5:$CK$9,0)))))))</f>
        <v>3.9685999999999999</v>
      </c>
      <c r="HR7" s="151">
        <f>IF(CC7=$TK$5,'Tables - Part 3'!$CO$10,IF(COF!CC7=COF!$TK$6,IF(GH7&lt;'Tables - Part 3'!$CK$5,'Tables - Part 3'!$CO$5,IF(GH7&gt;='Tables - Part 3'!$CK$9,'Tables - Part 3'!$CO$9,((COF!GH7-COF!GL7)*(INDEX('Tables - Part 3'!$CO$5:$CO$9,MATCH(COF!GP7,'Tables - Part 3'!$CK$5:$CK$9,0))-INDEX('Tables - Part 3'!$CO$5:$CO$9,MATCH(COF!GL7,'Tables - Part 3'!$CK$5:$CK$9,0)))/(GP7-GL7)+INDEX('Tables - Part 3'!$CO$5:$CO$9,MATCH(COF!GL7,'Tables - Part 3'!$CK$5:$CK$9,0)))))))</f>
        <v>2.7839999999999998</v>
      </c>
      <c r="HS7" s="151">
        <f>IF(CD7=$TK$5,'Tables - Part 3'!$CO$10,IF(COF!CD7=COF!$TK$6,IF(GI7&lt;'Tables - Part 3'!$CK$5,'Tables - Part 3'!$CO$5,IF(GI7&gt;='Tables - Part 3'!$CK$9,'Tables - Part 3'!$CO$9,((COF!GI7-COF!GM7)*(INDEX('Tables - Part 3'!$CO$5:$CO$9,MATCH(COF!GQ7,'Tables - Part 3'!$CK$5:$CK$9,0))-INDEX('Tables - Part 3'!$CO$5:$CO$9,MATCH(COF!GM7,'Tables - Part 3'!$CK$5:$CK$9,0)))/(GQ7-GM7)+INDEX('Tables - Part 3'!$CO$5:$CO$9,MATCH(COF!GM7,'Tables - Part 3'!$CK$5:$CK$9,0)))))))</f>
        <v>2.7839999999999998</v>
      </c>
      <c r="HT7" s="151">
        <f t="shared" ref="HT7:HT24" si="74">IF($K7=$TQ$8,$L7*BV7,0)</f>
        <v>0</v>
      </c>
      <c r="HU7" s="151">
        <f t="shared" ref="HU7:HU24" si="75">IF($K7=$TQ$8,$L7*BW7,0)</f>
        <v>0</v>
      </c>
      <c r="HV7" s="151">
        <f t="shared" ref="HV7:HV24" si="76">IF($K7=$TQ$8,$L7*BX7,0)</f>
        <v>0</v>
      </c>
      <c r="HW7" s="151">
        <f t="shared" ref="HW7:HW24" si="77">IF($K7=$TQ$8,$L7*BY7,0)</f>
        <v>0</v>
      </c>
      <c r="HX7" s="151">
        <f t="shared" ref="HX7:HX24" si="78">IF($K7=$TQ$8,$L7*CR7,0)</f>
        <v>0</v>
      </c>
      <c r="HY7" s="151">
        <f t="shared" ref="HY7:HY24" si="79">IF($K7=$TQ$8,$L7*CS7,0)</f>
        <v>0</v>
      </c>
      <c r="HZ7" s="151">
        <f t="shared" ref="HZ7:HZ24" si="80">IF($K7=$TQ$8,$L7*CT7,0)</f>
        <v>0</v>
      </c>
      <c r="IA7" s="151">
        <f t="shared" ref="IA7:IA24" si="81">IF($K7=$TQ$8,$L7*CU7,0)</f>
        <v>0</v>
      </c>
      <c r="IB7" s="153">
        <f t="shared" ref="IB7:IB24" si="82">IF(CA7=$TK$6,IN7*POWER(HT7,IR7),IF(CA7=$TK$5,IN7*POWER(HX7,IR7),0))</f>
        <v>0</v>
      </c>
      <c r="IC7" s="153">
        <f t="shared" ref="IC7:IC24" si="83">IF(CB7=$TK$6,IO7*POWER(HU7,IS7),IF(CB7=$TK$5,IO7*POWER(HY7,IS7),0))</f>
        <v>0</v>
      </c>
      <c r="ID7" s="153">
        <f t="shared" ref="ID7:ID24" si="84">IF(CC7=$TK$6,IP7*POWER(HV7,IT7),IF(CC7=$TK$5,IP7*POWER(HZ7,IT7),0))</f>
        <v>0</v>
      </c>
      <c r="IE7" s="153">
        <f t="shared" ref="IE7:IE24" si="85">IF(CD7=$TK$6,IQ7*POWER(HW7,IU7),IF(CD7=$TK$5,IQ7*POWER(IA7,IU7),0))</f>
        <v>0</v>
      </c>
      <c r="IF7" s="152">
        <f>IF(GF7&lt;'Tables - Part 3'!$CQ$5,0,LOOKUP(GF7,'Tables - Part 3'!$CQ$5:$CQ$16))</f>
        <v>20</v>
      </c>
      <c r="IG7" s="152">
        <f>IF(GG7&lt;'Tables - Part 3'!$CQ$5,0,LOOKUP(GG7,'Tables - Part 3'!$CQ$5:$CQ$16))</f>
        <v>0</v>
      </c>
      <c r="IH7" s="152">
        <f>IF(GH7&lt;'Tables - Part 3'!$CQ$5,0,LOOKUP(GH7,'Tables - Part 3'!$CQ$5:$CQ$16))</f>
        <v>0</v>
      </c>
      <c r="II7" s="152">
        <f>IF(GI7&lt;'Tables - Part 3'!$CQ$5,0,LOOKUP(GI7,'Tables - Part 3'!$CQ$5:$CQ$16))</f>
        <v>0</v>
      </c>
      <c r="IJ7" s="152">
        <f>IF(GF7&lt;'Tables - Part 3'!$CQ$5,'Tables - Part 3'!$CQ$5,IF(COF!GF7&lt;'Tables - Part 3'!$CQ$6,'Tables - Part 3'!$CQ$6,IF(COF!GF7&lt;'Tables - Part 3'!$CQ$7,'Tables - Part 3'!$CQ$7,IF(COF!GF7&lt;'Tables - Part 3'!$CQ$8,'Tables - Part 3'!$CQ$8,IF(COF!GF7&lt;'Tables - Part 3'!$CQ$9,'Tables - Part 3'!$CQ$9,IF(COF!GF7&lt;'Tables - Part 3'!$CQ$10,'Tables - Part 3'!$CQ$10,IF(COF!GF7&lt;'Tables - Part 3'!$CQ$11,'Tables - Part 3'!$CQ$11,IF(COF!GF7&lt;'Tables - Part 3'!$CQ$12,'Tables - Part 3'!$CQ$12,IF(COF!GF7&lt;'Tables - Part 3'!$CQ$13,'Tables - Part 3'!$CQ$13,IF(COF!GF7&lt;'Tables - Part 3'!$CQ$14,'Tables - Part 3'!$CQ$14,IF(COF!GF7&lt;'Tables - Part 3'!$CQ$15,'Tables - Part 3'!$CQ$15,IF(COF!GF7&lt;'Tables - Part 3'!$CQ$16,'Tables - Part 3'!$CQ$16))))))))))))</f>
        <v>25</v>
      </c>
      <c r="IK7" s="152">
        <f>IF(GG7&lt;'Tables - Part 3'!$CQ$5,'Tables - Part 3'!$CQ$5,IF(COF!GG7&lt;'Tables - Part 3'!$CQ$6,'Tables - Part 3'!$CQ$6,IF(COF!GG7&lt;'Tables - Part 3'!$CQ$7,'Tables - Part 3'!$CQ$7,IF(COF!GG7&lt;'Tables - Part 3'!$CQ$8,'Tables - Part 3'!$CQ$8,IF(COF!GG7&lt;'Tables - Part 3'!$CQ$9,'Tables - Part 3'!$CQ$9,IF(COF!GG7&lt;'Tables - Part 3'!$CQ$10,'Tables - Part 3'!$CQ$10,IF(COF!GG7&lt;'Tables - Part 3'!$CQ$11,'Tables - Part 3'!$CQ$11,IF(COF!GG7&lt;'Tables - Part 3'!$CQ$12,'Tables - Part 3'!$CQ$12,IF(COF!GG7&lt;'Tables - Part 3'!$CQ$13,'Tables - Part 3'!$CQ$13,IF(COF!GG7&lt;'Tables - Part 3'!$CQ$14,'Tables - Part 3'!$CQ$14,IF(COF!GG7&lt;'Tables - Part 3'!$CQ$15,'Tables - Part 3'!$CQ$15,IF(COF!GG7&lt;'Tables - Part 3'!$CQ$16,'Tables - Part 3'!$CQ$16))))))))))))</f>
        <v>5</v>
      </c>
      <c r="IL7" s="152">
        <f>IF(GH7&lt;'Tables - Part 3'!$CQ$5,'Tables - Part 3'!$CQ$5,IF(COF!GH7&lt;'Tables - Part 3'!$CQ$6,'Tables - Part 3'!$CQ$6,IF(COF!GH7&lt;'Tables - Part 3'!$CQ$7,'Tables - Part 3'!$CQ$7,IF(COF!GH7&lt;'Tables - Part 3'!$CQ$8,'Tables - Part 3'!$CQ$8,IF(COF!GH7&lt;'Tables - Part 3'!$CQ$9,'Tables - Part 3'!$CQ$9,IF(COF!GH7&lt;'Tables - Part 3'!$CQ$10,'Tables - Part 3'!$CQ$10,IF(COF!GH7&lt;'Tables - Part 3'!$CQ$11,'Tables - Part 3'!$CQ$11,IF(COF!GH7&lt;'Tables - Part 3'!$CQ$12,'Tables - Part 3'!$CQ$12,IF(COF!GH7&lt;'Tables - Part 3'!$CQ$13,'Tables - Part 3'!$CQ$13,IF(COF!GH7&lt;'Tables - Part 3'!$CQ$14,'Tables - Part 3'!$CQ$14,IF(COF!GH7&lt;'Tables - Part 3'!$CQ$15,'Tables - Part 3'!$CQ$15,IF(COF!GH7&lt;'Tables - Part 3'!$CQ$16,'Tables - Part 3'!$CQ$16))))))))))))</f>
        <v>5</v>
      </c>
      <c r="IM7" s="152">
        <f>IF(GI7&lt;'Tables - Part 3'!$CQ$5,'Tables - Part 3'!$CQ$5,IF(COF!GI7&lt;'Tables - Part 3'!$CQ$6,'Tables - Part 3'!$CQ$6,IF(COF!GI7&lt;'Tables - Part 3'!$CQ$7,'Tables - Part 3'!$CQ$7,IF(COF!GI7&lt;'Tables - Part 3'!$CQ$8,'Tables - Part 3'!$CQ$8,IF(COF!GI7&lt;'Tables - Part 3'!$CQ$9,'Tables - Part 3'!$CQ$9,IF(COF!GI7&lt;'Tables - Part 3'!$CQ$10,'Tables - Part 3'!$CQ$10,IF(COF!GI7&lt;'Tables - Part 3'!$CQ$11,'Tables - Part 3'!$CQ$11,IF(COF!GI7&lt;'Tables - Part 3'!$CQ$12,'Tables - Part 3'!$CQ$12,IF(COF!GI7&lt;'Tables - Part 3'!$CQ$13,'Tables - Part 3'!$CQ$13,IF(COF!GI7&lt;'Tables - Part 3'!$CQ$14,'Tables - Part 3'!$CQ$14,IF(COF!GI7&lt;'Tables - Part 3'!$CQ$15,'Tables - Part 3'!$CQ$15,IF(COF!GI7&lt;'Tables - Part 3'!$CQ$16,'Tables - Part 3'!$CQ$16))))))))))))</f>
        <v>5</v>
      </c>
      <c r="IN7" s="151">
        <f>IF(CA7=$TK$5,'Tables - Part 3'!$CR$17,IF(COF!CA7=COF!$TK$6,IF(COF!GF7&lt;'Tables - Part 3'!$CQ$5,'Tables - Part 3'!$CR$5,IF(GF7&gt;='Tables - Part 3'!$CQ$16,'Tables - Part 3'!$CR$16,((COF!GF7-COF!IF7)*(INDEX('Tables - Part 3'!$CR$5:$CR$16,MATCH(COF!IJ7,'Tables - Part 3'!$CQ$5:$CQ$16,0))-INDEX('Tables - Part 3'!$CR$5:$CR$16,MATCH(COF!IF7,'Tables - Part 3'!$CQ$5:$CQ$16,0)))/(IJ7-IF7)+INDEX('Tables - Part 3'!$CR$5:$CR$16,MATCH(COF!IF7,'Tables - Part 3'!$CQ$5:$CQ$16,0)))))))</f>
        <v>1415.2</v>
      </c>
      <c r="IO7" s="151">
        <f>IF(CB7=$TK$5,'Tables - Part 3'!$CR$17,IF(COF!CB7=COF!$TK$6,IF(COF!GG7&lt;'Tables - Part 3'!$CQ$5,'Tables - Part 3'!$CR$5,IF(GG7&gt;='Tables - Part 3'!$CQ$16,'Tables - Part 3'!$CR$16,((COF!GG7-COF!IG7)*(INDEX('Tables - Part 3'!$CR$5:$CR$16,MATCH(COF!IK7,'Tables - Part 3'!$CQ$5:$CQ$16,0))-INDEX('Tables - Part 3'!$CR$5:$CR$16,MATCH(COF!IG7,'Tables - Part 3'!$CQ$5:$CQ$16,0)))/(IK7-IG7)+INDEX('Tables - Part 3'!$CR$5:$CR$16,MATCH(COF!IG7,'Tables - Part 3'!$CQ$5:$CQ$16,0)))))))</f>
        <v>636.70000000000005</v>
      </c>
      <c r="IP7" s="151">
        <f>IF(CC7=$TK$5,'Tables - Part 3'!$CR$17,IF(COF!CC7=COF!$TK$6,IF(COF!GH7&lt;'Tables - Part 3'!$CQ$5,'Tables - Part 3'!$CR$5,IF(GH7&gt;='Tables - Part 3'!$CQ$16,'Tables - Part 3'!$CR$16,((COF!GH7-COF!IH7)*(INDEX('Tables - Part 3'!$CR$5:$CR$16,MATCH(COF!IL7,'Tables - Part 3'!$CQ$5:$CQ$16,0))-INDEX('Tables - Part 3'!$CR$5:$CR$16,MATCH(COF!IH7,'Tables - Part 3'!$CQ$5:$CQ$16,0)))/(IL7-IH7)+INDEX('Tables - Part 3'!$CR$5:$CR$16,MATCH(COF!IH7,'Tables - Part 3'!$CQ$5:$CQ$16,0)))))))</f>
        <v>2.6840000000000002</v>
      </c>
      <c r="IQ7" s="151">
        <f>IF(CD7=$TK$5,'Tables - Part 3'!$CR$17,IF(COF!CD7=COF!$TK$6,IF(COF!GI7&lt;'Tables - Part 3'!$CQ$5,'Tables - Part 3'!$CR$5,IF(GI7&gt;='Tables - Part 3'!$CQ$16,'Tables - Part 3'!$CR$16,((COF!GI7-COF!II7)*(INDEX('Tables - Part 3'!$CR$5:$CR$16,MATCH(COF!IM7,'Tables - Part 3'!$CQ$5:$CQ$16,0))-INDEX('Tables - Part 3'!$CR$5:$CR$16,MATCH(COF!II7,'Tables - Part 3'!$CQ$5:$CQ$16,0)))/(IM7-II7)+INDEX('Tables - Part 3'!$CR$5:$CR$16,MATCH(COF!II7,'Tables - Part 3'!$CQ$5:$CQ$16,0)))))))</f>
        <v>2.6840000000000002</v>
      </c>
      <c r="IR7" s="151">
        <f>IF(CA7=$TK$5,'Tables - Part 3'!$CS$17,IF(COF!CA7=COF!$TK$6,IF(COF!GF7&lt;'Tables - Part 3'!$CQ$5,'Tables - Part 3'!$CS$5,IF(GF7&gt;='Tables - Part 3'!$CQ$16,'Tables - Part 3'!$CS$16,((COF!GF7-COF!IF7)*(INDEX('Tables - Part 3'!$CS$5:$CS$16,MATCH(COF!IJ7,'Tables - Part 3'!$CQ$5:$CQ$16,0))-INDEX('Tables - Part 3'!$CS$5:$CS$16,MATCH(COF!IF7,'Tables - Part 3'!$CQ$5:$CQ$16,0)))/(IJ7-IF7)+INDEX('Tables - Part 3'!$CS$5:$CS$16,MATCH(COF!IF7,'Tables - Part 3'!$CQ$5:$CQ$16,0)))))))</f>
        <v>1.1763999999999999</v>
      </c>
      <c r="IS7" s="151">
        <f>IF(CB7=$TK$5,'Tables - Part 3'!$CS$17,IF(COF!CB7=COF!$TK$6,IF(COF!GG7&lt;'Tables - Part 3'!$CQ$5,'Tables - Part 3'!$CS$5,IF(GG7&gt;='Tables - Part 3'!$CQ$16,'Tables - Part 3'!$CS$16,((COF!GG7-COF!IG7)*(INDEX('Tables - Part 3'!$CS$5:$CS$16,MATCH(COF!IK7,'Tables - Part 3'!$CQ$5:$CQ$16,0))-INDEX('Tables - Part 3'!$CS$5:$CS$16,MATCH(COF!IG7,'Tables - Part 3'!$CQ$5:$CQ$16,0)))/(IK7-IG7)+INDEX('Tables - Part 3'!$CS$5:$CS$16,MATCH(COF!IG7,'Tables - Part 3'!$CQ$5:$CQ$16,0)))))))</f>
        <v>1.1830000000000001</v>
      </c>
      <c r="IT7" s="151">
        <f>IF(CC7=$TK$5,'Tables - Part 3'!$CS$17,IF(COF!CC7=COF!$TK$6,IF(COF!GH7&lt;'Tables - Part 3'!$CQ$5,'Tables - Part 3'!$CS$5,IF(GH7&gt;='Tables - Part 3'!$CQ$16,'Tables - Part 3'!$CS$16,((COF!GH7-COF!IH7)*(INDEX('Tables - Part 3'!$CS$5:$CS$16,MATCH(COF!IL7,'Tables - Part 3'!$CQ$5:$CQ$16,0))-INDEX('Tables - Part 3'!$CS$5:$CS$16,MATCH(COF!IH7,'Tables - Part 3'!$CQ$5:$CQ$16,0)))/(IL7-IH7)+INDEX('Tables - Part 3'!$CS$5:$CS$16,MATCH(COF!IH7,'Tables - Part 3'!$CQ$5:$CQ$16,0)))))))</f>
        <v>0.90110000000000001</v>
      </c>
      <c r="IU7" s="151">
        <f>IF(CD7=$TK$5,'Tables - Part 3'!$CS$17,IF(COF!CD7=COF!$TK$6,IF(COF!GI7&lt;'Tables - Part 3'!$CQ$5,'Tables - Part 3'!$CS$5,IF(GI7&gt;='Tables - Part 3'!$CQ$16,'Tables - Part 3'!$CS$16,((COF!GI7-COF!II7)*(INDEX('Tables - Part 3'!$CS$5:$CS$16,MATCH(COF!IM7,'Tables - Part 3'!$CQ$5:$CQ$16,0))-INDEX('Tables - Part 3'!$CS$5:$CS$16,MATCH(COF!II7,'Tables - Part 3'!$CQ$5:$CQ$16,0)))/(IM7-II7)+INDEX('Tables - Part 3'!$CS$5:$CS$16,MATCH(COF!II7,'Tables - Part 3'!$CQ$5:$CQ$16,0)))))))</f>
        <v>0.90110000000000001</v>
      </c>
      <c r="IV7" s="151">
        <f t="shared" ref="IV7:IV24" si="86">IF($K7=$TQ$9,$L7*BV7,0)</f>
        <v>0</v>
      </c>
      <c r="IW7" s="151">
        <f t="shared" ref="IW7:IW24" si="87">IF($K7=$TQ$9,$L7*BW7,0)</f>
        <v>0</v>
      </c>
      <c r="IX7" s="151">
        <f t="shared" ref="IX7:IX24" si="88">IF($K7=$TQ$9,$L7*BX7,0)</f>
        <v>0</v>
      </c>
      <c r="IY7" s="151">
        <f t="shared" ref="IY7:IY24" si="89">IF($K7=$TQ$9,$L7*BY7,0)</f>
        <v>0</v>
      </c>
      <c r="IZ7" s="151">
        <f t="shared" ref="IZ7:IZ24" si="90">IF($K7=$TQ$9,$L7*CR7,0)</f>
        <v>0</v>
      </c>
      <c r="JA7" s="151">
        <f t="shared" ref="JA7:JA24" si="91">IF($K7=$TQ$9,$L7*CS7,0)</f>
        <v>0</v>
      </c>
      <c r="JB7" s="151">
        <f t="shared" ref="JB7:JB24" si="92">IF($K7=$TQ$9,$L7*CT7,0)</f>
        <v>0</v>
      </c>
      <c r="JC7" s="151">
        <f t="shared" ref="JC7:JC24" si="93">IF($K7=$TQ$9,$L7*CU7,0)</f>
        <v>0</v>
      </c>
      <c r="JD7" s="151">
        <f t="shared" ref="JD7:JD24" si="94">IF(CA7=$TK$6,JH7*POWER(IV7,JL7),IF(CA7=$TK$5,JH7*POWER(IZ7,JL7),0))</f>
        <v>0</v>
      </c>
      <c r="JE7" s="151">
        <f t="shared" ref="JE7:JE24" si="95">IF(CB7=$TK$6,JI7*POWER(IW7,JM7),IF(CB7=$TK$5,JI7*POWER(JA7,JM7),0))</f>
        <v>0</v>
      </c>
      <c r="JF7" s="151">
        <f t="shared" ref="JF7:JF24" si="96">IF(CC7=$TK$6,JJ7*POWER(IX7,JN7),IF(CC7=$TK$5,JJ7*POWER(JB7,JN7),0))</f>
        <v>0</v>
      </c>
      <c r="JG7" s="151">
        <f t="shared" ref="JG7:JG24" si="97">IF(CD7=$TK$6,JK7*POWER(IY7,JO7),IF(CD7=$TK$5,JK7*POWER(JC7,JO7),0))</f>
        <v>0</v>
      </c>
      <c r="JH7" s="151">
        <f>IF(CA7=$TK$5,'Tables - Part 3'!$CT$17,IF(COF!CA7=COF!$TK$6,IF(COF!GF7&lt;'Tables - Part 3'!$CQ$5,'Tables - Part 3'!$CT$5,IF(GF7&gt;='Tables - Part 3'!$CQ$16,'Tables - Part 3'!$CT$16,((COF!GF7-COF!IF7)*(INDEX('Tables - Part 3'!$CT$5:$CT$16,MATCH(COF!IJ7,'Tables - Part 3'!$CQ$5:$CQ$16,0))-INDEX('Tables - Part 3'!$CT$5:$CT$16,MATCH(COF!IF7,'Tables - Part 3'!$CQ$5:$CQ$16,0)))/(IJ7-IF7)+INDEX('Tables - Part 3'!$CT$5:$CT$16,MATCH(COF!IF7,'Tables - Part 3'!$CQ$5:$CQ$16,0)))))))</f>
        <v>4593.3999999999996</v>
      </c>
      <c r="JI7" s="151">
        <f>IF(CB7=$TK$5,'Tables - Part 3'!$CT$17,IF(COF!CB7=COF!$TK$6,IF(COF!GG7&lt;'Tables - Part 3'!$CQ$5,'Tables - Part 3'!$CT$5,IF(GG7&gt;='Tables - Part 3'!$CQ$16,'Tables - Part 3'!$CT$16,((COF!GG7-COF!IG7)*(INDEX('Tables - Part 3'!$CT$5:$CT$16,MATCH(COF!IK7,'Tables - Part 3'!$CQ$5:$CQ$16,0))-INDEX('Tables - Part 3'!$CT$5:$CT$16,MATCH(COF!IG7,'Tables - Part 3'!$CQ$5:$CQ$16,0)))/(IK7-IG7)+INDEX('Tables - Part 3'!$CT$5:$CT$16,MATCH(COF!IG7,'Tables - Part 3'!$CQ$5:$CQ$16,0)))))))</f>
        <v>3350</v>
      </c>
      <c r="JJ7" s="151">
        <f>IF(CC7=$TK$5,'Tables - Part 3'!$CT$17,IF(COF!CC7=COF!$TK$6,IF(COF!GH7&lt;'Tables - Part 3'!$CQ$5,'Tables - Part 3'!$CT$5,IF(GH7&gt;='Tables - Part 3'!$CQ$16,'Tables - Part 3'!$CT$16,((COF!GH7-COF!IH7)*(INDEX('Tables - Part 3'!$CT$5:$CT$16,MATCH(COF!IL7,'Tables - Part 3'!$CQ$5:$CQ$16,0))-INDEX('Tables - Part 3'!$CT$5:$CT$16,MATCH(COF!IH7,'Tables - Part 3'!$CQ$5:$CQ$16,0)))/(IL7-IH7)+INDEX('Tables - Part 3'!$CT$5:$CT$16,MATCH(COF!IH7,'Tables - Part 3'!$CQ$5:$CQ$16,0)))))))</f>
        <v>3.528</v>
      </c>
      <c r="JK7" s="151">
        <f>IF(CD7=$TK$5,'Tables - Part 3'!$CT$17,IF(COF!CD7=COF!$TK$6,IF(COF!GI7&lt;'Tables - Part 3'!$CQ$5,'Tables - Part 3'!$CT$5,IF(GI7&gt;='Tables - Part 3'!$CQ$16,'Tables - Part 3'!$CT$16,((COF!GI7-COF!II7)*(INDEX('Tables - Part 3'!$CT$5:$CT$16,MATCH(COF!IM7,'Tables - Part 3'!$CQ$5:$CQ$16,0))-INDEX('Tables - Part 3'!$CT$5:$CT$16,MATCH(COF!II7,'Tables - Part 3'!$CQ$5:$CQ$16,0)))/(IM7-II7)+INDEX('Tables - Part 3'!$CT$5:$CT$16,MATCH(COF!II7,'Tables - Part 3'!$CQ$5:$CQ$16,0)))))))</f>
        <v>3.528</v>
      </c>
      <c r="JL7" s="151">
        <f>IF(CA7=$TK$5,'Tables - Part 3'!$CU$17,IF(COF!CA7=COF!$TK$6,IF(COF!GF7&lt;'Tables - Part 3'!$CQ$5,'Tables - Part 3'!$CU$5,IF(GF7&gt;='Tables - Part 3'!$CQ$16,'Tables - Part 3'!$CU$16,((COF!GF7-COF!IF7)*(INDEX('Tables - Part 3'!$CU$5:$CU$16,MATCH(COF!IJ7,'Tables - Part 3'!$CQ$5:$CQ$16,0))-INDEX('Tables - Part 3'!$CU$5:$CU$16,MATCH(COF!IF7,'Tables - Part 3'!$CQ$5:$CQ$16,0)))/(IJ7-IF7)+INDEX('Tables - Part 3'!$CU$5:$CU$16,MATCH(COF!IF7,'Tables - Part 3'!$CQ$5:$CQ$16,0)))))))</f>
        <v>1.0857999999999999</v>
      </c>
      <c r="JM7" s="151">
        <f>IF(CB7=$TK$5,'Tables - Part 3'!$CU$17,IF(COF!CB7=COF!$TK$6,IF(COF!GG7&lt;'Tables - Part 3'!$CQ$5,'Tables - Part 3'!$CU$5,IF(GG7&gt;='Tables - Part 3'!$CQ$16,'Tables - Part 3'!$CU$16,((COF!GG7-COF!IG7)*(INDEX('Tables - Part 3'!$CU$5:$CU$16,MATCH(COF!IK7,'Tables - Part 3'!$CQ$5:$CQ$16,0))-INDEX('Tables - Part 3'!$CU$5:$CU$16,MATCH(COF!IG7,'Tables - Part 3'!$CQ$5:$CQ$16,0)))/(IK7-IG7)+INDEX('Tables - Part 3'!$CU$5:$CU$16,MATCH(COF!IG7,'Tables - Part 3'!$CQ$5:$CQ$16,0)))))))</f>
        <v>1.097</v>
      </c>
      <c r="JN7" s="151">
        <f>IF(CC7=$TK$5,'Tables - Part 3'!$CU$17,IF(COF!CC7=COF!$TK$6,IF(COF!GH7&lt;'Tables - Part 3'!$CQ$5,'Tables - Part 3'!$CU$5,IF(GH7&gt;='Tables - Part 3'!$CQ$16,'Tables - Part 3'!$CU$16,((COF!GH7-COF!IH7)*(INDEX('Tables - Part 3'!$CU$5:$CU$16,MATCH(COF!IL7,'Tables - Part 3'!$CQ$5:$CQ$16,0))-INDEX('Tables - Part 3'!$CU$5:$CU$16,MATCH(COF!IH7,'Tables - Part 3'!$CQ$5:$CQ$16,0)))/(IL7-IH7)+INDEX('Tables - Part 3'!$CU$5:$CU$16,MATCH(COF!IH7,'Tables - Part 3'!$CQ$5:$CQ$16,0)))))))</f>
        <v>1.177</v>
      </c>
      <c r="JO7" s="151">
        <f>IF(CD7=$TK$5,'Tables - Part 3'!$CU$17,IF(COF!CD7=COF!$TK$6,IF(COF!GI7&lt;'Tables - Part 3'!$CQ$5,'Tables - Part 3'!$CU$5,IF(GI7&gt;='Tables - Part 3'!$CQ$16,'Tables - Part 3'!$CU$16,((COF!GI7-COF!II7)*(INDEX('Tables - Part 3'!$CU$5:$CU$16,MATCH(COF!IM7,'Tables - Part 3'!$CQ$5:$CQ$16,0))-INDEX('Tables - Part 3'!$CU$5:$CU$16,MATCH(COF!II7,'Tables - Part 3'!$CQ$5:$CQ$16,0)))/(IM7-II7)+INDEX('Tables - Part 3'!$CU$5:$CU$16,MATCH(COF!II7,'Tables - Part 3'!$CQ$5:$CQ$16,0)))))))</f>
        <v>1.177</v>
      </c>
      <c r="JP7" s="282"/>
      <c r="JQ7" s="151">
        <f t="shared" ref="JQ7:JQ24" si="98">IF($K7=$TQ$11,$L7*BV7,0)</f>
        <v>0</v>
      </c>
      <c r="JR7" s="151">
        <f t="shared" ref="JR7:JR24" si="99">IF($K7=$TQ$11,$L7*BW7,0)</f>
        <v>0</v>
      </c>
      <c r="JS7" s="151">
        <f t="shared" ref="JS7:JS24" si="100">IF($K7=$TQ$11,$L7*BX7,0)</f>
        <v>0</v>
      </c>
      <c r="JT7" s="151">
        <f t="shared" ref="JT7:JT24" si="101">IF($K7=$TQ$11,$L7*BY7,0)</f>
        <v>0</v>
      </c>
      <c r="JU7" s="151">
        <f>KG7*POWER(JQ7,KK7)</f>
        <v>0</v>
      </c>
      <c r="JV7" s="151">
        <f>KH7*POWER(JR7,KL7)</f>
        <v>0</v>
      </c>
      <c r="JW7" s="151">
        <f>KI7*POWER(JS7,KM7)</f>
        <v>0</v>
      </c>
      <c r="JX7" s="151">
        <f>KJ7*POWER(JT7,KN7)</f>
        <v>0</v>
      </c>
      <c r="JY7" s="152">
        <f>IF(GF7&lt;'Tables - Part 3'!$CY$6,0,LOOKUP(GF7,'Tables - Part 3'!$CY$6:$CY$11))</f>
        <v>20</v>
      </c>
      <c r="JZ7" s="152">
        <f>IF(GG7&lt;'Tables - Part 3'!$CY$6,0,LOOKUP(GG7,'Tables - Part 3'!$CY$6:$CY$11))</f>
        <v>3</v>
      </c>
      <c r="KA7" s="152">
        <f>IF(GH7&lt;'Tables - Part 3'!$CY$6,0,LOOKUP(GH7,'Tables - Part 3'!$CY$6:$CY$11))</f>
        <v>0</v>
      </c>
      <c r="KB7" s="152">
        <f>IF(GI7&lt;'Tables - Part 3'!$CY$6,0,LOOKUP(GI7,'Tables - Part 3'!$CY$6:$CY$11))</f>
        <v>0</v>
      </c>
      <c r="KC7" s="152">
        <f>IF(GF7&lt;'Tables - Part 3'!$CY$6,'Tables - Part 3'!$CY$6,IF(COF!GF7&lt;'Tables - Part 3'!$CY$7,'Tables - Part 3'!$CY$7,IF(COF!GF7&lt;'Tables - Part 3'!$CY$8,'Tables - Part 3'!$CY$8,IF(COF!GF7&lt;'Tables - Part 3'!$CY$9,'Tables - Part 3'!$CY$9,IF(COF!GF7&lt;'Tables - Part 3'!$CY$10,'Tables - Part 3'!$CY$10,IF(COF!GF7&lt;'Tables - Part 3'!$CY$11,'Tables - Part 3'!$CY$11))))))</f>
        <v>40</v>
      </c>
      <c r="KD7" s="152">
        <f>IF(GG7&lt;'Tables - Part 3'!$CY$6,'Tables - Part 3'!$CY$6,IF(COF!GG7&lt;'Tables - Part 3'!$CY$7,'Tables - Part 3'!$CY$7,IF(COF!GG7&lt;'Tables - Part 3'!$CY$8,'Tables - Part 3'!$CY$8,IF(COF!GG7&lt;'Tables - Part 3'!$CY$9,'Tables - Part 3'!$CY$9,IF(COF!GG7&lt;'Tables - Part 3'!$CY$10,'Tables - Part 3'!$CY$10,IF(COF!GG7&lt;'Tables - Part 3'!$CY$11,'Tables - Part 3'!$CY$11))))))</f>
        <v>5</v>
      </c>
      <c r="KE7" s="152">
        <f>IF(GH7&lt;'Tables - Part 3'!$CY$6,'Tables - Part 3'!$CY$6,IF(COF!GH7&lt;'Tables - Part 3'!$CY$7,'Tables - Part 3'!$CY$7,IF(COF!GH7&lt;'Tables - Part 3'!$CY$8,'Tables - Part 3'!$CY$8,IF(COF!GH7&lt;'Tables - Part 3'!$CY$9,'Tables - Part 3'!$CY$9,IF(COF!GH7&lt;'Tables - Part 3'!$CY$10,'Tables - Part 3'!$CY$10,IF(COF!GH7&lt;'Tables - Part 3'!$CY$11,'Tables - Part 3'!$CY$11))))))</f>
        <v>3</v>
      </c>
      <c r="KF7" s="152">
        <f>IF(GI7&lt;'Tables - Part 3'!$CY$6,'Tables - Part 3'!$CY$6,IF(COF!GI7&lt;'Tables - Part 3'!$CY$7,'Tables - Part 3'!$CY$7,IF(COF!GI7&lt;'Tables - Part 3'!$CY$8,'Tables - Part 3'!$CY$8,IF(COF!GI7&lt;'Tables - Part 3'!$CY$9,'Tables - Part 3'!$CY$9,IF(COF!GI7&lt;'Tables - Part 3'!$CY$10,'Tables - Part 3'!$CY$10,IF(COF!GI7&lt;'Tables - Part 3'!$CY$11,'Tables - Part 3'!$CY$11))))))</f>
        <v>3</v>
      </c>
      <c r="KG7" s="151">
        <f>IF(CA7=$TK$5,'Tables - Part 3'!$CZ$6,IF(COF!CA7=COF!$TK$6,IF(COF!GF7&lt;'Tables - Part 3'!$CY$6,'Tables - Part 3'!$CZ$6,IF(GF7&gt;='Tables - Part 3'!$CY$11,'Tables - Part 3'!$CZ$11,((COF!GF7-COF!JY7)*(INDEX('Tables - Part 3'!$CZ$6:$CZ$11,MATCH(COF!KC7,'Tables - Part 3'!$CY$6:$CY$11,0))-INDEX('Tables - Part 3'!$CZ$6:$CZ$11,MATCH(COF!JY7,'Tables - Part 3'!$CY$6:$CY$11,0)))/(KC7-JY7)+INDEX('Tables - Part 3'!$CZ$6:$CZ$11,MATCH(COF!JY7,'Tables - Part 3'!$CY$6:$CY$11,0)))))))</f>
        <v>771.726</v>
      </c>
      <c r="KH7" s="151">
        <f>IF(CB7=$TK$5,'Tables - Part 3'!$CZ$6,IF(COF!CB7=COF!$TK$6,IF(COF!GG7&lt;'Tables - Part 3'!$CY$6,'Tables - Part 3'!$CZ$6,IF(GG7&gt;='Tables - Part 3'!$CY$11,'Tables - Part 3'!$CZ$11,((COF!GG7-COF!JZ7)*(INDEX('Tables - Part 3'!$CZ$6:$CZ$11,MATCH(COF!KD7,'Tables - Part 3'!$CY$6:$CY$11,0))-INDEX('Tables - Part 3'!$CZ$6:$CZ$11,MATCH(COF!JZ7,'Tables - Part 3'!$CY$6:$CY$11,0)))/(KD7-JZ7)+INDEX('Tables - Part 3'!$CZ$6:$CZ$11,MATCH(COF!JZ7,'Tables - Part 3'!$CY$6:$CY$11,0)))))))</f>
        <v>51.201136516177399</v>
      </c>
      <c r="KI7" s="151">
        <f>IF(CC7=$TK$5,'Tables - Part 3'!$CZ$6,IF(COF!CC7=COF!$TK$6,IF(COF!GH7&lt;'Tables - Part 3'!$CY$6,'Tables - Part 3'!$CZ$6,IF(GH7&gt;='Tables - Part 3'!$CY$11,'Tables - Part 3'!$CZ$11,((COF!GH7-COF!KA7)*(INDEX('Tables - Part 3'!$CZ$6:$CZ$11,MATCH(COF!KE7,'Tables - Part 3'!$CY$6:$CY$11,0))-INDEX('Tables - Part 3'!$CZ$6:$CZ$11,MATCH(COF!KA7,'Tables - Part 3'!$CY$6:$CY$11,0)))/(KE7-KA7)+INDEX('Tables - Part 3'!$CZ$6:$CZ$11,MATCH(COF!KA7,'Tables - Part 3'!$CY$6:$CY$11,0)))))))</f>
        <v>9.5500000000000007</v>
      </c>
      <c r="KJ7" s="151">
        <f>IF(CD7=$TK$5,'Tables - Part 3'!$CZ$6,IF(COF!CD7=COF!$TK$6,IF(COF!GI7&lt;'Tables - Part 3'!$CY$6,'Tables - Part 3'!$CZ$6,IF(GI7&gt;='Tables - Part 3'!$CY$11,'Tables - Part 3'!$CZ$11,((COF!GI7-COF!KB7)*(INDEX('Tables - Part 3'!$CZ$6:$CZ$11,MATCH(COF!KF7,'Tables - Part 3'!$CY$6:$CY$11,0))-INDEX('Tables - Part 3'!$CZ$6:$CZ$11,MATCH(COF!KB7,'Tables - Part 3'!$CY$6:$CY$11,0)))/(KF7-KB7)+INDEX('Tables - Part 3'!$CZ$6:$CZ$11,MATCH(COF!KB7,'Tables - Part 3'!$CY$6:$CY$11,0)))))))</f>
        <v>9.5500000000000007</v>
      </c>
      <c r="KK7" s="153">
        <f>IF(CA7=$TK$5,'Tables - Part 3'!$DA$6,IF(COF!CA7=COF!$TK$6,IF(COF!GF7&lt;'Tables - Part 3'!$CY$6,'Tables - Part 3'!$DA$6,IF(GF7&gt;='Tables - Part 3'!$CY$11,'Tables - Part 3'!$DA$11,((COF!GF7-COF!JY7)*(INDEX('Tables - Part 3'!$DA$6:$DA$11,MATCH(COF!KC7,'Tables - Part 3'!$CY$6:$CY$11,0))-INDEX('Tables - Part 3'!$DA$6:$DA$11,MATCH(COF!JY7,'Tables - Part 3'!$CY$6:$CY$11,0)))/(KC7-JY7)+INDEX('Tables - Part 3'!$DA$6:$DA$16,MATCH(COF!JY7,'Tables - Part 3'!$CY$6:$CY$11,0)))))))</f>
        <v>1.1220000000000001</v>
      </c>
      <c r="KL7" s="153">
        <f>IF(CB7=$TK$5,'Tables - Part 3'!$DA$6,IF(COF!CB7=COF!$TK$6,IF(COF!GG7&lt;'Tables - Part 3'!$CY$6,'Tables - Part 3'!$DA$6,IF(GG7&gt;='Tables - Part 3'!$CY$11,'Tables - Part 3'!$DA$11,((COF!GG7-COF!JZ7)*(INDEX('Tables - Part 3'!$DA$6:$DA$11,MATCH(COF!KD7,'Tables - Part 3'!$CY$6:$CY$11,0))-INDEX('Tables - Part 3'!$DA$6:$DA$11,MATCH(COF!JZ7,'Tables - Part 3'!$CY$6:$CY$11,0)))/(KD7-JZ7)+INDEX('Tables - Part 3'!$DA$6:$DA$16,MATCH(COF!JZ7,'Tables - Part 3'!$CY$6:$CY$11,0)))))))</f>
        <v>1.0758290010594387</v>
      </c>
      <c r="KM7" s="153">
        <f>IF(CC7=$TK$5,'Tables - Part 3'!$DA$6,IF(COF!CC7=COF!$TK$6,IF(COF!GH7&lt;'Tables - Part 3'!$CY$6,'Tables - Part 3'!$DA$6,IF(GH7&gt;='Tables - Part 3'!$CY$11,'Tables - Part 3'!$DA$11,((COF!GH7-COF!KA7)*(INDEX('Tables - Part 3'!$DA$6:$DA$11,MATCH(COF!KE7,'Tables - Part 3'!$CY$6:$CY$11,0))-INDEX('Tables - Part 3'!$DA$6:$DA$11,MATCH(COF!KA7,'Tables - Part 3'!$CY$6:$CY$11,0)))/(KE7-KA7)+INDEX('Tables - Part 3'!$DA$6:$DA$16,MATCH(COF!KA7,'Tables - Part 3'!$CY$6:$CY$11,0)))))))</f>
        <v>1.1499999999999999</v>
      </c>
      <c r="KN7" s="153">
        <f>IF(CD7=$TK$5,'Tables - Part 3'!$DA$6,IF(COF!CD7=COF!$TK$6,IF(COF!GI7&lt;'Tables - Part 3'!$CY$6,'Tables - Part 3'!$DA$6,IF(GI7&gt;='Tables - Part 3'!$CY$11,'Tables - Part 3'!$DA$11,((COF!GI7-COF!KB7)*(INDEX('Tables - Part 3'!$DA$6:$DA$11,MATCH(COF!KF7,'Tables - Part 3'!$CY$6:$CY$11,0))-INDEX('Tables - Part 3'!$DA$6:$DA$11,MATCH(COF!KB7,'Tables - Part 3'!$CY$6:$CY$11,0)))/(KF7-KB7)+INDEX('Tables - Part 3'!$DA$6:$DA$16,MATCH(COF!KB7,'Tables - Part 3'!$CY$6:$CY$11,0)))))))</f>
        <v>1.1499999999999999</v>
      </c>
      <c r="KO7" s="153">
        <f t="shared" ref="KO7:KO24" si="102">IF($K7=$TQ$12,$L7*BV7,0)</f>
        <v>0</v>
      </c>
      <c r="KP7" s="153">
        <f t="shared" ref="KP7:KP24" si="103">IF($K7=$TQ$12,$L7*BW7,0)</f>
        <v>0</v>
      </c>
      <c r="KQ7" s="153">
        <f t="shared" ref="KQ7:KQ24" si="104">IF($K7=$TQ$12,$L7*BX7,0)</f>
        <v>0</v>
      </c>
      <c r="KR7" s="153">
        <f t="shared" ref="KR7:KR24" si="105">IF($K7=$TQ$12,$L7*BY7,0)</f>
        <v>0</v>
      </c>
      <c r="KS7" s="151">
        <f>KW7*POWER(KO7,LA7)</f>
        <v>0</v>
      </c>
      <c r="KT7" s="151">
        <f>KX7*POWER(KP7,LB7)</f>
        <v>0</v>
      </c>
      <c r="KU7" s="151">
        <f>KY7*POWER(KQ7,LC7)</f>
        <v>0</v>
      </c>
      <c r="KV7" s="151">
        <f>KZ7*POWER(KR7,LD7)</f>
        <v>0</v>
      </c>
      <c r="KW7" s="151">
        <f>IF(CA7=$TK$5,'Tables - Part 3'!$CZ$12,IF(COF!CA7=COF!$TK$6,IF(COF!GF7&lt;'Tables - Part 3'!$CY$12,'Tables - Part 3'!$CZ$12,IF(GF7&gt;='Tables - Part 3'!$CY$17,'Tables - Part 3'!$CZ$17,((COF!GF7-COF!JY7)*(INDEX('Tables - Part 3'!$CZ$12:$CZ$17,MATCH(COF!KC7,'Tables - Part 3'!$CY$12:$CY$17,0))-INDEX('Tables - Part 3'!$CZ$12:$CZ$17,MATCH(COF!JY7,'Tables - Part 3'!$CY$12:$CY$17,0)))/(KC7-JY7)+INDEX('Tables - Part 3'!$CZ$12:$CZ$17,MATCH(COF!JY7,'Tables - Part 3'!$CY$12:$CY$17,0)))))))</f>
        <v>1130.376</v>
      </c>
      <c r="KX7" s="151">
        <f>IF(CB7=$TK$5,'Tables - Part 3'!$CZ$12,IF(COF!CB7=COF!$TK$6,IF(COF!GG7&lt;'Tables - Part 3'!$CY$12,'Tables - Part 3'!$CZ$12,IF(GG7&gt;='Tables - Part 3'!$CY$17,'Tables - Part 3'!$CZ$17,((COF!GG7-COF!JZ7)*(INDEX('Tables - Part 3'!$CZ$12:$CZ$17,MATCH(COF!KD7,'Tables - Part 3'!$CY$12:$CY$17,0))-INDEX('Tables - Part 3'!$CZ$12:$CZ$17,MATCH(COF!JZ7,'Tables - Part 3'!$CY$12:$CY$17,0)))/(KD7-JZ7)+INDEX('Tables - Part 3'!$CZ$12:$CZ$17,MATCH(COF!JZ7,'Tables - Part 3'!$CY$12:$CY$17,0)))))))</f>
        <v>110.25404221317791</v>
      </c>
      <c r="KY7" s="151">
        <f>IF(CC7=$TK$5,'Tables - Part 3'!$CZ$12,IF(COF!CC7=COF!$TK$6,IF(COF!GH7&lt;'Tables - Part 3'!$CY$12,'Tables - Part 3'!$CZ$12,IF(GH7&gt;='Tables - Part 3'!$CY$17,'Tables - Part 3'!$CZ$17,((COF!GH7-COF!KA7)*(INDEX('Tables - Part 3'!$CZ$12:$CZ$17,MATCH(COF!KE7,'Tables - Part 3'!$CY$12:$CY$17,0))-INDEX('Tables - Part 3'!$CZ$12:$CZ$17,MATCH(COF!KA7,'Tables - Part 3'!$CY$12:$CY$17,0)))/(KE7-KA7)+INDEX('Tables - Part 3'!$CZ$12:$CZ$17,MATCH(COF!KA7,'Tables - Part 3'!$CY$12:$CY$17,0)))))))</f>
        <v>47.39</v>
      </c>
      <c r="KZ7" s="151">
        <f>IF(CD7=$TK$5,'Tables - Part 3'!$CZ$12,IF(COF!CD7=COF!$TK$6,IF(COF!GI7&lt;'Tables - Part 3'!$CY$12,'Tables - Part 3'!$CZ$12,IF(GI7&gt;='Tables - Part 3'!$CY$17,'Tables - Part 3'!$CZ$17,((COF!GI7-COF!KB7)*(INDEX('Tables - Part 3'!$CZ$12:$CZ$17,MATCH(COF!KF7,'Tables - Part 3'!$CY$12:$CY$17,0))-INDEX('Tables - Part 3'!$CZ$12:$CZ$17,MATCH(COF!KB7,'Tables - Part 3'!$CY$12:$CY$17,0)))/(KF7-KB7)+INDEX('Tables - Part 3'!$CZ$12:$CZ$17,MATCH(COF!KB7,'Tables - Part 3'!$CY$12:$CY$17,0)))))))</f>
        <v>47.39</v>
      </c>
      <c r="LA7" s="151">
        <f>IF(CA7=$TK$5,'Tables - Part 3'!$DA$6,IF(COF!CA7=COF!$TK$6,IF(COF!GF7&lt;'Tables - Part 3'!$CY$6,'Tables - Part 3'!$DA$6,IF(GF7&gt;='Tables - Part 3'!$CY$11,'Tables - Part 3'!$DA$11,((COF!GF7-COF!JY7)*(INDEX('Tables - Part 3'!$DA$6:$DA$11,MATCH(COF!KC7,'Tables - Part 3'!$CY$6:$CY$11,0))-INDEX('Tables - Part 3'!$DA$6:$DA$11,MATCH(COF!JY7,'Tables - Part 3'!$CY$6:$CY$11,0)))/(KC7-JY7)+INDEX('Tables - Part 3'!$DA$5:$DA$16,MATCH(COF!JY7,'Tables - Part 3'!$CY$6:$CY$11,0)))))))</f>
        <v>1.1419999999999999</v>
      </c>
      <c r="LB7" s="151">
        <f>IF(CB7=$TK$5,'Tables - Part 3'!$DA$6,IF(COF!CB7=COF!$TK$6,IF(COF!GG7&lt;'Tables - Part 3'!$CY$6,'Tables - Part 3'!$DA$6,IF(GG7&gt;='Tables - Part 3'!$CY$11,'Tables - Part 3'!$DA$11,((COF!GG7-COF!JZ7)*(INDEX('Tables - Part 3'!$DA$6:$DA$11,MATCH(COF!KD7,'Tables - Part 3'!$CY$6:$CY$11,0))-INDEX('Tables - Part 3'!$DA$6:$DA$11,MATCH(COF!JZ7,'Tables - Part 3'!$CY$6:$CY$11,0)))/(KD7-JZ7)+INDEX('Tables - Part 3'!$DA$5:$DA$16,MATCH(COF!JZ7,'Tables - Part 3'!$CY$6:$CY$11,0)))))))</f>
        <v>0.86692900105943893</v>
      </c>
      <c r="LC7" s="151">
        <f>IF(CC7=$TK$5,'Tables - Part 3'!$DA$6,IF(COF!CC7=COF!$TK$6,IF(COF!GH7&lt;'Tables - Part 3'!$CY$6,'Tables - Part 3'!$DA$6,IF(GH7&gt;='Tables - Part 3'!$CY$11,'Tables - Part 3'!$DA$11,((COF!GH7-COF!KA7)*(INDEX('Tables - Part 3'!$DA$6:$DA$11,MATCH(COF!KE7,'Tables - Part 3'!$CY$6:$CY$11,0))-INDEX('Tables - Part 3'!$DA$6:$DA$11,MATCH(COF!KA7,'Tables - Part 3'!$CY$6:$CY$11,0)))/(KE7-KA7)+INDEX('Tables - Part 3'!$DA$5:$DA$16,MATCH(COF!KA7,'Tables - Part 3'!$CY$6:$CY$11,0)))))))</f>
        <v>1.1499999999999999</v>
      </c>
      <c r="LD7" s="151">
        <f>IF(CD7=$TK$5,'Tables - Part 3'!$DA$6,IF(COF!CD7=COF!$TK$6,IF(COF!GI7&lt;'Tables - Part 3'!$CY$6,'Tables - Part 3'!$DA$6,IF(GI7&gt;='Tables - Part 3'!$CY$11,'Tables - Part 3'!$DA$11,((COF!GI7-COF!KB7)*(INDEX('Tables - Part 3'!$DA$6:$DA$11,MATCH(COF!KF7,'Tables - Part 3'!$CY$6:$CY$11,0))-INDEX('Tables - Part 3'!$DA$6:$DA$11,MATCH(COF!KB7,'Tables - Part 3'!$CY$6:$CY$11,0)))/(KF7-KB7)+INDEX('Tables - Part 3'!$DA$5:$DA$16,MATCH(COF!KB7,'Tables - Part 3'!$CY$6:$CY$11,0)))))))</f>
        <v>1.1499999999999999</v>
      </c>
      <c r="LE7" s="154"/>
      <c r="LF7" s="154"/>
      <c r="LG7" s="154"/>
      <c r="LH7" s="154"/>
      <c r="LI7" s="154"/>
      <c r="LJ7" s="154"/>
      <c r="LK7" s="154"/>
      <c r="LL7" s="151">
        <f>(BQ7*SUM(GB7,HH7,IB7,JD7,JU7,KS7))</f>
        <v>8.1291782622656397E-5</v>
      </c>
      <c r="LM7" s="151">
        <f>(BR7*SUM(GC7,HI7,IC7,JE7,JV7,KT7))</f>
        <v>2.9684202267556653E-3</v>
      </c>
      <c r="LN7" s="151">
        <f>(BS7*SUM(GD7,HJ7,ID7,JF7,JW7,KU7))</f>
        <v>2.0895808682333327E-2</v>
      </c>
      <c r="LO7" s="151">
        <f>(BT7*SUM(GE7,HK7,IE7,JG7,JX7,KV7))</f>
        <v>6.2687426046999983E-3</v>
      </c>
      <c r="LP7" s="151">
        <f t="shared" ref="LP7:LP24" si="106">IF(ISERROR(BU7),0,IF(M7=$TH$11,0,SUM(LL7:LO7)/BU7))</f>
        <v>987.39422537292944</v>
      </c>
      <c r="LQ7" s="282">
        <f>IF($F7='Tables - Part 3'!$B$17,'Tables - Part 3.B'!$C$11*COF!CJ7,0)</f>
        <v>0</v>
      </c>
      <c r="LR7" s="282">
        <f>IF($F7='Tables - Part 3'!$B$17,'Tables - Part 3.B'!$C$11*COF!CK7,0)</f>
        <v>0</v>
      </c>
      <c r="LS7" s="282">
        <f>IF($F7='Tables - Part 3'!$B$17,'Tables - Part 3.B'!$C$11*COF!CL7,0)</f>
        <v>0</v>
      </c>
      <c r="LT7" s="282">
        <f>IF($F7='Tables - Part 3'!$B$17,'Tables - Part 3.B'!$C$11*COF!CM7,0)</f>
        <v>0</v>
      </c>
      <c r="LU7" s="282">
        <f>IF($F7='Tables - Part 3'!$B$17,'Tables - Part 3.B'!$C$12*POWER(COF!CR7,0.6384),0)</f>
        <v>0</v>
      </c>
      <c r="LV7" s="282">
        <f>IF($F7='Tables - Part 3'!$B$17,'Tables - Part 3.B'!$C$12*POWER(COF!CS7,0.6384),0)</f>
        <v>0</v>
      </c>
      <c r="LW7" s="282">
        <f>IF($F7='Tables - Part 3'!$B$17,'Tables - Part 3.B'!$C$12*POWER(COF!CT7,0.6384),0)</f>
        <v>0</v>
      </c>
      <c r="LX7" s="282">
        <f>IF($F7='Tables - Part 3'!$B$17,'Tables - Part 3.B'!$C$12*POWER(COF!CU7,0.6384),0)</f>
        <v>0</v>
      </c>
      <c r="LY7" s="151">
        <f>MIN(CJ7/'Tables - Part 3.B'!$C$8,1)</f>
        <v>2.281787219664318E-2</v>
      </c>
      <c r="LZ7" s="151">
        <f>MIN(CK7/'Tables - Part 3.B'!$C$8,1)</f>
        <v>0.34817309870366175</v>
      </c>
      <c r="MA7" s="151">
        <f>MIN(CL7/'Tables - Part 3.B'!$C$8,1)</f>
        <v>1</v>
      </c>
      <c r="MB7" s="151">
        <f>MIN(CM7/'Tables - Part 3.B'!$C$8,1)</f>
        <v>1</v>
      </c>
      <c r="MC7" s="151">
        <f>LU7*LY7+LQ7*(1-LY7)</f>
        <v>0</v>
      </c>
      <c r="MD7" s="151">
        <f t="shared" ref="MD7:MF22" si="107">LV7*LZ7+LR7*(1-LZ7)</f>
        <v>0</v>
      </c>
      <c r="ME7" s="151">
        <f t="shared" si="107"/>
        <v>0</v>
      </c>
      <c r="MF7" s="151">
        <f t="shared" si="107"/>
        <v>0</v>
      </c>
      <c r="MG7" s="282">
        <f>IF($F7='Tables - Part 3'!$B$18,0.2*'Tables - Part 3.B'!$C$10*$ML7*POWER('Tables - Part 3.B'!$C$7*CJ7,$MM7),0)</f>
        <v>0</v>
      </c>
      <c r="MH7" s="282">
        <f>IF($F7='Tables - Part 3'!$B$18,0.2*'Tables - Part 3.B'!$C$10*$ML7*POWER('Tables - Part 3.B'!$C$7*CK7,$MM7),0)</f>
        <v>0</v>
      </c>
      <c r="MI7" s="282">
        <f>IF($F7='Tables - Part 3'!$B$18,0.2*'Tables - Part 3.B'!$C$10*$ML7*POWER('Tables - Part 3.B'!$C$7*CL7,$MM7),0)</f>
        <v>0</v>
      </c>
      <c r="MJ7" s="282">
        <f>IF($F7='Tables - Part 3'!$B$18,0.2*'Tables - Part 3.B'!$C$10*$ML7*POWER('Tables - Part 3.B'!$C$7*CM7,$MM7),0)</f>
        <v>0</v>
      </c>
      <c r="MK7" s="151">
        <v>0</v>
      </c>
      <c r="ML7" s="151">
        <f>2696-21.9*'Tables - Part 3.B'!$C$13*(COF!OO7-COF!$TM$5)+1.474*POWER('Tables - Part 3.B'!$C$13*(COF!OO7-COF!$TM$5),2)</f>
        <v>29385.917811318632</v>
      </c>
      <c r="MM7" s="151">
        <f>0.31-0.00032*POWER('Tables - Part 3.B'!$C$13*(COF!OO7-COF!$TM$5)-40,2)</f>
        <v>-3.0321149704897987</v>
      </c>
      <c r="MN7" s="151">
        <v>0</v>
      </c>
      <c r="MO7" s="151">
        <f>MG7</f>
        <v>0</v>
      </c>
      <c r="MP7" s="151">
        <f t="shared" ref="MP7:MR22" si="108">MH7</f>
        <v>0</v>
      </c>
      <c r="MQ7" s="151">
        <f t="shared" si="108"/>
        <v>0</v>
      </c>
      <c r="MR7" s="151">
        <f t="shared" si="108"/>
        <v>0</v>
      </c>
      <c r="MS7" s="151">
        <f>BQ7*SUM(MC7,MO7)</f>
        <v>0</v>
      </c>
      <c r="MT7" s="151">
        <f>BR7*SUM(MD7,MP7)</f>
        <v>0</v>
      </c>
      <c r="MU7" s="151">
        <f>BS7*SUM(ME7,MQ7)</f>
        <v>0</v>
      </c>
      <c r="MV7" s="151">
        <f>BT7*SUM(MF7,MR7)</f>
        <v>0</v>
      </c>
      <c r="MW7" s="151">
        <f>IF(ISERROR(BU7),0,SUM(MS7:MV7)/BU7)</f>
        <v>0</v>
      </c>
      <c r="MX7" s="151">
        <f>FN7</f>
        <v>231.45634350758851</v>
      </c>
      <c r="MY7" s="151">
        <f>MAX(FO7,LP7,MW7)</f>
        <v>987.39422537292944</v>
      </c>
      <c r="MZ7" s="526">
        <f t="shared" ref="MZ7:MZ24" si="109">IF(OR(C7=$TJ$6,C7=$TJ$8,C7=$TJ$9,C7=$TJ$11),MAX(MX7:MY7),0)</f>
        <v>987.39422537292944</v>
      </c>
      <c r="NA7" s="151">
        <f>INDEX('Tables - Part 3'!DQ$5:DQ$32,MATCH($E7,'Tables - Part 3'!$DP$5:$DP$32,0))</f>
        <v>5000</v>
      </c>
      <c r="NB7" s="151">
        <f>INDEX('Tables - Part 3'!DR$5:DR$32,MATCH($E7,'Tables - Part 3'!$DP$5:$DP$32,0))</f>
        <v>12000</v>
      </c>
      <c r="NC7" s="151">
        <f>INDEX('Tables - Part 3'!DS$5:DS$32,MATCH($E7,'Tables - Part 3'!$DP$5:$DP$32,0))</f>
        <v>20000</v>
      </c>
      <c r="ND7" s="151">
        <f>INDEX('Tables - Part 3'!DT$5:DT$32,MATCH($E7,'Tables - Part 3'!$DP$5:$DP$32,0))</f>
        <v>40000</v>
      </c>
      <c r="NE7" s="151">
        <f>IF(W7='Tables - Part 3'!$DV$44,COF!X7,IF(OR(COF!X7&lt;&gt;0,COF!X7&lt;&gt;""),COF!X7,INDEX('Tables - Part 3'!$DW$4:$DW$43,MATCH(COF!W7,'Tables - Part 3'!$DV$4:$DV$43,0))))</f>
        <v>1</v>
      </c>
      <c r="NF7" s="151">
        <f t="shared" ref="NF7:NF24" si="110">IF(OR(Y7=0,Y7=""),1,Y7)</f>
        <v>1</v>
      </c>
      <c r="NG7" s="151">
        <f>(BQ7*NA7+BR7*NB7+BS7*NC7+BT7*ND7)*NE7*NF7/BU7</f>
        <v>11241.830065359476</v>
      </c>
      <c r="NH7" s="151">
        <f t="shared" ref="NH7:NH24" si="111">MX7*Z7</f>
        <v>2989651.7034875755</v>
      </c>
      <c r="NI7" s="151">
        <f>INDEX('Tables - Part 3'!EC$5:EC$31,MATCH(COF!$E7,'Tables - Part 3'!$EB$5:$EB$31,0))</f>
        <v>2</v>
      </c>
      <c r="NJ7" s="151">
        <f>INDEX('Tables - Part 3'!ED$5:ED$31,MATCH(COF!$E7,'Tables - Part 3'!$EB$5:$EB$31,0))</f>
        <v>3</v>
      </c>
      <c r="NK7" s="151">
        <f>INDEX('Tables - Part 3'!EE$5:EE$31,MATCH(COF!$E7,'Tables - Part 3'!$EB$5:$EB$31,0))</f>
        <v>3</v>
      </c>
      <c r="NL7" s="151">
        <f>INDEX('Tables - Part 3'!EF$5:EF$31,MATCH(COF!$E7,'Tables - Part 3'!$EB$5:$EB$31,0))</f>
        <v>10</v>
      </c>
      <c r="NM7" s="151">
        <f t="shared" ref="NM7:NM24" si="112">IF(OR(AA7=0,AA7=""),1,AA7)</f>
        <v>1</v>
      </c>
      <c r="NN7" s="151">
        <f>(BQ7*NI7+BR7*NJ7+BS7*NK7+BT7*NL7)*NM7/BU7</f>
        <v>2.8758169934640518</v>
      </c>
      <c r="NO7" s="151">
        <f>POWER(10,1.242+0.585*LOG10(NH7*POWER(10,-6)))</f>
        <v>33.131267308962499</v>
      </c>
      <c r="NP7" s="151">
        <f t="shared" ref="NP7:NP24" si="113">(NN7+NO7)*AB7</f>
        <v>1800354.2151213274</v>
      </c>
      <c r="NQ7" s="151">
        <f t="shared" ref="NQ7:NQ24" si="114">MY7*AC7*AD7</f>
        <v>2657056.8909855695</v>
      </c>
      <c r="NR7" s="151">
        <f>INDEX('Tables - Part 3'!$EL$4:$EL$37,MATCH(COF!F7,'Tables - Part 3'!$EH$4:$EH$37,0))</f>
        <v>0.9</v>
      </c>
      <c r="NS7" s="151">
        <f>CR7*(1-$NR7)*'Tables - Part 3.B'!$C$15/COF!$AS7</f>
        <v>0.95176844981593012</v>
      </c>
      <c r="NT7" s="151">
        <f>CS7*(1-$NR7)*'Tables - Part 3.B'!$C$15/COF!$AS7</f>
        <v>2.8127367571810615</v>
      </c>
      <c r="NU7" s="151">
        <f>CT7*(1-$NR7)*'Tables - Part 3.B'!$C$15/COF!$AS7</f>
        <v>9.1956644415790194</v>
      </c>
      <c r="NV7" s="151">
        <f>CU7*(1-$NR7)*'Tables - Part 3.B'!$C$15/COF!$AS7</f>
        <v>9.1956644415790194</v>
      </c>
      <c r="NW7" s="151">
        <f t="shared" ref="NW7:NW24" si="115">(BQ7*NS7+BR7*NT7+BS7*NU7+BT7*NV7)*AE7/BU7</f>
        <v>0</v>
      </c>
      <c r="NX7" s="542">
        <f t="shared" ref="NX7:NX24" si="116">IF(OR(C7=$TJ$6,C7=$TJ$8,C7=$TJ$9,E7=$TM$18,C7=$TJ$11),NG7+NH7+NP7+NQ7+NW7,0)</f>
        <v>7458304.6396598313</v>
      </c>
      <c r="NY7" s="156">
        <f>0.61*$ON7*$AS7*(BM7/'Tables - Part 3.B'!$C$4)*SQRT((2*$TM$13*($OO7-$TM$5)/$AS7))</f>
        <v>0.71876297419426005</v>
      </c>
      <c r="NZ7" s="155">
        <f>0.61*$ON7*$AS7*(BN7/'Tables - Part 3.B'!$C$4)*SQRT((2*$TM$13*($OO7-$TM$5)/$AS7))</f>
        <v>10.967452609165344</v>
      </c>
      <c r="OA7" s="155">
        <f>0.61*$ON7*$AS7*(BO7/'Tables - Part 3.B'!$C$4)*SQRT((2*$TM$13*($OO7-$TM$5)/$AS7))</f>
        <v>182.56860311320997</v>
      </c>
      <c r="OB7" s="155">
        <f>0.61*$ON7*$AS7*(BP7/'Tables - Part 3.B'!$C$4)*SQRT((2*$TM$13*($OO7-$TM$5)/$AS7))</f>
        <v>2892.5296292550056</v>
      </c>
      <c r="OC7" s="155">
        <f>0.61*$ON7*AS7*(32450/'Tables - Part 3.B'!$C$4)*SQRT((2*$TM$13*(OO7-$TM$5)/AS7))</f>
        <v>725.02097153454417</v>
      </c>
      <c r="OD7" s="156">
        <f>(0.9/'Tables - Part 3.B'!$C$5)*BM7*$OO7*SQRT(($AV7*$AU7*$TM$13/(8.314*$OP7))*POWER(2/($AV7+1),(($AV7+1)/($AV7-1))))</f>
        <v>3.6736884662660376</v>
      </c>
      <c r="OE7" s="156">
        <f>(0.9/'Tables - Part 3.B'!$C$5)*BN7*$OO7*SQRT(($AV7*$AU7*$TM$13/(8.314*$OP7))*POWER(2/($AV7+1),(($AV7+1)/($AV7-1))))</f>
        <v>56.056037388092612</v>
      </c>
      <c r="OF7" s="156">
        <f>(0.9/'Tables - Part 3.B'!$C$5)*BO7*$OO7*SQRT(($AV7*$AU7*$TM$13/(8.314*$OP7))*POWER(2/($AV7+1),(($AV7+1)/($AV7-1))))</f>
        <v>933.13122077714479</v>
      </c>
      <c r="OG7" s="156">
        <f>(0.9/'Tables - Part 3.B'!$C$5)*BP7*$OO7*SQRT(($AV7*$AU7*$TM$13/(8.314*$OP7))*POWER(2/($AV7+1),(($AV7+1)/($AV7-1))))</f>
        <v>14784.084766245813</v>
      </c>
      <c r="OH7" s="156">
        <f>(0.9/'Tables - Part 3.B'!$C$5)*32450*$OO7*SQRT(($AV7*$AU7*$TM$13/(8.314*$OP7))*POWER(2/($AV7+1),(($AV7+1)/($AV7-1))))</f>
        <v>3705.6738821490653</v>
      </c>
      <c r="OI7" s="156">
        <f>(0.9/'Tables - Part 3.B'!$C$5)*BM7*$OO7*SQRT((($AU7*$TM$13)/(8.314*$OP7))*((2*$AV7)/($AV7-1))*POWER(($TM$5/$OO7),(2/$AV7))*(1-POWER(($TM$5/$OO7),(($AV7-1)/$AV7))))</f>
        <v>1.315767540139253</v>
      </c>
      <c r="OJ7" s="156">
        <f>(0.9/'Tables - Part 3.B'!$C$5)*BN7*$OO7*SQRT((($AU7*$TM$13)/(8.314*$OP7))*((2*$AV7)/($AV7-1))*POWER(($TM$5/$OO7),(2/$AV7))*(1-POWER(($TM$5/$OO7),(($AV7-1)/$AV7))))</f>
        <v>20.077019350269364</v>
      </c>
      <c r="OK7" s="156">
        <f>(0.9/'Tables - Part 3.B'!$C$5)*BO7*$OO7*SQRT((($AU7*$TM$13)/(8.314*$OP7))*((2*$AV7)/($AV7-1))*POWER(($TM$5/$OO7),(2/$AV7))*(1-POWER(($TM$5/$OO7),(($AV7-1)/$AV7))))</f>
        <v>334.21009491232388</v>
      </c>
      <c r="OL7" s="156">
        <f>(0.9/'Tables - Part 3.B'!$C$5)*BP7*$OO7*SQRT((($AU7*$TM$13)/(8.314*$OP7))*((2*$AV7)/($AV7-1))*POWER(($TM$5/$OO7),(2/$AV7))*(1-POWER(($TM$5/$OO7),(($AV7-1)/$AV7))))</f>
        <v>5295.0648985936014</v>
      </c>
      <c r="OM7" s="156">
        <f>(0.9/'Tables - Part 3.B'!$C$5)*32450*$OO7*SQRT((($AU7*$TM$13)/(8.314*$OP7))*((2*$AV7)/($AV7-1))*POWER(($TM$5/$OO7),(2/$AV7))*(1-POWER(($TM$5/$OO7),(($AV7-1)/$AV7))))</f>
        <v>1327.2234304149786</v>
      </c>
      <c r="ON7" s="156">
        <f t="shared" ref="ON7:ON24" si="117">IF(H7="",1,POWER((0.9935+(2.878/POWER(H7,0.5))+(342.75/POWER(H7,1.5))),-1))</f>
        <v>1</v>
      </c>
      <c r="OO7" s="157">
        <f t="shared" ref="OO7:OO24" si="118">IF(R7="","",R7*$TM$6+$TM$5)</f>
        <v>1081.99</v>
      </c>
      <c r="OP7" s="157">
        <f t="shared" ref="OP7:OP24" si="119">IF(S7="","",S7+273.15)</f>
        <v>333.15</v>
      </c>
      <c r="OQ7" s="158">
        <f>INDEX(OS7:OU7,1,MATCH(OR7,$OS$6:$OU$6,0))</f>
        <v>182.38480178756504</v>
      </c>
      <c r="OR7" s="158" t="str">
        <f>INDEX('Tables - Part 3'!$F$4:$R$35,MATCH(COF!$F7,'Tables - Part 3'!$F$4:$F$35,0),COUNTA('Tables - Part 3'!$F$3:$K$3))</f>
        <v>Note 1</v>
      </c>
      <c r="OS7" s="158">
        <f>OV7+OW7*OP7+OX7*POWER(OP7,2)+OY7*POWER(OP7,3)</f>
        <v>182.38480178756504</v>
      </c>
      <c r="OT7" s="158" t="e">
        <f>OV7+OW7*(POWER((OX7/OP7)/(SINH((OX7/OP7))),2)+OY7*(POWER((OZ7/OP7)/(SINH((OZ7/OP7))),2)))</f>
        <v>#VALUE!</v>
      </c>
      <c r="OU7" s="158" t="e">
        <f>OV7+OW7*OP7+OX7*POWER(OP7,2)+OY7*POWER(OP7,3)+OZ7*POWER(OP7,4)</f>
        <v>#VALUE!</v>
      </c>
      <c r="OV7" s="159">
        <f>INDEX('Tables - Part 3'!$M$4:$Q$35,MATCH(COF!$F7,'Tables - Part 3'!$F$4:$F$35,0),COUNTA('Tables - Part 3'!$M$3))</f>
        <v>-5.1459999999999999</v>
      </c>
      <c r="OW7" s="159">
        <f>INDEX('Tables - Part 3'!$M$4:$Q$35,MATCH(COF!$F7,'Tables - Part 3'!$F$4:$F$35,0),COUNTA('Tables - Part 3'!$M$3:$N$3))</f>
        <v>0.67600000000000005</v>
      </c>
      <c r="OX7" s="159">
        <f>INDEX('Tables - Part 3'!$M$4:$Q$35,MATCH(COF!$F7,'Tables - Part 3'!$F$4:$F$35,0),COUNTA('Tables - Part 3'!$M$3:$O$3))</f>
        <v>-3.6499999999999998E-4</v>
      </c>
      <c r="OY7" s="159">
        <f>INDEX('Tables - Part 3'!$M$4:$Q$35,MATCH(COF!$F7,'Tables - Part 3'!$F$4:$F$35,0),COUNTA('Tables - Part 3'!$M$3:$P$3))</f>
        <v>7.6599999999999998E-8</v>
      </c>
      <c r="OZ7" s="160" t="str">
        <f>INDEX('Tables - Part 3'!$M$4:$Q$35,MATCH(COF!$F7,'Tables - Part 3'!$F$4:$F$35,0),COUNTA('Tables - Part 3'!$M$3:$Q$3))</f>
        <v>N/A</v>
      </c>
      <c r="PA7" s="162">
        <f>INDEX('Tables - Part 3'!$I$4:$I$35,MATCH(COF!$F7,'Tables - Part 3'!$F$4:$F$35,0))</f>
        <v>99</v>
      </c>
      <c r="PB7" s="158">
        <f t="shared" ref="PB7:PB24" si="120">$TM$5*((AV7+1)/2)^(AV7/(AV7-1))</f>
        <v>170.04390617563905</v>
      </c>
      <c r="PC7" s="158" t="str">
        <f t="shared" ref="PC7:PC24" si="121">CONCATENATE(T7,U7)</f>
        <v>AB</v>
      </c>
      <c r="PD7" s="158">
        <f>INDEX('Tables - Part 3'!AW$7:AW$31,MATCH(COF!$F7,'Tables - Part 3'!$AU$7:$AU$31,0),1)</f>
        <v>5.8460000000000001</v>
      </c>
      <c r="PE7" s="158">
        <f>INDEX('Tables - Part 3'!AX$7:AX$31,MATCH(COF!$F7,'Tables - Part 3'!$AU$7:$AU$31,0),1)</f>
        <v>0.98</v>
      </c>
      <c r="PF7" s="158">
        <f>INDEX('Tables - Part 3'!AY$7:AY$31,MATCH(COF!$F7,'Tables - Part 3'!$AU$7:$AU$31,0),1)</f>
        <v>34.17</v>
      </c>
      <c r="PG7" s="158">
        <f>INDEX('Tables - Part 3'!AZ$7:AZ$31,MATCH(COF!$F7,'Tables - Part 3'!$AU$7:$AU$31,0),1)</f>
        <v>0.89</v>
      </c>
      <c r="PH7" s="158">
        <f>INDEX('Tables - Part 3'!BA$7:BA$31,MATCH(COF!$F7,'Tables - Part 3'!$AU$7:$AU$31,0),1)</f>
        <v>63.98</v>
      </c>
      <c r="PI7" s="158">
        <f>INDEX('Tables - Part 3'!BB$7:BB$31,MATCH(COF!$F7,'Tables - Part 3'!$AU$7:$AU$31,0),1)</f>
        <v>1</v>
      </c>
      <c r="PJ7" s="158">
        <f>INDEX('Tables - Part 3'!BC$7:BC$31,MATCH(COF!$F7,'Tables - Part 3'!$AU$7:$AU$31,0),1)</f>
        <v>103.4</v>
      </c>
      <c r="PK7" s="158">
        <f>INDEX('Tables - Part 3'!BD$7:BD$31,MATCH(COF!$F7,'Tables - Part 3'!$AU$7:$AU$31,0),1)</f>
        <v>0.95</v>
      </c>
      <c r="PL7" s="158">
        <f>INDEX('Tables - Part 3'!BE$7:BE$31,MATCH(COF!$F7,'Tables - Part 3'!$AU$7:$AU$31,0),1)</f>
        <v>2.1880000000000002</v>
      </c>
      <c r="PM7" s="158">
        <f>INDEX('Tables - Part 3'!BF$7:BF$31,MATCH(COF!$F7,'Tables - Part 3'!$AU$7:$AU$31,0),1)</f>
        <v>0.66</v>
      </c>
      <c r="PN7" s="158">
        <f>INDEX('Tables - Part 3'!BG$7:BG$31,MATCH(COF!$F7,'Tables - Part 3'!$AU$7:$AU$31,0),1)</f>
        <v>0.749</v>
      </c>
      <c r="PO7" s="158">
        <f>INDEX('Tables - Part 3'!BH$7:BH$31,MATCH(COF!$F7,'Tables - Part 3'!$AU$7:$AU$31,0),1)</f>
        <v>0.78</v>
      </c>
      <c r="PP7" s="158">
        <f>INDEX('Tables - Part 3'!BI$7:BI$31,MATCH(COF!$F7,'Tables - Part 3'!$AU$7:$AU$31,0),1)</f>
        <v>41.49</v>
      </c>
      <c r="PQ7" s="158">
        <f>INDEX('Tables - Part 3'!BJ$7:BJ$31,MATCH(COF!$F7,'Tables - Part 3'!$AU$7:$AU$31,0),1)</f>
        <v>0.61</v>
      </c>
      <c r="PR7" s="158">
        <f>INDEX('Tables - Part 3'!BK$7:BK$31,MATCH(COF!$F7,'Tables - Part 3'!$AU$7:$AU$31,0),1)</f>
        <v>8.18</v>
      </c>
      <c r="PS7" s="158">
        <f>INDEX('Tables - Part 3'!BL$7:BL$31,MATCH(COF!$F7,'Tables - Part 3'!$AU$7:$AU$31,0),1)</f>
        <v>0.55000000000000004</v>
      </c>
      <c r="PT7" s="158">
        <f>INDEX('Tables - Part 3'!BP$7:BP$31,MATCH(COF!$F7,'Tables - Part 3'!$AU$7:$AU$31,0),1)</f>
        <v>13.49</v>
      </c>
      <c r="PU7" s="158">
        <f>INDEX('Tables - Part 3'!BQ$7:BQ$31,MATCH(COF!$F7,'Tables - Part 3'!$AU$7:$AU$31,0),1)</f>
        <v>0.96</v>
      </c>
      <c r="PV7" s="158">
        <f>INDEX('Tables - Part 3'!BR$7:BR$31,MATCH(COF!$F7,'Tables - Part 3'!$AU$7:$AU$31,0),1)</f>
        <v>96.88</v>
      </c>
      <c r="PW7" s="158">
        <f>INDEX('Tables - Part 3'!BS$7:BS$31,MATCH(COF!$F7,'Tables - Part 3'!$AU$7:$AU$31,0),1)</f>
        <v>0.89</v>
      </c>
      <c r="PX7" s="158">
        <f>INDEX('Tables - Part 3'!BT$7:BT$31,MATCH(COF!$F7,'Tables - Part 3'!$AU$7:$AU$31,0),1)</f>
        <v>169.7</v>
      </c>
      <c r="PY7" s="158">
        <f>INDEX('Tables - Part 3'!BU$7:BU$31,MATCH(COF!$F7,'Tables - Part 3'!$AU$7:$AU$31,0),1)</f>
        <v>1</v>
      </c>
      <c r="PZ7" s="158">
        <f>INDEX('Tables - Part 3'!BV$7:BV$31,MATCH(COF!$F7,'Tables - Part 3'!$AU$7:$AU$31,0),1)</f>
        <v>252.8</v>
      </c>
      <c r="QA7" s="158">
        <f>INDEX('Tables - Part 3'!BW$7:BW$31,MATCH(COF!$F7,'Tables - Part 3'!$AU$7:$AU$31,0),1)</f>
        <v>0.92</v>
      </c>
      <c r="QB7" s="158">
        <f>INDEX('Tables - Part 3'!BX$7:BX$31,MATCH(COF!$F7,'Tables - Part 3'!$AU$7:$AU$31,0),1)</f>
        <v>4.2160000000000002</v>
      </c>
      <c r="QC7" s="158">
        <f>INDEX('Tables - Part 3'!BY$7:BY$31,MATCH(COF!$F7,'Tables - Part 3'!$AU$7:$AU$31,0),1)</f>
        <v>0.67</v>
      </c>
      <c r="QD7" s="158">
        <f>INDEX('Tables - Part 3'!BZ$7:BZ$31,MATCH(COF!$F7,'Tables - Part 3'!$AU$7:$AU$31,0),1)</f>
        <v>2.1859999999999999</v>
      </c>
      <c r="QE7" s="158">
        <f>INDEX('Tables - Part 3'!CA$7:CA$31,MATCH(COF!$F7,'Tables - Part 3'!$AU$7:$AU$31,0),1)</f>
        <v>0.78</v>
      </c>
      <c r="QF7" s="158">
        <f>INDEX('Tables - Part 3'!CB$7:CB$31,MATCH(COF!$F7,'Tables - Part 3'!$AU$7:$AU$31,0),1)</f>
        <v>147.19999999999999</v>
      </c>
      <c r="QG7" s="158">
        <f>INDEX('Tables - Part 3'!CC$7:CC$31,MATCH(COF!$F7,'Tables - Part 3'!$AU$7:$AU$31,0),1)</f>
        <v>0.63</v>
      </c>
      <c r="QH7" s="158">
        <f>INDEX('Tables - Part 3'!CD$7:CD$31,MATCH(COF!$F7,'Tables - Part 3'!$AU$7:$AU$31,0),1)</f>
        <v>31.89</v>
      </c>
      <c r="QI7" s="158">
        <f>INDEX('Tables - Part 3'!CE$7:CE$31,MATCH(COF!$F7,'Tables - Part 3'!$AU$7:$AU$31,0),1)</f>
        <v>0.54</v>
      </c>
      <c r="QJ7" s="151">
        <f>'Tables - Part 5'!$R$4</f>
        <v>3.1749999999999998</v>
      </c>
      <c r="QK7" s="151">
        <f>'Tables - Part 5'!$R$5</f>
        <v>6.35</v>
      </c>
      <c r="QL7" s="151">
        <f>'Tables - Part 5'!$R$6</f>
        <v>50.8</v>
      </c>
      <c r="QM7" s="151">
        <f t="shared" ref="QM7:QM24" si="122">1000*O7/4</f>
        <v>500000</v>
      </c>
      <c r="QN7" s="151">
        <f>PI()*POWER(QJ7,2)/4</f>
        <v>7.9173043608984015</v>
      </c>
      <c r="QO7" s="151">
        <f>PI()*POWER(QK7,2)/4</f>
        <v>31.669217443593606</v>
      </c>
      <c r="QP7" s="151">
        <f>PI()*POWER(QL7,2)/4</f>
        <v>2026.8299163899908</v>
      </c>
      <c r="QQ7" s="151">
        <f>PI()*POWER(QM7,2)/4</f>
        <v>196349540849.36206</v>
      </c>
      <c r="QR7" s="151">
        <f>MAX($AF7-($AG7-1)*$AH7,0)</f>
        <v>6</v>
      </c>
      <c r="QS7" s="151">
        <f>'Tables - Part 3.B'!$C$34*0.61*QN7*SQRT(2*$TM$15*QR7)</f>
        <v>28.453266522512099</v>
      </c>
      <c r="QT7" s="151">
        <f>'Tables - Part 3.B'!$C$34*0.61*QO7*SQRT(2*$TM$15*QS7)</f>
        <v>247.84637085741429</v>
      </c>
      <c r="QU7" s="151">
        <f>'Tables - Part 3.B'!$C$34*0.61*QP7*SQRT(2*$TM$15*QT7)</f>
        <v>46815.293889706743</v>
      </c>
      <c r="QV7" s="151">
        <f>'Tables - Part 3.B'!$C$34*0.61*QQ7*SQRT(2*$TM$15*QU7)</f>
        <v>62330833327277.5</v>
      </c>
      <c r="QW7" s="151">
        <f>PI()*POWER((O7/1000),2)*QR7/4</f>
        <v>18.849555921538759</v>
      </c>
      <c r="QX7" s="151">
        <f>QS7</f>
        <v>28.453266522512099</v>
      </c>
      <c r="QY7" s="151">
        <f t="shared" ref="QY7:RA7" si="123">QT7</f>
        <v>247.84637085741429</v>
      </c>
      <c r="QZ7" s="151">
        <f t="shared" si="123"/>
        <v>46815.293889706743</v>
      </c>
      <c r="RA7" s="151">
        <f t="shared" si="123"/>
        <v>62330833327277.5</v>
      </c>
      <c r="RB7" s="151">
        <f>QX7*'Tables - Part 3.B'!$C$15</f>
        <v>178.97104642660111</v>
      </c>
      <c r="RC7" s="151">
        <f>QY7*'Tables - Part 3.B'!$C$15</f>
        <v>1558.9536726931358</v>
      </c>
      <c r="RD7" s="151">
        <f>QZ7*'Tables - Part 3.B'!$C$15</f>
        <v>294468.19856625539</v>
      </c>
      <c r="RE7" s="151">
        <f>RA7*'Tables - Part 3.B'!$C$15</f>
        <v>392060941628575.5</v>
      </c>
      <c r="RF7" s="151">
        <f>QX7*$AS7</f>
        <v>19462.546460195681</v>
      </c>
      <c r="RG7" s="151">
        <f t="shared" ref="RG7:RH7" si="124">QY7*$AS7</f>
        <v>169531.37890114682</v>
      </c>
      <c r="RH7" s="151">
        <f t="shared" si="124"/>
        <v>32022503.69584943</v>
      </c>
      <c r="RI7" s="151">
        <f>RA7*$AS7</f>
        <v>4.2635411950857704E+16</v>
      </c>
      <c r="RJ7" s="151">
        <f>QS7</f>
        <v>28.453266522512099</v>
      </c>
      <c r="RK7" s="151">
        <f t="shared" ref="RK7:RM7" si="125">QT7</f>
        <v>247.84637085741429</v>
      </c>
      <c r="RL7" s="151">
        <f t="shared" si="125"/>
        <v>46815.293889706743</v>
      </c>
      <c r="RM7" s="151">
        <f t="shared" si="125"/>
        <v>62330833327277.5</v>
      </c>
      <c r="RN7" s="151">
        <v>7</v>
      </c>
      <c r="RO7" s="151">
        <v>1</v>
      </c>
      <c r="RP7" s="151">
        <v>1</v>
      </c>
      <c r="RQ7" s="151">
        <v>1</v>
      </c>
      <c r="RR7" s="151">
        <f>MIN(RB7/RJ7,7)</f>
        <v>6.29</v>
      </c>
      <c r="RS7" s="151">
        <f t="shared" ref="RS7:RU7" si="126">MIN(RC7/RK7,7)</f>
        <v>6.29</v>
      </c>
      <c r="RT7" s="151">
        <f t="shared" si="126"/>
        <v>6.2899999999999991</v>
      </c>
      <c r="RU7" s="151">
        <f t="shared" si="126"/>
        <v>6.29</v>
      </c>
      <c r="RV7" s="151">
        <f>MIN(RJ7*RR7,RB7)</f>
        <v>178.97104642660111</v>
      </c>
      <c r="RW7" s="151">
        <f t="shared" ref="RW7:RY7" si="127">MIN(RK7*RS7,RC7)</f>
        <v>1558.9536726931358</v>
      </c>
      <c r="RX7" s="151">
        <f t="shared" si="127"/>
        <v>294468.19856625539</v>
      </c>
      <c r="RY7" s="151">
        <f t="shared" si="127"/>
        <v>392060941628575.5</v>
      </c>
      <c r="RZ7" s="151">
        <f>RV7</f>
        <v>178.97104642660111</v>
      </c>
      <c r="SA7" s="151">
        <f t="shared" ref="SA7:SC7" si="128">RW7</f>
        <v>1558.9536726931358</v>
      </c>
      <c r="SB7" s="151">
        <f t="shared" si="128"/>
        <v>294468.19856625539</v>
      </c>
      <c r="SC7" s="151">
        <f t="shared" si="128"/>
        <v>392060941628575.5</v>
      </c>
      <c r="SD7" s="151">
        <f>RB7</f>
        <v>178.97104642660111</v>
      </c>
      <c r="SE7" s="151">
        <f t="shared" ref="SE7:SG7" si="129">RC7</f>
        <v>1558.9536726931358</v>
      </c>
      <c r="SF7" s="151">
        <f t="shared" si="129"/>
        <v>294468.19856625539</v>
      </c>
      <c r="SG7" s="151">
        <f t="shared" si="129"/>
        <v>392060941628575.5</v>
      </c>
      <c r="SH7" s="151">
        <f>SD7</f>
        <v>178.97104642660111</v>
      </c>
      <c r="SI7" s="151">
        <f t="shared" ref="SI7:SK7" si="130">SE7</f>
        <v>1558.9536726931358</v>
      </c>
      <c r="SJ7" s="151">
        <f t="shared" si="130"/>
        <v>294468.19856625539</v>
      </c>
      <c r="SK7" s="151">
        <f t="shared" si="130"/>
        <v>392060941628575.5</v>
      </c>
      <c r="SL7" s="542"/>
      <c r="SM7" s="542"/>
      <c r="SN7" s="542"/>
      <c r="SO7" s="151"/>
      <c r="SP7" s="151"/>
      <c r="SQ7" s="151"/>
      <c r="SR7" s="151"/>
      <c r="SS7" s="151"/>
      <c r="ST7" s="151"/>
      <c r="SU7" s="151"/>
      <c r="SV7" s="151"/>
      <c r="SW7" s="151"/>
      <c r="SX7" s="151"/>
      <c r="SY7" s="151"/>
      <c r="SZ7" s="151"/>
      <c r="TA7" s="151"/>
      <c r="TB7" s="151"/>
      <c r="TC7" s="151"/>
      <c r="TD7" s="151"/>
      <c r="TE7" s="542"/>
      <c r="TH7" s="190" t="s">
        <v>60</v>
      </c>
      <c r="TJ7" s="193" t="s">
        <v>147</v>
      </c>
      <c r="TK7" s="158"/>
      <c r="TL7" s="155"/>
      <c r="TM7" s="156"/>
      <c r="TN7" s="156"/>
      <c r="TO7" s="195"/>
      <c r="TQ7" s="155" t="s">
        <v>535</v>
      </c>
    </row>
    <row r="8" spans="2:537" ht="15" thickBot="1" x14ac:dyDescent="0.4">
      <c r="B8" s="161" t="s">
        <v>1598</v>
      </c>
      <c r="C8" s="161" t="s">
        <v>166</v>
      </c>
      <c r="D8" s="161" t="s">
        <v>1042</v>
      </c>
      <c r="E8" s="161" t="s">
        <v>143</v>
      </c>
      <c r="F8" s="666" t="s">
        <v>29</v>
      </c>
      <c r="G8" s="161" t="s">
        <v>51</v>
      </c>
      <c r="H8" s="537"/>
      <c r="I8" s="161" t="s">
        <v>1330</v>
      </c>
      <c r="J8" s="161">
        <v>10000</v>
      </c>
      <c r="K8" s="666" t="str">
        <f>IF('Tratamento de Dados'!K13="","",'Tratamento de Dados'!K13)</f>
        <v>H2S</v>
      </c>
      <c r="L8" s="161">
        <v>0.01</v>
      </c>
      <c r="M8" s="161" t="s">
        <v>244</v>
      </c>
      <c r="N8" s="161">
        <v>0.5</v>
      </c>
      <c r="O8" s="161">
        <v>2000</v>
      </c>
      <c r="P8" s="161"/>
      <c r="Q8" s="161">
        <v>3</v>
      </c>
      <c r="R8" s="161">
        <v>10</v>
      </c>
      <c r="S8" s="667">
        <v>60</v>
      </c>
      <c r="T8" s="161" t="s">
        <v>278</v>
      </c>
      <c r="U8" s="161" t="s">
        <v>279</v>
      </c>
      <c r="V8" s="161" t="s">
        <v>898</v>
      </c>
      <c r="W8" s="161" t="s">
        <v>1356</v>
      </c>
      <c r="X8" s="537"/>
      <c r="Y8" s="537"/>
      <c r="Z8" s="399">
        <v>12916.6980614189</v>
      </c>
      <c r="AA8" s="537"/>
      <c r="AB8" s="399">
        <v>50000</v>
      </c>
      <c r="AC8" s="399">
        <v>5.3819575255912081E-4</v>
      </c>
      <c r="AD8" s="399">
        <v>5000000</v>
      </c>
      <c r="AE8" s="399">
        <v>0</v>
      </c>
      <c r="AF8" s="399">
        <v>10</v>
      </c>
      <c r="AG8" s="399">
        <v>3</v>
      </c>
      <c r="AH8" s="399">
        <v>2</v>
      </c>
      <c r="AI8" s="399"/>
      <c r="AJ8" s="399"/>
      <c r="AK8" s="399"/>
      <c r="AL8" s="399"/>
      <c r="AM8" s="399"/>
      <c r="AN8" s="399"/>
      <c r="AO8" s="399"/>
      <c r="AP8" s="399"/>
      <c r="AQ8" s="151" t="str">
        <f>INDEX('Tables - Part 3'!$J$4:$J$35,MATCH(COF!$F8,'Tables - Part 3'!$F$4:$F$35,0),1)</f>
        <v>Gas</v>
      </c>
      <c r="AR8" s="151" t="str">
        <f>IF($G8=$TH$7,'Tables - Part 3'!$W$4,IF(AND($AQ8=$TH$7,COF!$PA8&lt;26.67),'Tables - Part 3'!$W$4,'Tables - Part 3'!$W$7))</f>
        <v>Model as liquid</v>
      </c>
      <c r="AS8" s="150">
        <f>INDEX('Tables - Part 3'!$F$4:$R$35,MATCH(COF!$F8,'Tables - Part 3'!$F$4:$F$35,0),COUNTA('Tables - Part 3'!$F$3:$H$3))</f>
        <v>997.947</v>
      </c>
      <c r="AT8" s="279">
        <f t="shared" si="6"/>
        <v>7.0314665368093419</v>
      </c>
      <c r="AU8" s="151">
        <f>INDEX('Tables - Part 3'!$F$4:$R$35,MATCH(COF!$F8,'Tables - Part 3'!$F$4:$F$35,0),COUNTA('Tables - Part 3'!$F$3:$G$3))</f>
        <v>18</v>
      </c>
      <c r="AV8" s="151">
        <f t="shared" ref="AV8:AV24" si="131">AW8/(AW8-8.314)</f>
        <v>1.000000000000564</v>
      </c>
      <c r="AW8" s="151">
        <f t="shared" si="7"/>
        <v>14742077556454.385</v>
      </c>
      <c r="AX8" s="151" t="e">
        <f>INDEX('Tables - Part 3'!$F$4:$R$35,MATCH(COF!$F8,'Tables - Part 3'!$F$4:$F$35,0),COUNTA('Tables - Part 3'!$F$3:$R$3))+273.15</f>
        <v>#VALUE!</v>
      </c>
      <c r="AY8" s="151">
        <f t="shared" si="8"/>
        <v>3</v>
      </c>
      <c r="AZ8" s="151">
        <f t="shared" si="9"/>
        <v>1507.4676998052139</v>
      </c>
      <c r="BA8" s="151">
        <f t="shared" ref="BA8:BA24" si="132">180*MIN(BV8,BZ8)</f>
        <v>156.27092235450718</v>
      </c>
      <c r="BB8" s="151">
        <f t="shared" ref="BB8:BB24" si="133">180*MIN(BW8,BZ8)</f>
        <v>2384.50504080974</v>
      </c>
      <c r="BC8" s="151">
        <f t="shared" ref="BC8:BC24" si="134">180*MIN(BX8,BZ8)</f>
        <v>39693.424711335261</v>
      </c>
      <c r="BD8" s="151">
        <f t="shared" ref="BD8:BD24" si="135">180*MIN(BY8,BZ8)</f>
        <v>157631.51416511697</v>
      </c>
      <c r="BE8" s="151">
        <f t="shared" si="10"/>
        <v>1663.738622159721</v>
      </c>
      <c r="BF8" s="151">
        <f t="shared" si="11"/>
        <v>3891.9727406149541</v>
      </c>
      <c r="BG8" s="151">
        <f t="shared" si="12"/>
        <v>10000</v>
      </c>
      <c r="BH8" s="151">
        <f t="shared" si="13"/>
        <v>10000</v>
      </c>
      <c r="BI8" s="151">
        <f>'Tables - Part 3'!$AD$4</f>
        <v>6.4</v>
      </c>
      <c r="BJ8" s="151">
        <f>MIN(O8,'Tables - Part 3'!$AD$5)</f>
        <v>25</v>
      </c>
      <c r="BK8" s="151">
        <f>MIN(O8,'Tables - Part 3'!$AD$6)</f>
        <v>102</v>
      </c>
      <c r="BL8" s="151">
        <f>MIN(O8,'Tables - Part 3'!$AD$7)</f>
        <v>406</v>
      </c>
      <c r="BM8" s="151">
        <f t="shared" ref="BM8:BM24" si="136">PI()*POWER(BI8,2)/4</f>
        <v>32.169908772759484</v>
      </c>
      <c r="BN8" s="151">
        <f t="shared" ref="BN8:BN24" si="137">PI()*POWER(BJ8,2)/4</f>
        <v>490.87385212340519</v>
      </c>
      <c r="BO8" s="151">
        <f t="shared" ref="BO8:BO24" si="138">PI()*POWER(BK8,2)/4</f>
        <v>8171.2824919870518</v>
      </c>
      <c r="BP8" s="151">
        <f t="shared" ref="BP8:BP24" si="139">PI()*POWER(BL8,2)/4</f>
        <v>129461.89166178179</v>
      </c>
      <c r="BQ8" s="151">
        <f>INDEX('Tables - Part 2'!$D$5:$G$30,MATCH(COF!$E8,'Tables - Part 2'!$C$5:$C$30,0),1)</f>
        <v>7.9999999999999996E-6</v>
      </c>
      <c r="BR8" s="571">
        <f>INDEX('Tables - Part 2'!$D$5:$G$30,MATCH(COF!$E8,'Tables - Part 2'!$C$5:$C$30,0),2)</f>
        <v>2.0000000000000002E-5</v>
      </c>
      <c r="BS8" s="571">
        <f>INDEX('Tables - Part 2'!$D$5:$G$30,MATCH(COF!$E8,'Tables - Part 2'!$C$5:$C$30,0),3)</f>
        <v>1.9999999999999999E-6</v>
      </c>
      <c r="BT8" s="151">
        <f>INDEX('Tables - Part 2'!$D$5:$G$30,MATCH(COF!$E8,'Tables - Part 2'!$C$5:$C$30,0),4)</f>
        <v>5.9999999999999997E-7</v>
      </c>
      <c r="BU8" s="151">
        <f t="shared" ref="BU8:BU24" si="140">SUM(BQ8:BT8)</f>
        <v>3.0600000000000005E-5</v>
      </c>
      <c r="BV8" s="151">
        <f t="shared" ref="BV8:BV24" si="141">IF($G8=$TH$6,NY8,IF($OO8&gt;$PB8,OD8,OI8))</f>
        <v>0.86817179085837315</v>
      </c>
      <c r="BW8" s="151">
        <f t="shared" ref="BW8:BW24" si="142">IF($G8=$TH$6,NZ8,IF($OO8&gt;$PB8,OE8,OJ8))</f>
        <v>13.247250226720778</v>
      </c>
      <c r="BX8" s="151">
        <f t="shared" ref="BX8:BX24" si="143">IF($G8=$TH$6,OA8,IF($OO8&gt;$PB8,OF8,OK8))</f>
        <v>220.51902617408479</v>
      </c>
      <c r="BY8" s="502">
        <f t="shared" ref="BY8:BY24" si="144">MIN(IF($G8=$TH$6,OB8,IF($OO8&gt;$PB8,OG8,OL8)),BZ8)</f>
        <v>875.73063425064981</v>
      </c>
      <c r="BZ8" s="502">
        <f t="shared" ref="BZ8:BZ24" si="145">IF($G8=$TH$6,OC8,IF($OO8&gt;$PB8,OH8,OM8))</f>
        <v>875.73063425064981</v>
      </c>
      <c r="CA8" s="151" t="str">
        <f>IF(OR(BI8&lt;='Tables - Part 3'!$AD$4,BE8&lt;='Tables - Part 3.B'!$C$6,BV8&lt;=25.22),COF!$TK$6,COF!$TK$5)</f>
        <v>Contínuo</v>
      </c>
      <c r="CB8" s="151" t="str">
        <f>IF(OR(BJ8&lt;='Tables - Part 3'!$AD$4,BF8&lt;='Tables - Part 3.B'!$C$6,BW8&lt;=25.22),COF!$TK$6,COF!$TK$5)</f>
        <v>Contínuo</v>
      </c>
      <c r="CC8" s="151" t="str">
        <f>IF(OR(BK8&lt;='Tables - Part 3'!$AD$4,BG8&lt;='Tables - Part 3.B'!$C$6,BX8&lt;=25.22),COF!$TK$6,COF!$TK$5)</f>
        <v>Instantâneo</v>
      </c>
      <c r="CD8" s="151" t="str">
        <f>IF(OR(BL8&lt;='Tables - Part 3'!$AD$4,BH8&lt;='Tables - Part 3.B'!$C$6,BY8&lt;=25.22),COF!$TK$6,COF!$TK$5)</f>
        <v>Instantâneo</v>
      </c>
      <c r="CE8" s="151">
        <f t="shared" ref="CE8:CE24" si="146">IF(AND(T8=$TG$14,U8=$TG$14),$TH$14,IF(AND(T8=$TG$14,U8=$TG$15),$TH$15,IF(AND(OR(T8=$TG$14,T8=$TG$15),U8=$TG$16),$TH$16,IF(AND(T8=$TG$15,U8&lt;&gt;$TG$16),$TH$17,IF(T8=$TG$16,$TH$18,"")))))</f>
        <v>0.2</v>
      </c>
      <c r="CF8" s="151">
        <f>INDEX('Tables - Part 3'!$AR$4:$AR$12,MATCH(COF!$PC8,'Tables - Part 3'!$AP$4:$AP$12,0),1)</f>
        <v>30</v>
      </c>
      <c r="CG8" s="151">
        <f>INDEX('Tables - Part 3'!$AR$13:$AR$21,MATCH(COF!$PC8,'Tables - Part 3'!$AP$13:$AP$21,0),1)</f>
        <v>20</v>
      </c>
      <c r="CH8" s="151">
        <f>INDEX('Tables - Part 3'!$AR$22:$AR$30,MATCH(COF!$PC8,'Tables - Part 3'!$AP$22:$AP$30,0),1)</f>
        <v>10</v>
      </c>
      <c r="CI8" s="151">
        <f>INDEX('Tables - Part 3'!$AR$22:$AR$30,MATCH(COF!$PC8,'Tables - Part 3'!$AP$22:$AP$30,0),1)</f>
        <v>10</v>
      </c>
      <c r="CJ8" s="151">
        <f t="shared" ref="CJ8:CJ24" si="147">BV8*(1-$CE8)</f>
        <v>0.69453743268669854</v>
      </c>
      <c r="CK8" s="151">
        <f t="shared" ref="CK8:CK24" si="148">BW8*(1-$CE8)</f>
        <v>10.597800181376623</v>
      </c>
      <c r="CL8" s="151">
        <f t="shared" ref="CL8:CL24" si="149">BX8*(1-$CE8)</f>
        <v>176.41522093926784</v>
      </c>
      <c r="CM8" s="151">
        <f t="shared" ref="CM8:CM24" si="150">BY8*(1-$CE8)</f>
        <v>700.5845074005199</v>
      </c>
      <c r="CN8" s="151">
        <f t="shared" ref="CN8:CN24" si="151">MIN(BE8/CJ8,60*CF8)</f>
        <v>1800</v>
      </c>
      <c r="CO8" s="151">
        <f t="shared" ref="CO8:CO24" si="152">MIN(BF8/CK8,60*CG8)</f>
        <v>367.24345373620719</v>
      </c>
      <c r="CP8" s="151">
        <f t="shared" ref="CP8:CP24" si="153">MIN(BG8/CL8,60*CH8)</f>
        <v>56.684451300506375</v>
      </c>
      <c r="CQ8" s="151">
        <f t="shared" ref="CQ8:CQ24" si="154">MIN(BH8/CM8,60*CI8)</f>
        <v>14.273795515553788</v>
      </c>
      <c r="CR8" s="151">
        <f t="shared" ref="CR8:CR24" si="155">MIN(CJ8*CN8,BE8)</f>
        <v>1250.1673788360574</v>
      </c>
      <c r="CS8" s="151">
        <f t="shared" ref="CS8:CS24" si="156">MIN(CK8*CO8,BF8)</f>
        <v>3891.9727406149541</v>
      </c>
      <c r="CT8" s="151">
        <f t="shared" ref="CT8:CT24" si="157">MIN(CL8*CP8,BG8)</f>
        <v>10000</v>
      </c>
      <c r="CU8" s="151">
        <f t="shared" ref="CU8:CU24" si="158">MIN(CM8*CQ8,BH8)</f>
        <v>10000</v>
      </c>
      <c r="CV8" s="151">
        <f>INDEX('Tables - Part 3'!$CI$4:$CI$8,MATCH(COF!V8,'Tables - Part 3'!$CG$4:$CG$8,0),1)</f>
        <v>0</v>
      </c>
      <c r="CW8" s="502">
        <f>IF(CR8&gt;'Tables - Part 3.B'!$C$6,4*LOG10('Tables - Part 3.B'!$C$7*CR8)-15,1)</f>
        <v>1</v>
      </c>
      <c r="CX8" s="502">
        <f>IF(CS8&gt;'Tables - Part 3.B'!$C$6,4*LOG10('Tables - Part 3.B'!$C$7*CS8)-15,1)</f>
        <v>1</v>
      </c>
      <c r="CY8" s="502">
        <f>IF(CT8&gt;'Tables - Part 3.B'!$C$6,4*LOG10('Tables - Part 3.B'!$C$7*CT8)-15,1)</f>
        <v>2.3736343752154276</v>
      </c>
      <c r="CZ8" s="502">
        <f>IF(CU8&gt;'Tables - Part 3.B'!$C$6,4*LOG10('Tables - Part 3.B'!$C$7*CU8)-15,1)</f>
        <v>2.3736343752154276</v>
      </c>
      <c r="DA8" s="151" t="str">
        <f>INDEX('Tables - Part 3'!$C$4:$C$37,MATCH(COF!$F8,'Tables - Part 3'!$B$4:$B$37,0),1)</f>
        <v>TYPE 0</v>
      </c>
      <c r="DB8" s="151">
        <f t="shared" ref="DB8:DB24" si="159">IF($AR8=$TK$8,$PD8*POWER(CJ8,$PE8)*(1-$CV8),IF($AR8=$TK$9,$PF8*POWER(CJ8,$PG8)*(1-$CV8),0))</f>
        <v>0</v>
      </c>
      <c r="DC8" s="151">
        <f t="shared" ref="DC8:DC24" si="160">IF($AR8=$TK$8,$PD8*POWER(CK8,$PE8)*(1-$CV8),IF($AR8=$TK$9,$PF8*POWER(CK8,$PG8)*(1-$CV8),0))</f>
        <v>0</v>
      </c>
      <c r="DD8" s="151">
        <f t="shared" ref="DD8:DD24" si="161">IF($AR8=$TK$8,$PD8*POWER(CL8,$PE8)*(1-$CV8),IF($AR8=$TK$9,$PF8*POWER(CL8,$PG8)*(1-$CV8),0))</f>
        <v>0</v>
      </c>
      <c r="DE8" s="151">
        <f t="shared" ref="DE8:DE24" si="162">IF($AR8=$TK$8,$PD8*POWER(CM8,$PE8)*(1-$CV8),IF($AR8=$TK$9,$PF8*POWER(CM8,$PG8)*(1-$CV8),0))</f>
        <v>0</v>
      </c>
      <c r="DF8" s="151">
        <f t="shared" ref="DF8:DF24" si="163">IF($AR8=$TK$8,$PH8*POWER(CJ8,$PI8)*(1-$CV8),IF($AR8=$TK$9,$PJ8*POWER(CJ8,$PK8)*(1-$CV8),0))</f>
        <v>0</v>
      </c>
      <c r="DG8" s="151">
        <f t="shared" ref="DG8:DG24" si="164">IF($AR8=$TK$8,$PH8*POWER(CK8,$PI8)*(1-$CV8),IF($AR8=$TK$9,$PJ8*POWER(CK8,$PK8)*(1-$CV8),0))</f>
        <v>0</v>
      </c>
      <c r="DH8" s="151">
        <f t="shared" ref="DH8:DH24" si="165">IF($AR8=$TK$8,$PH8*POWER(CL8,$PI8)*(1-$CV8),IF($AR8=$TK$9,$PJ8*POWER(CL8,$PK8)*(1-$CV8),0))</f>
        <v>0</v>
      </c>
      <c r="DI8" s="151">
        <f t="shared" ref="DI8:DI24" si="166">IF($AR8=$TK$8,$PH8*POWER(CM8,$PI8)*(1-$CV8),IF($AR8=$TK$9,$PJ8*POWER(CM8,$PK8)*(1-$CV8),0))</f>
        <v>0</v>
      </c>
      <c r="DJ8" s="151">
        <f t="shared" ref="DJ8:DJ24" si="167">IF($AR8=$TK$8,$PL8*POWER(CR8,$PM8)*((1-$CV8)/CW8),IF($AR8=$TK$9,$PN8*POWER(CR8,$PO8)*((1-$CV8)/CW8),0))</f>
        <v>0</v>
      </c>
      <c r="DK8" s="151">
        <f t="shared" ref="DK8:DK24" si="168">IF($AR8=$TK$8,$PL8*POWER(CS8,$PM8)*((1-$CV8)/CX8),IF($AR8=$TK$9,$PN8*POWER(CS8,$PO8)*((1-$CV8)/CX8),0))</f>
        <v>0</v>
      </c>
      <c r="DL8" s="151">
        <f t="shared" ref="DL8:DL24" si="169">IF($AR8=$TK$8,$PL8*POWER(CT8,$PM8)*((1-$CV8)/CY8),IF($AR8=$TK$9,$PN8*POWER(CT8,$PO8)*((1-$CV8)/CY8),0))</f>
        <v>0</v>
      </c>
      <c r="DM8" s="151">
        <f t="shared" ref="DM8:DM24" si="170">IF($AR8=$TK$8,$PL8*POWER(CU8,$PM8)*((1-$CV8)/CZ8),IF($AR8=$TK$9,$PN8*POWER(CU8,$PO8)*((1-$CV8)/CZ8),0))</f>
        <v>0</v>
      </c>
      <c r="DN8" s="151">
        <f t="shared" ref="DN8:DN24" si="171">IF($AR8=$TK$8,$PP8*POWER(CR8,$PQ8)*((1-$CV8)/CW8),IF($AR8=$TK$9,$PR8*POWER(CR8,$PS8)*((1-$CV8)/CW8),0))</f>
        <v>0</v>
      </c>
      <c r="DO8" s="151">
        <f t="shared" ref="DO8:DO24" si="172">IF($AR8=$TK$8,$PP8*POWER(CS8,$PQ8)*((1-$CV8)/CX8),IF($AR8=$TK$9,$PR8*POWER(CS8,$PS8)*((1-$CV8)/CX8),0))</f>
        <v>0</v>
      </c>
      <c r="DP8" s="151">
        <f t="shared" ref="DP8:DP24" si="173">IF($AR8=$TK$8,$PP8*POWER(CT8,$PQ8)*((1-$CV8)/CY8),IF($AR8=$TK$9,$PR8*POWER(CT8,$PS8)*((1-$CV8)/CY8),0))</f>
        <v>0</v>
      </c>
      <c r="DQ8" s="151">
        <f t="shared" ref="DQ8:DQ24" si="174">IF($AR8=$TK$8,$PP8*POWER(CU8,$PQ8)*((1-$CV8)/CZ8),IF($AR8=$TK$9,$PR8*POWER(CU8,$PS8)*((1-$CV8)/CZ8),0))</f>
        <v>0</v>
      </c>
      <c r="DR8" s="151">
        <f t="shared" ref="DR8:DR24" si="175">IF($AR8=$TK$8,$PT8*POWER(CJ8,$PU8)*(1-$CV8),IF($AR8=$TK$9,$PV8*POWER(CJ8,$PW8)*(1-$CV8),0))</f>
        <v>0</v>
      </c>
      <c r="DS8" s="151">
        <f t="shared" ref="DS8:DS24" si="176">IF($AR8=$TK$8,$PT8*POWER(CK8,$PU8)*(1-$CV8),IF($AR8=$TK$9,$PV8*POWER(CK8,$PW8)*(1-$CV8),0))</f>
        <v>0</v>
      </c>
      <c r="DT8" s="151">
        <f t="shared" ref="DT8:DT24" si="177">IF($AR8=$TK$8,$PT8*POWER(CL8,$PU8)*(1-$CV8),IF($AR8=$TK$9,$PV8*POWER(CL8,$PW8)*(1-$CV8),0))</f>
        <v>0</v>
      </c>
      <c r="DU8" s="151">
        <f t="shared" ref="DU8:DU24" si="178">IF($AR8=$TK$8,$PT8*POWER(CM8,$PU8)*(1-$CV8),IF($AR8=$TK$9,$PV8*POWER(CM8,$PW8)*(1-$CV8),0))</f>
        <v>0</v>
      </c>
      <c r="DV8" s="151">
        <f t="shared" ref="DV8:DV24" si="179">IF($AR8=$TK$8,$PX8*POWER(CJ8,$PY8)*(1-$CV8),IF($AR8=$TK$9,$PZ8*POWER(CJ8,$QA8)*(1-$CV8),0))</f>
        <v>0</v>
      </c>
      <c r="DW8" s="151">
        <f t="shared" ref="DW8:DW24" si="180">IF($AR8=$TK$8,$PX8*POWER(CK8,$PY8)*(1-$CV8),IF($AR8=$TK$9,$PZ8*POWER(CK8,$QA8)*(1-$CV8),0))</f>
        <v>0</v>
      </c>
      <c r="DX8" s="151">
        <f t="shared" ref="DX8:DX24" si="181">IF($AR8=$TK$8,$PX8*POWER(CL8,$PY8)*(1-$CV8),IF($AR8=$TK$9,$PZ8*POWER(CL8,$QA8)*(1-$CV8),0))</f>
        <v>0</v>
      </c>
      <c r="DY8" s="151">
        <f t="shared" ref="DY8:DY24" si="182">IF($AR8=$TK$8,$PX8*POWER(CM8,$PY8)*(1-$CV8),IF($AR8=$TK$9,$PZ8*POWER(CM8,$QA8)*(1-$CV8),0))</f>
        <v>0</v>
      </c>
      <c r="DZ8" s="151">
        <f t="shared" ref="DZ8:DZ24" si="183">IF($AR8=$TK$8,$QB8*POWER(CR8,$QC8)*((1-$CV8)/CW8),IF($AR8=$TK$9,$QD8*POWER(CR8,$QE8)*((1-$CV8)/CW8),0))</f>
        <v>0</v>
      </c>
      <c r="EA8" s="151">
        <f t="shared" ref="EA8:EA24" si="184">IF($AR8=$TK$8,$QB8*POWER(CS8,$QC8)*((1-$CV8)/CX8),IF($AR8=$TK$9,$QD8*POWER(CS8,$QE8)*((1-$CV8)/CX8),0))</f>
        <v>0</v>
      </c>
      <c r="EB8" s="151">
        <f t="shared" ref="EB8:EB24" si="185">IF($AR8=$TK$8,$QB8*POWER(CT8,$QC8)*((1-$CV8)/CY8),IF($AR8=$TK$9,$QD8*POWER(CT8,$QE8)*((1-$CV8)/CY8),0))</f>
        <v>0</v>
      </c>
      <c r="EC8" s="151">
        <f t="shared" ref="EC8:EC24" si="186">IF($AR8=$TK$8,$QB8*POWER(CU8,$QC8)*((1-$CV8)/CZ8),IF($AR8=$TK$9,$QD8*POWER(CU8,$QE8)*((1-$CV8)/CZ8),0))</f>
        <v>0</v>
      </c>
      <c r="ED8" s="151">
        <f t="shared" ref="ED8:ED24" si="187">IF($AR8=$TK$8,$QF8*POWER(CR8,$QG8)*((1-$CV8)/CW8),IF($AR8=$TK$9,$QH8*POWER(CR8,$QI8)*((1-$CV8)/CW8),0))</f>
        <v>0</v>
      </c>
      <c r="EE8" s="151">
        <f t="shared" ref="EE8:EE24" si="188">IF($AR8=$TK$8,$QF8*POWER(CS8,$QG8)*((1-$CV8)/CX8),IF($AR8=$TK$9,$QH8*POWER(CS8,$QI8)*((1-$CV8)/CX8),0))</f>
        <v>0</v>
      </c>
      <c r="EF8" s="151">
        <f t="shared" ref="EF8:EF24" si="189">IF($AR8=$TK$8,$QF8*POWER(CT8,$QG8)*((1-$CV8)/CY8),IF($AR8=$TK$9,$QH8*POWER(CT8,$QI8)*((1-$CV8)/CY8),0))</f>
        <v>0</v>
      </c>
      <c r="EG8" s="151">
        <f t="shared" ref="EG8:EG24" si="190">IF($AR8=$TK$8,$QF8*POWER(CU8,$QG8)*((1-$CV8)/CZ8),IF($AR8=$TK$9,$QH8*POWER(CU8,$QI8)*((1-$CV8)/CZ8),0))</f>
        <v>0</v>
      </c>
      <c r="EH8" s="151">
        <f>IF(CA8=$TK$5,1,MIN(CJ8/'Tables - Part 3.B'!$C$8,1))</f>
        <v>2.7561009233599148E-2</v>
      </c>
      <c r="EI8" s="151">
        <f>IF(CB8=$TK$5,1,MIN(CK8/'Tables - Part 3.B'!$C$8,1))</f>
        <v>0.42054762624510411</v>
      </c>
      <c r="EJ8" s="151">
        <f>IF(CC8=$TK$5,1,MIN(CL8/'Tables - Part 3.B'!$C$8,1))</f>
        <v>1</v>
      </c>
      <c r="EK8" s="151">
        <f>IF(CD8=$TK$5,1,MIN(CM8/'Tables - Part 3.B'!$C$8,1))</f>
        <v>1</v>
      </c>
      <c r="EL8" s="151" t="e">
        <f t="shared" ref="EL8:EO24" si="191">IF($OP8+$TK$18&lt;=$AX8,0,IF(AND(($OP8+$TK$18)&gt;$AX8,($OP8-$TK$18)&lt;$AX8),($OP8-$AX8+$TK$18)/(2*$TK$18),1))</f>
        <v>#VALUE!</v>
      </c>
      <c r="EM8" s="151" t="e">
        <f t="shared" si="48"/>
        <v>#VALUE!</v>
      </c>
      <c r="EN8" s="151" t="e">
        <f t="shared" si="48"/>
        <v>#VALUE!</v>
      </c>
      <c r="EO8" s="151" t="e">
        <f t="shared" si="48"/>
        <v>#VALUE!</v>
      </c>
      <c r="EP8" s="151">
        <f t="shared" ref="EP8:EP24" si="192">DN8*EH8+DF8*(1-EH8)</f>
        <v>0</v>
      </c>
      <c r="EQ8" s="151">
        <f t="shared" si="49"/>
        <v>0</v>
      </c>
      <c r="ER8" s="151">
        <f t="shared" si="49"/>
        <v>0</v>
      </c>
      <c r="ES8" s="151">
        <f t="shared" si="49"/>
        <v>0</v>
      </c>
      <c r="ET8" s="151">
        <f t="shared" ref="ET8:ET24" si="193">ED8*EH8+DV8*(1-EH8)</f>
        <v>0</v>
      </c>
      <c r="EU8" s="151">
        <f t="shared" si="50"/>
        <v>0</v>
      </c>
      <c r="EV8" s="151">
        <f t="shared" si="50"/>
        <v>0</v>
      </c>
      <c r="EW8" s="151">
        <f t="shared" si="50"/>
        <v>0</v>
      </c>
      <c r="EX8" s="151">
        <f t="shared" ref="EX8:EX24" si="194">DJ8*EH8+DB8*(1-EH8)</f>
        <v>0</v>
      </c>
      <c r="EY8" s="151">
        <f t="shared" si="51"/>
        <v>0</v>
      </c>
      <c r="EZ8" s="151">
        <f t="shared" si="51"/>
        <v>0</v>
      </c>
      <c r="FA8" s="151">
        <f t="shared" si="51"/>
        <v>0</v>
      </c>
      <c r="FB8" s="151">
        <f t="shared" ref="FB8:FB24" si="195">DZ8*EH8+DR8*(1-EH8)</f>
        <v>0</v>
      </c>
      <c r="FC8" s="151">
        <f t="shared" si="52"/>
        <v>0</v>
      </c>
      <c r="FD8" s="151">
        <f t="shared" si="52"/>
        <v>0</v>
      </c>
      <c r="FE8" s="151">
        <f t="shared" si="52"/>
        <v>0</v>
      </c>
      <c r="FF8" s="151" t="e">
        <f t="shared" ref="FF8:FF24" si="196">EP8*EL8+EX8*(1-EL8)</f>
        <v>#VALUE!</v>
      </c>
      <c r="FG8" s="151" t="e">
        <f t="shared" si="53"/>
        <v>#VALUE!</v>
      </c>
      <c r="FH8" s="151" t="e">
        <f t="shared" si="53"/>
        <v>#VALUE!</v>
      </c>
      <c r="FI8" s="151" t="e">
        <f t="shared" si="53"/>
        <v>#VALUE!</v>
      </c>
      <c r="FJ8" s="151" t="e">
        <f t="shared" ref="FJ8:FJ24" si="197">ET8*EL8+FB8*(1-EL8)</f>
        <v>#VALUE!</v>
      </c>
      <c r="FK8" s="151" t="e">
        <f>EU8*EM8+FC8*(1-EM8)</f>
        <v>#VALUE!</v>
      </c>
      <c r="FL8" s="151" t="e">
        <f t="shared" si="54"/>
        <v>#VALUE!</v>
      </c>
      <c r="FM8" s="288" t="e">
        <f t="shared" si="54"/>
        <v>#VALUE!</v>
      </c>
      <c r="FN8" s="299">
        <f t="shared" ref="FN8:FN24" si="198">IF(ISERROR(AX8),0,IF($BU8="",0,($BQ8*FF8+$BR8*FG8+$BS8*FH8+$BT8*FI8)/$BU8))</f>
        <v>0</v>
      </c>
      <c r="FO8" s="511">
        <f t="shared" ref="FO8:FO24" si="199">IF(ISERROR(AX8),0,IF($BU8="",0,($BQ8*FJ8+$BR8*FK8+$BS8*FL8+$BT8*FM8)/$BU8))</f>
        <v>0</v>
      </c>
      <c r="FP8" s="150">
        <f t="shared" ref="FP8:FP24" si="200">MIN(3600,CR8/BV8,60*CF8)</f>
        <v>1440</v>
      </c>
      <c r="FQ8" s="151">
        <f t="shared" ref="FQ8:FQ24" si="201">MIN(3600,CS8/BW8,60*CG8)</f>
        <v>293.79476298896577</v>
      </c>
      <c r="FR8" s="151">
        <f t="shared" ref="FR8:FR24" si="202">MIN(3600,CT8/BX8,60*CH8)</f>
        <v>45.347561040405104</v>
      </c>
      <c r="FS8" s="151">
        <f t="shared" ref="FS8:FS24" si="203">MIN(3600,CU8/BY8,60*CI8)</f>
        <v>11.419036412443031</v>
      </c>
      <c r="FT8" s="151">
        <f t="shared" si="55"/>
        <v>0</v>
      </c>
      <c r="FU8" s="151">
        <f t="shared" si="56"/>
        <v>0</v>
      </c>
      <c r="FV8" s="151">
        <f t="shared" si="57"/>
        <v>0</v>
      </c>
      <c r="FW8" s="151">
        <f t="shared" si="58"/>
        <v>0</v>
      </c>
      <c r="FX8" s="151">
        <f t="shared" si="59"/>
        <v>0</v>
      </c>
      <c r="FY8" s="151">
        <f t="shared" si="60"/>
        <v>0</v>
      </c>
      <c r="FZ8" s="151">
        <f t="shared" si="61"/>
        <v>0</v>
      </c>
      <c r="GA8" s="151">
        <f t="shared" si="62"/>
        <v>0</v>
      </c>
      <c r="GB8" s="151">
        <f>IF(CA8=$TK$6,'Tables - Part 3.B'!$C$10*(('Tables - Part 3.B'!$C$7*COF!FT8)^COF!GR8*10^COF!GV8),IF(CA8=$TK$5,'Tables - Part 3.B'!$C$10*(('Tables - Part 3.B'!$C$7*COF!FX8)^COF!GR8*10^COF!GV8),0))</f>
        <v>0</v>
      </c>
      <c r="GC8" s="151">
        <f>IF(CB8=$TK$6,'Tables - Part 3.B'!$C$10*(('Tables - Part 3.B'!$C$7*COF!FU8)^COF!GS8*10^COF!GW8),IF(CB8=$TK$5,'Tables - Part 3.B'!$C$10*(('Tables - Part 3.B'!$C$7*COF!FY8)^COF!GS8*10^COF!GW8),0))</f>
        <v>0</v>
      </c>
      <c r="GD8" s="151">
        <f>IF(CC8=$TK$6,'Tables - Part 3.B'!$C$10*(('Tables - Part 3.B'!$C$7*COF!FV8)^COF!GT8*10^COF!GX8),IF(CC8=$TK$5,'Tables - Part 3.B'!$C$10*(('Tables - Part 3.B'!$C$7*COF!FZ8)^COF!GT8*10^COF!GX8),0))</f>
        <v>0</v>
      </c>
      <c r="GE8" s="151">
        <f>IF(CD8=$TK$6,'Tables - Part 3.B'!$C$10*(('Tables - Part 3.B'!$C$7*COF!FW8)^COF!GU8*10^COF!GY8),IF(CD8=$TK$5,'Tables - Part 3.B'!$C$10*(('Tables - Part 3.B'!$C$7*COF!GA8)^COF!GU8*10^COF!GY8),0))</f>
        <v>0</v>
      </c>
      <c r="GF8" s="152">
        <f>FP8/60</f>
        <v>24</v>
      </c>
      <c r="GG8" s="152">
        <f t="shared" si="63"/>
        <v>4.8965793831494295</v>
      </c>
      <c r="GH8" s="152">
        <f t="shared" si="64"/>
        <v>0.7557926840067517</v>
      </c>
      <c r="GI8" s="152">
        <f t="shared" si="65"/>
        <v>0.19031727354071717</v>
      </c>
      <c r="GJ8" s="152">
        <f>IF(GF8&lt;'Tables - Part 3'!$CK$5,0,LOOKUP(GF8,'Tables - Part 3'!$CK$5:$CK$9))</f>
        <v>20</v>
      </c>
      <c r="GK8" s="152">
        <f>IF(GG8&lt;'Tables - Part 3'!$CK$5,0,LOOKUP(GG8,'Tables - Part 3'!$CK$5:$CK$9))</f>
        <v>0</v>
      </c>
      <c r="GL8" s="152">
        <f>IF(GH8&lt;'Tables - Part 3'!$CK$5,0,LOOKUP(GH8,'Tables - Part 3'!$CK$5:$CK$9))</f>
        <v>0</v>
      </c>
      <c r="GM8" s="152">
        <f>IF(GI8&lt;'Tables - Part 3'!$CK$5,0,LOOKUP(GI8,'Tables - Part 3'!$CK$5:$CK$9))</f>
        <v>0</v>
      </c>
      <c r="GN8" s="152">
        <f>IF(GF8&lt;'Tables - Part 3'!$CK$5,'Tables - Part 3'!$CK$5,IF(COF!GF8&lt;'Tables - Part 3'!$CK$6,'Tables - Part 3'!$CK$6,IF(COF!GF8&lt;'Tables - Part 3'!$CK$7,'Tables - Part 3'!$CK$7,IF(COF!GF8&lt;'Tables - Part 3'!$CK$8,'Tables - Part 3'!$CK$8,IF(COF!GF8&lt;'Tables - Part 3'!$CK$9,'Tables - Part 3'!$CK$9)))))</f>
        <v>40</v>
      </c>
      <c r="GO8" s="152">
        <f>IF(GG8&lt;'Tables - Part 3'!$CK$5,'Tables - Part 3'!$CK$5,IF(COF!GG8&lt;'Tables - Part 3'!$CK$6,'Tables - Part 3'!$CK$6,IF(COF!GG8&lt;'Tables - Part 3'!$CK$7,'Tables - Part 3'!$CK$7,IF(COF!GG8&lt;'Tables - Part 3'!$CK$8,'Tables - Part 3'!$CK$8,IF(COF!GG8&lt;'Tables - Part 3'!$CK$9,'Tables - Part 3'!$CK$9)))))</f>
        <v>5</v>
      </c>
      <c r="GP8" s="152">
        <f>IF(GH8&lt;'Tables - Part 3'!$CK$5,'Tables - Part 3'!$CK$5,IF(COF!GH8&lt;'Tables - Part 3'!$CK$6,'Tables - Part 3'!$CK$6,IF(COF!GH8&lt;'Tables - Part 3'!$CK$7,'Tables - Part 3'!$CK$7,IF(COF!GH8&lt;'Tables - Part 3'!$CK$8,'Tables - Part 3'!$CK$8,IF(COF!GH8&lt;'Tables - Part 3'!$CK$9,'Tables - Part 3'!$CK$9)))))</f>
        <v>5</v>
      </c>
      <c r="GQ8" s="152">
        <f>IF(GI8&lt;'Tables - Part 3'!$CK$5,'Tables - Part 3'!$CK$5,IF(COF!GI8&lt;'Tables - Part 3'!$CK$6,'Tables - Part 3'!$CK$6,IF(COF!GI8&lt;'Tables - Part 3'!$CK$7,'Tables - Part 3'!$CK$7,IF(COF!GI8&lt;'Tables - Part 3'!$CK$8,'Tables - Part 3'!$CK$8,IF(COF!GI8&lt;'Tables - Part 3'!$CK$9,'Tables - Part 3'!$CK$9)))))</f>
        <v>5</v>
      </c>
      <c r="GR8" s="151">
        <f>IF(CA8=$TK$5,'Tables - Part 3'!$CL$10,IF(COF!CA8=COF!$TK$6,IF(COF!GF8&lt;'Tables - Part 3'!$CK$5,'Tables - Part 3'!$CL$5,IF(GF8&gt;='Tables - Part 3'!$CK$9,'Tables - Part 3'!$CL$9,((COF!GF8-COF!GJ8)*(INDEX('Tables - Part 3'!$CL$5:$CL$9,MATCH(COF!GN8,'Tables - Part 3'!$CK$5:$CK$9,0))-INDEX('Tables - Part 3'!$CL$5:$CL$9,MATCH(COF!GJ8,'Tables - Part 3'!$CK$5:$CK$9,0)))/(GN8-GJ8)+INDEX('Tables - Part 3'!$CL$5:$CL$9,MATCH(COF!GJ8,'Tables - Part 3'!$CK$5:$CK$9,0)))))))</f>
        <v>1.08412</v>
      </c>
      <c r="GS8" s="151">
        <f>IF(CB8=$TK$5,'Tables - Part 3'!$CL$10,IF(COF!CB8=COF!$TK$6,IF(COF!GG8&lt;'Tables - Part 3'!$CK$5,'Tables - Part 3'!$CL$5,IF(GG8&gt;='Tables - Part 3'!$CK$9,'Tables - Part 3'!$CL$9,((COF!GG8-COF!GK8)*(INDEX('Tables - Part 3'!$CL$5:$CL$9,MATCH(COF!GO8,'Tables - Part 3'!$CK$5:$CK$9,0))-INDEX('Tables - Part 3'!$CL$5:$CL$9,MATCH(COF!GK8,'Tables - Part 3'!$CK$5:$CK$9,0)))/(GO8-GK8)+INDEX('Tables - Part 3'!$CL$5:$CL$9,MATCH(COF!GK8,'Tables - Part 3'!$CK$5:$CK$9,0)))))))</f>
        <v>1.1400999999999999</v>
      </c>
      <c r="GT8" s="151">
        <f>IF(CC8=$TK$5,'Tables - Part 3'!$CL$10,IF(COF!CC8=COF!$TK$6,IF(COF!GH8&lt;'Tables - Part 3'!$CK$5,'Tables - Part 3'!$CL$5,IF(GH8&gt;='Tables - Part 3'!$CK$9,'Tables - Part 3'!$CL$9,((COF!GH8-COF!GL8)*(INDEX('Tables - Part 3'!$CL$5:$CL$9,MATCH(COF!GP8,'Tables - Part 3'!$CK$5:$CK$9,0))-INDEX('Tables - Part 3'!$CL$5:$CL$9,MATCH(COF!GL8,'Tables - Part 3'!$CK$5:$CK$9,0)))/(GP8-GL8)+INDEX('Tables - Part 3'!$CL$5:$CL$9,MATCH(COF!GL8,'Tables - Part 3'!$CK$5:$CK$9,0)))))))</f>
        <v>1.4056</v>
      </c>
      <c r="GU8" s="151">
        <f>IF(CD8=$TK$5,'Tables - Part 3'!$CL$10,IF(COF!CD8=COF!$TK$6,IF(COF!GI8&lt;'Tables - Part 3'!$CK$5,'Tables - Part 3'!$CL$5,IF(GI8&gt;='Tables - Part 3'!$CK$9,'Tables - Part 3'!$CL$9,((COF!GI8-COF!GM8)*(INDEX('Tables - Part 3'!$CL$5:$CL$9,MATCH(COF!GQ8,'Tables - Part 3'!$CK$5:$CK$9,0))-INDEX('Tables - Part 3'!$CL$5:$CL$9,MATCH(COF!GM8,'Tables - Part 3'!$CK$5:$CK$9,0)))/(GQ8-GM8)+INDEX('Tables - Part 3'!$CL$5:$CL$9,MATCH(COF!GM8,'Tables - Part 3'!$CK$5:$CK$9,0)))))))</f>
        <v>1.4056</v>
      </c>
      <c r="GV8" s="151">
        <f>IF(CA8=$TK$5,'Tables - Part 3'!$CM$10,IF(COF!CA8=COF!$TK$6,IF(GF8&lt;'Tables - Part 3'!$CK$5,'Tables - Part 3'!$CM$5,IF(GF8&gt;='Tables - Part 3'!$CK$9,'Tables - Part 3'!$CM$9,((COF!GF8-COF!GJ8)*(INDEX('Tables - Part 3'!$CM$5:$CM$9,MATCH(COF!GN8,'Tables - Part 3'!$CK$5:$CK$9,0))-INDEX('Tables - Part 3'!$CM$5:$CM$9,MATCH(COF!GJ8,'Tables - Part 3'!$CK$5:$CK$9,0)))/(GN8-GJ8)+INDEX('Tables - Part 3'!$CM$5:$CM$9,MATCH(COF!GJ8,'Tables - Part 3'!$CK$5:$CK$9,0)))))))</f>
        <v>4.1490999999999998</v>
      </c>
      <c r="GW8" s="151">
        <f>IF(CB8=$TK$5,'Tables - Part 3'!$CM$10,IF(COF!CB8=COF!$TK$6,IF(GG8&lt;'Tables - Part 3'!$CK$5,'Tables - Part 3'!$CM$5,IF(GG8&gt;='Tables - Part 3'!$CK$9,'Tables - Part 3'!$CM$9,((COF!GG8-COF!GK8)*(INDEX('Tables - Part 3'!$CM$5:$CM$9,MATCH(COF!GO8,'Tables - Part 3'!$CK$5:$CK$9,0))-INDEX('Tables - Part 3'!$CM$5:$CM$9,MATCH(COF!GK8,'Tables - Part 3'!$CK$5:$CK$9,0)))/(GO8-GK8)+INDEX('Tables - Part 3'!$CM$5:$CM$9,MATCH(COF!GK8,'Tables - Part 3'!$CK$5:$CK$9,0)))))))</f>
        <v>3.5682999999999998</v>
      </c>
      <c r="GX8" s="151">
        <f>IF(CC8=$TK$5,'Tables - Part 3'!$CM$10,IF(COF!CC8=COF!$TK$6,IF(GH8&lt;'Tables - Part 3'!$CK$5,'Tables - Part 3'!$CM$5,IF(GH8&gt;='Tables - Part 3'!$CK$9,'Tables - Part 3'!$CM$9,((COF!GH8-COF!GL8)*(INDEX('Tables - Part 3'!$CM$5:$CM$9,MATCH(COF!GP8,'Tables - Part 3'!$CK$5:$CK$9,0))-INDEX('Tables - Part 3'!$CM$5:$CM$9,MATCH(COF!GL8,'Tables - Part 3'!$CK$5:$CK$9,0)))/(GP8-GL8)+INDEX('Tables - Part 3'!$CM$5:$CM$9,MATCH(COF!GL8,'Tables - Part 3'!$CK$5:$CK$9,0)))))))</f>
        <v>0.33606000000000003</v>
      </c>
      <c r="GY8" s="151">
        <f>IF(CD8=$TK$5,'Tables - Part 3'!$CM$10,IF(COF!CD8=COF!$TK$6,IF(GI8&lt;'Tables - Part 3'!$CK$5,'Tables - Part 3'!$CM$5,IF(GI8&gt;='Tables - Part 3'!$CK$9,'Tables - Part 3'!$CM$9,((COF!GI8-COF!GM8)*(INDEX('Tables - Part 3'!$CM$5:$CM$9,MATCH(COF!GQ8,'Tables - Part 3'!$CK$5:$CK$9,0))-INDEX('Tables - Part 3'!$CM$5:$CM$9,MATCH(COF!GM8,'Tables - Part 3'!$CK$5:$CK$9,0)))/(GQ8-GM8)+INDEX('Tables - Part 3'!$CM$5:$CM$9,MATCH(COF!GM8,'Tables - Part 3'!$CK$5:$CK$9,0)))))))</f>
        <v>0.33606000000000003</v>
      </c>
      <c r="GZ8" s="151">
        <f t="shared" si="66"/>
        <v>8.6817179085837311E-3</v>
      </c>
      <c r="HA8" s="151">
        <f t="shared" si="67"/>
        <v>0.13247250226720778</v>
      </c>
      <c r="HB8" s="151">
        <f t="shared" si="68"/>
        <v>2.2051902617408481</v>
      </c>
      <c r="HC8" s="151">
        <f t="shared" si="69"/>
        <v>8.7573063425064976</v>
      </c>
      <c r="HD8" s="151">
        <f t="shared" si="70"/>
        <v>12.501673788360575</v>
      </c>
      <c r="HE8" s="151">
        <f t="shared" si="71"/>
        <v>38.919727406149541</v>
      </c>
      <c r="HF8" s="151">
        <f t="shared" si="72"/>
        <v>100</v>
      </c>
      <c r="HG8" s="151">
        <f t="shared" si="73"/>
        <v>100</v>
      </c>
      <c r="HH8" s="151">
        <f>IF(CA8=$TK$6,'Tables - Part 3.B'!$C$10*(('Tables - Part 3.B'!$C$7*COF!GZ8)^COF!HL8*10^COF!HP8),IF(CA8=$TK$5,'Tables - Part 3.B'!$C$10*(('Tables - Part 3.B'!$C$7*COF!HD8)^COF!HL8*10^COF!HP8),0))</f>
        <v>12.832037436634067</v>
      </c>
      <c r="HI8" s="151">
        <f>IF(CB8=$TK$6,'Tables - Part 3.B'!$C$10*(('Tables - Part 3.B'!$C$7*COF!HA8)^COF!HM8*10^COF!HQ8),IF(CB8=$TK$5,'Tables - Part 3.B'!$C$10*(('Tables - Part 3.B'!$C$7*COF!HE8)^COF!HM8*10^COF!HQ8),0))</f>
        <v>187.62485748804997</v>
      </c>
      <c r="HJ8" s="151">
        <f>IF(CC8=$TK$6,'Tables - Part 3.B'!$C$10*(('Tables - Part 3.B'!$C$7*COF!HB8)^COF!HN8*10^COF!HR8),IF(CC8=$TK$5,'Tables - Part 3.B'!$C$10*(('Tables - Part 3.B'!$C$7*COF!HF8)^COF!HN8*10^COF!HR8),0))</f>
        <v>10447.904341166664</v>
      </c>
      <c r="HK8" s="151">
        <f>IF(CD8=$TK$6,'Tables - Part 3.B'!$C$10*(('Tables - Part 3.B'!$C$7*COF!HC8)^COF!HO8*10^COF!HS8),IF(CD8=$TK$5,'Tables - Part 3.B'!$C$10*(('Tables - Part 3.B'!$C$7*COF!HG8)^COF!HO8*10^COF!HS8),0))</f>
        <v>10447.904341166664</v>
      </c>
      <c r="HL8" s="151">
        <f>IF(CA8=$TK$5,'Tables - Part 3'!$CN$10,IF(COF!CA8=COF!$TK$6,IF(COF!GF8&lt;'Tables - Part 3'!$CK$5,'Tables - Part 3'!$CN$5,IF(GF8&gt;='Tables - Part 3'!$CK$9,'Tables - Part 3'!$CN$9,((COF!GF8-COF!GJ8)*(INDEX('Tables - Part 3'!$CN$5:$CN$9,MATCH(COF!GN8,'Tables - Part 3'!$CK$5:$CK$9,0))-INDEX('Tables - Part 3'!$CN$5:$CN$9,MATCH(COF!GJ8,'Tables - Part 3'!$CK$5:$CK$9,0)))/(GN8-GJ8)+INDEX('Tables - Part 3'!$CN$5:$CN$9,MATCH(COF!GJ8,'Tables - Part 3'!$CK$5:$CK$9,0)))))))</f>
        <v>1.2355400000000001</v>
      </c>
      <c r="HM8" s="151">
        <f>IF(CB8=$TK$5,'Tables - Part 3'!$CN$10,IF(COF!CB8=COF!$TK$6,IF(COF!GG8&lt;'Tables - Part 3'!$CK$5,'Tables - Part 3'!$CN$5,IF(GG8&gt;='Tables - Part 3'!$CK$9,'Tables - Part 3'!$CN$9,((COF!GG8-COF!GK8)*(INDEX('Tables - Part 3'!$CN$5:$CN$9,MATCH(COF!GO8,'Tables - Part 3'!$CK$5:$CK$9,0))-INDEX('Tables - Part 3'!$CN$5:$CN$9,MATCH(COF!GK8,'Tables - Part 3'!$CK$5:$CK$9,0)))/(GO8-GK8)+INDEX('Tables - Part 3'!$CN$5:$CN$9,MATCH(COF!GK8,'Tables - Part 3'!$CK$5:$CK$9,0)))))))</f>
        <v>1.2411000000000001</v>
      </c>
      <c r="HN8" s="151">
        <f>IF(CC8=$TK$5,'Tables - Part 3'!$CN$10,IF(COF!CC8=COF!$TK$6,IF(COF!GH8&lt;'Tables - Part 3'!$CK$5,'Tables - Part 3'!$CN$5,IF(GH8&gt;='Tables - Part 3'!$CK$9,'Tables - Part 3'!$CN$9,((COF!GH8-COF!GL8)*(INDEX('Tables - Part 3'!$CN$5:$CN$9,MATCH(COF!GP8,'Tables - Part 3'!$CK$5:$CK$9,0))-INDEX('Tables - Part 3'!$CN$5:$CN$9,MATCH(COF!GL8,'Tables - Part 3'!$CK$5:$CK$9,0)))/(GP8-GL8)+INDEX('Tables - Part 3'!$CN$5:$CN$9,MATCH(COF!GL8,'Tables - Part 3'!$CK$5:$CK$9,0)))))))</f>
        <v>0.96740000000000004</v>
      </c>
      <c r="HO8" s="151">
        <f>IF(CD8=$TK$5,'Tables - Part 3'!$CN$10,IF(COF!CD8=COF!$TK$6,IF(COF!GI8&lt;'Tables - Part 3'!$CK$5,'Tables - Part 3'!$CN$5,IF(GI8&gt;='Tables - Part 3'!$CK$9,'Tables - Part 3'!$CN$9,((COF!GI8-COF!GM8)*(INDEX('Tables - Part 3'!$CN$5:$CN$9,MATCH(COF!GQ8,'Tables - Part 3'!$CK$5:$CK$9,0))-INDEX('Tables - Part 3'!$CN$5:$CN$9,MATCH(COF!GM8,'Tables - Part 3'!$CK$5:$CK$9,0)))/(GQ8-GM8)+INDEX('Tables - Part 3'!$CN$5:$CN$9,MATCH(COF!GM8,'Tables - Part 3'!$CK$5:$CK$9,0)))))))</f>
        <v>0.96740000000000004</v>
      </c>
      <c r="HP8" s="151">
        <f>IF(CA8=$TK$5,'Tables - Part 3'!$CO$10,IF(COF!CA8=COF!$TK$6,IF(GF8&lt;'Tables - Part 3'!$CK$5,'Tables - Part 3'!$CO$5,IF(GF8&gt;='Tables - Part 3'!$CK$9,'Tables - Part 3'!$CO$9,((COF!GF8-COF!GJ8)*(INDEX('Tables - Part 3'!$CO$5:$CO$9,MATCH(COF!GN8,'Tables - Part 3'!$CK$5:$CK$9,0))-INDEX('Tables - Part 3'!$CO$5:$CO$9,MATCH(COF!GJ8,'Tables - Part 3'!$CK$5:$CK$9,0)))/(GN8-GJ8)+INDEX('Tables - Part 3'!$CO$5:$CO$9,MATCH(COF!GJ8,'Tables - Part 3'!$CK$5:$CK$9,0)))))))</f>
        <v>4.2629200000000003</v>
      </c>
      <c r="HQ8" s="151">
        <f>IF(CB8=$TK$5,'Tables - Part 3'!$CO$10,IF(COF!CB8=COF!$TK$6,IF(GG8&lt;'Tables - Part 3'!$CK$5,'Tables - Part 3'!$CO$5,IF(GG8&gt;='Tables - Part 3'!$CK$9,'Tables - Part 3'!$CO$9,((COF!GG8-COF!GK8)*(INDEX('Tables - Part 3'!$CO$5:$CO$9,MATCH(COF!GO8,'Tables - Part 3'!$CK$5:$CK$9,0))-INDEX('Tables - Part 3'!$CO$5:$CO$9,MATCH(COF!GK8,'Tables - Part 3'!$CK$5:$CK$9,0)))/(GO8-GK8)+INDEX('Tables - Part 3'!$CO$5:$CO$9,MATCH(COF!GK8,'Tables - Part 3'!$CK$5:$CK$9,0)))))))</f>
        <v>3.9685999999999999</v>
      </c>
      <c r="HR8" s="151">
        <f>IF(CC8=$TK$5,'Tables - Part 3'!$CO$10,IF(COF!CC8=COF!$TK$6,IF(GH8&lt;'Tables - Part 3'!$CK$5,'Tables - Part 3'!$CO$5,IF(GH8&gt;='Tables - Part 3'!$CK$9,'Tables - Part 3'!$CO$9,((COF!GH8-COF!GL8)*(INDEX('Tables - Part 3'!$CO$5:$CO$9,MATCH(COF!GP8,'Tables - Part 3'!$CK$5:$CK$9,0))-INDEX('Tables - Part 3'!$CO$5:$CO$9,MATCH(COF!GL8,'Tables - Part 3'!$CK$5:$CK$9,0)))/(GP8-GL8)+INDEX('Tables - Part 3'!$CO$5:$CO$9,MATCH(COF!GL8,'Tables - Part 3'!$CK$5:$CK$9,0)))))))</f>
        <v>2.7839999999999998</v>
      </c>
      <c r="HS8" s="151">
        <f>IF(CD8=$TK$5,'Tables - Part 3'!$CO$10,IF(COF!CD8=COF!$TK$6,IF(GI8&lt;'Tables - Part 3'!$CK$5,'Tables - Part 3'!$CO$5,IF(GI8&gt;='Tables - Part 3'!$CK$9,'Tables - Part 3'!$CO$9,((COF!GI8-COF!GM8)*(INDEX('Tables - Part 3'!$CO$5:$CO$9,MATCH(COF!GQ8,'Tables - Part 3'!$CK$5:$CK$9,0))-INDEX('Tables - Part 3'!$CO$5:$CO$9,MATCH(COF!GM8,'Tables - Part 3'!$CK$5:$CK$9,0)))/(GQ8-GM8)+INDEX('Tables - Part 3'!$CO$5:$CO$9,MATCH(COF!GM8,'Tables - Part 3'!$CK$5:$CK$9,0)))))))</f>
        <v>2.7839999999999998</v>
      </c>
      <c r="HT8" s="151">
        <f t="shared" si="74"/>
        <v>0</v>
      </c>
      <c r="HU8" s="151">
        <f t="shared" si="75"/>
        <v>0</v>
      </c>
      <c r="HV8" s="151">
        <f t="shared" si="76"/>
        <v>0</v>
      </c>
      <c r="HW8" s="151">
        <f t="shared" si="77"/>
        <v>0</v>
      </c>
      <c r="HX8" s="151">
        <f t="shared" si="78"/>
        <v>0</v>
      </c>
      <c r="HY8" s="151">
        <f t="shared" si="79"/>
        <v>0</v>
      </c>
      <c r="HZ8" s="151">
        <f t="shared" si="80"/>
        <v>0</v>
      </c>
      <c r="IA8" s="151">
        <f t="shared" si="81"/>
        <v>0</v>
      </c>
      <c r="IB8" s="153">
        <f t="shared" si="82"/>
        <v>0</v>
      </c>
      <c r="IC8" s="153">
        <f t="shared" si="83"/>
        <v>0</v>
      </c>
      <c r="ID8" s="153">
        <f t="shared" si="84"/>
        <v>0</v>
      </c>
      <c r="IE8" s="153">
        <f t="shared" si="85"/>
        <v>0</v>
      </c>
      <c r="IF8" s="152">
        <f>IF(GF8&lt;'Tables - Part 3'!$CQ$5,0,LOOKUP(GF8,'Tables - Part 3'!$CQ$5:$CQ$16))</f>
        <v>20</v>
      </c>
      <c r="IG8" s="152">
        <f>IF(GG8&lt;'Tables - Part 3'!$CQ$5,0,LOOKUP(GG8,'Tables - Part 3'!$CQ$5:$CQ$16))</f>
        <v>0</v>
      </c>
      <c r="IH8" s="152">
        <f>IF(GH8&lt;'Tables - Part 3'!$CQ$5,0,LOOKUP(GH8,'Tables - Part 3'!$CQ$5:$CQ$16))</f>
        <v>0</v>
      </c>
      <c r="II8" s="152">
        <f>IF(GI8&lt;'Tables - Part 3'!$CQ$5,0,LOOKUP(GI8,'Tables - Part 3'!$CQ$5:$CQ$16))</f>
        <v>0</v>
      </c>
      <c r="IJ8" s="152">
        <f>IF(GF8&lt;'Tables - Part 3'!$CQ$5,'Tables - Part 3'!$CQ$5,IF(COF!GF8&lt;'Tables - Part 3'!$CQ$6,'Tables - Part 3'!$CQ$6,IF(COF!GF8&lt;'Tables - Part 3'!$CQ$7,'Tables - Part 3'!$CQ$7,IF(COF!GF8&lt;'Tables - Part 3'!$CQ$8,'Tables - Part 3'!$CQ$8,IF(COF!GF8&lt;'Tables - Part 3'!$CQ$9,'Tables - Part 3'!$CQ$9,IF(COF!GF8&lt;'Tables - Part 3'!$CQ$10,'Tables - Part 3'!$CQ$10,IF(COF!GF8&lt;'Tables - Part 3'!$CQ$11,'Tables - Part 3'!$CQ$11,IF(COF!GF8&lt;'Tables - Part 3'!$CQ$12,'Tables - Part 3'!$CQ$12,IF(COF!GF8&lt;'Tables - Part 3'!$CQ$13,'Tables - Part 3'!$CQ$13,IF(COF!GF8&lt;'Tables - Part 3'!$CQ$14,'Tables - Part 3'!$CQ$14,IF(COF!GF8&lt;'Tables - Part 3'!$CQ$15,'Tables - Part 3'!$CQ$15,IF(COF!GF8&lt;'Tables - Part 3'!$CQ$16,'Tables - Part 3'!$CQ$16))))))))))))</f>
        <v>25</v>
      </c>
      <c r="IK8" s="152">
        <f>IF(GG8&lt;'Tables - Part 3'!$CQ$5,'Tables - Part 3'!$CQ$5,IF(COF!GG8&lt;'Tables - Part 3'!$CQ$6,'Tables - Part 3'!$CQ$6,IF(COF!GG8&lt;'Tables - Part 3'!$CQ$7,'Tables - Part 3'!$CQ$7,IF(COF!GG8&lt;'Tables - Part 3'!$CQ$8,'Tables - Part 3'!$CQ$8,IF(COF!GG8&lt;'Tables - Part 3'!$CQ$9,'Tables - Part 3'!$CQ$9,IF(COF!GG8&lt;'Tables - Part 3'!$CQ$10,'Tables - Part 3'!$CQ$10,IF(COF!GG8&lt;'Tables - Part 3'!$CQ$11,'Tables - Part 3'!$CQ$11,IF(COF!GG8&lt;'Tables - Part 3'!$CQ$12,'Tables - Part 3'!$CQ$12,IF(COF!GG8&lt;'Tables - Part 3'!$CQ$13,'Tables - Part 3'!$CQ$13,IF(COF!GG8&lt;'Tables - Part 3'!$CQ$14,'Tables - Part 3'!$CQ$14,IF(COF!GG8&lt;'Tables - Part 3'!$CQ$15,'Tables - Part 3'!$CQ$15,IF(COF!GG8&lt;'Tables - Part 3'!$CQ$16,'Tables - Part 3'!$CQ$16))))))))))))</f>
        <v>5</v>
      </c>
      <c r="IL8" s="152">
        <f>IF(GH8&lt;'Tables - Part 3'!$CQ$5,'Tables - Part 3'!$CQ$5,IF(COF!GH8&lt;'Tables - Part 3'!$CQ$6,'Tables - Part 3'!$CQ$6,IF(COF!GH8&lt;'Tables - Part 3'!$CQ$7,'Tables - Part 3'!$CQ$7,IF(COF!GH8&lt;'Tables - Part 3'!$CQ$8,'Tables - Part 3'!$CQ$8,IF(COF!GH8&lt;'Tables - Part 3'!$CQ$9,'Tables - Part 3'!$CQ$9,IF(COF!GH8&lt;'Tables - Part 3'!$CQ$10,'Tables - Part 3'!$CQ$10,IF(COF!GH8&lt;'Tables - Part 3'!$CQ$11,'Tables - Part 3'!$CQ$11,IF(COF!GH8&lt;'Tables - Part 3'!$CQ$12,'Tables - Part 3'!$CQ$12,IF(COF!GH8&lt;'Tables - Part 3'!$CQ$13,'Tables - Part 3'!$CQ$13,IF(COF!GH8&lt;'Tables - Part 3'!$CQ$14,'Tables - Part 3'!$CQ$14,IF(COF!GH8&lt;'Tables - Part 3'!$CQ$15,'Tables - Part 3'!$CQ$15,IF(COF!GH8&lt;'Tables - Part 3'!$CQ$16,'Tables - Part 3'!$CQ$16))))))))))))</f>
        <v>5</v>
      </c>
      <c r="IM8" s="152">
        <f>IF(GI8&lt;'Tables - Part 3'!$CQ$5,'Tables - Part 3'!$CQ$5,IF(COF!GI8&lt;'Tables - Part 3'!$CQ$6,'Tables - Part 3'!$CQ$6,IF(COF!GI8&lt;'Tables - Part 3'!$CQ$7,'Tables - Part 3'!$CQ$7,IF(COF!GI8&lt;'Tables - Part 3'!$CQ$8,'Tables - Part 3'!$CQ$8,IF(COF!GI8&lt;'Tables - Part 3'!$CQ$9,'Tables - Part 3'!$CQ$9,IF(COF!GI8&lt;'Tables - Part 3'!$CQ$10,'Tables - Part 3'!$CQ$10,IF(COF!GI8&lt;'Tables - Part 3'!$CQ$11,'Tables - Part 3'!$CQ$11,IF(COF!GI8&lt;'Tables - Part 3'!$CQ$12,'Tables - Part 3'!$CQ$12,IF(COF!GI8&lt;'Tables - Part 3'!$CQ$13,'Tables - Part 3'!$CQ$13,IF(COF!GI8&lt;'Tables - Part 3'!$CQ$14,'Tables - Part 3'!$CQ$14,IF(COF!GI8&lt;'Tables - Part 3'!$CQ$15,'Tables - Part 3'!$CQ$15,IF(COF!GI8&lt;'Tables - Part 3'!$CQ$16,'Tables - Part 3'!$CQ$16))))))))))))</f>
        <v>5</v>
      </c>
      <c r="IN8" s="151">
        <f>IF(CA8=$TK$5,'Tables - Part 3'!$CR$17,IF(COF!CA8=COF!$TK$6,IF(COF!GF8&lt;'Tables - Part 3'!$CQ$5,'Tables - Part 3'!$CR$5,IF(GF8&gt;='Tables - Part 3'!$CQ$16,'Tables - Part 3'!$CR$16,((COF!GF8-COF!IF8)*(INDEX('Tables - Part 3'!$CR$5:$CR$16,MATCH(COF!IJ8,'Tables - Part 3'!$CQ$5:$CQ$16,0))-INDEX('Tables - Part 3'!$CR$5:$CR$16,MATCH(COF!IF8,'Tables - Part 3'!$CQ$5:$CQ$16,0)))/(IJ8-IF8)+INDEX('Tables - Part 3'!$CR$5:$CR$16,MATCH(COF!IF8,'Tables - Part 3'!$CQ$5:$CQ$16,0)))))))</f>
        <v>1415.2</v>
      </c>
      <c r="IO8" s="151">
        <f>IF(CB8=$TK$5,'Tables - Part 3'!$CR$17,IF(COF!CB8=COF!$TK$6,IF(COF!GG8&lt;'Tables - Part 3'!$CQ$5,'Tables - Part 3'!$CR$5,IF(GG8&gt;='Tables - Part 3'!$CQ$16,'Tables - Part 3'!$CR$16,((COF!GG8-COF!IG8)*(INDEX('Tables - Part 3'!$CR$5:$CR$16,MATCH(COF!IK8,'Tables - Part 3'!$CQ$5:$CQ$16,0))-INDEX('Tables - Part 3'!$CR$5:$CR$16,MATCH(COF!IG8,'Tables - Part 3'!$CQ$5:$CQ$16,0)))/(IK8-IG8)+INDEX('Tables - Part 3'!$CR$5:$CR$16,MATCH(COF!IG8,'Tables - Part 3'!$CQ$5:$CQ$16,0)))))))</f>
        <v>636.70000000000005</v>
      </c>
      <c r="IP8" s="151">
        <f>IF(CC8=$TK$5,'Tables - Part 3'!$CR$17,IF(COF!CC8=COF!$TK$6,IF(COF!GH8&lt;'Tables - Part 3'!$CQ$5,'Tables - Part 3'!$CR$5,IF(GH8&gt;='Tables - Part 3'!$CQ$16,'Tables - Part 3'!$CR$16,((COF!GH8-COF!IH8)*(INDEX('Tables - Part 3'!$CR$5:$CR$16,MATCH(COF!IL8,'Tables - Part 3'!$CQ$5:$CQ$16,0))-INDEX('Tables - Part 3'!$CR$5:$CR$16,MATCH(COF!IH8,'Tables - Part 3'!$CQ$5:$CQ$16,0)))/(IL8-IH8)+INDEX('Tables - Part 3'!$CR$5:$CR$16,MATCH(COF!IH8,'Tables - Part 3'!$CQ$5:$CQ$16,0)))))))</f>
        <v>2.6840000000000002</v>
      </c>
      <c r="IQ8" s="151">
        <f>IF(CD8=$TK$5,'Tables - Part 3'!$CR$17,IF(COF!CD8=COF!$TK$6,IF(COF!GI8&lt;'Tables - Part 3'!$CQ$5,'Tables - Part 3'!$CR$5,IF(GI8&gt;='Tables - Part 3'!$CQ$16,'Tables - Part 3'!$CR$16,((COF!GI8-COF!II8)*(INDEX('Tables - Part 3'!$CR$5:$CR$16,MATCH(COF!IM8,'Tables - Part 3'!$CQ$5:$CQ$16,0))-INDEX('Tables - Part 3'!$CR$5:$CR$16,MATCH(COF!II8,'Tables - Part 3'!$CQ$5:$CQ$16,0)))/(IM8-II8)+INDEX('Tables - Part 3'!$CR$5:$CR$16,MATCH(COF!II8,'Tables - Part 3'!$CQ$5:$CQ$16,0)))))))</f>
        <v>2.6840000000000002</v>
      </c>
      <c r="IR8" s="151">
        <f>IF(CA8=$TK$5,'Tables - Part 3'!$CS$17,IF(COF!CA8=COF!$TK$6,IF(COF!GF8&lt;'Tables - Part 3'!$CQ$5,'Tables - Part 3'!$CS$5,IF(GF8&gt;='Tables - Part 3'!$CQ$16,'Tables - Part 3'!$CS$16,((COF!GF8-COF!IF8)*(INDEX('Tables - Part 3'!$CS$5:$CS$16,MATCH(COF!IJ8,'Tables - Part 3'!$CQ$5:$CQ$16,0))-INDEX('Tables - Part 3'!$CS$5:$CS$16,MATCH(COF!IF8,'Tables - Part 3'!$CQ$5:$CQ$16,0)))/(IJ8-IF8)+INDEX('Tables - Part 3'!$CS$5:$CS$16,MATCH(COF!IF8,'Tables - Part 3'!$CQ$5:$CQ$16,0)))))))</f>
        <v>1.1763999999999999</v>
      </c>
      <c r="IS8" s="151">
        <f>IF(CB8=$TK$5,'Tables - Part 3'!$CS$17,IF(COF!CB8=COF!$TK$6,IF(COF!GG8&lt;'Tables - Part 3'!$CQ$5,'Tables - Part 3'!$CS$5,IF(GG8&gt;='Tables - Part 3'!$CQ$16,'Tables - Part 3'!$CS$16,((COF!GG8-COF!IG8)*(INDEX('Tables - Part 3'!$CS$5:$CS$16,MATCH(COF!IK8,'Tables - Part 3'!$CQ$5:$CQ$16,0))-INDEX('Tables - Part 3'!$CS$5:$CS$16,MATCH(COF!IG8,'Tables - Part 3'!$CQ$5:$CQ$16,0)))/(IK8-IG8)+INDEX('Tables - Part 3'!$CS$5:$CS$16,MATCH(COF!IG8,'Tables - Part 3'!$CQ$5:$CQ$16,0)))))))</f>
        <v>1.1830000000000001</v>
      </c>
      <c r="IT8" s="151">
        <f>IF(CC8=$TK$5,'Tables - Part 3'!$CS$17,IF(COF!CC8=COF!$TK$6,IF(COF!GH8&lt;'Tables - Part 3'!$CQ$5,'Tables - Part 3'!$CS$5,IF(GH8&gt;='Tables - Part 3'!$CQ$16,'Tables - Part 3'!$CS$16,((COF!GH8-COF!IH8)*(INDEX('Tables - Part 3'!$CS$5:$CS$16,MATCH(COF!IL8,'Tables - Part 3'!$CQ$5:$CQ$16,0))-INDEX('Tables - Part 3'!$CS$5:$CS$16,MATCH(COF!IH8,'Tables - Part 3'!$CQ$5:$CQ$16,0)))/(IL8-IH8)+INDEX('Tables - Part 3'!$CS$5:$CS$16,MATCH(COF!IH8,'Tables - Part 3'!$CQ$5:$CQ$16,0)))))))</f>
        <v>0.90110000000000001</v>
      </c>
      <c r="IU8" s="151">
        <f>IF(CD8=$TK$5,'Tables - Part 3'!$CS$17,IF(COF!CD8=COF!$TK$6,IF(COF!GI8&lt;'Tables - Part 3'!$CQ$5,'Tables - Part 3'!$CS$5,IF(GI8&gt;='Tables - Part 3'!$CQ$16,'Tables - Part 3'!$CS$16,((COF!GI8-COF!II8)*(INDEX('Tables - Part 3'!$CS$5:$CS$16,MATCH(COF!IM8,'Tables - Part 3'!$CQ$5:$CQ$16,0))-INDEX('Tables - Part 3'!$CS$5:$CS$16,MATCH(COF!II8,'Tables - Part 3'!$CQ$5:$CQ$16,0)))/(IM8-II8)+INDEX('Tables - Part 3'!$CS$5:$CS$16,MATCH(COF!II8,'Tables - Part 3'!$CQ$5:$CQ$16,0)))))))</f>
        <v>0.90110000000000001</v>
      </c>
      <c r="IV8" s="151">
        <f t="shared" si="86"/>
        <v>0</v>
      </c>
      <c r="IW8" s="151">
        <f t="shared" si="87"/>
        <v>0</v>
      </c>
      <c r="IX8" s="151">
        <f t="shared" si="88"/>
        <v>0</v>
      </c>
      <c r="IY8" s="151">
        <f t="shared" si="89"/>
        <v>0</v>
      </c>
      <c r="IZ8" s="151">
        <f t="shared" si="90"/>
        <v>0</v>
      </c>
      <c r="JA8" s="151">
        <f t="shared" si="91"/>
        <v>0</v>
      </c>
      <c r="JB8" s="151">
        <f t="shared" si="92"/>
        <v>0</v>
      </c>
      <c r="JC8" s="151">
        <f t="shared" si="93"/>
        <v>0</v>
      </c>
      <c r="JD8" s="151">
        <f t="shared" si="94"/>
        <v>0</v>
      </c>
      <c r="JE8" s="151">
        <f t="shared" si="95"/>
        <v>0</v>
      </c>
      <c r="JF8" s="151">
        <f t="shared" si="96"/>
        <v>0</v>
      </c>
      <c r="JG8" s="151">
        <f t="shared" si="97"/>
        <v>0</v>
      </c>
      <c r="JH8" s="151">
        <f>IF(CA8=$TK$5,'Tables - Part 3'!$CT$17,IF(COF!CA8=COF!$TK$6,IF(COF!GF8&lt;'Tables - Part 3'!$CQ$5,'Tables - Part 3'!$CT$5,IF(GF8&gt;='Tables - Part 3'!$CQ$16,'Tables - Part 3'!$CT$16,((COF!GF8-COF!IF8)*(INDEX('Tables - Part 3'!$CT$5:$CT$16,MATCH(COF!IJ8,'Tables - Part 3'!$CQ$5:$CQ$16,0))-INDEX('Tables - Part 3'!$CT$5:$CT$16,MATCH(COF!IF8,'Tables - Part 3'!$CQ$5:$CQ$16,0)))/(IJ8-IF8)+INDEX('Tables - Part 3'!$CT$5:$CT$16,MATCH(COF!IF8,'Tables - Part 3'!$CQ$5:$CQ$16,0)))))))</f>
        <v>4593.3999999999996</v>
      </c>
      <c r="JI8" s="151">
        <f>IF(CB8=$TK$5,'Tables - Part 3'!$CT$17,IF(COF!CB8=COF!$TK$6,IF(COF!GG8&lt;'Tables - Part 3'!$CQ$5,'Tables - Part 3'!$CT$5,IF(GG8&gt;='Tables - Part 3'!$CQ$16,'Tables - Part 3'!$CT$16,((COF!GG8-COF!IG8)*(INDEX('Tables - Part 3'!$CT$5:$CT$16,MATCH(COF!IK8,'Tables - Part 3'!$CQ$5:$CQ$16,0))-INDEX('Tables - Part 3'!$CT$5:$CT$16,MATCH(COF!IG8,'Tables - Part 3'!$CQ$5:$CQ$16,0)))/(IK8-IG8)+INDEX('Tables - Part 3'!$CT$5:$CT$16,MATCH(COF!IG8,'Tables - Part 3'!$CQ$5:$CQ$16,0)))))))</f>
        <v>3350</v>
      </c>
      <c r="JJ8" s="151">
        <f>IF(CC8=$TK$5,'Tables - Part 3'!$CT$17,IF(COF!CC8=COF!$TK$6,IF(COF!GH8&lt;'Tables - Part 3'!$CQ$5,'Tables - Part 3'!$CT$5,IF(GH8&gt;='Tables - Part 3'!$CQ$16,'Tables - Part 3'!$CT$16,((COF!GH8-COF!IH8)*(INDEX('Tables - Part 3'!$CT$5:$CT$16,MATCH(COF!IL8,'Tables - Part 3'!$CQ$5:$CQ$16,0))-INDEX('Tables - Part 3'!$CT$5:$CT$16,MATCH(COF!IH8,'Tables - Part 3'!$CQ$5:$CQ$16,0)))/(IL8-IH8)+INDEX('Tables - Part 3'!$CT$5:$CT$16,MATCH(COF!IH8,'Tables - Part 3'!$CQ$5:$CQ$16,0)))))))</f>
        <v>3.528</v>
      </c>
      <c r="JK8" s="151">
        <f>IF(CD8=$TK$5,'Tables - Part 3'!$CT$17,IF(COF!CD8=COF!$TK$6,IF(COF!GI8&lt;'Tables - Part 3'!$CQ$5,'Tables - Part 3'!$CT$5,IF(GI8&gt;='Tables - Part 3'!$CQ$16,'Tables - Part 3'!$CT$16,((COF!GI8-COF!II8)*(INDEX('Tables - Part 3'!$CT$5:$CT$16,MATCH(COF!IM8,'Tables - Part 3'!$CQ$5:$CQ$16,0))-INDEX('Tables - Part 3'!$CT$5:$CT$16,MATCH(COF!II8,'Tables - Part 3'!$CQ$5:$CQ$16,0)))/(IM8-II8)+INDEX('Tables - Part 3'!$CT$5:$CT$16,MATCH(COF!II8,'Tables - Part 3'!$CQ$5:$CQ$16,0)))))))</f>
        <v>3.528</v>
      </c>
      <c r="JL8" s="151">
        <f>IF(CA8=$TK$5,'Tables - Part 3'!$CU$17,IF(COF!CA8=COF!$TK$6,IF(COF!GF8&lt;'Tables - Part 3'!$CQ$5,'Tables - Part 3'!$CU$5,IF(GF8&gt;='Tables - Part 3'!$CQ$16,'Tables - Part 3'!$CU$16,((COF!GF8-COF!IF8)*(INDEX('Tables - Part 3'!$CU$5:$CU$16,MATCH(COF!IJ8,'Tables - Part 3'!$CQ$5:$CQ$16,0))-INDEX('Tables - Part 3'!$CU$5:$CU$16,MATCH(COF!IF8,'Tables - Part 3'!$CQ$5:$CQ$16,0)))/(IJ8-IF8)+INDEX('Tables - Part 3'!$CU$5:$CU$16,MATCH(COF!IF8,'Tables - Part 3'!$CQ$5:$CQ$16,0)))))))</f>
        <v>1.0857999999999999</v>
      </c>
      <c r="JM8" s="151">
        <f>IF(CB8=$TK$5,'Tables - Part 3'!$CU$17,IF(COF!CB8=COF!$TK$6,IF(COF!GG8&lt;'Tables - Part 3'!$CQ$5,'Tables - Part 3'!$CU$5,IF(GG8&gt;='Tables - Part 3'!$CQ$16,'Tables - Part 3'!$CU$16,((COF!GG8-COF!IG8)*(INDEX('Tables - Part 3'!$CU$5:$CU$16,MATCH(COF!IK8,'Tables - Part 3'!$CQ$5:$CQ$16,0))-INDEX('Tables - Part 3'!$CU$5:$CU$16,MATCH(COF!IG8,'Tables - Part 3'!$CQ$5:$CQ$16,0)))/(IK8-IG8)+INDEX('Tables - Part 3'!$CU$5:$CU$16,MATCH(COF!IG8,'Tables - Part 3'!$CQ$5:$CQ$16,0)))))))</f>
        <v>1.097</v>
      </c>
      <c r="JN8" s="151">
        <f>IF(CC8=$TK$5,'Tables - Part 3'!$CU$17,IF(COF!CC8=COF!$TK$6,IF(COF!GH8&lt;'Tables - Part 3'!$CQ$5,'Tables - Part 3'!$CU$5,IF(GH8&gt;='Tables - Part 3'!$CQ$16,'Tables - Part 3'!$CU$16,((COF!GH8-COF!IH8)*(INDEX('Tables - Part 3'!$CU$5:$CU$16,MATCH(COF!IL8,'Tables - Part 3'!$CQ$5:$CQ$16,0))-INDEX('Tables - Part 3'!$CU$5:$CU$16,MATCH(COF!IH8,'Tables - Part 3'!$CQ$5:$CQ$16,0)))/(IL8-IH8)+INDEX('Tables - Part 3'!$CU$5:$CU$16,MATCH(COF!IH8,'Tables - Part 3'!$CQ$5:$CQ$16,0)))))))</f>
        <v>1.177</v>
      </c>
      <c r="JO8" s="151">
        <f>IF(CD8=$TK$5,'Tables - Part 3'!$CU$17,IF(COF!CD8=COF!$TK$6,IF(COF!GI8&lt;'Tables - Part 3'!$CQ$5,'Tables - Part 3'!$CU$5,IF(GI8&gt;='Tables - Part 3'!$CQ$16,'Tables - Part 3'!$CU$16,((COF!GI8-COF!II8)*(INDEX('Tables - Part 3'!$CU$5:$CU$16,MATCH(COF!IM8,'Tables - Part 3'!$CQ$5:$CQ$16,0))-INDEX('Tables - Part 3'!$CU$5:$CU$16,MATCH(COF!II8,'Tables - Part 3'!$CQ$5:$CQ$16,0)))/(IM8-II8)+INDEX('Tables - Part 3'!$CU$5:$CU$16,MATCH(COF!II8,'Tables - Part 3'!$CQ$5:$CQ$16,0)))))))</f>
        <v>1.177</v>
      </c>
      <c r="JP8" s="282"/>
      <c r="JQ8" s="151">
        <f t="shared" si="98"/>
        <v>0</v>
      </c>
      <c r="JR8" s="151">
        <f t="shared" si="99"/>
        <v>0</v>
      </c>
      <c r="JS8" s="151">
        <f t="shared" si="100"/>
        <v>0</v>
      </c>
      <c r="JT8" s="151">
        <f t="shared" si="101"/>
        <v>0</v>
      </c>
      <c r="JU8" s="151">
        <f t="shared" ref="JU8:JU24" si="204">KG8*POWER(JQ8,KK8)</f>
        <v>0</v>
      </c>
      <c r="JV8" s="151">
        <f t="shared" ref="JV8:JV24" si="205">KH8*POWER(JR8,KL8)</f>
        <v>0</v>
      </c>
      <c r="JW8" s="151">
        <f t="shared" ref="JW8:JW24" si="206">KI8*POWER(JS8,KM8)</f>
        <v>0</v>
      </c>
      <c r="JX8" s="151">
        <f t="shared" ref="JX8:JX24" si="207">KJ8*POWER(JT8,KN8)</f>
        <v>0</v>
      </c>
      <c r="JY8" s="152">
        <f>IF(GF8&lt;'Tables - Part 3'!$CY$6,0,LOOKUP(GF8,'Tables - Part 3'!$CY$6:$CY$11))</f>
        <v>20</v>
      </c>
      <c r="JZ8" s="152">
        <f>IF(GG8&lt;'Tables - Part 3'!$CY$6,0,LOOKUP(GG8,'Tables - Part 3'!$CY$6:$CY$11))</f>
        <v>3</v>
      </c>
      <c r="KA8" s="152">
        <f>IF(GH8&lt;'Tables - Part 3'!$CY$6,0,LOOKUP(GH8,'Tables - Part 3'!$CY$6:$CY$11))</f>
        <v>0</v>
      </c>
      <c r="KB8" s="152">
        <f>IF(GI8&lt;'Tables - Part 3'!$CY$6,0,LOOKUP(GI8,'Tables - Part 3'!$CY$6:$CY$11))</f>
        <v>0</v>
      </c>
      <c r="KC8" s="152">
        <f>IF(GF8&lt;'Tables - Part 3'!$CY$6,'Tables - Part 3'!$CY$6,IF(COF!GF8&lt;'Tables - Part 3'!$CY$7,'Tables - Part 3'!$CY$7,IF(COF!GF8&lt;'Tables - Part 3'!$CY$8,'Tables - Part 3'!$CY$8,IF(COF!GF8&lt;'Tables - Part 3'!$CY$9,'Tables - Part 3'!$CY$9,IF(COF!GF8&lt;'Tables - Part 3'!$CY$10,'Tables - Part 3'!$CY$10,IF(COF!GF8&lt;'Tables - Part 3'!$CY$11,'Tables - Part 3'!$CY$11))))))</f>
        <v>40</v>
      </c>
      <c r="KD8" s="152">
        <f>IF(GG8&lt;'Tables - Part 3'!$CY$6,'Tables - Part 3'!$CY$6,IF(COF!GG8&lt;'Tables - Part 3'!$CY$7,'Tables - Part 3'!$CY$7,IF(COF!GG8&lt;'Tables - Part 3'!$CY$8,'Tables - Part 3'!$CY$8,IF(COF!GG8&lt;'Tables - Part 3'!$CY$9,'Tables - Part 3'!$CY$9,IF(COF!GG8&lt;'Tables - Part 3'!$CY$10,'Tables - Part 3'!$CY$10,IF(COF!GG8&lt;'Tables - Part 3'!$CY$11,'Tables - Part 3'!$CY$11))))))</f>
        <v>5</v>
      </c>
      <c r="KE8" s="152">
        <f>IF(GH8&lt;'Tables - Part 3'!$CY$6,'Tables - Part 3'!$CY$6,IF(COF!GH8&lt;'Tables - Part 3'!$CY$7,'Tables - Part 3'!$CY$7,IF(COF!GH8&lt;'Tables - Part 3'!$CY$8,'Tables - Part 3'!$CY$8,IF(COF!GH8&lt;'Tables - Part 3'!$CY$9,'Tables - Part 3'!$CY$9,IF(COF!GH8&lt;'Tables - Part 3'!$CY$10,'Tables - Part 3'!$CY$10,IF(COF!GH8&lt;'Tables - Part 3'!$CY$11,'Tables - Part 3'!$CY$11))))))</f>
        <v>3</v>
      </c>
      <c r="KF8" s="152">
        <f>IF(GI8&lt;'Tables - Part 3'!$CY$6,'Tables - Part 3'!$CY$6,IF(COF!GI8&lt;'Tables - Part 3'!$CY$7,'Tables - Part 3'!$CY$7,IF(COF!GI8&lt;'Tables - Part 3'!$CY$8,'Tables - Part 3'!$CY$8,IF(COF!GI8&lt;'Tables - Part 3'!$CY$9,'Tables - Part 3'!$CY$9,IF(COF!GI8&lt;'Tables - Part 3'!$CY$10,'Tables - Part 3'!$CY$10,IF(COF!GI8&lt;'Tables - Part 3'!$CY$11,'Tables - Part 3'!$CY$11))))))</f>
        <v>3</v>
      </c>
      <c r="KG8" s="151">
        <f>IF(CA8=$TK$5,'Tables - Part 3'!$CZ$6,IF(COF!CA8=COF!$TK$6,IF(COF!GF8&lt;'Tables - Part 3'!$CY$6,'Tables - Part 3'!$CZ$6,IF(GF8&gt;='Tables - Part 3'!$CY$11,'Tables - Part 3'!$CZ$11,((COF!GF8-COF!JY8)*(INDEX('Tables - Part 3'!$CZ$6:$CZ$11,MATCH(COF!KC8,'Tables - Part 3'!$CY$6:$CY$11,0))-INDEX('Tables - Part 3'!$CZ$6:$CZ$11,MATCH(COF!JY8,'Tables - Part 3'!$CY$6:$CY$11,0)))/(KC8-JY8)+INDEX('Tables - Part 3'!$CZ$6:$CZ$11,MATCH(COF!JY8,'Tables - Part 3'!$CY$6:$CY$11,0)))))))</f>
        <v>771.726</v>
      </c>
      <c r="KH8" s="151">
        <f>IF(CB8=$TK$5,'Tables - Part 3'!$CZ$6,IF(COF!CB8=COF!$TK$6,IF(COF!GG8&lt;'Tables - Part 3'!$CY$6,'Tables - Part 3'!$CZ$6,IF(GG8&gt;='Tables - Part 3'!$CY$11,'Tables - Part 3'!$CZ$11,((COF!GG8-COF!JZ8)*(INDEX('Tables - Part 3'!$CZ$6:$CZ$11,MATCH(COF!KD8,'Tables - Part 3'!$CY$6:$CY$11,0))-INDEX('Tables - Part 3'!$CZ$6:$CZ$11,MATCH(COF!JZ8,'Tables - Part 3'!$CY$6:$CY$11,0)))/(KD8-JZ8)+INDEX('Tables - Part 3'!$CZ$6:$CZ$11,MATCH(COF!JZ8,'Tables - Part 3'!$CY$6:$CY$11,0)))))))</f>
        <v>57.476561012186096</v>
      </c>
      <c r="KI8" s="151">
        <f>IF(CC8=$TK$5,'Tables - Part 3'!$CZ$6,IF(COF!CC8=COF!$TK$6,IF(COF!GH8&lt;'Tables - Part 3'!$CY$6,'Tables - Part 3'!$CZ$6,IF(GH8&gt;='Tables - Part 3'!$CY$11,'Tables - Part 3'!$CZ$11,((COF!GH8-COF!KA8)*(INDEX('Tables - Part 3'!$CZ$6:$CZ$11,MATCH(COF!KE8,'Tables - Part 3'!$CY$6:$CY$11,0))-INDEX('Tables - Part 3'!$CZ$6:$CZ$11,MATCH(COF!KA8,'Tables - Part 3'!$CY$6:$CY$11,0)))/(KE8-KA8)+INDEX('Tables - Part 3'!$CZ$6:$CZ$11,MATCH(COF!KA8,'Tables - Part 3'!$CY$6:$CY$11,0)))))))</f>
        <v>9.5500000000000007</v>
      </c>
      <c r="KJ8" s="151">
        <f>IF(CD8=$TK$5,'Tables - Part 3'!$CZ$6,IF(COF!CD8=COF!$TK$6,IF(COF!GI8&lt;'Tables - Part 3'!$CY$6,'Tables - Part 3'!$CZ$6,IF(GI8&gt;='Tables - Part 3'!$CY$11,'Tables - Part 3'!$CZ$11,((COF!GI8-COF!KB8)*(INDEX('Tables - Part 3'!$CZ$6:$CZ$11,MATCH(COF!KF8,'Tables - Part 3'!$CY$6:$CY$11,0))-INDEX('Tables - Part 3'!$CZ$6:$CZ$11,MATCH(COF!KB8,'Tables - Part 3'!$CY$6:$CY$11,0)))/(KF8-KB8)+INDEX('Tables - Part 3'!$CZ$6:$CZ$11,MATCH(COF!KB8,'Tables - Part 3'!$CY$6:$CY$11,0)))))))</f>
        <v>9.5500000000000007</v>
      </c>
      <c r="KK8" s="153">
        <f>IF(CA8=$TK$5,'Tables - Part 3'!$DA$6,IF(COF!CA8=COF!$TK$6,IF(COF!GF8&lt;'Tables - Part 3'!$CY$6,'Tables - Part 3'!$DA$6,IF(GF8&gt;='Tables - Part 3'!$CY$11,'Tables - Part 3'!$DA$11,((COF!GF8-COF!JY8)*(INDEX('Tables - Part 3'!$DA$6:$DA$11,MATCH(COF!KC8,'Tables - Part 3'!$CY$6:$CY$11,0))-INDEX('Tables - Part 3'!$DA$6:$DA$11,MATCH(COF!JY8,'Tables - Part 3'!$CY$6:$CY$11,0)))/(KC8-JY8)+INDEX('Tables - Part 3'!$DA$6:$DA$16,MATCH(COF!JY8,'Tables - Part 3'!$CY$6:$CY$11,0)))))))</f>
        <v>1.1220000000000001</v>
      </c>
      <c r="KL8" s="153">
        <f>IF(CB8=$TK$5,'Tables - Part 3'!$DA$6,IF(COF!CB8=COF!$TK$6,IF(COF!GG8&lt;'Tables - Part 3'!$CY$6,'Tables - Part 3'!$DA$6,IF(GG8&gt;='Tables - Part 3'!$CY$11,'Tables - Part 3'!$DA$11,((COF!GG8-COF!JZ8)*(INDEX('Tables - Part 3'!$DA$6:$DA$11,MATCH(COF!KD8,'Tables - Part 3'!$CY$6:$CY$11,0))-INDEX('Tables - Part 3'!$DA$6:$DA$11,MATCH(COF!JZ8,'Tables - Part 3'!$CY$6:$CY$11,0)))/(KD8-JZ8)+INDEX('Tables - Part 3'!$DA$6:$DA$16,MATCH(COF!JZ8,'Tables - Part 3'!$CY$6:$CY$11,0)))))))</f>
        <v>1.0646539277582758</v>
      </c>
      <c r="KM8" s="153">
        <f>IF(CC8=$TK$5,'Tables - Part 3'!$DA$6,IF(COF!CC8=COF!$TK$6,IF(COF!GH8&lt;'Tables - Part 3'!$CY$6,'Tables - Part 3'!$DA$6,IF(GH8&gt;='Tables - Part 3'!$CY$11,'Tables - Part 3'!$DA$11,((COF!GH8-COF!KA8)*(INDEX('Tables - Part 3'!$DA$6:$DA$11,MATCH(COF!KE8,'Tables - Part 3'!$CY$6:$CY$11,0))-INDEX('Tables - Part 3'!$DA$6:$DA$11,MATCH(COF!KA8,'Tables - Part 3'!$CY$6:$CY$11,0)))/(KE8-KA8)+INDEX('Tables - Part 3'!$DA$6:$DA$16,MATCH(COF!KA8,'Tables - Part 3'!$CY$6:$CY$11,0)))))))</f>
        <v>1.1499999999999999</v>
      </c>
      <c r="KN8" s="153">
        <f>IF(CD8=$TK$5,'Tables - Part 3'!$DA$6,IF(COF!CD8=COF!$TK$6,IF(COF!GI8&lt;'Tables - Part 3'!$CY$6,'Tables - Part 3'!$DA$6,IF(GI8&gt;='Tables - Part 3'!$CY$11,'Tables - Part 3'!$DA$11,((COF!GI8-COF!KB8)*(INDEX('Tables - Part 3'!$DA$6:$DA$11,MATCH(COF!KF8,'Tables - Part 3'!$CY$6:$CY$11,0))-INDEX('Tables - Part 3'!$DA$6:$DA$11,MATCH(COF!KB8,'Tables - Part 3'!$CY$6:$CY$11,0)))/(KF8-KB8)+INDEX('Tables - Part 3'!$DA$6:$DA$16,MATCH(COF!KB8,'Tables - Part 3'!$CY$6:$CY$11,0)))))))</f>
        <v>1.1499999999999999</v>
      </c>
      <c r="KO8" s="153">
        <f t="shared" si="102"/>
        <v>0</v>
      </c>
      <c r="KP8" s="153">
        <f t="shared" si="103"/>
        <v>0</v>
      </c>
      <c r="KQ8" s="153">
        <f t="shared" si="104"/>
        <v>0</v>
      </c>
      <c r="KR8" s="153">
        <f t="shared" si="105"/>
        <v>0</v>
      </c>
      <c r="KS8" s="151">
        <f t="shared" ref="KS8:KS24" si="208">KW8*POWER(KO8,LA8)</f>
        <v>0</v>
      </c>
      <c r="KT8" s="151">
        <f t="shared" ref="KT8:KT24" si="209">KX8*POWER(KP8,LB8)</f>
        <v>0</v>
      </c>
      <c r="KU8" s="151">
        <f t="shared" ref="KU8:KU24" si="210">KY8*POWER(KQ8,LC8)</f>
        <v>0</v>
      </c>
      <c r="KV8" s="151">
        <f t="shared" ref="KV8:KV24" si="211">KZ8*POWER(KR8,LD8)</f>
        <v>0</v>
      </c>
      <c r="KW8" s="151">
        <f>IF(CA8=$TK$5,'Tables - Part 3'!$CZ$12,IF(COF!CA8=COF!$TK$6,IF(COF!GF8&lt;'Tables - Part 3'!$CY$12,'Tables - Part 3'!$CZ$12,IF(GF8&gt;='Tables - Part 3'!$CY$17,'Tables - Part 3'!$CZ$17,((COF!GF8-COF!JY8)*(INDEX('Tables - Part 3'!$CZ$12:$CZ$17,MATCH(COF!KC8,'Tables - Part 3'!$CY$12:$CY$17,0))-INDEX('Tables - Part 3'!$CZ$12:$CZ$17,MATCH(COF!JY8,'Tables - Part 3'!$CY$12:$CY$17,0)))/(KC8-JY8)+INDEX('Tables - Part 3'!$CZ$12:$CZ$17,MATCH(COF!JY8,'Tables - Part 3'!$CY$12:$CY$17,0)))))))</f>
        <v>1130.376</v>
      </c>
      <c r="KX8" s="151">
        <f>IF(CB8=$TK$5,'Tables - Part 3'!$CZ$12,IF(COF!CB8=COF!$TK$6,IF(COF!GG8&lt;'Tables - Part 3'!$CY$12,'Tables - Part 3'!$CZ$12,IF(GG8&gt;='Tables - Part 3'!$CY$17,'Tables - Part 3'!$CZ$17,((COF!GG8-COF!JZ8)*(INDEX('Tables - Part 3'!$CZ$12:$CZ$17,MATCH(COF!KD8,'Tables - Part 3'!$CY$12:$CY$17,0))-INDEX('Tables - Part 3'!$CZ$12:$CZ$17,MATCH(COF!JZ8,'Tables - Part 3'!$CY$12:$CY$17,0)))/(KD8-JZ8)+INDEX('Tables - Part 3'!$CZ$12:$CZ$17,MATCH(COF!JZ8,'Tables - Part 3'!$CY$12:$CY$17,0)))))))</f>
        <v>119.72553767331924</v>
      </c>
      <c r="KY8" s="151">
        <f>IF(CC8=$TK$5,'Tables - Part 3'!$CZ$12,IF(COF!CC8=COF!$TK$6,IF(COF!GH8&lt;'Tables - Part 3'!$CY$12,'Tables - Part 3'!$CZ$12,IF(GH8&gt;='Tables - Part 3'!$CY$17,'Tables - Part 3'!$CZ$17,((COF!GH8-COF!KA8)*(INDEX('Tables - Part 3'!$CZ$12:$CZ$17,MATCH(COF!KE8,'Tables - Part 3'!$CY$12:$CY$17,0))-INDEX('Tables - Part 3'!$CZ$12:$CZ$17,MATCH(COF!KA8,'Tables - Part 3'!$CY$12:$CY$17,0)))/(KE8-KA8)+INDEX('Tables - Part 3'!$CZ$12:$CZ$17,MATCH(COF!KA8,'Tables - Part 3'!$CY$12:$CY$17,0)))))))</f>
        <v>47.39</v>
      </c>
      <c r="KZ8" s="151">
        <f>IF(CD8=$TK$5,'Tables - Part 3'!$CZ$12,IF(COF!CD8=COF!$TK$6,IF(COF!GI8&lt;'Tables - Part 3'!$CY$12,'Tables - Part 3'!$CZ$12,IF(GI8&gt;='Tables - Part 3'!$CY$17,'Tables - Part 3'!$CZ$17,((COF!GI8-COF!KB8)*(INDEX('Tables - Part 3'!$CZ$12:$CZ$17,MATCH(COF!KF8,'Tables - Part 3'!$CY$12:$CY$17,0))-INDEX('Tables - Part 3'!$CZ$12:$CZ$17,MATCH(COF!KB8,'Tables - Part 3'!$CY$12:$CY$17,0)))/(KF8-KB8)+INDEX('Tables - Part 3'!$CZ$12:$CZ$17,MATCH(COF!KB8,'Tables - Part 3'!$CY$12:$CY$17,0)))))))</f>
        <v>47.39</v>
      </c>
      <c r="LA8" s="151">
        <f>IF(CA8=$TK$5,'Tables - Part 3'!$DA$6,IF(COF!CA8=COF!$TK$6,IF(COF!GF8&lt;'Tables - Part 3'!$CY$6,'Tables - Part 3'!$DA$6,IF(GF8&gt;='Tables - Part 3'!$CY$11,'Tables - Part 3'!$DA$11,((COF!GF8-COF!JY8)*(INDEX('Tables - Part 3'!$DA$6:$DA$11,MATCH(COF!KC8,'Tables - Part 3'!$CY$6:$CY$11,0))-INDEX('Tables - Part 3'!$DA$6:$DA$11,MATCH(COF!JY8,'Tables - Part 3'!$CY$6:$CY$11,0)))/(KC8-JY8)+INDEX('Tables - Part 3'!$DA$5:$DA$16,MATCH(COF!JY8,'Tables - Part 3'!$CY$6:$CY$11,0)))))))</f>
        <v>1.1419999999999999</v>
      </c>
      <c r="LB8" s="151">
        <f>IF(CB8=$TK$5,'Tables - Part 3'!$DA$6,IF(COF!CB8=COF!$TK$6,IF(COF!GG8&lt;'Tables - Part 3'!$CY$6,'Tables - Part 3'!$DA$6,IF(GG8&gt;='Tables - Part 3'!$CY$11,'Tables - Part 3'!$DA$11,((COF!GG8-COF!JZ8)*(INDEX('Tables - Part 3'!$DA$6:$DA$11,MATCH(COF!KD8,'Tables - Part 3'!$CY$6:$CY$11,0))-INDEX('Tables - Part 3'!$DA$6:$DA$11,MATCH(COF!JZ8,'Tables - Part 3'!$CY$6:$CY$11,0)))/(KD8-JZ8)+INDEX('Tables - Part 3'!$DA$5:$DA$16,MATCH(COF!JZ8,'Tables - Part 3'!$CY$6:$CY$11,0)))))))</f>
        <v>0.85575392775827586</v>
      </c>
      <c r="LC8" s="151">
        <f>IF(CC8=$TK$5,'Tables - Part 3'!$DA$6,IF(COF!CC8=COF!$TK$6,IF(COF!GH8&lt;'Tables - Part 3'!$CY$6,'Tables - Part 3'!$DA$6,IF(GH8&gt;='Tables - Part 3'!$CY$11,'Tables - Part 3'!$DA$11,((COF!GH8-COF!KA8)*(INDEX('Tables - Part 3'!$DA$6:$DA$11,MATCH(COF!KE8,'Tables - Part 3'!$CY$6:$CY$11,0))-INDEX('Tables - Part 3'!$DA$6:$DA$11,MATCH(COF!KA8,'Tables - Part 3'!$CY$6:$CY$11,0)))/(KE8-KA8)+INDEX('Tables - Part 3'!$DA$5:$DA$16,MATCH(COF!KA8,'Tables - Part 3'!$CY$6:$CY$11,0)))))))</f>
        <v>1.1499999999999999</v>
      </c>
      <c r="LD8" s="151">
        <f>IF(CD8=$TK$5,'Tables - Part 3'!$DA$6,IF(COF!CD8=COF!$TK$6,IF(COF!GI8&lt;'Tables - Part 3'!$CY$6,'Tables - Part 3'!$DA$6,IF(GI8&gt;='Tables - Part 3'!$CY$11,'Tables - Part 3'!$DA$11,((COF!GI8-COF!KB8)*(INDEX('Tables - Part 3'!$DA$6:$DA$11,MATCH(COF!KF8,'Tables - Part 3'!$CY$6:$CY$11,0))-INDEX('Tables - Part 3'!$DA$6:$DA$11,MATCH(COF!KB8,'Tables - Part 3'!$CY$6:$CY$11,0)))/(KF8-KB8)+INDEX('Tables - Part 3'!$DA$5:$DA$16,MATCH(COF!KB8,'Tables - Part 3'!$CY$6:$CY$11,0)))))))</f>
        <v>1.1499999999999999</v>
      </c>
      <c r="LE8" s="154"/>
      <c r="LF8" s="154"/>
      <c r="LG8" s="154"/>
      <c r="LH8" s="154"/>
      <c r="LI8" s="154"/>
      <c r="LJ8" s="154"/>
      <c r="LK8" s="154"/>
      <c r="LL8" s="151">
        <f t="shared" ref="LL8:LL24" si="212">(BQ8*SUM(GB8,HH8,IB8,JD8,JU8,KS8))</f>
        <v>1.0265629949307253E-4</v>
      </c>
      <c r="LM8" s="151">
        <f t="shared" ref="LM8:LM24" si="213">(BR8*SUM(GC8,HI8,IC8,JE8,JV8,KT8))</f>
        <v>3.7524971497609996E-3</v>
      </c>
      <c r="LN8" s="151">
        <f t="shared" ref="LN8:LN24" si="214">(BS8*SUM(GD8,HJ8,ID8,JF8,JW8,KU8))</f>
        <v>2.0895808682333327E-2</v>
      </c>
      <c r="LO8" s="151">
        <f t="shared" ref="LO8:LO24" si="215">(BT8*SUM(GE8,HK8,IE8,JG8,JX8,KV8))</f>
        <v>6.2687426046999983E-3</v>
      </c>
      <c r="LP8" s="151">
        <f t="shared" si="106"/>
        <v>1013.7158410551435</v>
      </c>
      <c r="LQ8" s="502">
        <f>IF($F8='Tables - Part 3'!$B$17,'Tables - Part 3.B'!$C$11*COF!CJ8,0)</f>
        <v>8.5428104220463916E-2</v>
      </c>
      <c r="LR8" s="502">
        <f>IF($F8='Tables - Part 3'!$B$17,'Tables - Part 3.B'!$C$11*COF!CK8,0)</f>
        <v>1.3035294223093246</v>
      </c>
      <c r="LS8" s="502">
        <f>IF($F8='Tables - Part 3'!$B$17,'Tables - Part 3.B'!$C$11*COF!CL8,0)</f>
        <v>21.699072175529945</v>
      </c>
      <c r="LT8" s="502">
        <f>IF($F8='Tables - Part 3'!$B$17,'Tables - Part 3.B'!$C$11*COF!CM8,0)</f>
        <v>86.171894410263945</v>
      </c>
      <c r="LU8" s="502">
        <f>IF($F8='Tables - Part 3'!$B$17,'Tables - Part 3.B'!$C$12*POWER(COF!CR8,0.6384),0)</f>
        <v>924.36129047424527</v>
      </c>
      <c r="LV8" s="502">
        <f>IF($F8='Tables - Part 3'!$B$17,'Tables - Part 3.B'!$C$12*POWER(COF!CS8,0.6384),0)</f>
        <v>1908.5417692191254</v>
      </c>
      <c r="LW8" s="502">
        <f>IF($F8='Tables - Part 3'!$B$17,'Tables - Part 3.B'!$C$12*POWER(COF!CT8,0.6384),0)</f>
        <v>3486.0794062574646</v>
      </c>
      <c r="LX8" s="502">
        <f>IF($F8='Tables - Part 3'!$B$17,'Tables - Part 3.B'!$C$12*POWER(COF!CU8,0.6384),0)</f>
        <v>3486.0794062574646</v>
      </c>
      <c r="LY8" s="151">
        <f>MIN(CJ8/'Tables - Part 3.B'!$C$8,1)</f>
        <v>2.7561009233599148E-2</v>
      </c>
      <c r="LZ8" s="151">
        <f>MIN(CK8/'Tables - Part 3.B'!$C$8,1)</f>
        <v>0.42054762624510411</v>
      </c>
      <c r="MA8" s="151">
        <f>MIN(CL8/'Tables - Part 3.B'!$C$8,1)</f>
        <v>1</v>
      </c>
      <c r="MB8" s="151">
        <f>MIN(CM8/'Tables - Part 3.B'!$C$8,1)</f>
        <v>1</v>
      </c>
      <c r="MC8" s="151">
        <f t="shared" ref="MC8:MC24" si="216">LU8*LY8+LQ8*(1-LY8)</f>
        <v>25.559403681393533</v>
      </c>
      <c r="MD8" s="151">
        <f t="shared" si="107"/>
        <v>803.38804385275103</v>
      </c>
      <c r="ME8" s="151">
        <f t="shared" si="107"/>
        <v>3486.0794062574646</v>
      </c>
      <c r="MF8" s="151">
        <f t="shared" si="107"/>
        <v>3486.0794062574646</v>
      </c>
      <c r="MG8" s="502">
        <f>IF($F8='Tables - Part 3'!$B$18,0.2*'Tables - Part 3.B'!$C$10*$ML8*POWER('Tables - Part 3.B'!$C$7*CJ8,$MM8),0)</f>
        <v>0</v>
      </c>
      <c r="MH8" s="502">
        <f>IF($F8='Tables - Part 3'!$B$18,0.2*'Tables - Part 3.B'!$C$10*$ML8*POWER('Tables - Part 3.B'!$C$7*CK8,$MM8),0)</f>
        <v>0</v>
      </c>
      <c r="MI8" s="502">
        <f>IF($F8='Tables - Part 3'!$B$18,0.2*'Tables - Part 3.B'!$C$10*$ML8*POWER('Tables - Part 3.B'!$C$7*CL8,$MM8),0)</f>
        <v>0</v>
      </c>
      <c r="MJ8" s="502">
        <f>IF($F8='Tables - Part 3'!$B$18,0.2*'Tables - Part 3.B'!$C$10*$ML8*POWER('Tables - Part 3.B'!$C$7*CM8,$MM8),0)</f>
        <v>0</v>
      </c>
      <c r="MK8" s="151">
        <v>0</v>
      </c>
      <c r="ML8" s="151">
        <f>2696-21.9*'Tables - Part 3.B'!$C$13*(COF!OO8-COF!$TM$5)+1.474*POWER('Tables - Part 3.B'!$C$13*(COF!OO8-COF!$TM$5),2)</f>
        <v>29385.917811318632</v>
      </c>
      <c r="MM8" s="151">
        <f>0.31-0.00032*POWER('Tables - Part 3.B'!$C$13*(COF!OO8-COF!$TM$5)-40,2)</f>
        <v>-3.0321149704897987</v>
      </c>
      <c r="MN8" s="151">
        <v>0</v>
      </c>
      <c r="MO8" s="151">
        <f t="shared" ref="MO8:MO24" si="217">MG8</f>
        <v>0</v>
      </c>
      <c r="MP8" s="151">
        <f t="shared" si="108"/>
        <v>0</v>
      </c>
      <c r="MQ8" s="151">
        <f t="shared" si="108"/>
        <v>0</v>
      </c>
      <c r="MR8" s="151">
        <f t="shared" si="108"/>
        <v>0</v>
      </c>
      <c r="MS8" s="151">
        <f t="shared" ref="MS8:MS24" si="218">BQ8*SUM(MC8,MO8)</f>
        <v>2.0447522945114826E-4</v>
      </c>
      <c r="MT8" s="151">
        <f t="shared" ref="MT8:MT24" si="219">BR8*SUM(MD8,MP8)</f>
        <v>1.6067760877055023E-2</v>
      </c>
      <c r="MU8" s="151">
        <f t="shared" ref="MU8:MU24" si="220">BS8*SUM(ME8,MQ8)</f>
        <v>6.9721588125149286E-3</v>
      </c>
      <c r="MV8" s="151">
        <f t="shared" ref="MV8:MV24" si="221">BT8*SUM(MF8,MR8)</f>
        <v>2.0916476437544788E-3</v>
      </c>
      <c r="MW8" s="151">
        <f t="shared" ref="MW8:MW24" si="222">IF(ISERROR(BU8),0,SUM(MS8:MV8)/BU8)</f>
        <v>827.97524714952863</v>
      </c>
      <c r="MX8" s="151">
        <f t="shared" ref="MX8:MX24" si="223">FN8</f>
        <v>0</v>
      </c>
      <c r="MY8" s="151">
        <f t="shared" ref="MY8:MY24" si="224">MAX(FO8,LP8,MW8)</f>
        <v>1013.7158410551435</v>
      </c>
      <c r="MZ8" s="526">
        <f t="shared" si="109"/>
        <v>1013.7158410551435</v>
      </c>
      <c r="NA8" s="151">
        <f>INDEX('Tables - Part 3'!DQ$5:DQ$32,MATCH($E8,'Tables - Part 3'!$DP$5:$DP$32,0))</f>
        <v>5000</v>
      </c>
      <c r="NB8" s="151">
        <f>INDEX('Tables - Part 3'!DR$5:DR$32,MATCH($E8,'Tables - Part 3'!$DP$5:$DP$32,0))</f>
        <v>12000</v>
      </c>
      <c r="NC8" s="151">
        <f>INDEX('Tables - Part 3'!DS$5:DS$32,MATCH($E8,'Tables - Part 3'!$DP$5:$DP$32,0))</f>
        <v>20000</v>
      </c>
      <c r="ND8" s="151">
        <f>INDEX('Tables - Part 3'!DT$5:DT$32,MATCH($E8,'Tables - Part 3'!$DP$5:$DP$32,0))</f>
        <v>40000</v>
      </c>
      <c r="NE8" s="151">
        <f>IF(W8='Tables - Part 3'!$DV$44,COF!X8,IF(OR(COF!X8&lt;&gt;0,COF!X8&lt;&gt;""),COF!X8,INDEX('Tables - Part 3'!$DW$4:$DW$43,MATCH(COF!W8,'Tables - Part 3'!$DV$4:$DV$43,0))))</f>
        <v>1</v>
      </c>
      <c r="NF8" s="151">
        <f t="shared" si="110"/>
        <v>1</v>
      </c>
      <c r="NG8" s="151">
        <f t="shared" ref="NG8:NG24" si="225">(BQ8*NA8+BR8*NB8+BS8*NC8+BT8*ND8)*NE8*NF8/BU8</f>
        <v>11241.830065359476</v>
      </c>
      <c r="NH8" s="151">
        <f t="shared" si="111"/>
        <v>0</v>
      </c>
      <c r="NI8" s="151">
        <f>INDEX('Tables - Part 3'!EC$5:EC$31,MATCH(COF!$E8,'Tables - Part 3'!$EB$5:$EB$31,0))</f>
        <v>2</v>
      </c>
      <c r="NJ8" s="151">
        <f>INDEX('Tables - Part 3'!ED$5:ED$31,MATCH(COF!$E8,'Tables - Part 3'!$EB$5:$EB$31,0))</f>
        <v>3</v>
      </c>
      <c r="NK8" s="151">
        <f>INDEX('Tables - Part 3'!EE$5:EE$31,MATCH(COF!$E8,'Tables - Part 3'!$EB$5:$EB$31,0))</f>
        <v>3</v>
      </c>
      <c r="NL8" s="151">
        <f>INDEX('Tables - Part 3'!EF$5:EF$31,MATCH(COF!$E8,'Tables - Part 3'!$EB$5:$EB$31,0))</f>
        <v>10</v>
      </c>
      <c r="NM8" s="151">
        <f t="shared" si="112"/>
        <v>1</v>
      </c>
      <c r="NN8" s="151">
        <f t="shared" ref="NN8:NN24" si="226">(BQ8*NI8+BR8*NJ8+BS8*NK8+BT8*NL8)*NM8/BU8</f>
        <v>2.8758169934640518</v>
      </c>
      <c r="NO8" s="151" t="e">
        <f t="shared" ref="NO8:NO24" si="227">POWER(10,1.242+0.585*LOG10(NH8*POWER(10,-6)))</f>
        <v>#NUM!</v>
      </c>
      <c r="NP8" s="151" t="e">
        <f t="shared" si="113"/>
        <v>#NUM!</v>
      </c>
      <c r="NQ8" s="151">
        <f t="shared" si="114"/>
        <v>2727887.799788875</v>
      </c>
      <c r="NR8" s="151">
        <f>INDEX('Tables - Part 3'!$EL$4:$EL$37,MATCH(COF!F8,'Tables - Part 3'!$EH$4:$EH$37,0))</f>
        <v>1</v>
      </c>
      <c r="NS8" s="151">
        <f>CR8*(1-$NR8)*'Tables - Part 3.B'!$C$15/COF!$AS8</f>
        <v>0</v>
      </c>
      <c r="NT8" s="151">
        <f>CS8*(1-$NR8)*'Tables - Part 3.B'!$C$15/COF!$AS8</f>
        <v>0</v>
      </c>
      <c r="NU8" s="151">
        <f>CT8*(1-$NR8)*'Tables - Part 3.B'!$C$15/COF!$AS8</f>
        <v>0</v>
      </c>
      <c r="NV8" s="151">
        <f>CU8*(1-$NR8)*'Tables - Part 3.B'!$C$15/COF!$AS8</f>
        <v>0</v>
      </c>
      <c r="NW8" s="151">
        <f t="shared" si="115"/>
        <v>0</v>
      </c>
      <c r="NX8" s="542" t="e">
        <f t="shared" si="116"/>
        <v>#NUM!</v>
      </c>
      <c r="NY8" s="156">
        <f>0.61*$ON8*$AS8*(BM8/'Tables - Part 3.B'!$C$4)*SQRT((2*$TM$13*($OO8-$TM$5)/$AS8))</f>
        <v>0.86817179085837315</v>
      </c>
      <c r="NZ8" s="155">
        <f>0.61*$ON8*$AS8*(BN8/'Tables - Part 3.B'!$C$4)*SQRT((2*$TM$13*($OO8-$TM$5)/$AS8))</f>
        <v>13.247250226720778</v>
      </c>
      <c r="OA8" s="155">
        <f>0.61*$ON8*$AS8*(BO8/'Tables - Part 3.B'!$C$4)*SQRT((2*$TM$13*($OO8-$TM$5)/$AS8))</f>
        <v>220.51902617408479</v>
      </c>
      <c r="OB8" s="155">
        <f>0.61*$ON8*$AS8*(BP8/'Tables - Part 3.B'!$C$4)*SQRT((2*$TM$13*($OO8-$TM$5)/$AS8))</f>
        <v>3493.7979813947945</v>
      </c>
      <c r="OC8" s="155">
        <f>0.61*$ON8*AS8*(32450/'Tables - Part 3.B'!$C$4)*SQRT((2*$TM$13*(OO8-$TM$5)/AS8))</f>
        <v>875.73063425064981</v>
      </c>
      <c r="OD8" s="156">
        <f>(0.9/'Tables - Part 3.B'!$C$5)*BM8*$OO8*SQRT(($AV8*$AU8*$TM$13/(8.314*$OP8))*POWER(2/($AV8+1),(($AV8+1)/($AV8-1))))</f>
        <v>1.5317210416904317</v>
      </c>
      <c r="OE8" s="156">
        <f>(0.9/'Tables - Part 3.B'!$C$5)*BN8*$OO8*SQRT(($AV8*$AU8*$TM$13/(8.314*$OP8))*POWER(2/($AV8+1),(($AV8+1)/($AV8-1))))</f>
        <v>23.372208277747063</v>
      </c>
      <c r="OF8" s="156">
        <f>(0.9/'Tables - Part 3.B'!$C$5)*BO8*$OO8*SQRT(($AV8*$AU8*$TM$13/(8.314*$OP8))*POWER(2/($AV8+1),(($AV8+1)/($AV8-1))))</f>
        <v>389.06312787468869</v>
      </c>
      <c r="OG8" s="156">
        <f>(0.9/'Tables - Part 3.B'!$C$5)*BP8*$OO8*SQRT(($AV8*$AU8*$TM$13/(8.314*$OP8))*POWER(2/($AV8+1),(($AV8+1)/($AV8-1))))</f>
        <v>6164.1301178731437</v>
      </c>
      <c r="OH8" s="156">
        <f>(0.9/'Tables - Part 3.B'!$C$5)*32450*$OO8*SQRT(($AV8*$AU8*$TM$13/(8.314*$OP8))*POWER(2/($AV8+1),(($AV8+1)/($AV8-1))))</f>
        <v>1545.0571574185706</v>
      </c>
      <c r="OI8" s="156">
        <f>(0.9/'Tables - Part 3.B'!$C$5)*BM8*$OO8*SQRT((($AU8*$TM$13)/(8.314*$OP8))*((2*$AV8)/($AV8-1))*POWER(($TM$5/$OO8),(2/$AV8))*(1-POWER(($TM$5/$OO8),(($AV8-1)/$AV8))))</f>
        <v>0.51470014421858679</v>
      </c>
      <c r="OJ8" s="156">
        <f>(0.9/'Tables - Part 3.B'!$C$5)*BN8*$OO8*SQRT((($AU8*$TM$13)/(8.314*$OP8))*((2*$AV8)/($AV8-1))*POWER(($TM$5/$OO8),(2/$AV8))*(1-POWER(($TM$5/$OO8),(($AV8-1)/$AV8))))</f>
        <v>7.8537009310697439</v>
      </c>
      <c r="OK8" s="156">
        <f>(0.9/'Tables - Part 3.B'!$C$5)*BO8*$OO8*SQRT((($AU8*$TM$13)/(8.314*$OP8))*((2*$AV8)/($AV8-1))*POWER(($TM$5/$OO8),(2/$AV8))*(1-POWER(($TM$5/$OO8),(($AV8-1)/$AV8))))</f>
        <v>130.73584717895938</v>
      </c>
      <c r="OL8" s="156">
        <f>(0.9/'Tables - Part 3.B'!$C$5)*BP8*$OO8*SQRT((($AU8*$TM$13)/(8.314*$OP8))*((2*$AV8)/($AV8-1))*POWER(($TM$5/$OO8),(2/$AV8))*(1-POWER(($TM$5/$OO8),(($AV8-1)/$AV8))))</f>
        <v>2071.3162346780996</v>
      </c>
      <c r="OM8" s="156">
        <f>(0.9/'Tables - Part 3.B'!$C$5)*32450*$OO8*SQRT((($AU8*$TM$13)/(8.314*$OP8))*((2*$AV8)/($AV8-1))*POWER(($TM$5/$OO8),(2/$AV8))*(1-POWER(($TM$5/$OO8),(($AV8-1)/$AV8))))</f>
        <v>519.18144368615401</v>
      </c>
      <c r="ON8" s="156">
        <f t="shared" si="117"/>
        <v>1</v>
      </c>
      <c r="OO8" s="157">
        <f t="shared" si="118"/>
        <v>1081.99</v>
      </c>
      <c r="OP8" s="157">
        <f t="shared" si="119"/>
        <v>333.15</v>
      </c>
      <c r="OQ8" s="158">
        <f t="shared" ref="OQ8:OQ24" si="228">INDEX(OS8:OU8,1,MATCH(OR8,$OS$6:$OU$6,0))</f>
        <v>14742077556454.385</v>
      </c>
      <c r="OR8" s="158" t="str">
        <f>INDEX('Tables - Part 3'!$F$4:$R$35,MATCH(COF!$F8,'Tables - Part 3'!$F$4:$F$35,0),COUNTA('Tables - Part 3'!$F$3:$K$3))</f>
        <v>Note 3</v>
      </c>
      <c r="OS8" s="158">
        <f t="shared" ref="OS8:OS24" si="229">OV8+OW8*OP8+OX8*POWER(OP8,2)+OY8*POWER(OP8,3)</f>
        <v>329384682732.51239</v>
      </c>
      <c r="OT8" s="158">
        <f t="shared" ref="OT8:OT24" si="230">OV8+OW8*(POWER((OX8/OP8)/(SINH((OX8/OP8))),2)+OY8*(POWER((OZ8/OP8)/(SINH((OZ8/OP8))),2)))</f>
        <v>10529444.040426236</v>
      </c>
      <c r="OU8" s="158">
        <f t="shared" ref="OU8:OU24" si="231">OV8+OW8*OP8+OX8*POWER(OP8,2)+OY8*POWER(OP8,3)+OZ8*POWER(OP8,4)</f>
        <v>14742077556454.385</v>
      </c>
      <c r="OV8" s="159">
        <f>INDEX('Tables - Part 3'!$M$4:$Q$35,MATCH(COF!$F8,'Tables - Part 3'!$F$4:$F$35,0),COUNTA('Tables - Part 3'!$M$3))</f>
        <v>33400</v>
      </c>
      <c r="OW8" s="159">
        <f>INDEX('Tables - Part 3'!$M$4:$Q$35,MATCH(COF!$F8,'Tables - Part 3'!$F$4:$F$35,0),COUNTA('Tables - Part 3'!$M$3:$N$3))</f>
        <v>26800</v>
      </c>
      <c r="OX8" s="159">
        <f>INDEX('Tables - Part 3'!$M$4:$Q$35,MATCH(COF!$F8,'Tables - Part 3'!$F$4:$F$35,0),COUNTA('Tables - Part 3'!$M$3:$O$3))</f>
        <v>2610</v>
      </c>
      <c r="OY8" s="159">
        <f>INDEX('Tables - Part 3'!$M$4:$Q$35,MATCH(COF!$F8,'Tables - Part 3'!$F$4:$F$35,0),COUNTA('Tables - Part 3'!$M$3:$P$3))</f>
        <v>8900</v>
      </c>
      <c r="OZ8" s="160">
        <f>INDEX('Tables - Part 3'!$M$4:$Q$35,MATCH(COF!$F8,'Tables - Part 3'!$F$4:$F$35,0),COUNTA('Tables - Part 3'!$M$3:$Q$3))</f>
        <v>1170</v>
      </c>
      <c r="PA8" s="162">
        <f>INDEX('Tables - Part 3'!$I$4:$I$35,MATCH(COF!$F8,'Tables - Part 3'!$F$4:$F$35,0))</f>
        <v>100</v>
      </c>
      <c r="PB8" s="158">
        <f t="shared" si="120"/>
        <v>167.05668275372582</v>
      </c>
      <c r="PC8" s="158" t="str">
        <f t="shared" si="121"/>
        <v>AB</v>
      </c>
      <c r="PD8" s="158">
        <f>INDEX('Tables - Part 3'!AW$7:AW$31,MATCH(COF!$F8,'Tables - Part 3'!$AU$7:$AU$31,0),1)</f>
        <v>0</v>
      </c>
      <c r="PE8" s="158">
        <f>INDEX('Tables - Part 3'!AX$7:AX$31,MATCH(COF!$F8,'Tables - Part 3'!$AU$7:$AU$31,0),1)</f>
        <v>0</v>
      </c>
      <c r="PF8" s="158">
        <f>INDEX('Tables - Part 3'!AY$7:AY$31,MATCH(COF!$F8,'Tables - Part 3'!$AU$7:$AU$31,0),1)</f>
        <v>0</v>
      </c>
      <c r="PG8" s="158">
        <f>INDEX('Tables - Part 3'!AZ$7:AZ$31,MATCH(COF!$F8,'Tables - Part 3'!$AU$7:$AU$31,0),1)</f>
        <v>0</v>
      </c>
      <c r="PH8" s="158">
        <f>INDEX('Tables - Part 3'!BA$7:BA$31,MATCH(COF!$F8,'Tables - Part 3'!$AU$7:$AU$31,0),1)</f>
        <v>0</v>
      </c>
      <c r="PI8" s="158">
        <f>INDEX('Tables - Part 3'!BB$7:BB$31,MATCH(COF!$F8,'Tables - Part 3'!$AU$7:$AU$31,0),1)</f>
        <v>0</v>
      </c>
      <c r="PJ8" s="158">
        <f>INDEX('Tables - Part 3'!BC$7:BC$31,MATCH(COF!$F8,'Tables - Part 3'!$AU$7:$AU$31,0),1)</f>
        <v>0</v>
      </c>
      <c r="PK8" s="158">
        <f>INDEX('Tables - Part 3'!BD$7:BD$31,MATCH(COF!$F8,'Tables - Part 3'!$AU$7:$AU$31,0),1)</f>
        <v>0</v>
      </c>
      <c r="PL8" s="158">
        <f>INDEX('Tables - Part 3'!BE$7:BE$31,MATCH(COF!$F8,'Tables - Part 3'!$AU$7:$AU$31,0),1)</f>
        <v>0</v>
      </c>
      <c r="PM8" s="158">
        <f>INDEX('Tables - Part 3'!BF$7:BF$31,MATCH(COF!$F8,'Tables - Part 3'!$AU$7:$AU$31,0),1)</f>
        <v>0</v>
      </c>
      <c r="PN8" s="158">
        <f>INDEX('Tables - Part 3'!BG$7:BG$31,MATCH(COF!$F8,'Tables - Part 3'!$AU$7:$AU$31,0),1)</f>
        <v>0</v>
      </c>
      <c r="PO8" s="158">
        <f>INDEX('Tables - Part 3'!BH$7:BH$31,MATCH(COF!$F8,'Tables - Part 3'!$AU$7:$AU$31,0),1)</f>
        <v>0</v>
      </c>
      <c r="PP8" s="158">
        <f>INDEX('Tables - Part 3'!BI$7:BI$31,MATCH(COF!$F8,'Tables - Part 3'!$AU$7:$AU$31,0),1)</f>
        <v>0</v>
      </c>
      <c r="PQ8" s="158">
        <f>INDEX('Tables - Part 3'!BJ$7:BJ$31,MATCH(COF!$F8,'Tables - Part 3'!$AU$7:$AU$31,0),1)</f>
        <v>0</v>
      </c>
      <c r="PR8" s="158">
        <f>INDEX('Tables - Part 3'!BK$7:BK$31,MATCH(COF!$F8,'Tables - Part 3'!$AU$7:$AU$31,0),1)</f>
        <v>0</v>
      </c>
      <c r="PS8" s="158">
        <f>INDEX('Tables - Part 3'!BL$7:BL$31,MATCH(COF!$F8,'Tables - Part 3'!$AU$7:$AU$31,0),1)</f>
        <v>0</v>
      </c>
      <c r="PT8" s="158">
        <f>INDEX('Tables - Part 3'!BP$7:BP$31,MATCH(COF!$F8,'Tables - Part 3'!$AU$7:$AU$31,0),1)</f>
        <v>0</v>
      </c>
      <c r="PU8" s="158">
        <f>INDEX('Tables - Part 3'!BQ$7:BQ$31,MATCH(COF!$F8,'Tables - Part 3'!$AU$7:$AU$31,0),1)</f>
        <v>0</v>
      </c>
      <c r="PV8" s="158">
        <f>INDEX('Tables - Part 3'!BR$7:BR$31,MATCH(COF!$F8,'Tables - Part 3'!$AU$7:$AU$31,0),1)</f>
        <v>0</v>
      </c>
      <c r="PW8" s="158">
        <f>INDEX('Tables - Part 3'!BS$7:BS$31,MATCH(COF!$F8,'Tables - Part 3'!$AU$7:$AU$31,0),1)</f>
        <v>0</v>
      </c>
      <c r="PX8" s="158">
        <f>INDEX('Tables - Part 3'!BT$7:BT$31,MATCH(COF!$F8,'Tables - Part 3'!$AU$7:$AU$31,0),1)</f>
        <v>0</v>
      </c>
      <c r="PY8" s="158">
        <f>INDEX('Tables - Part 3'!BU$7:BU$31,MATCH(COF!$F8,'Tables - Part 3'!$AU$7:$AU$31,0),1)</f>
        <v>0</v>
      </c>
      <c r="PZ8" s="158">
        <f>INDEX('Tables - Part 3'!BV$7:BV$31,MATCH(COF!$F8,'Tables - Part 3'!$AU$7:$AU$31,0),1)</f>
        <v>0</v>
      </c>
      <c r="QA8" s="158">
        <f>INDEX('Tables - Part 3'!BW$7:BW$31,MATCH(COF!$F8,'Tables - Part 3'!$AU$7:$AU$31,0),1)</f>
        <v>0</v>
      </c>
      <c r="QB8" s="158">
        <f>INDEX('Tables - Part 3'!BX$7:BX$31,MATCH(COF!$F8,'Tables - Part 3'!$AU$7:$AU$31,0),1)</f>
        <v>0</v>
      </c>
      <c r="QC8" s="158">
        <f>INDEX('Tables - Part 3'!BY$7:BY$31,MATCH(COF!$F8,'Tables - Part 3'!$AU$7:$AU$31,0),1)</f>
        <v>0</v>
      </c>
      <c r="QD8" s="158">
        <f>INDEX('Tables - Part 3'!BZ$7:BZ$31,MATCH(COF!$F8,'Tables - Part 3'!$AU$7:$AU$31,0),1)</f>
        <v>0</v>
      </c>
      <c r="QE8" s="158">
        <f>INDEX('Tables - Part 3'!CA$7:CA$31,MATCH(COF!$F8,'Tables - Part 3'!$AU$7:$AU$31,0),1)</f>
        <v>0</v>
      </c>
      <c r="QF8" s="158">
        <f>INDEX('Tables - Part 3'!CB$7:CB$31,MATCH(COF!$F8,'Tables - Part 3'!$AU$7:$AU$31,0),1)</f>
        <v>0</v>
      </c>
      <c r="QG8" s="158">
        <f>INDEX('Tables - Part 3'!CC$7:CC$31,MATCH(COF!$F8,'Tables - Part 3'!$AU$7:$AU$31,0),1)</f>
        <v>0</v>
      </c>
      <c r="QH8" s="158">
        <f>INDEX('Tables - Part 3'!CD$7:CD$31,MATCH(COF!$F8,'Tables - Part 3'!$AU$7:$AU$31,0),1)</f>
        <v>0</v>
      </c>
      <c r="QI8" s="158">
        <f>INDEX('Tables - Part 3'!CE$7:CE$31,MATCH(COF!$F8,'Tables - Part 3'!$AU$7:$AU$31,0),1)</f>
        <v>0</v>
      </c>
      <c r="QJ8" s="151">
        <f>'Tables - Part 5'!$R$4</f>
        <v>3.1749999999999998</v>
      </c>
      <c r="QK8" s="151">
        <f>'Tables - Part 5'!$R$5</f>
        <v>6.35</v>
      </c>
      <c r="QL8" s="151">
        <f>'Tables - Part 5'!$R$6</f>
        <v>50.8</v>
      </c>
      <c r="QM8" s="151">
        <f t="shared" si="122"/>
        <v>500000</v>
      </c>
      <c r="QN8" s="151">
        <f t="shared" ref="QN8:QN24" si="232">PI()*POWER(QJ8,2)/4</f>
        <v>7.9173043608984015</v>
      </c>
      <c r="QO8" s="151">
        <f t="shared" ref="QO8:QO24" si="233">PI()*POWER(QK8,2)/4</f>
        <v>31.669217443593606</v>
      </c>
      <c r="QP8" s="151">
        <f t="shared" ref="QP8:QP24" si="234">PI()*POWER(QL8,2)/4</f>
        <v>2026.8299163899908</v>
      </c>
      <c r="QQ8" s="151">
        <f t="shared" ref="QQ8:QQ24" si="235">PI()*POWER(QM8,2)/4</f>
        <v>196349540849.36206</v>
      </c>
      <c r="QR8" s="151">
        <f t="shared" ref="QR8:QR24" si="236">MAX($AF8-($AG8-1)*$AH8,0)</f>
        <v>6</v>
      </c>
      <c r="QS8" s="151">
        <f>'Tables - Part 3.B'!$C$34*0.61*QN8*SQRT(2*$TM$15*QR8)</f>
        <v>28.453266522512099</v>
      </c>
      <c r="QT8" s="151">
        <f>'Tables - Part 3.B'!$C$34*0.61*QO8*SQRT(2*$TM$15*QS8)</f>
        <v>247.84637085741429</v>
      </c>
      <c r="QU8" s="151">
        <f>'Tables - Part 3.B'!$C$34*0.61*QP8*SQRT(2*$TM$15*QT8)</f>
        <v>46815.293889706743</v>
      </c>
      <c r="QV8" s="151">
        <f>'Tables - Part 3.B'!$C$34*0.61*QQ8*SQRT(2*$TM$15*QU8)</f>
        <v>62330833327277.5</v>
      </c>
      <c r="QW8" s="151">
        <f t="shared" ref="QW8:QW24" si="237">PI()*POWER((O8/1000),2)*QR8/4</f>
        <v>18.849555921538759</v>
      </c>
      <c r="QX8" s="151">
        <f t="shared" ref="QX8:QX24" si="238">QS8</f>
        <v>28.453266522512099</v>
      </c>
      <c r="QY8" s="151">
        <f t="shared" ref="QY8:QY24" si="239">QT8</f>
        <v>247.84637085741429</v>
      </c>
      <c r="QZ8" s="151">
        <f t="shared" ref="QZ8:QZ24" si="240">QU8</f>
        <v>46815.293889706743</v>
      </c>
      <c r="RA8" s="151">
        <f t="shared" ref="RA8:RA24" si="241">QV8</f>
        <v>62330833327277.5</v>
      </c>
      <c r="RB8" s="151">
        <f>QX8*'Tables - Part 3.B'!$C$15</f>
        <v>178.97104642660111</v>
      </c>
      <c r="RC8" s="151">
        <f>QY8*'Tables - Part 3.B'!$C$15</f>
        <v>1558.9536726931358</v>
      </c>
      <c r="RD8" s="151">
        <f>QZ8*'Tables - Part 3.B'!$C$15</f>
        <v>294468.19856625539</v>
      </c>
      <c r="RE8" s="151">
        <f>RA8*'Tables - Part 3.B'!$C$15</f>
        <v>392060941628575.5</v>
      </c>
      <c r="RF8" s="151">
        <f t="shared" ref="RF8:RF24" si="242">QX8*$AS8</f>
        <v>28394.851966341383</v>
      </c>
      <c r="RG8" s="151">
        <f t="shared" ref="RG8:RG24" si="243">QY8*$AS8</f>
        <v>247337.54225804401</v>
      </c>
      <c r="RH8" s="151">
        <f t="shared" ref="RH8:RH24" si="244">QZ8*$AS8</f>
        <v>46719182.091351174</v>
      </c>
      <c r="RI8" s="151">
        <f t="shared" ref="RI8:RI24" si="245">RA8*$AS8</f>
        <v>6.22028681264566E+16</v>
      </c>
      <c r="RJ8" s="151">
        <f t="shared" ref="RJ8:RJ24" si="246">QS8</f>
        <v>28.453266522512099</v>
      </c>
      <c r="RK8" s="151">
        <f t="shared" ref="RK8:RK24" si="247">QT8</f>
        <v>247.84637085741429</v>
      </c>
      <c r="RL8" s="151">
        <f t="shared" ref="RL8:RL24" si="248">QU8</f>
        <v>46815.293889706743</v>
      </c>
      <c r="RM8" s="151">
        <f t="shared" ref="RM8:RM24" si="249">QV8</f>
        <v>62330833327277.5</v>
      </c>
      <c r="RN8" s="151">
        <v>7</v>
      </c>
      <c r="RO8" s="151">
        <v>1</v>
      </c>
      <c r="RP8" s="151">
        <v>1</v>
      </c>
      <c r="RQ8" s="151">
        <v>1</v>
      </c>
      <c r="RR8" s="151">
        <f t="shared" ref="RR8:RR24" si="250">MIN(RB8/RJ8,7)</f>
        <v>6.29</v>
      </c>
      <c r="RS8" s="151">
        <f t="shared" ref="RS8:RS24" si="251">MIN(RC8/RK8,7)</f>
        <v>6.29</v>
      </c>
      <c r="RT8" s="151">
        <f t="shared" ref="RT8:RT24" si="252">MIN(RD8/RL8,7)</f>
        <v>6.2899999999999991</v>
      </c>
      <c r="RU8" s="151">
        <f t="shared" ref="RU8:RU24" si="253">MIN(RE8/RM8,7)</f>
        <v>6.29</v>
      </c>
      <c r="RV8" s="151">
        <f t="shared" ref="RV8:RV24" si="254">MIN(RJ8*RR8,RB8)</f>
        <v>178.97104642660111</v>
      </c>
      <c r="RW8" s="151">
        <f t="shared" ref="RW8:RW24" si="255">MIN(RK8*RS8,RC8)</f>
        <v>1558.9536726931358</v>
      </c>
      <c r="RX8" s="151">
        <f t="shared" ref="RX8:RX24" si="256">MIN(RL8*RT8,RD8)</f>
        <v>294468.19856625539</v>
      </c>
      <c r="RY8" s="151">
        <f t="shared" ref="RY8:RY24" si="257">MIN(RM8*RU8,RE8)</f>
        <v>392060941628575.5</v>
      </c>
      <c r="RZ8" s="151">
        <f t="shared" ref="RZ8:RZ24" si="258">RV8</f>
        <v>178.97104642660111</v>
      </c>
      <c r="SA8" s="151">
        <f t="shared" ref="SA8:SA24" si="259">RW8</f>
        <v>1558.9536726931358</v>
      </c>
      <c r="SB8" s="151">
        <f t="shared" ref="SB8:SB24" si="260">RX8</f>
        <v>294468.19856625539</v>
      </c>
      <c r="SC8" s="151">
        <f t="shared" ref="SC8:SC24" si="261">RY8</f>
        <v>392060941628575.5</v>
      </c>
      <c r="SD8" s="151">
        <f t="shared" ref="SD8:SD24" si="262">RB8</f>
        <v>178.97104642660111</v>
      </c>
      <c r="SE8" s="151">
        <f t="shared" ref="SE8:SE24" si="263">RC8</f>
        <v>1558.9536726931358</v>
      </c>
      <c r="SF8" s="151">
        <f t="shared" ref="SF8:SF24" si="264">RD8</f>
        <v>294468.19856625539</v>
      </c>
      <c r="SG8" s="151">
        <f t="shared" ref="SG8:SG24" si="265">RE8</f>
        <v>392060941628575.5</v>
      </c>
      <c r="SH8" s="151">
        <f t="shared" ref="SH8:SH24" si="266">SD8</f>
        <v>178.97104642660111</v>
      </c>
      <c r="SI8" s="151">
        <f t="shared" ref="SI8:SI24" si="267">SE8</f>
        <v>1558.9536726931358</v>
      </c>
      <c r="SJ8" s="151">
        <f t="shared" ref="SJ8:SJ24" si="268">SF8</f>
        <v>294468.19856625539</v>
      </c>
      <c r="SK8" s="151">
        <f t="shared" ref="SK8:SK24" si="269">SG8</f>
        <v>392060941628575.5</v>
      </c>
      <c r="SL8" s="542"/>
      <c r="SM8" s="542"/>
      <c r="SN8" s="542"/>
      <c r="SO8" s="151"/>
      <c r="SP8" s="151"/>
      <c r="SQ8" s="151"/>
      <c r="SR8" s="151"/>
      <c r="SS8" s="151"/>
      <c r="ST8" s="151"/>
      <c r="SU8" s="151"/>
      <c r="SV8" s="151"/>
      <c r="SW8" s="151"/>
      <c r="SX8" s="151"/>
      <c r="SY8" s="151"/>
      <c r="SZ8" s="151"/>
      <c r="TA8" s="151"/>
      <c r="TB8" s="151"/>
      <c r="TC8" s="151"/>
      <c r="TD8" s="151"/>
      <c r="TE8" s="542"/>
      <c r="TH8" s="205" t="s">
        <v>103</v>
      </c>
      <c r="TJ8" s="193" t="s">
        <v>121</v>
      </c>
      <c r="TK8" s="143" t="s">
        <v>81</v>
      </c>
      <c r="TL8" s="198"/>
      <c r="TM8" s="156"/>
      <c r="TN8" s="156"/>
      <c r="TO8" s="195"/>
      <c r="TQ8" s="155" t="s">
        <v>35</v>
      </c>
    </row>
    <row r="9" spans="2:537" x14ac:dyDescent="0.35">
      <c r="B9" s="161"/>
      <c r="C9" s="161"/>
      <c r="D9" s="161"/>
      <c r="E9" s="161"/>
      <c r="F9" s="666"/>
      <c r="G9" s="161"/>
      <c r="H9" s="537"/>
      <c r="I9" s="161"/>
      <c r="J9" s="161"/>
      <c r="K9" s="161"/>
      <c r="L9" s="161"/>
      <c r="M9" s="161"/>
      <c r="N9" s="161"/>
      <c r="O9" s="161"/>
      <c r="P9" s="161"/>
      <c r="Q9" s="161"/>
      <c r="R9" s="161"/>
      <c r="S9" s="667"/>
      <c r="T9" s="161"/>
      <c r="U9" s="161"/>
      <c r="V9" s="161"/>
      <c r="W9" s="161"/>
      <c r="X9" s="537"/>
      <c r="Y9" s="537"/>
      <c r="Z9" s="399"/>
      <c r="AA9" s="537"/>
      <c r="AB9" s="399"/>
      <c r="AC9" s="399"/>
      <c r="AD9" s="399"/>
      <c r="AE9" s="399"/>
      <c r="AF9" s="399"/>
      <c r="AG9" s="399"/>
      <c r="AH9" s="399"/>
      <c r="AI9" s="399"/>
      <c r="AJ9" s="399"/>
      <c r="AK9" s="399"/>
      <c r="AL9" s="399"/>
      <c r="AM9" s="399"/>
      <c r="AN9" s="399"/>
      <c r="AO9" s="399"/>
      <c r="AP9" s="399"/>
      <c r="AQ9" s="151" t="e">
        <f>INDEX('Tables - Part 3'!$J$4:$J$35,MATCH(COF!$F9,'Tables - Part 3'!$F$4:$F$35,0),1)</f>
        <v>#N/A</v>
      </c>
      <c r="AR9" s="151" t="e">
        <f>IF($G9=$TH$7,'Tables - Part 3'!$W$4,IF(AND($AQ9=$TH$7,COF!$PA9&lt;26.67),'Tables - Part 3'!$W$4,'Tables - Part 3'!$W$7))</f>
        <v>#N/A</v>
      </c>
      <c r="AS9" s="150" t="e">
        <f>INDEX('Tables - Part 3'!$F$4:$R$35,MATCH(COF!$F9,'Tables - Part 3'!$F$4:$F$35,0),COUNTA('Tables - Part 3'!$F$3:$H$3))</f>
        <v>#N/A</v>
      </c>
      <c r="AT9" s="279" t="e">
        <f t="shared" si="6"/>
        <v>#VALUE!</v>
      </c>
      <c r="AU9" s="151" t="e">
        <f>INDEX('Tables - Part 3'!$F$4:$R$35,MATCH(COF!$F9,'Tables - Part 3'!$F$4:$F$35,0),COUNTA('Tables - Part 3'!$F$3:$G$3))</f>
        <v>#N/A</v>
      </c>
      <c r="AV9" s="151" t="e">
        <f t="shared" si="131"/>
        <v>#N/A</v>
      </c>
      <c r="AW9" s="151" t="e">
        <f t="shared" si="7"/>
        <v>#N/A</v>
      </c>
      <c r="AX9" s="151" t="e">
        <f>INDEX('Tables - Part 3'!$F$4:$R$35,MATCH(COF!$F9,'Tables - Part 3'!$F$4:$F$35,0),COUNTA('Tables - Part 3'!$F$3:$R$3))+273.15</f>
        <v>#N/A</v>
      </c>
      <c r="AY9" s="151">
        <f t="shared" si="8"/>
        <v>0</v>
      </c>
      <c r="AZ9" s="151" t="e">
        <f t="shared" si="9"/>
        <v>#N/A</v>
      </c>
      <c r="BA9" s="151" t="e">
        <f t="shared" si="132"/>
        <v>#N/A</v>
      </c>
      <c r="BB9" s="151" t="e">
        <f t="shared" si="133"/>
        <v>#N/A</v>
      </c>
      <c r="BC9" s="151" t="e">
        <f t="shared" si="134"/>
        <v>#N/A</v>
      </c>
      <c r="BD9" s="151" t="e">
        <f t="shared" si="135"/>
        <v>#N/A</v>
      </c>
      <c r="BE9" s="151" t="e">
        <f t="shared" si="10"/>
        <v>#N/A</v>
      </c>
      <c r="BF9" s="151" t="e">
        <f t="shared" si="11"/>
        <v>#N/A</v>
      </c>
      <c r="BG9" s="151" t="e">
        <f t="shared" si="12"/>
        <v>#N/A</v>
      </c>
      <c r="BH9" s="151" t="e">
        <f t="shared" si="13"/>
        <v>#N/A</v>
      </c>
      <c r="BI9" s="151">
        <f>'Tables - Part 3'!$AD$4</f>
        <v>6.4</v>
      </c>
      <c r="BJ9" s="151">
        <f>MIN(O9,'Tables - Part 3'!$AD$5)</f>
        <v>25</v>
      </c>
      <c r="BK9" s="151">
        <f>MIN(O9,'Tables - Part 3'!$AD$6)</f>
        <v>102</v>
      </c>
      <c r="BL9" s="151">
        <f>MIN(O9,'Tables - Part 3'!$AD$7)</f>
        <v>406</v>
      </c>
      <c r="BM9" s="151">
        <f t="shared" si="136"/>
        <v>32.169908772759484</v>
      </c>
      <c r="BN9" s="151">
        <f t="shared" si="137"/>
        <v>490.87385212340519</v>
      </c>
      <c r="BO9" s="151">
        <f t="shared" si="138"/>
        <v>8171.2824919870518</v>
      </c>
      <c r="BP9" s="151">
        <f t="shared" si="139"/>
        <v>129461.89166178179</v>
      </c>
      <c r="BQ9" s="151" t="e">
        <f>INDEX('Tables - Part 2'!$D$5:$G$30,MATCH(COF!$E9,'Tables - Part 2'!$C$5:$C$30,0),1)</f>
        <v>#N/A</v>
      </c>
      <c r="BR9" s="571" t="e">
        <f>INDEX('Tables - Part 2'!$D$5:$G$30,MATCH(COF!$E9,'Tables - Part 2'!$C$5:$C$30,0),2)</f>
        <v>#N/A</v>
      </c>
      <c r="BS9" s="571" t="e">
        <f>INDEX('Tables - Part 2'!$D$5:$G$30,MATCH(COF!$E9,'Tables - Part 2'!$C$5:$C$30,0),3)</f>
        <v>#N/A</v>
      </c>
      <c r="BT9" s="151" t="e">
        <f>INDEX('Tables - Part 2'!$D$5:$G$30,MATCH(COF!$E9,'Tables - Part 2'!$C$5:$C$30,0),4)</f>
        <v>#N/A</v>
      </c>
      <c r="BU9" s="151" t="e">
        <f t="shared" si="140"/>
        <v>#N/A</v>
      </c>
      <c r="BV9" s="151" t="e">
        <f t="shared" si="141"/>
        <v>#N/A</v>
      </c>
      <c r="BW9" s="151" t="e">
        <f t="shared" si="142"/>
        <v>#N/A</v>
      </c>
      <c r="BX9" s="151" t="e">
        <f t="shared" si="143"/>
        <v>#N/A</v>
      </c>
      <c r="BY9" s="502" t="e">
        <f t="shared" si="144"/>
        <v>#N/A</v>
      </c>
      <c r="BZ9" s="502" t="e">
        <f t="shared" si="145"/>
        <v>#N/A</v>
      </c>
      <c r="CA9" s="151" t="e">
        <f>IF(OR(BI9&lt;='Tables - Part 3'!$AD$4,BE9&lt;='Tables - Part 3.B'!$C$6,BV9&lt;=25.22),COF!$TK$6,COF!$TK$5)</f>
        <v>#N/A</v>
      </c>
      <c r="CB9" s="151" t="e">
        <f>IF(OR(BJ9&lt;='Tables - Part 3'!$AD$4,BF9&lt;='Tables - Part 3.B'!$C$6,BW9&lt;=25.22),COF!$TK$6,COF!$TK$5)</f>
        <v>#N/A</v>
      </c>
      <c r="CC9" s="151" t="e">
        <f>IF(OR(BK9&lt;='Tables - Part 3'!$AD$4,BG9&lt;='Tables - Part 3.B'!$C$6,BX9&lt;=25.22),COF!$TK$6,COF!$TK$5)</f>
        <v>#N/A</v>
      </c>
      <c r="CD9" s="151" t="e">
        <f>IF(OR(BL9&lt;='Tables - Part 3'!$AD$4,BH9&lt;='Tables - Part 3.B'!$C$6,BY9&lt;=25.22),COF!$TK$6,COF!$TK$5)</f>
        <v>#N/A</v>
      </c>
      <c r="CE9" s="151" t="str">
        <f t="shared" si="146"/>
        <v/>
      </c>
      <c r="CF9" s="151" t="e">
        <f>INDEX('Tables - Part 3'!$AR$4:$AR$12,MATCH(COF!$PC9,'Tables - Part 3'!$AP$4:$AP$12,0),1)</f>
        <v>#N/A</v>
      </c>
      <c r="CG9" s="151" t="e">
        <f>INDEX('Tables - Part 3'!$AR$13:$AR$21,MATCH(COF!$PC9,'Tables - Part 3'!$AP$13:$AP$21,0),1)</f>
        <v>#N/A</v>
      </c>
      <c r="CH9" s="151" t="e">
        <f>INDEX('Tables - Part 3'!$AR$22:$AR$30,MATCH(COF!$PC9,'Tables - Part 3'!$AP$22:$AP$30,0),1)</f>
        <v>#N/A</v>
      </c>
      <c r="CI9" s="151" t="e">
        <f>INDEX('Tables - Part 3'!$AR$22:$AR$30,MATCH(COF!$PC9,'Tables - Part 3'!$AP$22:$AP$30,0),1)</f>
        <v>#N/A</v>
      </c>
      <c r="CJ9" s="151" t="e">
        <f t="shared" si="147"/>
        <v>#N/A</v>
      </c>
      <c r="CK9" s="151" t="e">
        <f t="shared" si="148"/>
        <v>#N/A</v>
      </c>
      <c r="CL9" s="151" t="e">
        <f t="shared" si="149"/>
        <v>#N/A</v>
      </c>
      <c r="CM9" s="151" t="e">
        <f t="shared" si="150"/>
        <v>#N/A</v>
      </c>
      <c r="CN9" s="151" t="e">
        <f t="shared" si="151"/>
        <v>#N/A</v>
      </c>
      <c r="CO9" s="151" t="e">
        <f t="shared" si="152"/>
        <v>#N/A</v>
      </c>
      <c r="CP9" s="151" t="e">
        <f t="shared" si="153"/>
        <v>#N/A</v>
      </c>
      <c r="CQ9" s="151" t="e">
        <f t="shared" si="154"/>
        <v>#N/A</v>
      </c>
      <c r="CR9" s="151" t="e">
        <f t="shared" si="155"/>
        <v>#N/A</v>
      </c>
      <c r="CS9" s="151" t="e">
        <f t="shared" si="156"/>
        <v>#N/A</v>
      </c>
      <c r="CT9" s="151" t="e">
        <f t="shared" si="157"/>
        <v>#N/A</v>
      </c>
      <c r="CU9" s="151" t="e">
        <f t="shared" si="158"/>
        <v>#N/A</v>
      </c>
      <c r="CV9" s="151" t="e">
        <f>INDEX('Tables - Part 3'!$CI$4:$CI$8,MATCH(COF!V9,'Tables - Part 3'!$CG$4:$CG$8,0),1)</f>
        <v>#N/A</v>
      </c>
      <c r="CW9" s="502" t="e">
        <f>IF(CR9&gt;'Tables - Part 3.B'!$C$6,4*LOG10('Tables - Part 3.B'!$C$7*CR9)-15,1)</f>
        <v>#N/A</v>
      </c>
      <c r="CX9" s="502" t="e">
        <f>IF(CS9&gt;'Tables - Part 3.B'!$C$6,4*LOG10('Tables - Part 3.B'!$C$7*CS9)-15,1)</f>
        <v>#N/A</v>
      </c>
      <c r="CY9" s="502" t="e">
        <f>IF(CT9&gt;'Tables - Part 3.B'!$C$6,4*LOG10('Tables - Part 3.B'!$C$7*CT9)-15,1)</f>
        <v>#N/A</v>
      </c>
      <c r="CZ9" s="502" t="e">
        <f>IF(CU9&gt;'Tables - Part 3.B'!$C$6,4*LOG10('Tables - Part 3.B'!$C$7*CU9)-15,1)</f>
        <v>#N/A</v>
      </c>
      <c r="DA9" s="151" t="e">
        <f>INDEX('Tables - Part 3'!$C$4:$C$37,MATCH(COF!$F9,'Tables - Part 3'!$B$4:$B$37,0),1)</f>
        <v>#N/A</v>
      </c>
      <c r="DB9" s="151" t="e">
        <f t="shared" si="159"/>
        <v>#N/A</v>
      </c>
      <c r="DC9" s="151" t="e">
        <f t="shared" si="160"/>
        <v>#N/A</v>
      </c>
      <c r="DD9" s="151" t="e">
        <f t="shared" si="161"/>
        <v>#N/A</v>
      </c>
      <c r="DE9" s="151" t="e">
        <f t="shared" si="162"/>
        <v>#N/A</v>
      </c>
      <c r="DF9" s="151" t="e">
        <f t="shared" si="163"/>
        <v>#N/A</v>
      </c>
      <c r="DG9" s="151" t="e">
        <f t="shared" si="164"/>
        <v>#N/A</v>
      </c>
      <c r="DH9" s="151" t="e">
        <f t="shared" si="165"/>
        <v>#N/A</v>
      </c>
      <c r="DI9" s="151" t="e">
        <f t="shared" si="166"/>
        <v>#N/A</v>
      </c>
      <c r="DJ9" s="151" t="e">
        <f t="shared" si="167"/>
        <v>#N/A</v>
      </c>
      <c r="DK9" s="151" t="e">
        <f t="shared" si="168"/>
        <v>#N/A</v>
      </c>
      <c r="DL9" s="151" t="e">
        <f t="shared" si="169"/>
        <v>#N/A</v>
      </c>
      <c r="DM9" s="151" t="e">
        <f t="shared" si="170"/>
        <v>#N/A</v>
      </c>
      <c r="DN9" s="151" t="e">
        <f t="shared" si="171"/>
        <v>#N/A</v>
      </c>
      <c r="DO9" s="151" t="e">
        <f t="shared" si="172"/>
        <v>#N/A</v>
      </c>
      <c r="DP9" s="151" t="e">
        <f t="shared" si="173"/>
        <v>#N/A</v>
      </c>
      <c r="DQ9" s="151" t="e">
        <f t="shared" si="174"/>
        <v>#N/A</v>
      </c>
      <c r="DR9" s="151" t="e">
        <f t="shared" si="175"/>
        <v>#N/A</v>
      </c>
      <c r="DS9" s="151" t="e">
        <f t="shared" si="176"/>
        <v>#N/A</v>
      </c>
      <c r="DT9" s="151" t="e">
        <f t="shared" si="177"/>
        <v>#N/A</v>
      </c>
      <c r="DU9" s="151" t="e">
        <f t="shared" si="178"/>
        <v>#N/A</v>
      </c>
      <c r="DV9" s="151" t="e">
        <f t="shared" si="179"/>
        <v>#N/A</v>
      </c>
      <c r="DW9" s="151" t="e">
        <f t="shared" si="180"/>
        <v>#N/A</v>
      </c>
      <c r="DX9" s="151" t="e">
        <f t="shared" si="181"/>
        <v>#N/A</v>
      </c>
      <c r="DY9" s="151" t="e">
        <f t="shared" si="182"/>
        <v>#N/A</v>
      </c>
      <c r="DZ9" s="151" t="e">
        <f t="shared" si="183"/>
        <v>#N/A</v>
      </c>
      <c r="EA9" s="151" t="e">
        <f t="shared" si="184"/>
        <v>#N/A</v>
      </c>
      <c r="EB9" s="151" t="e">
        <f t="shared" si="185"/>
        <v>#N/A</v>
      </c>
      <c r="EC9" s="151" t="e">
        <f t="shared" si="186"/>
        <v>#N/A</v>
      </c>
      <c r="ED9" s="151" t="e">
        <f t="shared" si="187"/>
        <v>#N/A</v>
      </c>
      <c r="EE9" s="151" t="e">
        <f t="shared" si="188"/>
        <v>#N/A</v>
      </c>
      <c r="EF9" s="151" t="e">
        <f t="shared" si="189"/>
        <v>#N/A</v>
      </c>
      <c r="EG9" s="151" t="e">
        <f t="shared" si="190"/>
        <v>#N/A</v>
      </c>
      <c r="EH9" s="151" t="e">
        <f>IF(CA9=$TK$5,1,MIN(CJ9/'Tables - Part 3.B'!$C$8,1))</f>
        <v>#N/A</v>
      </c>
      <c r="EI9" s="151" t="e">
        <f>IF(CB9=$TK$5,1,MIN(CK9/'Tables - Part 3.B'!$C$8,1))</f>
        <v>#N/A</v>
      </c>
      <c r="EJ9" s="151" t="e">
        <f>IF(CC9=$TK$5,1,MIN(CL9/'Tables - Part 3.B'!$C$8,1))</f>
        <v>#N/A</v>
      </c>
      <c r="EK9" s="151" t="e">
        <f>IF(CD9=$TK$5,1,MIN(CM9/'Tables - Part 3.B'!$C$8,1))</f>
        <v>#N/A</v>
      </c>
      <c r="EL9" s="151" t="e">
        <f t="shared" si="191"/>
        <v>#VALUE!</v>
      </c>
      <c r="EM9" s="151" t="e">
        <f t="shared" si="48"/>
        <v>#VALUE!</v>
      </c>
      <c r="EN9" s="151" t="e">
        <f t="shared" si="48"/>
        <v>#VALUE!</v>
      </c>
      <c r="EO9" s="151" t="e">
        <f t="shared" si="48"/>
        <v>#VALUE!</v>
      </c>
      <c r="EP9" s="151" t="e">
        <f t="shared" si="192"/>
        <v>#N/A</v>
      </c>
      <c r="EQ9" s="151" t="e">
        <f t="shared" si="49"/>
        <v>#N/A</v>
      </c>
      <c r="ER9" s="151" t="e">
        <f t="shared" si="49"/>
        <v>#N/A</v>
      </c>
      <c r="ES9" s="151" t="e">
        <f t="shared" si="49"/>
        <v>#N/A</v>
      </c>
      <c r="ET9" s="151" t="e">
        <f t="shared" si="193"/>
        <v>#N/A</v>
      </c>
      <c r="EU9" s="151" t="e">
        <f t="shared" si="50"/>
        <v>#N/A</v>
      </c>
      <c r="EV9" s="151" t="e">
        <f t="shared" si="50"/>
        <v>#N/A</v>
      </c>
      <c r="EW9" s="151" t="e">
        <f t="shared" si="50"/>
        <v>#N/A</v>
      </c>
      <c r="EX9" s="151" t="e">
        <f t="shared" si="194"/>
        <v>#N/A</v>
      </c>
      <c r="EY9" s="151" t="e">
        <f t="shared" si="51"/>
        <v>#N/A</v>
      </c>
      <c r="EZ9" s="151" t="e">
        <f t="shared" si="51"/>
        <v>#N/A</v>
      </c>
      <c r="FA9" s="151" t="e">
        <f t="shared" si="51"/>
        <v>#N/A</v>
      </c>
      <c r="FB9" s="151" t="e">
        <f t="shared" si="195"/>
        <v>#N/A</v>
      </c>
      <c r="FC9" s="151" t="e">
        <f t="shared" si="52"/>
        <v>#N/A</v>
      </c>
      <c r="FD9" s="151" t="e">
        <f t="shared" si="52"/>
        <v>#N/A</v>
      </c>
      <c r="FE9" s="151" t="e">
        <f t="shared" si="52"/>
        <v>#N/A</v>
      </c>
      <c r="FF9" s="151" t="e">
        <f t="shared" si="196"/>
        <v>#N/A</v>
      </c>
      <c r="FG9" s="151" t="e">
        <f t="shared" si="53"/>
        <v>#N/A</v>
      </c>
      <c r="FH9" s="151" t="e">
        <f t="shared" si="53"/>
        <v>#N/A</v>
      </c>
      <c r="FI9" s="151" t="e">
        <f t="shared" si="53"/>
        <v>#N/A</v>
      </c>
      <c r="FJ9" s="151" t="e">
        <f t="shared" si="197"/>
        <v>#N/A</v>
      </c>
      <c r="FK9" s="151" t="e">
        <f t="shared" si="54"/>
        <v>#N/A</v>
      </c>
      <c r="FL9" s="151" t="e">
        <f t="shared" si="54"/>
        <v>#N/A</v>
      </c>
      <c r="FM9" s="288" t="e">
        <f t="shared" si="54"/>
        <v>#N/A</v>
      </c>
      <c r="FN9" s="299">
        <f t="shared" si="198"/>
        <v>0</v>
      </c>
      <c r="FO9" s="511">
        <f t="shared" si="199"/>
        <v>0</v>
      </c>
      <c r="FP9" s="150" t="e">
        <f t="shared" si="200"/>
        <v>#N/A</v>
      </c>
      <c r="FQ9" s="151" t="e">
        <f t="shared" si="201"/>
        <v>#N/A</v>
      </c>
      <c r="FR9" s="151" t="e">
        <f t="shared" si="202"/>
        <v>#N/A</v>
      </c>
      <c r="FS9" s="151" t="e">
        <f t="shared" si="203"/>
        <v>#N/A</v>
      </c>
      <c r="FT9" s="151">
        <f t="shared" si="55"/>
        <v>0</v>
      </c>
      <c r="FU9" s="151">
        <f t="shared" si="56"/>
        <v>0</v>
      </c>
      <c r="FV9" s="151">
        <f t="shared" si="57"/>
        <v>0</v>
      </c>
      <c r="FW9" s="151">
        <f t="shared" si="58"/>
        <v>0</v>
      </c>
      <c r="FX9" s="151">
        <f t="shared" si="59"/>
        <v>0</v>
      </c>
      <c r="FY9" s="151">
        <f t="shared" si="60"/>
        <v>0</v>
      </c>
      <c r="FZ9" s="151">
        <f t="shared" si="61"/>
        <v>0</v>
      </c>
      <c r="GA9" s="151">
        <f t="shared" si="62"/>
        <v>0</v>
      </c>
      <c r="GB9" s="151" t="e">
        <f>IF(CA9=$TK$6,'Tables - Part 3.B'!$C$10*(('Tables - Part 3.B'!$C$7*COF!FT9)^COF!GR9*10^COF!GV9),IF(CA9=$TK$5,'Tables - Part 3.B'!$C$10*(('Tables - Part 3.B'!$C$7*COF!FX9)^COF!GR9*10^COF!GV9),0))</f>
        <v>#N/A</v>
      </c>
      <c r="GC9" s="151" t="e">
        <f>IF(CB9=$TK$6,'Tables - Part 3.B'!$C$10*(('Tables - Part 3.B'!$C$7*COF!FU9)^COF!GS9*10^COF!GW9),IF(CB9=$TK$5,'Tables - Part 3.B'!$C$10*(('Tables - Part 3.B'!$C$7*COF!FY9)^COF!GS9*10^COF!GW9),0))</f>
        <v>#N/A</v>
      </c>
      <c r="GD9" s="151" t="e">
        <f>IF(CC9=$TK$6,'Tables - Part 3.B'!$C$10*(('Tables - Part 3.B'!$C$7*COF!FV9)^COF!GT9*10^COF!GX9),IF(CC9=$TK$5,'Tables - Part 3.B'!$C$10*(('Tables - Part 3.B'!$C$7*COF!FZ9)^COF!GT9*10^COF!GX9),0))</f>
        <v>#N/A</v>
      </c>
      <c r="GE9" s="151" t="e">
        <f>IF(CD9=$TK$6,'Tables - Part 3.B'!$C$10*(('Tables - Part 3.B'!$C$7*COF!FW9)^COF!GU9*10^COF!GY9),IF(CD9=$TK$5,'Tables - Part 3.B'!$C$10*(('Tables - Part 3.B'!$C$7*COF!GA9)^COF!GU9*10^COF!GY9),0))</f>
        <v>#N/A</v>
      </c>
      <c r="GF9" s="152" t="e">
        <f>FP9/60</f>
        <v>#N/A</v>
      </c>
      <c r="GG9" s="152" t="e">
        <f t="shared" si="63"/>
        <v>#N/A</v>
      </c>
      <c r="GH9" s="152" t="e">
        <f t="shared" si="64"/>
        <v>#N/A</v>
      </c>
      <c r="GI9" s="152" t="e">
        <f t="shared" si="65"/>
        <v>#N/A</v>
      </c>
      <c r="GJ9" s="152" t="e">
        <f>IF(GF9&lt;'Tables - Part 3'!$CK$5,0,LOOKUP(GF9,'Tables - Part 3'!$CK$5:$CK$9))</f>
        <v>#N/A</v>
      </c>
      <c r="GK9" s="152" t="e">
        <f>IF(GG9&lt;'Tables - Part 3'!$CK$5,0,LOOKUP(GG9,'Tables - Part 3'!$CK$5:$CK$9))</f>
        <v>#N/A</v>
      </c>
      <c r="GL9" s="152" t="e">
        <f>IF(GH9&lt;'Tables - Part 3'!$CK$5,0,LOOKUP(GH9,'Tables - Part 3'!$CK$5:$CK$9))</f>
        <v>#N/A</v>
      </c>
      <c r="GM9" s="152" t="e">
        <f>IF(GI9&lt;'Tables - Part 3'!$CK$5,0,LOOKUP(GI9,'Tables - Part 3'!$CK$5:$CK$9))</f>
        <v>#N/A</v>
      </c>
      <c r="GN9" s="152" t="e">
        <f>IF(GF9&lt;'Tables - Part 3'!$CK$5,'Tables - Part 3'!$CK$5,IF(COF!GF9&lt;'Tables - Part 3'!$CK$6,'Tables - Part 3'!$CK$6,IF(COF!GF9&lt;'Tables - Part 3'!$CK$7,'Tables - Part 3'!$CK$7,IF(COF!GF9&lt;'Tables - Part 3'!$CK$8,'Tables - Part 3'!$CK$8,IF(COF!GF9&lt;'Tables - Part 3'!$CK$9,'Tables - Part 3'!$CK$9)))))</f>
        <v>#N/A</v>
      </c>
      <c r="GO9" s="152" t="e">
        <f>IF(GG9&lt;'Tables - Part 3'!$CK$5,'Tables - Part 3'!$CK$5,IF(COF!GG9&lt;'Tables - Part 3'!$CK$6,'Tables - Part 3'!$CK$6,IF(COF!GG9&lt;'Tables - Part 3'!$CK$7,'Tables - Part 3'!$CK$7,IF(COF!GG9&lt;'Tables - Part 3'!$CK$8,'Tables - Part 3'!$CK$8,IF(COF!GG9&lt;'Tables - Part 3'!$CK$9,'Tables - Part 3'!$CK$9)))))</f>
        <v>#N/A</v>
      </c>
      <c r="GP9" s="152" t="e">
        <f>IF(GH9&lt;'Tables - Part 3'!$CK$5,'Tables - Part 3'!$CK$5,IF(COF!GH9&lt;'Tables - Part 3'!$CK$6,'Tables - Part 3'!$CK$6,IF(COF!GH9&lt;'Tables - Part 3'!$CK$7,'Tables - Part 3'!$CK$7,IF(COF!GH9&lt;'Tables - Part 3'!$CK$8,'Tables - Part 3'!$CK$8,IF(COF!GH9&lt;'Tables - Part 3'!$CK$9,'Tables - Part 3'!$CK$9)))))</f>
        <v>#N/A</v>
      </c>
      <c r="GQ9" s="152" t="e">
        <f>IF(GI9&lt;'Tables - Part 3'!$CK$5,'Tables - Part 3'!$CK$5,IF(COF!GI9&lt;'Tables - Part 3'!$CK$6,'Tables - Part 3'!$CK$6,IF(COF!GI9&lt;'Tables - Part 3'!$CK$7,'Tables - Part 3'!$CK$7,IF(COF!GI9&lt;'Tables - Part 3'!$CK$8,'Tables - Part 3'!$CK$8,IF(COF!GI9&lt;'Tables - Part 3'!$CK$9,'Tables - Part 3'!$CK$9)))))</f>
        <v>#N/A</v>
      </c>
      <c r="GR9" s="151" t="e">
        <f>IF(CA9=$TK$5,'Tables - Part 3'!$CL$10,IF(COF!CA9=COF!$TK$6,IF(COF!GF9&lt;'Tables - Part 3'!$CK$5,'Tables - Part 3'!$CL$5,IF(GF9&gt;='Tables - Part 3'!$CK$9,'Tables - Part 3'!$CL$9,((COF!GF9-COF!GJ9)*(INDEX('Tables - Part 3'!$CL$5:$CL$9,MATCH(COF!GN9,'Tables - Part 3'!$CK$5:$CK$9,0))-INDEX('Tables - Part 3'!$CL$5:$CL$9,MATCH(COF!GJ9,'Tables - Part 3'!$CK$5:$CK$9,0)))/(GN9-GJ9)+INDEX('Tables - Part 3'!$CL$5:$CL$9,MATCH(COF!GJ9,'Tables - Part 3'!$CK$5:$CK$9,0)))))))</f>
        <v>#N/A</v>
      </c>
      <c r="GS9" s="151" t="e">
        <f>IF(CB9=$TK$5,'Tables - Part 3'!$CL$10,IF(COF!CB9=COF!$TK$6,IF(COF!GG9&lt;'Tables - Part 3'!$CK$5,'Tables - Part 3'!$CL$5,IF(GG9&gt;='Tables - Part 3'!$CK$9,'Tables - Part 3'!$CL$9,((COF!GG9-COF!GK9)*(INDEX('Tables - Part 3'!$CL$5:$CL$9,MATCH(COF!GO9,'Tables - Part 3'!$CK$5:$CK$9,0))-INDEX('Tables - Part 3'!$CL$5:$CL$9,MATCH(COF!GK9,'Tables - Part 3'!$CK$5:$CK$9,0)))/(GO9-GK9)+INDEX('Tables - Part 3'!$CL$5:$CL$9,MATCH(COF!GK9,'Tables - Part 3'!$CK$5:$CK$9,0)))))))</f>
        <v>#N/A</v>
      </c>
      <c r="GT9" s="151" t="e">
        <f>IF(CC9=$TK$5,'Tables - Part 3'!$CL$10,IF(COF!CC9=COF!$TK$6,IF(COF!GH9&lt;'Tables - Part 3'!$CK$5,'Tables - Part 3'!$CL$5,IF(GH9&gt;='Tables - Part 3'!$CK$9,'Tables - Part 3'!$CL$9,((COF!GH9-COF!GL9)*(INDEX('Tables - Part 3'!$CL$5:$CL$9,MATCH(COF!GP9,'Tables - Part 3'!$CK$5:$CK$9,0))-INDEX('Tables - Part 3'!$CL$5:$CL$9,MATCH(COF!GL9,'Tables - Part 3'!$CK$5:$CK$9,0)))/(GP9-GL9)+INDEX('Tables - Part 3'!$CL$5:$CL$9,MATCH(COF!GL9,'Tables - Part 3'!$CK$5:$CK$9,0)))))))</f>
        <v>#N/A</v>
      </c>
      <c r="GU9" s="151" t="e">
        <f>IF(CD9=$TK$5,'Tables - Part 3'!$CL$10,IF(COF!CD9=COF!$TK$6,IF(COF!GI9&lt;'Tables - Part 3'!$CK$5,'Tables - Part 3'!$CL$5,IF(GI9&gt;='Tables - Part 3'!$CK$9,'Tables - Part 3'!$CL$9,((COF!GI9-COF!GM9)*(INDEX('Tables - Part 3'!$CL$5:$CL$9,MATCH(COF!GQ9,'Tables - Part 3'!$CK$5:$CK$9,0))-INDEX('Tables - Part 3'!$CL$5:$CL$9,MATCH(COF!GM9,'Tables - Part 3'!$CK$5:$CK$9,0)))/(GQ9-GM9)+INDEX('Tables - Part 3'!$CL$5:$CL$9,MATCH(COF!GM9,'Tables - Part 3'!$CK$5:$CK$9,0)))))))</f>
        <v>#N/A</v>
      </c>
      <c r="GV9" s="151" t="e">
        <f>IF(CA9=$TK$5,'Tables - Part 3'!$CM$10,IF(COF!CA9=COF!$TK$6,IF(GF9&lt;'Tables - Part 3'!$CK$5,'Tables - Part 3'!$CM$5,IF(GF9&gt;='Tables - Part 3'!$CK$9,'Tables - Part 3'!$CM$9,((COF!GF9-COF!GJ9)*(INDEX('Tables - Part 3'!$CM$5:$CM$9,MATCH(COF!GN9,'Tables - Part 3'!$CK$5:$CK$9,0))-INDEX('Tables - Part 3'!$CM$5:$CM$9,MATCH(COF!GJ9,'Tables - Part 3'!$CK$5:$CK$9,0)))/(GN9-GJ9)+INDEX('Tables - Part 3'!$CM$5:$CM$9,MATCH(COF!GJ9,'Tables - Part 3'!$CK$5:$CK$9,0)))))))</f>
        <v>#N/A</v>
      </c>
      <c r="GW9" s="151" t="e">
        <f>IF(CB9=$TK$5,'Tables - Part 3'!$CM$10,IF(COF!CB9=COF!$TK$6,IF(GG9&lt;'Tables - Part 3'!$CK$5,'Tables - Part 3'!$CM$5,IF(GG9&gt;='Tables - Part 3'!$CK$9,'Tables - Part 3'!$CM$9,((COF!GG9-COF!GK9)*(INDEX('Tables - Part 3'!$CM$5:$CM$9,MATCH(COF!GO9,'Tables - Part 3'!$CK$5:$CK$9,0))-INDEX('Tables - Part 3'!$CM$5:$CM$9,MATCH(COF!GK9,'Tables - Part 3'!$CK$5:$CK$9,0)))/(GO9-GK9)+INDEX('Tables - Part 3'!$CM$5:$CM$9,MATCH(COF!GK9,'Tables - Part 3'!$CK$5:$CK$9,0)))))))</f>
        <v>#N/A</v>
      </c>
      <c r="GX9" s="151" t="e">
        <f>IF(CC9=$TK$5,'Tables - Part 3'!$CM$10,IF(COF!CC9=COF!$TK$6,IF(GH9&lt;'Tables - Part 3'!$CK$5,'Tables - Part 3'!$CM$5,IF(GH9&gt;='Tables - Part 3'!$CK$9,'Tables - Part 3'!$CM$9,((COF!GH9-COF!GL9)*(INDEX('Tables - Part 3'!$CM$5:$CM$9,MATCH(COF!GP9,'Tables - Part 3'!$CK$5:$CK$9,0))-INDEX('Tables - Part 3'!$CM$5:$CM$9,MATCH(COF!GL9,'Tables - Part 3'!$CK$5:$CK$9,0)))/(GP9-GL9)+INDEX('Tables - Part 3'!$CM$5:$CM$9,MATCH(COF!GL9,'Tables - Part 3'!$CK$5:$CK$9,0)))))))</f>
        <v>#N/A</v>
      </c>
      <c r="GY9" s="151" t="e">
        <f>IF(CD9=$TK$5,'Tables - Part 3'!$CM$10,IF(COF!CD9=COF!$TK$6,IF(GI9&lt;'Tables - Part 3'!$CK$5,'Tables - Part 3'!$CM$5,IF(GI9&gt;='Tables - Part 3'!$CK$9,'Tables - Part 3'!$CM$9,((COF!GI9-COF!GM9)*(INDEX('Tables - Part 3'!$CM$5:$CM$9,MATCH(COF!GQ9,'Tables - Part 3'!$CK$5:$CK$9,0))-INDEX('Tables - Part 3'!$CM$5:$CM$9,MATCH(COF!GM9,'Tables - Part 3'!$CK$5:$CK$9,0)))/(GQ9-GM9)+INDEX('Tables - Part 3'!$CM$5:$CM$9,MATCH(COF!GM9,'Tables - Part 3'!$CK$5:$CK$9,0)))))))</f>
        <v>#N/A</v>
      </c>
      <c r="GZ9" s="151">
        <f t="shared" si="66"/>
        <v>0</v>
      </c>
      <c r="HA9" s="151">
        <f t="shared" si="67"/>
        <v>0</v>
      </c>
      <c r="HB9" s="151">
        <f t="shared" si="68"/>
        <v>0</v>
      </c>
      <c r="HC9" s="151">
        <f t="shared" si="69"/>
        <v>0</v>
      </c>
      <c r="HD9" s="151">
        <f t="shared" si="70"/>
        <v>0</v>
      </c>
      <c r="HE9" s="151">
        <f t="shared" si="71"/>
        <v>0</v>
      </c>
      <c r="HF9" s="151">
        <f t="shared" si="72"/>
        <v>0</v>
      </c>
      <c r="HG9" s="151">
        <f t="shared" si="73"/>
        <v>0</v>
      </c>
      <c r="HH9" s="151" t="e">
        <f>IF(CA9=$TK$6,'Tables - Part 3.B'!$C$10*(('Tables - Part 3.B'!$C$7*COF!GZ9)^COF!HL9*10^COF!HP9),IF(CA9=$TK$5,'Tables - Part 3.B'!$C$10*(('Tables - Part 3.B'!$C$7*COF!HD9)^COF!HL9*10^COF!HP9),0))</f>
        <v>#N/A</v>
      </c>
      <c r="HI9" s="151" t="e">
        <f>IF(CB9=$TK$6,'Tables - Part 3.B'!$C$10*(('Tables - Part 3.B'!$C$7*COF!HA9)^COF!HM9*10^COF!HQ9),IF(CB9=$TK$5,'Tables - Part 3.B'!$C$10*(('Tables - Part 3.B'!$C$7*COF!HE9)^COF!HM9*10^COF!HQ9),0))</f>
        <v>#N/A</v>
      </c>
      <c r="HJ9" s="151" t="e">
        <f>IF(CC9=$TK$6,'Tables - Part 3.B'!$C$10*(('Tables - Part 3.B'!$C$7*COF!HB9)^COF!HN9*10^COF!HR9),IF(CC9=$TK$5,'Tables - Part 3.B'!$C$10*(('Tables - Part 3.B'!$C$7*COF!HF9)^COF!HN9*10^COF!HR9),0))</f>
        <v>#N/A</v>
      </c>
      <c r="HK9" s="151" t="e">
        <f>IF(CD9=$TK$6,'Tables - Part 3.B'!$C$10*(('Tables - Part 3.B'!$C$7*COF!HC9)^COF!HO9*10^COF!HS9),IF(CD9=$TK$5,'Tables - Part 3.B'!$C$10*(('Tables - Part 3.B'!$C$7*COF!HG9)^COF!HO9*10^COF!HS9),0))</f>
        <v>#N/A</v>
      </c>
      <c r="HL9" s="151" t="e">
        <f>IF(CA9=$TK$5,'Tables - Part 3'!$CN$10,IF(COF!CA9=COF!$TK$6,IF(COF!GF9&lt;'Tables - Part 3'!$CK$5,'Tables - Part 3'!$CN$5,IF(GF9&gt;='Tables - Part 3'!$CK$9,'Tables - Part 3'!$CN$9,((COF!GF9-COF!GJ9)*(INDEX('Tables - Part 3'!$CN$5:$CN$9,MATCH(COF!GN9,'Tables - Part 3'!$CK$5:$CK$9,0))-INDEX('Tables - Part 3'!$CN$5:$CN$9,MATCH(COF!GJ9,'Tables - Part 3'!$CK$5:$CK$9,0)))/(GN9-GJ9)+INDEX('Tables - Part 3'!$CN$5:$CN$9,MATCH(COF!GJ9,'Tables - Part 3'!$CK$5:$CK$9,0)))))))</f>
        <v>#N/A</v>
      </c>
      <c r="HM9" s="151" t="e">
        <f>IF(CB9=$TK$5,'Tables - Part 3'!$CN$10,IF(COF!CB9=COF!$TK$6,IF(COF!GG9&lt;'Tables - Part 3'!$CK$5,'Tables - Part 3'!$CN$5,IF(GG9&gt;='Tables - Part 3'!$CK$9,'Tables - Part 3'!$CN$9,((COF!GG9-COF!GK9)*(INDEX('Tables - Part 3'!$CN$5:$CN$9,MATCH(COF!GO9,'Tables - Part 3'!$CK$5:$CK$9,0))-INDEX('Tables - Part 3'!$CN$5:$CN$9,MATCH(COF!GK9,'Tables - Part 3'!$CK$5:$CK$9,0)))/(GO9-GK9)+INDEX('Tables - Part 3'!$CN$5:$CN$9,MATCH(COF!GK9,'Tables - Part 3'!$CK$5:$CK$9,0)))))))</f>
        <v>#N/A</v>
      </c>
      <c r="HN9" s="151" t="e">
        <f>IF(CC9=$TK$5,'Tables - Part 3'!$CN$10,IF(COF!CC9=COF!$TK$6,IF(COF!GH9&lt;'Tables - Part 3'!$CK$5,'Tables - Part 3'!$CN$5,IF(GH9&gt;='Tables - Part 3'!$CK$9,'Tables - Part 3'!$CN$9,((COF!GH9-COF!GL9)*(INDEX('Tables - Part 3'!$CN$5:$CN$9,MATCH(COF!GP9,'Tables - Part 3'!$CK$5:$CK$9,0))-INDEX('Tables - Part 3'!$CN$5:$CN$9,MATCH(COF!GL9,'Tables - Part 3'!$CK$5:$CK$9,0)))/(GP9-GL9)+INDEX('Tables - Part 3'!$CN$5:$CN$9,MATCH(COF!GL9,'Tables - Part 3'!$CK$5:$CK$9,0)))))))</f>
        <v>#N/A</v>
      </c>
      <c r="HO9" s="151" t="e">
        <f>IF(CD9=$TK$5,'Tables - Part 3'!$CN$10,IF(COF!CD9=COF!$TK$6,IF(COF!GI9&lt;'Tables - Part 3'!$CK$5,'Tables - Part 3'!$CN$5,IF(GI9&gt;='Tables - Part 3'!$CK$9,'Tables - Part 3'!$CN$9,((COF!GI9-COF!GM9)*(INDEX('Tables - Part 3'!$CN$5:$CN$9,MATCH(COF!GQ9,'Tables - Part 3'!$CK$5:$CK$9,0))-INDEX('Tables - Part 3'!$CN$5:$CN$9,MATCH(COF!GM9,'Tables - Part 3'!$CK$5:$CK$9,0)))/(GQ9-GM9)+INDEX('Tables - Part 3'!$CN$5:$CN$9,MATCH(COF!GM9,'Tables - Part 3'!$CK$5:$CK$9,0)))))))</f>
        <v>#N/A</v>
      </c>
      <c r="HP9" s="151" t="e">
        <f>IF(CA9=$TK$5,'Tables - Part 3'!$CO$10,IF(COF!CA9=COF!$TK$6,IF(GF9&lt;'Tables - Part 3'!$CK$5,'Tables - Part 3'!$CO$5,IF(GF9&gt;='Tables - Part 3'!$CK$9,'Tables - Part 3'!$CO$9,((COF!GF9-COF!GJ9)*(INDEX('Tables - Part 3'!$CO$5:$CO$9,MATCH(COF!GN9,'Tables - Part 3'!$CK$5:$CK$9,0))-INDEX('Tables - Part 3'!$CO$5:$CO$9,MATCH(COF!GJ9,'Tables - Part 3'!$CK$5:$CK$9,0)))/(GN9-GJ9)+INDEX('Tables - Part 3'!$CO$5:$CO$9,MATCH(COF!GJ9,'Tables - Part 3'!$CK$5:$CK$9,0)))))))</f>
        <v>#N/A</v>
      </c>
      <c r="HQ9" s="151" t="e">
        <f>IF(CB9=$TK$5,'Tables - Part 3'!$CO$10,IF(COF!CB9=COF!$TK$6,IF(GG9&lt;'Tables - Part 3'!$CK$5,'Tables - Part 3'!$CO$5,IF(GG9&gt;='Tables - Part 3'!$CK$9,'Tables - Part 3'!$CO$9,((COF!GG9-COF!GK9)*(INDEX('Tables - Part 3'!$CO$5:$CO$9,MATCH(COF!GO9,'Tables - Part 3'!$CK$5:$CK$9,0))-INDEX('Tables - Part 3'!$CO$5:$CO$9,MATCH(COF!GK9,'Tables - Part 3'!$CK$5:$CK$9,0)))/(GO9-GK9)+INDEX('Tables - Part 3'!$CO$5:$CO$9,MATCH(COF!GK9,'Tables - Part 3'!$CK$5:$CK$9,0)))))))</f>
        <v>#N/A</v>
      </c>
      <c r="HR9" s="151" t="e">
        <f>IF(CC9=$TK$5,'Tables - Part 3'!$CO$10,IF(COF!CC9=COF!$TK$6,IF(GH9&lt;'Tables - Part 3'!$CK$5,'Tables - Part 3'!$CO$5,IF(GH9&gt;='Tables - Part 3'!$CK$9,'Tables - Part 3'!$CO$9,((COF!GH9-COF!GL9)*(INDEX('Tables - Part 3'!$CO$5:$CO$9,MATCH(COF!GP9,'Tables - Part 3'!$CK$5:$CK$9,0))-INDEX('Tables - Part 3'!$CO$5:$CO$9,MATCH(COF!GL9,'Tables - Part 3'!$CK$5:$CK$9,0)))/(GP9-GL9)+INDEX('Tables - Part 3'!$CO$5:$CO$9,MATCH(COF!GL9,'Tables - Part 3'!$CK$5:$CK$9,0)))))))</f>
        <v>#N/A</v>
      </c>
      <c r="HS9" s="151" t="e">
        <f>IF(CD9=$TK$5,'Tables - Part 3'!$CO$10,IF(COF!CD9=COF!$TK$6,IF(GI9&lt;'Tables - Part 3'!$CK$5,'Tables - Part 3'!$CO$5,IF(GI9&gt;='Tables - Part 3'!$CK$9,'Tables - Part 3'!$CO$9,((COF!GI9-COF!GM9)*(INDEX('Tables - Part 3'!$CO$5:$CO$9,MATCH(COF!GQ9,'Tables - Part 3'!$CK$5:$CK$9,0))-INDEX('Tables - Part 3'!$CO$5:$CO$9,MATCH(COF!GM9,'Tables - Part 3'!$CK$5:$CK$9,0)))/(GQ9-GM9)+INDEX('Tables - Part 3'!$CO$5:$CO$9,MATCH(COF!GM9,'Tables - Part 3'!$CK$5:$CK$9,0)))))))</f>
        <v>#N/A</v>
      </c>
      <c r="HT9" s="151">
        <f t="shared" si="74"/>
        <v>0</v>
      </c>
      <c r="HU9" s="151">
        <f t="shared" si="75"/>
        <v>0</v>
      </c>
      <c r="HV9" s="151">
        <f t="shared" si="76"/>
        <v>0</v>
      </c>
      <c r="HW9" s="151">
        <f t="shared" si="77"/>
        <v>0</v>
      </c>
      <c r="HX9" s="151">
        <f t="shared" si="78"/>
        <v>0</v>
      </c>
      <c r="HY9" s="151">
        <f t="shared" si="79"/>
        <v>0</v>
      </c>
      <c r="HZ9" s="151">
        <f t="shared" si="80"/>
        <v>0</v>
      </c>
      <c r="IA9" s="151">
        <f t="shared" si="81"/>
        <v>0</v>
      </c>
      <c r="IB9" s="153" t="e">
        <f t="shared" si="82"/>
        <v>#N/A</v>
      </c>
      <c r="IC9" s="153" t="e">
        <f t="shared" si="83"/>
        <v>#N/A</v>
      </c>
      <c r="ID9" s="153" t="e">
        <f t="shared" si="84"/>
        <v>#N/A</v>
      </c>
      <c r="IE9" s="153" t="e">
        <f t="shared" si="85"/>
        <v>#N/A</v>
      </c>
      <c r="IF9" s="152" t="e">
        <f>IF(GF9&lt;'Tables - Part 3'!$CQ$5,0,LOOKUP(GF9,'Tables - Part 3'!$CQ$5:$CQ$16))</f>
        <v>#N/A</v>
      </c>
      <c r="IG9" s="152" t="e">
        <f>IF(GG9&lt;'Tables - Part 3'!$CQ$5,0,LOOKUP(GG9,'Tables - Part 3'!$CQ$5:$CQ$16))</f>
        <v>#N/A</v>
      </c>
      <c r="IH9" s="152" t="e">
        <f>IF(GH9&lt;'Tables - Part 3'!$CQ$5,0,LOOKUP(GH9,'Tables - Part 3'!$CQ$5:$CQ$16))</f>
        <v>#N/A</v>
      </c>
      <c r="II9" s="152" t="e">
        <f>IF(GI9&lt;'Tables - Part 3'!$CQ$5,0,LOOKUP(GI9,'Tables - Part 3'!$CQ$5:$CQ$16))</f>
        <v>#N/A</v>
      </c>
      <c r="IJ9" s="152" t="e">
        <f>IF(GF9&lt;'Tables - Part 3'!$CQ$5,'Tables - Part 3'!$CQ$5,IF(COF!GF9&lt;'Tables - Part 3'!$CQ$6,'Tables - Part 3'!$CQ$6,IF(COF!GF9&lt;'Tables - Part 3'!$CQ$7,'Tables - Part 3'!$CQ$7,IF(COF!GF9&lt;'Tables - Part 3'!$CQ$8,'Tables - Part 3'!$CQ$8,IF(COF!GF9&lt;'Tables - Part 3'!$CQ$9,'Tables - Part 3'!$CQ$9,IF(COF!GF9&lt;'Tables - Part 3'!$CQ$10,'Tables - Part 3'!$CQ$10,IF(COF!GF9&lt;'Tables - Part 3'!$CQ$11,'Tables - Part 3'!$CQ$11,IF(COF!GF9&lt;'Tables - Part 3'!$CQ$12,'Tables - Part 3'!$CQ$12,IF(COF!GF9&lt;'Tables - Part 3'!$CQ$13,'Tables - Part 3'!$CQ$13,IF(COF!GF9&lt;'Tables - Part 3'!$CQ$14,'Tables - Part 3'!$CQ$14,IF(COF!GF9&lt;'Tables - Part 3'!$CQ$15,'Tables - Part 3'!$CQ$15,IF(COF!GF9&lt;'Tables - Part 3'!$CQ$16,'Tables - Part 3'!$CQ$16))))))))))))</f>
        <v>#N/A</v>
      </c>
      <c r="IK9" s="152" t="e">
        <f>IF(GG9&lt;'Tables - Part 3'!$CQ$5,'Tables - Part 3'!$CQ$5,IF(COF!GG9&lt;'Tables - Part 3'!$CQ$6,'Tables - Part 3'!$CQ$6,IF(COF!GG9&lt;'Tables - Part 3'!$CQ$7,'Tables - Part 3'!$CQ$7,IF(COF!GG9&lt;'Tables - Part 3'!$CQ$8,'Tables - Part 3'!$CQ$8,IF(COF!GG9&lt;'Tables - Part 3'!$CQ$9,'Tables - Part 3'!$CQ$9,IF(COF!GG9&lt;'Tables - Part 3'!$CQ$10,'Tables - Part 3'!$CQ$10,IF(COF!GG9&lt;'Tables - Part 3'!$CQ$11,'Tables - Part 3'!$CQ$11,IF(COF!GG9&lt;'Tables - Part 3'!$CQ$12,'Tables - Part 3'!$CQ$12,IF(COF!GG9&lt;'Tables - Part 3'!$CQ$13,'Tables - Part 3'!$CQ$13,IF(COF!GG9&lt;'Tables - Part 3'!$CQ$14,'Tables - Part 3'!$CQ$14,IF(COF!GG9&lt;'Tables - Part 3'!$CQ$15,'Tables - Part 3'!$CQ$15,IF(COF!GG9&lt;'Tables - Part 3'!$CQ$16,'Tables - Part 3'!$CQ$16))))))))))))</f>
        <v>#N/A</v>
      </c>
      <c r="IL9" s="152" t="e">
        <f>IF(GH9&lt;'Tables - Part 3'!$CQ$5,'Tables - Part 3'!$CQ$5,IF(COF!GH9&lt;'Tables - Part 3'!$CQ$6,'Tables - Part 3'!$CQ$6,IF(COF!GH9&lt;'Tables - Part 3'!$CQ$7,'Tables - Part 3'!$CQ$7,IF(COF!GH9&lt;'Tables - Part 3'!$CQ$8,'Tables - Part 3'!$CQ$8,IF(COF!GH9&lt;'Tables - Part 3'!$CQ$9,'Tables - Part 3'!$CQ$9,IF(COF!GH9&lt;'Tables - Part 3'!$CQ$10,'Tables - Part 3'!$CQ$10,IF(COF!GH9&lt;'Tables - Part 3'!$CQ$11,'Tables - Part 3'!$CQ$11,IF(COF!GH9&lt;'Tables - Part 3'!$CQ$12,'Tables - Part 3'!$CQ$12,IF(COF!GH9&lt;'Tables - Part 3'!$CQ$13,'Tables - Part 3'!$CQ$13,IF(COF!GH9&lt;'Tables - Part 3'!$CQ$14,'Tables - Part 3'!$CQ$14,IF(COF!GH9&lt;'Tables - Part 3'!$CQ$15,'Tables - Part 3'!$CQ$15,IF(COF!GH9&lt;'Tables - Part 3'!$CQ$16,'Tables - Part 3'!$CQ$16))))))))))))</f>
        <v>#N/A</v>
      </c>
      <c r="IM9" s="152" t="e">
        <f>IF(GI9&lt;'Tables - Part 3'!$CQ$5,'Tables - Part 3'!$CQ$5,IF(COF!GI9&lt;'Tables - Part 3'!$CQ$6,'Tables - Part 3'!$CQ$6,IF(COF!GI9&lt;'Tables - Part 3'!$CQ$7,'Tables - Part 3'!$CQ$7,IF(COF!GI9&lt;'Tables - Part 3'!$CQ$8,'Tables - Part 3'!$CQ$8,IF(COF!GI9&lt;'Tables - Part 3'!$CQ$9,'Tables - Part 3'!$CQ$9,IF(COF!GI9&lt;'Tables - Part 3'!$CQ$10,'Tables - Part 3'!$CQ$10,IF(COF!GI9&lt;'Tables - Part 3'!$CQ$11,'Tables - Part 3'!$CQ$11,IF(COF!GI9&lt;'Tables - Part 3'!$CQ$12,'Tables - Part 3'!$CQ$12,IF(COF!GI9&lt;'Tables - Part 3'!$CQ$13,'Tables - Part 3'!$CQ$13,IF(COF!GI9&lt;'Tables - Part 3'!$CQ$14,'Tables - Part 3'!$CQ$14,IF(COF!GI9&lt;'Tables - Part 3'!$CQ$15,'Tables - Part 3'!$CQ$15,IF(COF!GI9&lt;'Tables - Part 3'!$CQ$16,'Tables - Part 3'!$CQ$16))))))))))))</f>
        <v>#N/A</v>
      </c>
      <c r="IN9" s="151" t="e">
        <f>IF(CA9=$TK$5,'Tables - Part 3'!$CR$17,IF(COF!CA9=COF!$TK$6,IF(COF!GF9&lt;'Tables - Part 3'!$CQ$5,'Tables - Part 3'!$CR$5,IF(GF9&gt;='Tables - Part 3'!$CQ$16,'Tables - Part 3'!$CR$16,((COF!GF9-COF!IF9)*(INDEX('Tables - Part 3'!$CR$5:$CR$16,MATCH(COF!IJ9,'Tables - Part 3'!$CQ$5:$CQ$16,0))-INDEX('Tables - Part 3'!$CR$5:$CR$16,MATCH(COF!IF9,'Tables - Part 3'!$CQ$5:$CQ$16,0)))/(IJ9-IF9)+INDEX('Tables - Part 3'!$CR$5:$CR$16,MATCH(COF!IF9,'Tables - Part 3'!$CQ$5:$CQ$16,0)))))))</f>
        <v>#N/A</v>
      </c>
      <c r="IO9" s="151" t="e">
        <f>IF(CB9=$TK$5,'Tables - Part 3'!$CR$17,IF(COF!CB9=COF!$TK$6,IF(COF!GG9&lt;'Tables - Part 3'!$CQ$5,'Tables - Part 3'!$CR$5,IF(GG9&gt;='Tables - Part 3'!$CQ$16,'Tables - Part 3'!$CR$16,((COF!GG9-COF!IG9)*(INDEX('Tables - Part 3'!$CR$5:$CR$16,MATCH(COF!IK9,'Tables - Part 3'!$CQ$5:$CQ$16,0))-INDEX('Tables - Part 3'!$CR$5:$CR$16,MATCH(COF!IG9,'Tables - Part 3'!$CQ$5:$CQ$16,0)))/(IK9-IG9)+INDEX('Tables - Part 3'!$CR$5:$CR$16,MATCH(COF!IG9,'Tables - Part 3'!$CQ$5:$CQ$16,0)))))))</f>
        <v>#N/A</v>
      </c>
      <c r="IP9" s="151" t="e">
        <f>IF(CC9=$TK$5,'Tables - Part 3'!$CR$17,IF(COF!CC9=COF!$TK$6,IF(COF!GH9&lt;'Tables - Part 3'!$CQ$5,'Tables - Part 3'!$CR$5,IF(GH9&gt;='Tables - Part 3'!$CQ$16,'Tables - Part 3'!$CR$16,((COF!GH9-COF!IH9)*(INDEX('Tables - Part 3'!$CR$5:$CR$16,MATCH(COF!IL9,'Tables - Part 3'!$CQ$5:$CQ$16,0))-INDEX('Tables - Part 3'!$CR$5:$CR$16,MATCH(COF!IH9,'Tables - Part 3'!$CQ$5:$CQ$16,0)))/(IL9-IH9)+INDEX('Tables - Part 3'!$CR$5:$CR$16,MATCH(COF!IH9,'Tables - Part 3'!$CQ$5:$CQ$16,0)))))))</f>
        <v>#N/A</v>
      </c>
      <c r="IQ9" s="151" t="e">
        <f>IF(CD9=$TK$5,'Tables - Part 3'!$CR$17,IF(COF!CD9=COF!$TK$6,IF(COF!GI9&lt;'Tables - Part 3'!$CQ$5,'Tables - Part 3'!$CR$5,IF(GI9&gt;='Tables - Part 3'!$CQ$16,'Tables - Part 3'!$CR$16,((COF!GI9-COF!II9)*(INDEX('Tables - Part 3'!$CR$5:$CR$16,MATCH(COF!IM9,'Tables - Part 3'!$CQ$5:$CQ$16,0))-INDEX('Tables - Part 3'!$CR$5:$CR$16,MATCH(COF!II9,'Tables - Part 3'!$CQ$5:$CQ$16,0)))/(IM9-II9)+INDEX('Tables - Part 3'!$CR$5:$CR$16,MATCH(COF!II9,'Tables - Part 3'!$CQ$5:$CQ$16,0)))))))</f>
        <v>#N/A</v>
      </c>
      <c r="IR9" s="151" t="e">
        <f>IF(CA9=$TK$5,'Tables - Part 3'!$CS$17,IF(COF!CA9=COF!$TK$6,IF(COF!GF9&lt;'Tables - Part 3'!$CQ$5,'Tables - Part 3'!$CS$5,IF(GF9&gt;='Tables - Part 3'!$CQ$16,'Tables - Part 3'!$CS$16,((COF!GF9-COF!IF9)*(INDEX('Tables - Part 3'!$CS$5:$CS$16,MATCH(COF!IJ9,'Tables - Part 3'!$CQ$5:$CQ$16,0))-INDEX('Tables - Part 3'!$CS$5:$CS$16,MATCH(COF!IF9,'Tables - Part 3'!$CQ$5:$CQ$16,0)))/(IJ9-IF9)+INDEX('Tables - Part 3'!$CS$5:$CS$16,MATCH(COF!IF9,'Tables - Part 3'!$CQ$5:$CQ$16,0)))))))</f>
        <v>#N/A</v>
      </c>
      <c r="IS9" s="151" t="e">
        <f>IF(CB9=$TK$5,'Tables - Part 3'!$CS$17,IF(COF!CB9=COF!$TK$6,IF(COF!GG9&lt;'Tables - Part 3'!$CQ$5,'Tables - Part 3'!$CS$5,IF(GG9&gt;='Tables - Part 3'!$CQ$16,'Tables - Part 3'!$CS$16,((COF!GG9-COF!IG9)*(INDEX('Tables - Part 3'!$CS$5:$CS$16,MATCH(COF!IK9,'Tables - Part 3'!$CQ$5:$CQ$16,0))-INDEX('Tables - Part 3'!$CS$5:$CS$16,MATCH(COF!IG9,'Tables - Part 3'!$CQ$5:$CQ$16,0)))/(IK9-IG9)+INDEX('Tables - Part 3'!$CS$5:$CS$16,MATCH(COF!IG9,'Tables - Part 3'!$CQ$5:$CQ$16,0)))))))</f>
        <v>#N/A</v>
      </c>
      <c r="IT9" s="151" t="e">
        <f>IF(CC9=$TK$5,'Tables - Part 3'!$CS$17,IF(COF!CC9=COF!$TK$6,IF(COF!GH9&lt;'Tables - Part 3'!$CQ$5,'Tables - Part 3'!$CS$5,IF(GH9&gt;='Tables - Part 3'!$CQ$16,'Tables - Part 3'!$CS$16,((COF!GH9-COF!IH9)*(INDEX('Tables - Part 3'!$CS$5:$CS$16,MATCH(COF!IL9,'Tables - Part 3'!$CQ$5:$CQ$16,0))-INDEX('Tables - Part 3'!$CS$5:$CS$16,MATCH(COF!IH9,'Tables - Part 3'!$CQ$5:$CQ$16,0)))/(IL9-IH9)+INDEX('Tables - Part 3'!$CS$5:$CS$16,MATCH(COF!IH9,'Tables - Part 3'!$CQ$5:$CQ$16,0)))))))</f>
        <v>#N/A</v>
      </c>
      <c r="IU9" s="151" t="e">
        <f>IF(CD9=$TK$5,'Tables - Part 3'!$CS$17,IF(COF!CD9=COF!$TK$6,IF(COF!GI9&lt;'Tables - Part 3'!$CQ$5,'Tables - Part 3'!$CS$5,IF(GI9&gt;='Tables - Part 3'!$CQ$16,'Tables - Part 3'!$CS$16,((COF!GI9-COF!II9)*(INDEX('Tables - Part 3'!$CS$5:$CS$16,MATCH(COF!IM9,'Tables - Part 3'!$CQ$5:$CQ$16,0))-INDEX('Tables - Part 3'!$CS$5:$CS$16,MATCH(COF!II9,'Tables - Part 3'!$CQ$5:$CQ$16,0)))/(IM9-II9)+INDEX('Tables - Part 3'!$CS$5:$CS$16,MATCH(COF!II9,'Tables - Part 3'!$CQ$5:$CQ$16,0)))))))</f>
        <v>#N/A</v>
      </c>
      <c r="IV9" s="151">
        <f t="shared" si="86"/>
        <v>0</v>
      </c>
      <c r="IW9" s="151">
        <f t="shared" si="87"/>
        <v>0</v>
      </c>
      <c r="IX9" s="151">
        <f t="shared" si="88"/>
        <v>0</v>
      </c>
      <c r="IY9" s="151">
        <f t="shared" si="89"/>
        <v>0</v>
      </c>
      <c r="IZ9" s="151">
        <f t="shared" si="90"/>
        <v>0</v>
      </c>
      <c r="JA9" s="151">
        <f t="shared" si="91"/>
        <v>0</v>
      </c>
      <c r="JB9" s="151">
        <f t="shared" si="92"/>
        <v>0</v>
      </c>
      <c r="JC9" s="151">
        <f t="shared" si="93"/>
        <v>0</v>
      </c>
      <c r="JD9" s="151" t="e">
        <f t="shared" si="94"/>
        <v>#N/A</v>
      </c>
      <c r="JE9" s="151" t="e">
        <f t="shared" si="95"/>
        <v>#N/A</v>
      </c>
      <c r="JF9" s="151" t="e">
        <f t="shared" si="96"/>
        <v>#N/A</v>
      </c>
      <c r="JG9" s="151" t="e">
        <f t="shared" si="97"/>
        <v>#N/A</v>
      </c>
      <c r="JH9" s="151" t="e">
        <f>IF(CA9=$TK$5,'Tables - Part 3'!$CT$17,IF(COF!CA9=COF!$TK$6,IF(COF!GF9&lt;'Tables - Part 3'!$CQ$5,'Tables - Part 3'!$CT$5,IF(GF9&gt;='Tables - Part 3'!$CQ$16,'Tables - Part 3'!$CT$16,((COF!GF9-COF!IF9)*(INDEX('Tables - Part 3'!$CT$5:$CT$16,MATCH(COF!IJ9,'Tables - Part 3'!$CQ$5:$CQ$16,0))-INDEX('Tables - Part 3'!$CT$5:$CT$16,MATCH(COF!IF9,'Tables - Part 3'!$CQ$5:$CQ$16,0)))/(IJ9-IF9)+INDEX('Tables - Part 3'!$CT$5:$CT$16,MATCH(COF!IF9,'Tables - Part 3'!$CQ$5:$CQ$16,0)))))))</f>
        <v>#N/A</v>
      </c>
      <c r="JI9" s="151" t="e">
        <f>IF(CB9=$TK$5,'Tables - Part 3'!$CT$17,IF(COF!CB9=COF!$TK$6,IF(COF!GG9&lt;'Tables - Part 3'!$CQ$5,'Tables - Part 3'!$CT$5,IF(GG9&gt;='Tables - Part 3'!$CQ$16,'Tables - Part 3'!$CT$16,((COF!GG9-COF!IG9)*(INDEX('Tables - Part 3'!$CT$5:$CT$16,MATCH(COF!IK9,'Tables - Part 3'!$CQ$5:$CQ$16,0))-INDEX('Tables - Part 3'!$CT$5:$CT$16,MATCH(COF!IG9,'Tables - Part 3'!$CQ$5:$CQ$16,0)))/(IK9-IG9)+INDEX('Tables - Part 3'!$CT$5:$CT$16,MATCH(COF!IG9,'Tables - Part 3'!$CQ$5:$CQ$16,0)))))))</f>
        <v>#N/A</v>
      </c>
      <c r="JJ9" s="151" t="e">
        <f>IF(CC9=$TK$5,'Tables - Part 3'!$CT$17,IF(COF!CC9=COF!$TK$6,IF(COF!GH9&lt;'Tables - Part 3'!$CQ$5,'Tables - Part 3'!$CT$5,IF(GH9&gt;='Tables - Part 3'!$CQ$16,'Tables - Part 3'!$CT$16,((COF!GH9-COF!IH9)*(INDEX('Tables - Part 3'!$CT$5:$CT$16,MATCH(COF!IL9,'Tables - Part 3'!$CQ$5:$CQ$16,0))-INDEX('Tables - Part 3'!$CT$5:$CT$16,MATCH(COF!IH9,'Tables - Part 3'!$CQ$5:$CQ$16,0)))/(IL9-IH9)+INDEX('Tables - Part 3'!$CT$5:$CT$16,MATCH(COF!IH9,'Tables - Part 3'!$CQ$5:$CQ$16,0)))))))</f>
        <v>#N/A</v>
      </c>
      <c r="JK9" s="151" t="e">
        <f>IF(CD9=$TK$5,'Tables - Part 3'!$CT$17,IF(COF!CD9=COF!$TK$6,IF(COF!GI9&lt;'Tables - Part 3'!$CQ$5,'Tables - Part 3'!$CT$5,IF(GI9&gt;='Tables - Part 3'!$CQ$16,'Tables - Part 3'!$CT$16,((COF!GI9-COF!II9)*(INDEX('Tables - Part 3'!$CT$5:$CT$16,MATCH(COF!IM9,'Tables - Part 3'!$CQ$5:$CQ$16,0))-INDEX('Tables - Part 3'!$CT$5:$CT$16,MATCH(COF!II9,'Tables - Part 3'!$CQ$5:$CQ$16,0)))/(IM9-II9)+INDEX('Tables - Part 3'!$CT$5:$CT$16,MATCH(COF!II9,'Tables - Part 3'!$CQ$5:$CQ$16,0)))))))</f>
        <v>#N/A</v>
      </c>
      <c r="JL9" s="151" t="e">
        <f>IF(CA9=$TK$5,'Tables - Part 3'!$CU$17,IF(COF!CA9=COF!$TK$6,IF(COF!GF9&lt;'Tables - Part 3'!$CQ$5,'Tables - Part 3'!$CU$5,IF(GF9&gt;='Tables - Part 3'!$CQ$16,'Tables - Part 3'!$CU$16,((COF!GF9-COF!IF9)*(INDEX('Tables - Part 3'!$CU$5:$CU$16,MATCH(COF!IJ9,'Tables - Part 3'!$CQ$5:$CQ$16,0))-INDEX('Tables - Part 3'!$CU$5:$CU$16,MATCH(COF!IF9,'Tables - Part 3'!$CQ$5:$CQ$16,0)))/(IJ9-IF9)+INDEX('Tables - Part 3'!$CU$5:$CU$16,MATCH(COF!IF9,'Tables - Part 3'!$CQ$5:$CQ$16,0)))))))</f>
        <v>#N/A</v>
      </c>
      <c r="JM9" s="151" t="e">
        <f>IF(CB9=$TK$5,'Tables - Part 3'!$CU$17,IF(COF!CB9=COF!$TK$6,IF(COF!GG9&lt;'Tables - Part 3'!$CQ$5,'Tables - Part 3'!$CU$5,IF(GG9&gt;='Tables - Part 3'!$CQ$16,'Tables - Part 3'!$CU$16,((COF!GG9-COF!IG9)*(INDEX('Tables - Part 3'!$CU$5:$CU$16,MATCH(COF!IK9,'Tables - Part 3'!$CQ$5:$CQ$16,0))-INDEX('Tables - Part 3'!$CU$5:$CU$16,MATCH(COF!IG9,'Tables - Part 3'!$CQ$5:$CQ$16,0)))/(IK9-IG9)+INDEX('Tables - Part 3'!$CU$5:$CU$16,MATCH(COF!IG9,'Tables - Part 3'!$CQ$5:$CQ$16,0)))))))</f>
        <v>#N/A</v>
      </c>
      <c r="JN9" s="151" t="e">
        <f>IF(CC9=$TK$5,'Tables - Part 3'!$CU$17,IF(COF!CC9=COF!$TK$6,IF(COF!GH9&lt;'Tables - Part 3'!$CQ$5,'Tables - Part 3'!$CU$5,IF(GH9&gt;='Tables - Part 3'!$CQ$16,'Tables - Part 3'!$CU$16,((COF!GH9-COF!IH9)*(INDEX('Tables - Part 3'!$CU$5:$CU$16,MATCH(COF!IL9,'Tables - Part 3'!$CQ$5:$CQ$16,0))-INDEX('Tables - Part 3'!$CU$5:$CU$16,MATCH(COF!IH9,'Tables - Part 3'!$CQ$5:$CQ$16,0)))/(IL9-IH9)+INDEX('Tables - Part 3'!$CU$5:$CU$16,MATCH(COF!IH9,'Tables - Part 3'!$CQ$5:$CQ$16,0)))))))</f>
        <v>#N/A</v>
      </c>
      <c r="JO9" s="151" t="e">
        <f>IF(CD9=$TK$5,'Tables - Part 3'!$CU$17,IF(COF!CD9=COF!$TK$6,IF(COF!GI9&lt;'Tables - Part 3'!$CQ$5,'Tables - Part 3'!$CU$5,IF(GI9&gt;='Tables - Part 3'!$CQ$16,'Tables - Part 3'!$CU$16,((COF!GI9-COF!II9)*(INDEX('Tables - Part 3'!$CU$5:$CU$16,MATCH(COF!IM9,'Tables - Part 3'!$CQ$5:$CQ$16,0))-INDEX('Tables - Part 3'!$CU$5:$CU$16,MATCH(COF!II9,'Tables - Part 3'!$CQ$5:$CQ$16,0)))/(IM9-II9)+INDEX('Tables - Part 3'!$CU$5:$CU$16,MATCH(COF!II9,'Tables - Part 3'!$CQ$5:$CQ$16,0)))))))</f>
        <v>#N/A</v>
      </c>
      <c r="JP9" s="282"/>
      <c r="JQ9" s="151">
        <f t="shared" si="98"/>
        <v>0</v>
      </c>
      <c r="JR9" s="151">
        <f t="shared" si="99"/>
        <v>0</v>
      </c>
      <c r="JS9" s="151">
        <f t="shared" si="100"/>
        <v>0</v>
      </c>
      <c r="JT9" s="151">
        <f t="shared" si="101"/>
        <v>0</v>
      </c>
      <c r="JU9" s="151" t="e">
        <f t="shared" si="204"/>
        <v>#N/A</v>
      </c>
      <c r="JV9" s="151" t="e">
        <f t="shared" si="205"/>
        <v>#N/A</v>
      </c>
      <c r="JW9" s="151" t="e">
        <f t="shared" si="206"/>
        <v>#N/A</v>
      </c>
      <c r="JX9" s="151" t="e">
        <f t="shared" si="207"/>
        <v>#N/A</v>
      </c>
      <c r="JY9" s="152" t="e">
        <f>IF(GF9&lt;'Tables - Part 3'!$CY$6,0,LOOKUP(GF9,'Tables - Part 3'!$CY$6:$CY$11))</f>
        <v>#N/A</v>
      </c>
      <c r="JZ9" s="152" t="e">
        <f>IF(GG9&lt;'Tables - Part 3'!$CY$6,0,LOOKUP(GG9,'Tables - Part 3'!$CY$6:$CY$11))</f>
        <v>#N/A</v>
      </c>
      <c r="KA9" s="152" t="e">
        <f>IF(GH9&lt;'Tables - Part 3'!$CY$6,0,LOOKUP(GH9,'Tables - Part 3'!$CY$6:$CY$11))</f>
        <v>#N/A</v>
      </c>
      <c r="KB9" s="152" t="e">
        <f>IF(GI9&lt;'Tables - Part 3'!$CY$6,0,LOOKUP(GI9,'Tables - Part 3'!$CY$6:$CY$11))</f>
        <v>#N/A</v>
      </c>
      <c r="KC9" s="152" t="e">
        <f>IF(GF9&lt;'Tables - Part 3'!$CY$6,'Tables - Part 3'!$CY$6,IF(COF!GF9&lt;'Tables - Part 3'!$CY$7,'Tables - Part 3'!$CY$7,IF(COF!GF9&lt;'Tables - Part 3'!$CY$8,'Tables - Part 3'!$CY$8,IF(COF!GF9&lt;'Tables - Part 3'!$CY$9,'Tables - Part 3'!$CY$9,IF(COF!GF9&lt;'Tables - Part 3'!$CY$10,'Tables - Part 3'!$CY$10,IF(COF!GF9&lt;'Tables - Part 3'!$CY$11,'Tables - Part 3'!$CY$11))))))</f>
        <v>#N/A</v>
      </c>
      <c r="KD9" s="152" t="e">
        <f>IF(GG9&lt;'Tables - Part 3'!$CY$6,'Tables - Part 3'!$CY$6,IF(COF!GG9&lt;'Tables - Part 3'!$CY$7,'Tables - Part 3'!$CY$7,IF(COF!GG9&lt;'Tables - Part 3'!$CY$8,'Tables - Part 3'!$CY$8,IF(COF!GG9&lt;'Tables - Part 3'!$CY$9,'Tables - Part 3'!$CY$9,IF(COF!GG9&lt;'Tables - Part 3'!$CY$10,'Tables - Part 3'!$CY$10,IF(COF!GG9&lt;'Tables - Part 3'!$CY$11,'Tables - Part 3'!$CY$11))))))</f>
        <v>#N/A</v>
      </c>
      <c r="KE9" s="152" t="e">
        <f>IF(GH9&lt;'Tables - Part 3'!$CY$6,'Tables - Part 3'!$CY$6,IF(COF!GH9&lt;'Tables - Part 3'!$CY$7,'Tables - Part 3'!$CY$7,IF(COF!GH9&lt;'Tables - Part 3'!$CY$8,'Tables - Part 3'!$CY$8,IF(COF!GH9&lt;'Tables - Part 3'!$CY$9,'Tables - Part 3'!$CY$9,IF(COF!GH9&lt;'Tables - Part 3'!$CY$10,'Tables - Part 3'!$CY$10,IF(COF!GH9&lt;'Tables - Part 3'!$CY$11,'Tables - Part 3'!$CY$11))))))</f>
        <v>#N/A</v>
      </c>
      <c r="KF9" s="152" t="e">
        <f>IF(GI9&lt;'Tables - Part 3'!$CY$6,'Tables - Part 3'!$CY$6,IF(COF!GI9&lt;'Tables - Part 3'!$CY$7,'Tables - Part 3'!$CY$7,IF(COF!GI9&lt;'Tables - Part 3'!$CY$8,'Tables - Part 3'!$CY$8,IF(COF!GI9&lt;'Tables - Part 3'!$CY$9,'Tables - Part 3'!$CY$9,IF(COF!GI9&lt;'Tables - Part 3'!$CY$10,'Tables - Part 3'!$CY$10,IF(COF!GI9&lt;'Tables - Part 3'!$CY$11,'Tables - Part 3'!$CY$11))))))</f>
        <v>#N/A</v>
      </c>
      <c r="KG9" s="151" t="e">
        <f>IF(CA9=$TK$5,'Tables - Part 3'!$CZ$6,IF(COF!CA9=COF!$TK$6,IF(COF!GF9&lt;'Tables - Part 3'!$CY$6,'Tables - Part 3'!$CZ$6,IF(GF9&gt;='Tables - Part 3'!$CY$11,'Tables - Part 3'!$CZ$11,((COF!GF9-COF!JY9)*(INDEX('Tables - Part 3'!$CZ$6:$CZ$11,MATCH(COF!KC9,'Tables - Part 3'!$CY$6:$CY$11,0))-INDEX('Tables - Part 3'!$CZ$6:$CZ$11,MATCH(COF!JY9,'Tables - Part 3'!$CY$6:$CY$11,0)))/(KC9-JY9)+INDEX('Tables - Part 3'!$CZ$6:$CZ$11,MATCH(COF!JY9,'Tables - Part 3'!$CY$6:$CY$11,0)))))))</f>
        <v>#N/A</v>
      </c>
      <c r="KH9" s="151" t="e">
        <f>IF(CB9=$TK$5,'Tables - Part 3'!$CZ$6,IF(COF!CB9=COF!$TK$6,IF(COF!GG9&lt;'Tables - Part 3'!$CY$6,'Tables - Part 3'!$CZ$6,IF(GG9&gt;='Tables - Part 3'!$CY$11,'Tables - Part 3'!$CZ$11,((COF!GG9-COF!JZ9)*(INDEX('Tables - Part 3'!$CZ$6:$CZ$11,MATCH(COF!KD9,'Tables - Part 3'!$CY$6:$CY$11,0))-INDEX('Tables - Part 3'!$CZ$6:$CZ$11,MATCH(COF!JZ9,'Tables - Part 3'!$CY$6:$CY$11,0)))/(KD9-JZ9)+INDEX('Tables - Part 3'!$CZ$6:$CZ$11,MATCH(COF!JZ9,'Tables - Part 3'!$CY$6:$CY$11,0)))))))</f>
        <v>#N/A</v>
      </c>
      <c r="KI9" s="151" t="e">
        <f>IF(CC9=$TK$5,'Tables - Part 3'!$CZ$6,IF(COF!CC9=COF!$TK$6,IF(COF!GH9&lt;'Tables - Part 3'!$CY$6,'Tables - Part 3'!$CZ$6,IF(GH9&gt;='Tables - Part 3'!$CY$11,'Tables - Part 3'!$CZ$11,((COF!GH9-COF!KA9)*(INDEX('Tables - Part 3'!$CZ$6:$CZ$11,MATCH(COF!KE9,'Tables - Part 3'!$CY$6:$CY$11,0))-INDEX('Tables - Part 3'!$CZ$6:$CZ$11,MATCH(COF!KA9,'Tables - Part 3'!$CY$6:$CY$11,0)))/(KE9-KA9)+INDEX('Tables - Part 3'!$CZ$6:$CZ$11,MATCH(COF!KA9,'Tables - Part 3'!$CY$6:$CY$11,0)))))))</f>
        <v>#N/A</v>
      </c>
      <c r="KJ9" s="151" t="e">
        <f>IF(CD9=$TK$5,'Tables - Part 3'!$CZ$6,IF(COF!CD9=COF!$TK$6,IF(COF!GI9&lt;'Tables - Part 3'!$CY$6,'Tables - Part 3'!$CZ$6,IF(GI9&gt;='Tables - Part 3'!$CY$11,'Tables - Part 3'!$CZ$11,((COF!GI9-COF!KB9)*(INDEX('Tables - Part 3'!$CZ$6:$CZ$11,MATCH(COF!KF9,'Tables - Part 3'!$CY$6:$CY$11,0))-INDEX('Tables - Part 3'!$CZ$6:$CZ$11,MATCH(COF!KB9,'Tables - Part 3'!$CY$6:$CY$11,0)))/(KF9-KB9)+INDEX('Tables - Part 3'!$CZ$6:$CZ$11,MATCH(COF!KB9,'Tables - Part 3'!$CY$6:$CY$11,0)))))))</f>
        <v>#N/A</v>
      </c>
      <c r="KK9" s="153" t="e">
        <f>IF(CA9=$TK$5,'Tables - Part 3'!$DA$6,IF(COF!CA9=COF!$TK$6,IF(COF!GF9&lt;'Tables - Part 3'!$CY$6,'Tables - Part 3'!$DA$6,IF(GF9&gt;='Tables - Part 3'!$CY$11,'Tables - Part 3'!$DA$11,((COF!GF9-COF!JY9)*(INDEX('Tables - Part 3'!$DA$6:$DA$11,MATCH(COF!KC9,'Tables - Part 3'!$CY$6:$CY$11,0))-INDEX('Tables - Part 3'!$DA$6:$DA$11,MATCH(COF!JY9,'Tables - Part 3'!$CY$6:$CY$11,0)))/(KC9-JY9)+INDEX('Tables - Part 3'!$DA$6:$DA$16,MATCH(COF!JY9,'Tables - Part 3'!$CY$6:$CY$11,0)))))))</f>
        <v>#N/A</v>
      </c>
      <c r="KL9" s="153" t="e">
        <f>IF(CB9=$TK$5,'Tables - Part 3'!$DA$6,IF(COF!CB9=COF!$TK$6,IF(COF!GG9&lt;'Tables - Part 3'!$CY$6,'Tables - Part 3'!$DA$6,IF(GG9&gt;='Tables - Part 3'!$CY$11,'Tables - Part 3'!$DA$11,((COF!GG9-COF!JZ9)*(INDEX('Tables - Part 3'!$DA$6:$DA$11,MATCH(COF!KD9,'Tables - Part 3'!$CY$6:$CY$11,0))-INDEX('Tables - Part 3'!$DA$6:$DA$11,MATCH(COF!JZ9,'Tables - Part 3'!$CY$6:$CY$11,0)))/(KD9-JZ9)+INDEX('Tables - Part 3'!$DA$6:$DA$16,MATCH(COF!JZ9,'Tables - Part 3'!$CY$6:$CY$11,0)))))))</f>
        <v>#N/A</v>
      </c>
      <c r="KM9" s="153" t="e">
        <f>IF(CC9=$TK$5,'Tables - Part 3'!$DA$6,IF(COF!CC9=COF!$TK$6,IF(COF!GH9&lt;'Tables - Part 3'!$CY$6,'Tables - Part 3'!$DA$6,IF(GH9&gt;='Tables - Part 3'!$CY$11,'Tables - Part 3'!$DA$11,((COF!GH9-COF!KA9)*(INDEX('Tables - Part 3'!$DA$6:$DA$11,MATCH(COF!KE9,'Tables - Part 3'!$CY$6:$CY$11,0))-INDEX('Tables - Part 3'!$DA$6:$DA$11,MATCH(COF!KA9,'Tables - Part 3'!$CY$6:$CY$11,0)))/(KE9-KA9)+INDEX('Tables - Part 3'!$DA$6:$DA$16,MATCH(COF!KA9,'Tables - Part 3'!$CY$6:$CY$11,0)))))))</f>
        <v>#N/A</v>
      </c>
      <c r="KN9" s="153" t="e">
        <f>IF(CD9=$TK$5,'Tables - Part 3'!$DA$6,IF(COF!CD9=COF!$TK$6,IF(COF!GI9&lt;'Tables - Part 3'!$CY$6,'Tables - Part 3'!$DA$6,IF(GI9&gt;='Tables - Part 3'!$CY$11,'Tables - Part 3'!$DA$11,((COF!GI9-COF!KB9)*(INDEX('Tables - Part 3'!$DA$6:$DA$11,MATCH(COF!KF9,'Tables - Part 3'!$CY$6:$CY$11,0))-INDEX('Tables - Part 3'!$DA$6:$DA$11,MATCH(COF!KB9,'Tables - Part 3'!$CY$6:$CY$11,0)))/(KF9-KB9)+INDEX('Tables - Part 3'!$DA$6:$DA$16,MATCH(COF!KB9,'Tables - Part 3'!$CY$6:$CY$11,0)))))))</f>
        <v>#N/A</v>
      </c>
      <c r="KO9" s="153">
        <f t="shared" si="102"/>
        <v>0</v>
      </c>
      <c r="KP9" s="153">
        <f t="shared" si="103"/>
        <v>0</v>
      </c>
      <c r="KQ9" s="153">
        <f t="shared" si="104"/>
        <v>0</v>
      </c>
      <c r="KR9" s="153">
        <f t="shared" si="105"/>
        <v>0</v>
      </c>
      <c r="KS9" s="151" t="e">
        <f t="shared" si="208"/>
        <v>#N/A</v>
      </c>
      <c r="KT9" s="151" t="e">
        <f t="shared" si="209"/>
        <v>#N/A</v>
      </c>
      <c r="KU9" s="151" t="e">
        <f t="shared" si="210"/>
        <v>#N/A</v>
      </c>
      <c r="KV9" s="151" t="e">
        <f t="shared" si="211"/>
        <v>#N/A</v>
      </c>
      <c r="KW9" s="151" t="e">
        <f>IF(CA9=$TK$5,'Tables - Part 3'!$CZ$12,IF(COF!CA9=COF!$TK$6,IF(COF!GF9&lt;'Tables - Part 3'!$CY$12,'Tables - Part 3'!$CZ$12,IF(GF9&gt;='Tables - Part 3'!$CY$17,'Tables - Part 3'!$CZ$17,((COF!GF9-COF!JY9)*(INDEX('Tables - Part 3'!$CZ$12:$CZ$17,MATCH(COF!KC9,'Tables - Part 3'!$CY$12:$CY$17,0))-INDEX('Tables - Part 3'!$CZ$12:$CZ$17,MATCH(COF!JY9,'Tables - Part 3'!$CY$12:$CY$17,0)))/(KC9-JY9)+INDEX('Tables - Part 3'!$CZ$12:$CZ$17,MATCH(COF!JY9,'Tables - Part 3'!$CY$12:$CY$17,0)))))))</f>
        <v>#N/A</v>
      </c>
      <c r="KX9" s="151" t="e">
        <f>IF(CB9=$TK$5,'Tables - Part 3'!$CZ$12,IF(COF!CB9=COF!$TK$6,IF(COF!GG9&lt;'Tables - Part 3'!$CY$12,'Tables - Part 3'!$CZ$12,IF(GG9&gt;='Tables - Part 3'!$CY$17,'Tables - Part 3'!$CZ$17,((COF!GG9-COF!JZ9)*(INDEX('Tables - Part 3'!$CZ$12:$CZ$17,MATCH(COF!KD9,'Tables - Part 3'!$CY$12:$CY$17,0))-INDEX('Tables - Part 3'!$CZ$12:$CZ$17,MATCH(COF!JZ9,'Tables - Part 3'!$CY$12:$CY$17,0)))/(KD9-JZ9)+INDEX('Tables - Part 3'!$CZ$12:$CZ$17,MATCH(COF!JZ9,'Tables - Part 3'!$CY$12:$CY$17,0)))))))</f>
        <v>#N/A</v>
      </c>
      <c r="KY9" s="151" t="e">
        <f>IF(CC9=$TK$5,'Tables - Part 3'!$CZ$12,IF(COF!CC9=COF!$TK$6,IF(COF!GH9&lt;'Tables - Part 3'!$CY$12,'Tables - Part 3'!$CZ$12,IF(GH9&gt;='Tables - Part 3'!$CY$17,'Tables - Part 3'!$CZ$17,((COF!GH9-COF!KA9)*(INDEX('Tables - Part 3'!$CZ$12:$CZ$17,MATCH(COF!KE9,'Tables - Part 3'!$CY$12:$CY$17,0))-INDEX('Tables - Part 3'!$CZ$12:$CZ$17,MATCH(COF!KA9,'Tables - Part 3'!$CY$12:$CY$17,0)))/(KE9-KA9)+INDEX('Tables - Part 3'!$CZ$12:$CZ$17,MATCH(COF!KA9,'Tables - Part 3'!$CY$12:$CY$17,0)))))))</f>
        <v>#N/A</v>
      </c>
      <c r="KZ9" s="151" t="e">
        <f>IF(CD9=$TK$5,'Tables - Part 3'!$CZ$12,IF(COF!CD9=COF!$TK$6,IF(COF!GI9&lt;'Tables - Part 3'!$CY$12,'Tables - Part 3'!$CZ$12,IF(GI9&gt;='Tables - Part 3'!$CY$17,'Tables - Part 3'!$CZ$17,((COF!GI9-COF!KB9)*(INDEX('Tables - Part 3'!$CZ$12:$CZ$17,MATCH(COF!KF9,'Tables - Part 3'!$CY$12:$CY$17,0))-INDEX('Tables - Part 3'!$CZ$12:$CZ$17,MATCH(COF!KB9,'Tables - Part 3'!$CY$12:$CY$17,0)))/(KF9-KB9)+INDEX('Tables - Part 3'!$CZ$12:$CZ$17,MATCH(COF!KB9,'Tables - Part 3'!$CY$12:$CY$17,0)))))))</f>
        <v>#N/A</v>
      </c>
      <c r="LA9" s="151" t="e">
        <f>IF(CA9=$TK$5,'Tables - Part 3'!$DA$6,IF(COF!CA9=COF!$TK$6,IF(COF!GF9&lt;'Tables - Part 3'!$CY$6,'Tables - Part 3'!$DA$6,IF(GF9&gt;='Tables - Part 3'!$CY$11,'Tables - Part 3'!$DA$11,((COF!GF9-COF!JY9)*(INDEX('Tables - Part 3'!$DA$6:$DA$11,MATCH(COF!KC9,'Tables - Part 3'!$CY$6:$CY$11,0))-INDEX('Tables - Part 3'!$DA$6:$DA$11,MATCH(COF!JY9,'Tables - Part 3'!$CY$6:$CY$11,0)))/(KC9-JY9)+INDEX('Tables - Part 3'!$DA$5:$DA$16,MATCH(COF!JY9,'Tables - Part 3'!$CY$6:$CY$11,0)))))))</f>
        <v>#N/A</v>
      </c>
      <c r="LB9" s="151" t="e">
        <f>IF(CB9=$TK$5,'Tables - Part 3'!$DA$6,IF(COF!CB9=COF!$TK$6,IF(COF!GG9&lt;'Tables - Part 3'!$CY$6,'Tables - Part 3'!$DA$6,IF(GG9&gt;='Tables - Part 3'!$CY$11,'Tables - Part 3'!$DA$11,((COF!GG9-COF!JZ9)*(INDEX('Tables - Part 3'!$DA$6:$DA$11,MATCH(COF!KD9,'Tables - Part 3'!$CY$6:$CY$11,0))-INDEX('Tables - Part 3'!$DA$6:$DA$11,MATCH(COF!JZ9,'Tables - Part 3'!$CY$6:$CY$11,0)))/(KD9-JZ9)+INDEX('Tables - Part 3'!$DA$5:$DA$16,MATCH(COF!JZ9,'Tables - Part 3'!$CY$6:$CY$11,0)))))))</f>
        <v>#N/A</v>
      </c>
      <c r="LC9" s="151" t="e">
        <f>IF(CC9=$TK$5,'Tables - Part 3'!$DA$6,IF(COF!CC9=COF!$TK$6,IF(COF!GH9&lt;'Tables - Part 3'!$CY$6,'Tables - Part 3'!$DA$6,IF(GH9&gt;='Tables - Part 3'!$CY$11,'Tables - Part 3'!$DA$11,((COF!GH9-COF!KA9)*(INDEX('Tables - Part 3'!$DA$6:$DA$11,MATCH(COF!KE9,'Tables - Part 3'!$CY$6:$CY$11,0))-INDEX('Tables - Part 3'!$DA$6:$DA$11,MATCH(COF!KA9,'Tables - Part 3'!$CY$6:$CY$11,0)))/(KE9-KA9)+INDEX('Tables - Part 3'!$DA$5:$DA$16,MATCH(COF!KA9,'Tables - Part 3'!$CY$6:$CY$11,0)))))))</f>
        <v>#N/A</v>
      </c>
      <c r="LD9" s="151" t="e">
        <f>IF(CD9=$TK$5,'Tables - Part 3'!$DA$6,IF(COF!CD9=COF!$TK$6,IF(COF!GI9&lt;'Tables - Part 3'!$CY$6,'Tables - Part 3'!$DA$6,IF(GI9&gt;='Tables - Part 3'!$CY$11,'Tables - Part 3'!$DA$11,((COF!GI9-COF!KB9)*(INDEX('Tables - Part 3'!$DA$6:$DA$11,MATCH(COF!KF9,'Tables - Part 3'!$CY$6:$CY$11,0))-INDEX('Tables - Part 3'!$DA$6:$DA$11,MATCH(COF!KB9,'Tables - Part 3'!$CY$6:$CY$11,0)))/(KF9-KB9)+INDEX('Tables - Part 3'!$DA$5:$DA$16,MATCH(COF!KB9,'Tables - Part 3'!$CY$6:$CY$11,0)))))))</f>
        <v>#N/A</v>
      </c>
      <c r="LE9" s="154"/>
      <c r="LF9" s="154"/>
      <c r="LG9" s="154"/>
      <c r="LH9" s="154"/>
      <c r="LI9" s="154"/>
      <c r="LJ9" s="154"/>
      <c r="LK9" s="154"/>
      <c r="LL9" s="151" t="e">
        <f t="shared" si="212"/>
        <v>#N/A</v>
      </c>
      <c r="LM9" s="151" t="e">
        <f t="shared" si="213"/>
        <v>#N/A</v>
      </c>
      <c r="LN9" s="151" t="e">
        <f t="shared" si="214"/>
        <v>#N/A</v>
      </c>
      <c r="LO9" s="151" t="e">
        <f t="shared" si="215"/>
        <v>#N/A</v>
      </c>
      <c r="LP9" s="151">
        <f t="shared" si="106"/>
        <v>0</v>
      </c>
      <c r="LQ9" s="502">
        <f>IF($F9='Tables - Part 3'!$B$17,'Tables - Part 3.B'!$C$11*COF!CJ9,0)</f>
        <v>0</v>
      </c>
      <c r="LR9" s="502">
        <f>IF($F9='Tables - Part 3'!$B$17,'Tables - Part 3.B'!$C$11*COF!CK9,0)</f>
        <v>0</v>
      </c>
      <c r="LS9" s="502">
        <f>IF($F9='Tables - Part 3'!$B$17,'Tables - Part 3.B'!$C$11*COF!CL9,0)</f>
        <v>0</v>
      </c>
      <c r="LT9" s="502">
        <f>IF($F9='Tables - Part 3'!$B$17,'Tables - Part 3.B'!$C$11*COF!CM9,0)</f>
        <v>0</v>
      </c>
      <c r="LU9" s="502">
        <f>IF($F9='Tables - Part 3'!$B$17,'Tables - Part 3.B'!$C$12*POWER(COF!CR9,0.6384),0)</f>
        <v>0</v>
      </c>
      <c r="LV9" s="502">
        <f>IF($F9='Tables - Part 3'!$B$17,'Tables - Part 3.B'!$C$12*POWER(COF!CS9,0.6384),0)</f>
        <v>0</v>
      </c>
      <c r="LW9" s="502">
        <f>IF($F9='Tables - Part 3'!$B$17,'Tables - Part 3.B'!$C$12*POWER(COF!CT9,0.6384),0)</f>
        <v>0</v>
      </c>
      <c r="LX9" s="502">
        <f>IF($F9='Tables - Part 3'!$B$17,'Tables - Part 3.B'!$C$12*POWER(COF!CU9,0.6384),0)</f>
        <v>0</v>
      </c>
      <c r="LY9" s="151" t="e">
        <f>MIN(CJ9/'Tables - Part 3.B'!$C$8,1)</f>
        <v>#N/A</v>
      </c>
      <c r="LZ9" s="151" t="e">
        <f>MIN(CK9/'Tables - Part 3.B'!$C$8,1)</f>
        <v>#N/A</v>
      </c>
      <c r="MA9" s="151" t="e">
        <f>MIN(CL9/'Tables - Part 3.B'!$C$8,1)</f>
        <v>#N/A</v>
      </c>
      <c r="MB9" s="151" t="e">
        <f>MIN(CM9/'Tables - Part 3.B'!$C$8,1)</f>
        <v>#N/A</v>
      </c>
      <c r="MC9" s="151" t="e">
        <f t="shared" si="216"/>
        <v>#N/A</v>
      </c>
      <c r="MD9" s="151" t="e">
        <f t="shared" si="107"/>
        <v>#N/A</v>
      </c>
      <c r="ME9" s="151" t="e">
        <f t="shared" si="107"/>
        <v>#N/A</v>
      </c>
      <c r="MF9" s="151" t="e">
        <f t="shared" si="107"/>
        <v>#N/A</v>
      </c>
      <c r="MG9" s="502">
        <f>IF($F9='Tables - Part 3'!$B$18,0.2*'Tables - Part 3.B'!$C$10*$ML9*POWER('Tables - Part 3.B'!$C$7*CJ9,$MM9),0)</f>
        <v>0</v>
      </c>
      <c r="MH9" s="502">
        <f>IF($F9='Tables - Part 3'!$B$18,0.2*'Tables - Part 3.B'!$C$10*$ML9*POWER('Tables - Part 3.B'!$C$7*CK9,$MM9),0)</f>
        <v>0</v>
      </c>
      <c r="MI9" s="502">
        <f>IF($F9='Tables - Part 3'!$B$18,0.2*'Tables - Part 3.B'!$C$10*$ML9*POWER('Tables - Part 3.B'!$C$7*CL9,$MM9),0)</f>
        <v>0</v>
      </c>
      <c r="MJ9" s="502">
        <f>IF($F9='Tables - Part 3'!$B$18,0.2*'Tables - Part 3.B'!$C$10*$ML9*POWER('Tables - Part 3.B'!$C$7*CM9,$MM9),0)</f>
        <v>0</v>
      </c>
      <c r="MK9" s="151">
        <v>0</v>
      </c>
      <c r="ML9" s="151" t="e">
        <f>2696-21.9*'Tables - Part 3.B'!$C$13*(COF!OO9-COF!$TM$5)+1.474*POWER('Tables - Part 3.B'!$C$13*(COF!OO9-COF!$TM$5),2)</f>
        <v>#VALUE!</v>
      </c>
      <c r="MM9" s="151" t="e">
        <f>0.31-0.00032*POWER('Tables - Part 3.B'!$C$13*(COF!OO9-COF!$TM$5)-40,2)</f>
        <v>#VALUE!</v>
      </c>
      <c r="MN9" s="151">
        <v>0</v>
      </c>
      <c r="MO9" s="151">
        <f t="shared" si="217"/>
        <v>0</v>
      </c>
      <c r="MP9" s="151">
        <f t="shared" si="108"/>
        <v>0</v>
      </c>
      <c r="MQ9" s="151">
        <f t="shared" si="108"/>
        <v>0</v>
      </c>
      <c r="MR9" s="151">
        <f t="shared" si="108"/>
        <v>0</v>
      </c>
      <c r="MS9" s="151" t="e">
        <f t="shared" si="218"/>
        <v>#N/A</v>
      </c>
      <c r="MT9" s="151" t="e">
        <f t="shared" si="219"/>
        <v>#N/A</v>
      </c>
      <c r="MU9" s="151" t="e">
        <f t="shared" si="220"/>
        <v>#N/A</v>
      </c>
      <c r="MV9" s="151" t="e">
        <f t="shared" si="221"/>
        <v>#N/A</v>
      </c>
      <c r="MW9" s="151">
        <f t="shared" si="222"/>
        <v>0</v>
      </c>
      <c r="MX9" s="151">
        <f t="shared" si="223"/>
        <v>0</v>
      </c>
      <c r="MY9" s="151">
        <f t="shared" si="224"/>
        <v>0</v>
      </c>
      <c r="MZ9" s="526">
        <f t="shared" si="109"/>
        <v>0</v>
      </c>
      <c r="NA9" s="151" t="e">
        <f>INDEX('Tables - Part 3'!DQ$5:DQ$32,MATCH($E9,'Tables - Part 3'!$DP$5:$DP$32,0))</f>
        <v>#N/A</v>
      </c>
      <c r="NB9" s="151" t="e">
        <f>INDEX('Tables - Part 3'!DR$5:DR$32,MATCH($E9,'Tables - Part 3'!$DP$5:$DP$32,0))</f>
        <v>#N/A</v>
      </c>
      <c r="NC9" s="151" t="e">
        <f>INDEX('Tables - Part 3'!DS$5:DS$32,MATCH($E9,'Tables - Part 3'!$DP$5:$DP$32,0))</f>
        <v>#N/A</v>
      </c>
      <c r="ND9" s="151" t="e">
        <f>INDEX('Tables - Part 3'!DT$5:DT$32,MATCH($E9,'Tables - Part 3'!$DP$5:$DP$32,0))</f>
        <v>#N/A</v>
      </c>
      <c r="NE9" s="151" t="e">
        <f>IF(W9='Tables - Part 3'!$DV$44,COF!X9,IF(OR(COF!X9&lt;&gt;0,COF!X9&lt;&gt;""),COF!X9,INDEX('Tables - Part 3'!$DW$4:$DW$43,MATCH(COF!W9,'Tables - Part 3'!$DV$4:$DV$43,0))))</f>
        <v>#N/A</v>
      </c>
      <c r="NF9" s="151">
        <f t="shared" si="110"/>
        <v>1</v>
      </c>
      <c r="NG9" s="151" t="e">
        <f t="shared" si="225"/>
        <v>#N/A</v>
      </c>
      <c r="NH9" s="151">
        <f t="shared" si="111"/>
        <v>0</v>
      </c>
      <c r="NI9" s="151" t="e">
        <f>INDEX('Tables - Part 3'!EC$5:EC$31,MATCH(COF!$E9,'Tables - Part 3'!$EB$5:$EB$31,0))</f>
        <v>#N/A</v>
      </c>
      <c r="NJ9" s="151" t="e">
        <f>INDEX('Tables - Part 3'!ED$5:ED$31,MATCH(COF!$E9,'Tables - Part 3'!$EB$5:$EB$31,0))</f>
        <v>#N/A</v>
      </c>
      <c r="NK9" s="151" t="e">
        <f>INDEX('Tables - Part 3'!EE$5:EE$31,MATCH(COF!$E9,'Tables - Part 3'!$EB$5:$EB$31,0))</f>
        <v>#N/A</v>
      </c>
      <c r="NL9" s="151" t="e">
        <f>INDEX('Tables - Part 3'!EF$5:EF$31,MATCH(COF!$E9,'Tables - Part 3'!$EB$5:$EB$31,0))</f>
        <v>#N/A</v>
      </c>
      <c r="NM9" s="151">
        <f t="shared" si="112"/>
        <v>1</v>
      </c>
      <c r="NN9" s="151" t="e">
        <f t="shared" si="226"/>
        <v>#N/A</v>
      </c>
      <c r="NO9" s="151" t="e">
        <f t="shared" si="227"/>
        <v>#NUM!</v>
      </c>
      <c r="NP9" s="151" t="e">
        <f t="shared" si="113"/>
        <v>#N/A</v>
      </c>
      <c r="NQ9" s="151">
        <f t="shared" si="114"/>
        <v>0</v>
      </c>
      <c r="NR9" s="151" t="e">
        <f>INDEX('Tables - Part 3'!$EL$4:$EL$37,MATCH(COF!F9,'Tables - Part 3'!$EH$4:$EH$37,0))</f>
        <v>#N/A</v>
      </c>
      <c r="NS9" s="151" t="e">
        <f>CR9*(1-$NR9)*'Tables - Part 3.B'!$C$15/COF!$AS9</f>
        <v>#N/A</v>
      </c>
      <c r="NT9" s="151" t="e">
        <f>CS9*(1-$NR9)*'Tables - Part 3.B'!$C$15/COF!$AS9</f>
        <v>#N/A</v>
      </c>
      <c r="NU9" s="151" t="e">
        <f>CT9*(1-$NR9)*'Tables - Part 3.B'!$C$15/COF!$AS9</f>
        <v>#N/A</v>
      </c>
      <c r="NV9" s="151" t="e">
        <f>CU9*(1-$NR9)*'Tables - Part 3.B'!$C$15/COF!$AS9</f>
        <v>#N/A</v>
      </c>
      <c r="NW9" s="151" t="e">
        <f t="shared" si="115"/>
        <v>#N/A</v>
      </c>
      <c r="NX9" s="542">
        <f t="shared" si="116"/>
        <v>0</v>
      </c>
      <c r="NY9" s="156" t="e">
        <f>0.61*$ON9*$AS9*(BM9/'Tables - Part 3.B'!$C$4)*SQRT((2*$TM$13*($OO9-$TM$5)/$AS9))</f>
        <v>#N/A</v>
      </c>
      <c r="NZ9" s="155" t="e">
        <f>0.61*$ON9*$AS9*(BN9/'Tables - Part 3.B'!$C$4)*SQRT((2*$TM$13*($OO9-$TM$5)/$AS9))</f>
        <v>#N/A</v>
      </c>
      <c r="OA9" s="155" t="e">
        <f>0.61*$ON9*$AS9*(BO9/'Tables - Part 3.B'!$C$4)*SQRT((2*$TM$13*($OO9-$TM$5)/$AS9))</f>
        <v>#N/A</v>
      </c>
      <c r="OB9" s="155" t="e">
        <f>0.61*$ON9*$AS9*(BP9/'Tables - Part 3.B'!$C$4)*SQRT((2*$TM$13*($OO9-$TM$5)/$AS9))</f>
        <v>#N/A</v>
      </c>
      <c r="OC9" s="155" t="e">
        <f>0.61*$ON9*AS9*(32450/'Tables - Part 3.B'!$C$4)*SQRT((2*$TM$13*(OO9-$TM$5)/AS9))</f>
        <v>#N/A</v>
      </c>
      <c r="OD9" s="156" t="e">
        <f>(0.9/'Tables - Part 3.B'!$C$5)*BM9*$OO9*SQRT(($AV9*$AU9*$TM$13/(8.314*$OP9))*POWER(2/($AV9+1),(($AV9+1)/($AV9-1))))</f>
        <v>#VALUE!</v>
      </c>
      <c r="OE9" s="156" t="e">
        <f>(0.9/'Tables - Part 3.B'!$C$5)*BN9*$OO9*SQRT(($AV9*$AU9*$TM$13/(8.314*$OP9))*POWER(2/($AV9+1),(($AV9+1)/($AV9-1))))</f>
        <v>#VALUE!</v>
      </c>
      <c r="OF9" s="156" t="e">
        <f>(0.9/'Tables - Part 3.B'!$C$5)*BO9*$OO9*SQRT(($AV9*$AU9*$TM$13/(8.314*$OP9))*POWER(2/($AV9+1),(($AV9+1)/($AV9-1))))</f>
        <v>#VALUE!</v>
      </c>
      <c r="OG9" s="156" t="e">
        <f>(0.9/'Tables - Part 3.B'!$C$5)*BP9*$OO9*SQRT(($AV9*$AU9*$TM$13/(8.314*$OP9))*POWER(2/($AV9+1),(($AV9+1)/($AV9-1))))</f>
        <v>#VALUE!</v>
      </c>
      <c r="OH9" s="156" t="e">
        <f>(0.9/'Tables - Part 3.B'!$C$5)*32450*$OO9*SQRT(($AV9*$AU9*$TM$13/(8.314*$OP9))*POWER(2/($AV9+1),(($AV9+1)/($AV9-1))))</f>
        <v>#VALUE!</v>
      </c>
      <c r="OI9" s="156" t="e">
        <f>(0.9/'Tables - Part 3.B'!$C$5)*BM9*$OO9*SQRT((($AU9*$TM$13)/(8.314*$OP9))*((2*$AV9)/($AV9-1))*POWER(($TM$5/$OO9),(2/$AV9))*(1-POWER(($TM$5/$OO9),(($AV9-1)/$AV9))))</f>
        <v>#VALUE!</v>
      </c>
      <c r="OJ9" s="156" t="e">
        <f>(0.9/'Tables - Part 3.B'!$C$5)*BN9*$OO9*SQRT((($AU9*$TM$13)/(8.314*$OP9))*((2*$AV9)/($AV9-1))*POWER(($TM$5/$OO9),(2/$AV9))*(1-POWER(($TM$5/$OO9),(($AV9-1)/$AV9))))</f>
        <v>#VALUE!</v>
      </c>
      <c r="OK9" s="156" t="e">
        <f>(0.9/'Tables - Part 3.B'!$C$5)*BO9*$OO9*SQRT((($AU9*$TM$13)/(8.314*$OP9))*((2*$AV9)/($AV9-1))*POWER(($TM$5/$OO9),(2/$AV9))*(1-POWER(($TM$5/$OO9),(($AV9-1)/$AV9))))</f>
        <v>#VALUE!</v>
      </c>
      <c r="OL9" s="156" t="e">
        <f>(0.9/'Tables - Part 3.B'!$C$5)*BP9*$OO9*SQRT((($AU9*$TM$13)/(8.314*$OP9))*((2*$AV9)/($AV9-1))*POWER(($TM$5/$OO9),(2/$AV9))*(1-POWER(($TM$5/$OO9),(($AV9-1)/$AV9))))</f>
        <v>#VALUE!</v>
      </c>
      <c r="OM9" s="156" t="e">
        <f>(0.9/'Tables - Part 3.B'!$C$5)*32450*$OO9*SQRT((($AU9*$TM$13)/(8.314*$OP9))*((2*$AV9)/($AV9-1))*POWER(($TM$5/$OO9),(2/$AV9))*(1-POWER(($TM$5/$OO9),(($AV9-1)/$AV9))))</f>
        <v>#VALUE!</v>
      </c>
      <c r="ON9" s="156">
        <f t="shared" si="117"/>
        <v>1</v>
      </c>
      <c r="OO9" s="157" t="str">
        <f t="shared" si="118"/>
        <v/>
      </c>
      <c r="OP9" s="157" t="str">
        <f t="shared" si="119"/>
        <v/>
      </c>
      <c r="OQ9" s="158" t="e">
        <f t="shared" si="228"/>
        <v>#N/A</v>
      </c>
      <c r="OR9" s="158" t="e">
        <f>INDEX('Tables - Part 3'!$F$4:$R$35,MATCH(COF!$F9,'Tables - Part 3'!$F$4:$F$35,0),COUNTA('Tables - Part 3'!$F$3:$K$3))</f>
        <v>#N/A</v>
      </c>
      <c r="OS9" s="158" t="e">
        <f t="shared" si="229"/>
        <v>#N/A</v>
      </c>
      <c r="OT9" s="158" t="e">
        <f t="shared" si="230"/>
        <v>#N/A</v>
      </c>
      <c r="OU9" s="158" t="e">
        <f t="shared" si="231"/>
        <v>#N/A</v>
      </c>
      <c r="OV9" s="159" t="e">
        <f>INDEX('Tables - Part 3'!$M$4:$Q$35,MATCH(COF!$F9,'Tables - Part 3'!$F$4:$F$35,0),COUNTA('Tables - Part 3'!$M$3))</f>
        <v>#N/A</v>
      </c>
      <c r="OW9" s="159" t="e">
        <f>INDEX('Tables - Part 3'!$M$4:$Q$35,MATCH(COF!$F9,'Tables - Part 3'!$F$4:$F$35,0),COUNTA('Tables - Part 3'!$M$3:$N$3))</f>
        <v>#N/A</v>
      </c>
      <c r="OX9" s="159" t="e">
        <f>INDEX('Tables - Part 3'!$M$4:$Q$35,MATCH(COF!$F9,'Tables - Part 3'!$F$4:$F$35,0),COUNTA('Tables - Part 3'!$M$3:$O$3))</f>
        <v>#N/A</v>
      </c>
      <c r="OY9" s="159" t="e">
        <f>INDEX('Tables - Part 3'!$M$4:$Q$35,MATCH(COF!$F9,'Tables - Part 3'!$F$4:$F$35,0),COUNTA('Tables - Part 3'!$M$3:$P$3))</f>
        <v>#N/A</v>
      </c>
      <c r="OZ9" s="160" t="e">
        <f>INDEX('Tables - Part 3'!$M$4:$Q$35,MATCH(COF!$F9,'Tables - Part 3'!$F$4:$F$35,0),COUNTA('Tables - Part 3'!$M$3:$Q$3))</f>
        <v>#N/A</v>
      </c>
      <c r="PA9" s="162" t="e">
        <f>INDEX('Tables - Part 3'!$I$4:$I$35,MATCH(COF!$F9,'Tables - Part 3'!$F$4:$F$35,0))</f>
        <v>#N/A</v>
      </c>
      <c r="PB9" s="158" t="e">
        <f t="shared" si="120"/>
        <v>#N/A</v>
      </c>
      <c r="PC9" s="158" t="str">
        <f t="shared" si="121"/>
        <v/>
      </c>
      <c r="PD9" s="158" t="e">
        <f>INDEX('Tables - Part 3'!AW$7:AW$31,MATCH(COF!$F9,'Tables - Part 3'!$AU$7:$AU$31,0),1)</f>
        <v>#N/A</v>
      </c>
      <c r="PE9" s="158" t="e">
        <f>INDEX('Tables - Part 3'!AX$7:AX$31,MATCH(COF!$F9,'Tables - Part 3'!$AU$7:$AU$31,0),1)</f>
        <v>#N/A</v>
      </c>
      <c r="PF9" s="158" t="e">
        <f>INDEX('Tables - Part 3'!AY$7:AY$31,MATCH(COF!$F9,'Tables - Part 3'!$AU$7:$AU$31,0),1)</f>
        <v>#N/A</v>
      </c>
      <c r="PG9" s="158" t="e">
        <f>INDEX('Tables - Part 3'!AZ$7:AZ$31,MATCH(COF!$F9,'Tables - Part 3'!$AU$7:$AU$31,0),1)</f>
        <v>#N/A</v>
      </c>
      <c r="PH9" s="158" t="e">
        <f>INDEX('Tables - Part 3'!BA$7:BA$31,MATCH(COF!$F9,'Tables - Part 3'!$AU$7:$AU$31,0),1)</f>
        <v>#N/A</v>
      </c>
      <c r="PI9" s="158" t="e">
        <f>INDEX('Tables - Part 3'!BB$7:BB$31,MATCH(COF!$F9,'Tables - Part 3'!$AU$7:$AU$31,0),1)</f>
        <v>#N/A</v>
      </c>
      <c r="PJ9" s="158" t="e">
        <f>INDEX('Tables - Part 3'!BC$7:BC$31,MATCH(COF!$F9,'Tables - Part 3'!$AU$7:$AU$31,0),1)</f>
        <v>#N/A</v>
      </c>
      <c r="PK9" s="158" t="e">
        <f>INDEX('Tables - Part 3'!BD$7:BD$31,MATCH(COF!$F9,'Tables - Part 3'!$AU$7:$AU$31,0),1)</f>
        <v>#N/A</v>
      </c>
      <c r="PL9" s="158" t="e">
        <f>INDEX('Tables - Part 3'!BE$7:BE$31,MATCH(COF!$F9,'Tables - Part 3'!$AU$7:$AU$31,0),1)</f>
        <v>#N/A</v>
      </c>
      <c r="PM9" s="158" t="e">
        <f>INDEX('Tables - Part 3'!BF$7:BF$31,MATCH(COF!$F9,'Tables - Part 3'!$AU$7:$AU$31,0),1)</f>
        <v>#N/A</v>
      </c>
      <c r="PN9" s="158" t="e">
        <f>INDEX('Tables - Part 3'!BG$7:BG$31,MATCH(COF!$F9,'Tables - Part 3'!$AU$7:$AU$31,0),1)</f>
        <v>#N/A</v>
      </c>
      <c r="PO9" s="158" t="e">
        <f>INDEX('Tables - Part 3'!BH$7:BH$31,MATCH(COF!$F9,'Tables - Part 3'!$AU$7:$AU$31,0),1)</f>
        <v>#N/A</v>
      </c>
      <c r="PP9" s="158" t="e">
        <f>INDEX('Tables - Part 3'!BI$7:BI$31,MATCH(COF!$F9,'Tables - Part 3'!$AU$7:$AU$31,0),1)</f>
        <v>#N/A</v>
      </c>
      <c r="PQ9" s="158" t="e">
        <f>INDEX('Tables - Part 3'!BJ$7:BJ$31,MATCH(COF!$F9,'Tables - Part 3'!$AU$7:$AU$31,0),1)</f>
        <v>#N/A</v>
      </c>
      <c r="PR9" s="158" t="e">
        <f>INDEX('Tables - Part 3'!BK$7:BK$31,MATCH(COF!$F9,'Tables - Part 3'!$AU$7:$AU$31,0),1)</f>
        <v>#N/A</v>
      </c>
      <c r="PS9" s="158" t="e">
        <f>INDEX('Tables - Part 3'!BL$7:BL$31,MATCH(COF!$F9,'Tables - Part 3'!$AU$7:$AU$31,0),1)</f>
        <v>#N/A</v>
      </c>
      <c r="PT9" s="158" t="e">
        <f>INDEX('Tables - Part 3'!BP$7:BP$31,MATCH(COF!$F9,'Tables - Part 3'!$AU$7:$AU$31,0),1)</f>
        <v>#N/A</v>
      </c>
      <c r="PU9" s="158" t="e">
        <f>INDEX('Tables - Part 3'!BQ$7:BQ$31,MATCH(COF!$F9,'Tables - Part 3'!$AU$7:$AU$31,0),1)</f>
        <v>#N/A</v>
      </c>
      <c r="PV9" s="158" t="e">
        <f>INDEX('Tables - Part 3'!BR$7:BR$31,MATCH(COF!$F9,'Tables - Part 3'!$AU$7:$AU$31,0),1)</f>
        <v>#N/A</v>
      </c>
      <c r="PW9" s="158" t="e">
        <f>INDEX('Tables - Part 3'!BS$7:BS$31,MATCH(COF!$F9,'Tables - Part 3'!$AU$7:$AU$31,0),1)</f>
        <v>#N/A</v>
      </c>
      <c r="PX9" s="158" t="e">
        <f>INDEX('Tables - Part 3'!BT$7:BT$31,MATCH(COF!$F9,'Tables - Part 3'!$AU$7:$AU$31,0),1)</f>
        <v>#N/A</v>
      </c>
      <c r="PY9" s="158" t="e">
        <f>INDEX('Tables - Part 3'!BU$7:BU$31,MATCH(COF!$F9,'Tables - Part 3'!$AU$7:$AU$31,0),1)</f>
        <v>#N/A</v>
      </c>
      <c r="PZ9" s="158" t="e">
        <f>INDEX('Tables - Part 3'!BV$7:BV$31,MATCH(COF!$F9,'Tables - Part 3'!$AU$7:$AU$31,0),1)</f>
        <v>#N/A</v>
      </c>
      <c r="QA9" s="158" t="e">
        <f>INDEX('Tables - Part 3'!BW$7:BW$31,MATCH(COF!$F9,'Tables - Part 3'!$AU$7:$AU$31,0),1)</f>
        <v>#N/A</v>
      </c>
      <c r="QB9" s="158" t="e">
        <f>INDEX('Tables - Part 3'!BX$7:BX$31,MATCH(COF!$F9,'Tables - Part 3'!$AU$7:$AU$31,0),1)</f>
        <v>#N/A</v>
      </c>
      <c r="QC9" s="158" t="e">
        <f>INDEX('Tables - Part 3'!BY$7:BY$31,MATCH(COF!$F9,'Tables - Part 3'!$AU$7:$AU$31,0),1)</f>
        <v>#N/A</v>
      </c>
      <c r="QD9" s="158" t="e">
        <f>INDEX('Tables - Part 3'!BZ$7:BZ$31,MATCH(COF!$F9,'Tables - Part 3'!$AU$7:$AU$31,0),1)</f>
        <v>#N/A</v>
      </c>
      <c r="QE9" s="158" t="e">
        <f>INDEX('Tables - Part 3'!CA$7:CA$31,MATCH(COF!$F9,'Tables - Part 3'!$AU$7:$AU$31,0),1)</f>
        <v>#N/A</v>
      </c>
      <c r="QF9" s="158" t="e">
        <f>INDEX('Tables - Part 3'!CB$7:CB$31,MATCH(COF!$F9,'Tables - Part 3'!$AU$7:$AU$31,0),1)</f>
        <v>#N/A</v>
      </c>
      <c r="QG9" s="158" t="e">
        <f>INDEX('Tables - Part 3'!CC$7:CC$31,MATCH(COF!$F9,'Tables - Part 3'!$AU$7:$AU$31,0),1)</f>
        <v>#N/A</v>
      </c>
      <c r="QH9" s="158" t="e">
        <f>INDEX('Tables - Part 3'!CD$7:CD$31,MATCH(COF!$F9,'Tables - Part 3'!$AU$7:$AU$31,0),1)</f>
        <v>#N/A</v>
      </c>
      <c r="QI9" s="158" t="e">
        <f>INDEX('Tables - Part 3'!CE$7:CE$31,MATCH(COF!$F9,'Tables - Part 3'!$AU$7:$AU$31,0),1)</f>
        <v>#N/A</v>
      </c>
      <c r="QJ9" s="151">
        <f>'Tables - Part 5'!$R$4</f>
        <v>3.1749999999999998</v>
      </c>
      <c r="QK9" s="151">
        <f>'Tables - Part 5'!$R$5</f>
        <v>6.35</v>
      </c>
      <c r="QL9" s="151">
        <f>'Tables - Part 5'!$R$6</f>
        <v>50.8</v>
      </c>
      <c r="QM9" s="151">
        <f t="shared" si="122"/>
        <v>0</v>
      </c>
      <c r="QN9" s="151">
        <f t="shared" si="232"/>
        <v>7.9173043608984015</v>
      </c>
      <c r="QO9" s="151">
        <f t="shared" si="233"/>
        <v>31.669217443593606</v>
      </c>
      <c r="QP9" s="151">
        <f t="shared" si="234"/>
        <v>2026.8299163899908</v>
      </c>
      <c r="QQ9" s="151">
        <f t="shared" si="235"/>
        <v>0</v>
      </c>
      <c r="QR9" s="151">
        <f t="shared" si="236"/>
        <v>0</v>
      </c>
      <c r="QS9" s="151">
        <f>'Tables - Part 3.B'!$C$34*0.61*QN9*SQRT(2*$TM$15*QR9)</f>
        <v>0</v>
      </c>
      <c r="QT9" s="151">
        <f>'Tables - Part 3.B'!$C$34*0.61*QO9*SQRT(2*$TM$15*QS9)</f>
        <v>0</v>
      </c>
      <c r="QU9" s="151">
        <f>'Tables - Part 3.B'!$C$34*0.61*QP9*SQRT(2*$TM$15*QT9)</f>
        <v>0</v>
      </c>
      <c r="QV9" s="151">
        <f>'Tables - Part 3.B'!$C$34*0.61*QQ9*SQRT(2*$TM$15*QU9)</f>
        <v>0</v>
      </c>
      <c r="QW9" s="151">
        <f t="shared" si="237"/>
        <v>0</v>
      </c>
      <c r="QX9" s="151">
        <f t="shared" si="238"/>
        <v>0</v>
      </c>
      <c r="QY9" s="151">
        <f t="shared" si="239"/>
        <v>0</v>
      </c>
      <c r="QZ9" s="151">
        <f t="shared" si="240"/>
        <v>0</v>
      </c>
      <c r="RA9" s="151">
        <f t="shared" si="241"/>
        <v>0</v>
      </c>
      <c r="RB9" s="151">
        <f>QX9*'Tables - Part 3.B'!$C$15</f>
        <v>0</v>
      </c>
      <c r="RC9" s="151">
        <f>QY9*'Tables - Part 3.B'!$C$15</f>
        <v>0</v>
      </c>
      <c r="RD9" s="151">
        <f>QZ9*'Tables - Part 3.B'!$C$15</f>
        <v>0</v>
      </c>
      <c r="RE9" s="151">
        <f>RA9*'Tables - Part 3.B'!$C$15</f>
        <v>0</v>
      </c>
      <c r="RF9" s="151" t="e">
        <f t="shared" si="242"/>
        <v>#N/A</v>
      </c>
      <c r="RG9" s="151" t="e">
        <f t="shared" si="243"/>
        <v>#N/A</v>
      </c>
      <c r="RH9" s="151" t="e">
        <f t="shared" si="244"/>
        <v>#N/A</v>
      </c>
      <c r="RI9" s="151" t="e">
        <f t="shared" si="245"/>
        <v>#N/A</v>
      </c>
      <c r="RJ9" s="151">
        <f t="shared" si="246"/>
        <v>0</v>
      </c>
      <c r="RK9" s="151">
        <f t="shared" si="247"/>
        <v>0</v>
      </c>
      <c r="RL9" s="151">
        <f t="shared" si="248"/>
        <v>0</v>
      </c>
      <c r="RM9" s="151">
        <f t="shared" si="249"/>
        <v>0</v>
      </c>
      <c r="RN9" s="151">
        <v>7</v>
      </c>
      <c r="RO9" s="151">
        <v>1</v>
      </c>
      <c r="RP9" s="151">
        <v>1</v>
      </c>
      <c r="RQ9" s="151">
        <v>1</v>
      </c>
      <c r="RR9" s="151" t="e">
        <f t="shared" si="250"/>
        <v>#DIV/0!</v>
      </c>
      <c r="RS9" s="151" t="e">
        <f t="shared" si="251"/>
        <v>#DIV/0!</v>
      </c>
      <c r="RT9" s="151" t="e">
        <f t="shared" si="252"/>
        <v>#DIV/0!</v>
      </c>
      <c r="RU9" s="151" t="e">
        <f t="shared" si="253"/>
        <v>#DIV/0!</v>
      </c>
      <c r="RV9" s="151" t="e">
        <f t="shared" si="254"/>
        <v>#DIV/0!</v>
      </c>
      <c r="RW9" s="151" t="e">
        <f t="shared" si="255"/>
        <v>#DIV/0!</v>
      </c>
      <c r="RX9" s="151" t="e">
        <f t="shared" si="256"/>
        <v>#DIV/0!</v>
      </c>
      <c r="RY9" s="151" t="e">
        <f t="shared" si="257"/>
        <v>#DIV/0!</v>
      </c>
      <c r="RZ9" s="151" t="e">
        <f t="shared" si="258"/>
        <v>#DIV/0!</v>
      </c>
      <c r="SA9" s="151" t="e">
        <f t="shared" si="259"/>
        <v>#DIV/0!</v>
      </c>
      <c r="SB9" s="151" t="e">
        <f t="shared" si="260"/>
        <v>#DIV/0!</v>
      </c>
      <c r="SC9" s="151" t="e">
        <f t="shared" si="261"/>
        <v>#DIV/0!</v>
      </c>
      <c r="SD9" s="151">
        <f t="shared" si="262"/>
        <v>0</v>
      </c>
      <c r="SE9" s="151">
        <f t="shared" si="263"/>
        <v>0</v>
      </c>
      <c r="SF9" s="151">
        <f t="shared" si="264"/>
        <v>0</v>
      </c>
      <c r="SG9" s="151">
        <f t="shared" si="265"/>
        <v>0</v>
      </c>
      <c r="SH9" s="151">
        <f t="shared" si="266"/>
        <v>0</v>
      </c>
      <c r="SI9" s="151">
        <f t="shared" si="267"/>
        <v>0</v>
      </c>
      <c r="SJ9" s="151">
        <f t="shared" si="268"/>
        <v>0</v>
      </c>
      <c r="SK9" s="151">
        <f t="shared" si="269"/>
        <v>0</v>
      </c>
      <c r="SL9" s="542"/>
      <c r="SM9" s="542"/>
      <c r="SN9" s="542"/>
      <c r="SO9" s="151"/>
      <c r="SP9" s="151"/>
      <c r="SQ9" s="151"/>
      <c r="SR9" s="151"/>
      <c r="SS9" s="151"/>
      <c r="ST9" s="151"/>
      <c r="SU9" s="151"/>
      <c r="SV9" s="151"/>
      <c r="SW9" s="151"/>
      <c r="SX9" s="151"/>
      <c r="SY9" s="151"/>
      <c r="SZ9" s="151"/>
      <c r="TA9" s="151"/>
      <c r="TB9" s="151"/>
      <c r="TC9" s="151"/>
      <c r="TD9" s="151"/>
      <c r="TE9" s="542"/>
      <c r="TH9" s="158"/>
      <c r="TJ9" s="193" t="s">
        <v>125</v>
      </c>
      <c r="TK9" s="194" t="s">
        <v>82</v>
      </c>
      <c r="TL9" s="155"/>
      <c r="TM9" s="156"/>
      <c r="TN9" s="156"/>
      <c r="TO9" s="195"/>
      <c r="TQ9" s="155" t="s">
        <v>36</v>
      </c>
    </row>
    <row r="10" spans="2:537" x14ac:dyDescent="0.35">
      <c r="B10" s="161"/>
      <c r="C10" s="161"/>
      <c r="D10" s="161"/>
      <c r="E10" s="161"/>
      <c r="F10" s="666"/>
      <c r="G10" s="161"/>
      <c r="H10" s="537"/>
      <c r="I10" s="161"/>
      <c r="J10" s="161"/>
      <c r="K10" s="161"/>
      <c r="L10" s="161"/>
      <c r="M10" s="161"/>
      <c r="N10" s="161"/>
      <c r="O10" s="161"/>
      <c r="P10" s="161"/>
      <c r="Q10" s="161"/>
      <c r="R10" s="161"/>
      <c r="S10" s="667"/>
      <c r="T10" s="161"/>
      <c r="U10" s="161"/>
      <c r="V10" s="161"/>
      <c r="W10" s="161"/>
      <c r="X10" s="537"/>
      <c r="Y10" s="537"/>
      <c r="Z10" s="399"/>
      <c r="AA10" s="537"/>
      <c r="AB10" s="399"/>
      <c r="AC10" s="399"/>
      <c r="AD10" s="399"/>
      <c r="AE10" s="399"/>
      <c r="AF10" s="399"/>
      <c r="AG10" s="399"/>
      <c r="AH10" s="399"/>
      <c r="AI10" s="399"/>
      <c r="AJ10" s="399"/>
      <c r="AK10" s="399"/>
      <c r="AL10" s="399"/>
      <c r="AM10" s="399"/>
      <c r="AN10" s="399"/>
      <c r="AO10" s="399"/>
      <c r="AP10" s="399"/>
      <c r="AQ10" s="151" t="e">
        <f>INDEX('Tables - Part 3'!$J$4:$J$35,MATCH(COF!$F10,'Tables - Part 3'!$F$4:$F$35,0),1)</f>
        <v>#N/A</v>
      </c>
      <c r="AR10" s="151" t="e">
        <f>IF($G10=$TH$7,'Tables - Part 3'!$W$4,IF(AND($AQ10=$TH$7,COF!$PA10&lt;26.67),'Tables - Part 3'!$W$4,'Tables - Part 3'!$W$7))</f>
        <v>#N/A</v>
      </c>
      <c r="AS10" s="150" t="e">
        <f>INDEX('Tables - Part 3'!$F$4:$R$35,MATCH(COF!$F10,'Tables - Part 3'!$F$4:$F$35,0),COUNTA('Tables - Part 3'!$F$3:$H$3))</f>
        <v>#N/A</v>
      </c>
      <c r="AT10" s="279" t="e">
        <f t="shared" si="6"/>
        <v>#VALUE!</v>
      </c>
      <c r="AU10" s="151" t="e">
        <f>INDEX('Tables - Part 3'!$F$4:$R$35,MATCH(COF!$F10,'Tables - Part 3'!$F$4:$F$35,0),COUNTA('Tables - Part 3'!$F$3:$G$3))</f>
        <v>#N/A</v>
      </c>
      <c r="AV10" s="151" t="e">
        <f t="shared" si="131"/>
        <v>#N/A</v>
      </c>
      <c r="AW10" s="151" t="e">
        <f t="shared" si="7"/>
        <v>#N/A</v>
      </c>
      <c r="AX10" s="151" t="e">
        <f>INDEX('Tables - Part 3'!$F$4:$R$35,MATCH(COF!$F10,'Tables - Part 3'!$F$4:$F$35,0),COUNTA('Tables - Part 3'!$F$3:$R$3))+273.15</f>
        <v>#N/A</v>
      </c>
      <c r="AY10" s="151">
        <f t="shared" si="8"/>
        <v>0</v>
      </c>
      <c r="AZ10" s="151" t="e">
        <f t="shared" si="9"/>
        <v>#N/A</v>
      </c>
      <c r="BA10" s="151" t="e">
        <f t="shared" si="132"/>
        <v>#N/A</v>
      </c>
      <c r="BB10" s="151" t="e">
        <f t="shared" si="133"/>
        <v>#N/A</v>
      </c>
      <c r="BC10" s="151" t="e">
        <f t="shared" si="134"/>
        <v>#N/A</v>
      </c>
      <c r="BD10" s="151" t="e">
        <f t="shared" si="135"/>
        <v>#N/A</v>
      </c>
      <c r="BE10" s="151" t="e">
        <f t="shared" si="10"/>
        <v>#N/A</v>
      </c>
      <c r="BF10" s="151" t="e">
        <f t="shared" si="11"/>
        <v>#N/A</v>
      </c>
      <c r="BG10" s="151" t="e">
        <f t="shared" si="12"/>
        <v>#N/A</v>
      </c>
      <c r="BH10" s="151" t="e">
        <f t="shared" si="13"/>
        <v>#N/A</v>
      </c>
      <c r="BI10" s="151">
        <f>'Tables - Part 3'!$AD$4</f>
        <v>6.4</v>
      </c>
      <c r="BJ10" s="151">
        <f>MIN(O10,'Tables - Part 3'!$AD$5)</f>
        <v>25</v>
      </c>
      <c r="BK10" s="151">
        <f>MIN(O10,'Tables - Part 3'!$AD$6)</f>
        <v>102</v>
      </c>
      <c r="BL10" s="151">
        <f>MIN(O10,'Tables - Part 3'!$AD$7)</f>
        <v>406</v>
      </c>
      <c r="BM10" s="151">
        <f t="shared" si="136"/>
        <v>32.169908772759484</v>
      </c>
      <c r="BN10" s="151">
        <f t="shared" si="137"/>
        <v>490.87385212340519</v>
      </c>
      <c r="BO10" s="151">
        <f t="shared" si="138"/>
        <v>8171.2824919870518</v>
      </c>
      <c r="BP10" s="151">
        <f t="shared" si="139"/>
        <v>129461.89166178179</v>
      </c>
      <c r="BQ10" s="151" t="e">
        <f>INDEX('Tables - Part 2'!$D$5:$G$30,MATCH(COF!$E10,'Tables - Part 2'!$C$5:$C$30,0),1)</f>
        <v>#N/A</v>
      </c>
      <c r="BR10" s="571" t="e">
        <f>INDEX('Tables - Part 2'!$D$5:$G$30,MATCH(COF!$E10,'Tables - Part 2'!$C$5:$C$30,0),2)</f>
        <v>#N/A</v>
      </c>
      <c r="BS10" s="571" t="e">
        <f>INDEX('Tables - Part 2'!$D$5:$G$30,MATCH(COF!$E10,'Tables - Part 2'!$C$5:$C$30,0),3)</f>
        <v>#N/A</v>
      </c>
      <c r="BT10" s="151" t="e">
        <f>INDEX('Tables - Part 2'!$D$5:$G$30,MATCH(COF!$E10,'Tables - Part 2'!$C$5:$C$30,0),4)</f>
        <v>#N/A</v>
      </c>
      <c r="BU10" s="151" t="e">
        <f t="shared" si="140"/>
        <v>#N/A</v>
      </c>
      <c r="BV10" s="151" t="e">
        <f t="shared" si="141"/>
        <v>#N/A</v>
      </c>
      <c r="BW10" s="151" t="e">
        <f t="shared" si="142"/>
        <v>#N/A</v>
      </c>
      <c r="BX10" s="151" t="e">
        <f t="shared" si="143"/>
        <v>#N/A</v>
      </c>
      <c r="BY10" s="502" t="e">
        <f t="shared" si="144"/>
        <v>#N/A</v>
      </c>
      <c r="BZ10" s="502" t="e">
        <f t="shared" si="145"/>
        <v>#N/A</v>
      </c>
      <c r="CA10" s="151" t="e">
        <f>IF(OR(BI10&lt;='Tables - Part 3'!$AD$4,BE10&lt;='Tables - Part 3.B'!$C$6,BV10&lt;=25.22),COF!$TK$6,COF!$TK$5)</f>
        <v>#N/A</v>
      </c>
      <c r="CB10" s="151" t="e">
        <f>IF(OR(BJ10&lt;='Tables - Part 3'!$AD$4,BF10&lt;='Tables - Part 3.B'!$C$6,BW10&lt;=25.22),COF!$TK$6,COF!$TK$5)</f>
        <v>#N/A</v>
      </c>
      <c r="CC10" s="151" t="e">
        <f>IF(OR(BK10&lt;='Tables - Part 3'!$AD$4,BG10&lt;='Tables - Part 3.B'!$C$6,BX10&lt;=25.22),COF!$TK$6,COF!$TK$5)</f>
        <v>#N/A</v>
      </c>
      <c r="CD10" s="151" t="e">
        <f>IF(OR(BL10&lt;='Tables - Part 3'!$AD$4,BH10&lt;='Tables - Part 3.B'!$C$6,BY10&lt;=25.22),COF!$TK$6,COF!$TK$5)</f>
        <v>#N/A</v>
      </c>
      <c r="CE10" s="151" t="str">
        <f t="shared" si="146"/>
        <v/>
      </c>
      <c r="CF10" s="151" t="e">
        <f>INDEX('Tables - Part 3'!$AR$4:$AR$12,MATCH(COF!$PC10,'Tables - Part 3'!$AP$4:$AP$12,0),1)</f>
        <v>#N/A</v>
      </c>
      <c r="CG10" s="151" t="e">
        <f>INDEX('Tables - Part 3'!$AR$13:$AR$21,MATCH(COF!$PC10,'Tables - Part 3'!$AP$13:$AP$21,0),1)</f>
        <v>#N/A</v>
      </c>
      <c r="CH10" s="151" t="e">
        <f>INDEX('Tables - Part 3'!$AR$22:$AR$30,MATCH(COF!$PC10,'Tables - Part 3'!$AP$22:$AP$30,0),1)</f>
        <v>#N/A</v>
      </c>
      <c r="CI10" s="151" t="e">
        <f>INDEX('Tables - Part 3'!$AR$22:$AR$30,MATCH(COF!$PC10,'Tables - Part 3'!$AP$22:$AP$30,0),1)</f>
        <v>#N/A</v>
      </c>
      <c r="CJ10" s="151" t="e">
        <f t="shared" si="147"/>
        <v>#N/A</v>
      </c>
      <c r="CK10" s="151" t="e">
        <f t="shared" si="148"/>
        <v>#N/A</v>
      </c>
      <c r="CL10" s="151" t="e">
        <f t="shared" si="149"/>
        <v>#N/A</v>
      </c>
      <c r="CM10" s="151" t="e">
        <f t="shared" si="150"/>
        <v>#N/A</v>
      </c>
      <c r="CN10" s="151" t="e">
        <f t="shared" si="151"/>
        <v>#N/A</v>
      </c>
      <c r="CO10" s="151" t="e">
        <f t="shared" si="152"/>
        <v>#N/A</v>
      </c>
      <c r="CP10" s="151" t="e">
        <f t="shared" si="153"/>
        <v>#N/A</v>
      </c>
      <c r="CQ10" s="151" t="e">
        <f t="shared" si="154"/>
        <v>#N/A</v>
      </c>
      <c r="CR10" s="151" t="e">
        <f t="shared" si="155"/>
        <v>#N/A</v>
      </c>
      <c r="CS10" s="151" t="e">
        <f t="shared" si="156"/>
        <v>#N/A</v>
      </c>
      <c r="CT10" s="151" t="e">
        <f t="shared" si="157"/>
        <v>#N/A</v>
      </c>
      <c r="CU10" s="151" t="e">
        <f t="shared" si="158"/>
        <v>#N/A</v>
      </c>
      <c r="CV10" s="151" t="e">
        <f>INDEX('Tables - Part 3'!$CI$4:$CI$8,MATCH(COF!V10,'Tables - Part 3'!$CG$4:$CG$8,0),1)</f>
        <v>#N/A</v>
      </c>
      <c r="CW10" s="502" t="e">
        <f>IF(CR10&gt;'Tables - Part 3.B'!$C$6,4*LOG10('Tables - Part 3.B'!$C$7*CR10)-15,1)</f>
        <v>#N/A</v>
      </c>
      <c r="CX10" s="502" t="e">
        <f>IF(CS10&gt;'Tables - Part 3.B'!$C$6,4*LOG10('Tables - Part 3.B'!$C$7*CS10)-15,1)</f>
        <v>#N/A</v>
      </c>
      <c r="CY10" s="502" t="e">
        <f>IF(CT10&gt;'Tables - Part 3.B'!$C$6,4*LOG10('Tables - Part 3.B'!$C$7*CT10)-15,1)</f>
        <v>#N/A</v>
      </c>
      <c r="CZ10" s="502" t="e">
        <f>IF(CU10&gt;'Tables - Part 3.B'!$C$6,4*LOG10('Tables - Part 3.B'!$C$7*CU10)-15,1)</f>
        <v>#N/A</v>
      </c>
      <c r="DA10" s="151" t="e">
        <f>INDEX('Tables - Part 3'!$C$4:$C$37,MATCH(COF!$F10,'Tables - Part 3'!$B$4:$B$37,0),1)</f>
        <v>#N/A</v>
      </c>
      <c r="DB10" s="151" t="e">
        <f t="shared" si="159"/>
        <v>#N/A</v>
      </c>
      <c r="DC10" s="151" t="e">
        <f t="shared" si="160"/>
        <v>#N/A</v>
      </c>
      <c r="DD10" s="151" t="e">
        <f t="shared" si="161"/>
        <v>#N/A</v>
      </c>
      <c r="DE10" s="151" t="e">
        <f t="shared" si="162"/>
        <v>#N/A</v>
      </c>
      <c r="DF10" s="151" t="e">
        <f t="shared" si="163"/>
        <v>#N/A</v>
      </c>
      <c r="DG10" s="151" t="e">
        <f t="shared" si="164"/>
        <v>#N/A</v>
      </c>
      <c r="DH10" s="151" t="e">
        <f t="shared" si="165"/>
        <v>#N/A</v>
      </c>
      <c r="DI10" s="151" t="e">
        <f t="shared" si="166"/>
        <v>#N/A</v>
      </c>
      <c r="DJ10" s="151" t="e">
        <f t="shared" si="167"/>
        <v>#N/A</v>
      </c>
      <c r="DK10" s="151" t="e">
        <f t="shared" si="168"/>
        <v>#N/A</v>
      </c>
      <c r="DL10" s="151" t="e">
        <f t="shared" si="169"/>
        <v>#N/A</v>
      </c>
      <c r="DM10" s="151" t="e">
        <f t="shared" si="170"/>
        <v>#N/A</v>
      </c>
      <c r="DN10" s="151" t="e">
        <f t="shared" si="171"/>
        <v>#N/A</v>
      </c>
      <c r="DO10" s="151" t="e">
        <f t="shared" si="172"/>
        <v>#N/A</v>
      </c>
      <c r="DP10" s="151" t="e">
        <f t="shared" si="173"/>
        <v>#N/A</v>
      </c>
      <c r="DQ10" s="151" t="e">
        <f t="shared" si="174"/>
        <v>#N/A</v>
      </c>
      <c r="DR10" s="151" t="e">
        <f t="shared" si="175"/>
        <v>#N/A</v>
      </c>
      <c r="DS10" s="151" t="e">
        <f t="shared" si="176"/>
        <v>#N/A</v>
      </c>
      <c r="DT10" s="151" t="e">
        <f t="shared" si="177"/>
        <v>#N/A</v>
      </c>
      <c r="DU10" s="151" t="e">
        <f t="shared" si="178"/>
        <v>#N/A</v>
      </c>
      <c r="DV10" s="151" t="e">
        <f t="shared" si="179"/>
        <v>#N/A</v>
      </c>
      <c r="DW10" s="151" t="e">
        <f t="shared" si="180"/>
        <v>#N/A</v>
      </c>
      <c r="DX10" s="151" t="e">
        <f t="shared" si="181"/>
        <v>#N/A</v>
      </c>
      <c r="DY10" s="151" t="e">
        <f t="shared" si="182"/>
        <v>#N/A</v>
      </c>
      <c r="DZ10" s="151" t="e">
        <f t="shared" si="183"/>
        <v>#N/A</v>
      </c>
      <c r="EA10" s="151" t="e">
        <f t="shared" si="184"/>
        <v>#N/A</v>
      </c>
      <c r="EB10" s="151" t="e">
        <f t="shared" si="185"/>
        <v>#N/A</v>
      </c>
      <c r="EC10" s="151" t="e">
        <f t="shared" si="186"/>
        <v>#N/A</v>
      </c>
      <c r="ED10" s="151" t="e">
        <f t="shared" si="187"/>
        <v>#N/A</v>
      </c>
      <c r="EE10" s="151" t="e">
        <f t="shared" si="188"/>
        <v>#N/A</v>
      </c>
      <c r="EF10" s="151" t="e">
        <f t="shared" si="189"/>
        <v>#N/A</v>
      </c>
      <c r="EG10" s="151" t="e">
        <f t="shared" si="190"/>
        <v>#N/A</v>
      </c>
      <c r="EH10" s="151" t="e">
        <f>IF(CA10=$TK$5,1,MIN(CJ10/'Tables - Part 3.B'!$C$8,1))</f>
        <v>#N/A</v>
      </c>
      <c r="EI10" s="151" t="e">
        <f>IF(CB10=$TK$5,1,MIN(CK10/'Tables - Part 3.B'!$C$8,1))</f>
        <v>#N/A</v>
      </c>
      <c r="EJ10" s="151" t="e">
        <f>IF(CC10=$TK$5,1,MIN(CL10/'Tables - Part 3.B'!$C$8,1))</f>
        <v>#N/A</v>
      </c>
      <c r="EK10" s="151" t="e">
        <f>IF(CD10=$TK$5,1,MIN(CM10/'Tables - Part 3.B'!$C$8,1))</f>
        <v>#N/A</v>
      </c>
      <c r="EL10" s="151" t="e">
        <f t="shared" si="191"/>
        <v>#VALUE!</v>
      </c>
      <c r="EM10" s="151" t="e">
        <f t="shared" si="48"/>
        <v>#VALUE!</v>
      </c>
      <c r="EN10" s="151" t="e">
        <f t="shared" si="48"/>
        <v>#VALUE!</v>
      </c>
      <c r="EO10" s="151" t="e">
        <f t="shared" si="48"/>
        <v>#VALUE!</v>
      </c>
      <c r="EP10" s="151" t="e">
        <f t="shared" si="192"/>
        <v>#N/A</v>
      </c>
      <c r="EQ10" s="151" t="e">
        <f t="shared" si="49"/>
        <v>#N/A</v>
      </c>
      <c r="ER10" s="151" t="e">
        <f t="shared" si="49"/>
        <v>#N/A</v>
      </c>
      <c r="ES10" s="151" t="e">
        <f t="shared" si="49"/>
        <v>#N/A</v>
      </c>
      <c r="ET10" s="151" t="e">
        <f t="shared" si="193"/>
        <v>#N/A</v>
      </c>
      <c r="EU10" s="151" t="e">
        <f t="shared" si="50"/>
        <v>#N/A</v>
      </c>
      <c r="EV10" s="151" t="e">
        <f t="shared" si="50"/>
        <v>#N/A</v>
      </c>
      <c r="EW10" s="151" t="e">
        <f t="shared" si="50"/>
        <v>#N/A</v>
      </c>
      <c r="EX10" s="151" t="e">
        <f t="shared" si="194"/>
        <v>#N/A</v>
      </c>
      <c r="EY10" s="151" t="e">
        <f t="shared" si="51"/>
        <v>#N/A</v>
      </c>
      <c r="EZ10" s="151" t="e">
        <f t="shared" si="51"/>
        <v>#N/A</v>
      </c>
      <c r="FA10" s="151" t="e">
        <f t="shared" si="51"/>
        <v>#N/A</v>
      </c>
      <c r="FB10" s="151" t="e">
        <f t="shared" si="195"/>
        <v>#N/A</v>
      </c>
      <c r="FC10" s="151" t="e">
        <f t="shared" si="52"/>
        <v>#N/A</v>
      </c>
      <c r="FD10" s="151" t="e">
        <f t="shared" si="52"/>
        <v>#N/A</v>
      </c>
      <c r="FE10" s="151" t="e">
        <f t="shared" si="52"/>
        <v>#N/A</v>
      </c>
      <c r="FF10" s="151" t="e">
        <f t="shared" si="196"/>
        <v>#N/A</v>
      </c>
      <c r="FG10" s="151" t="e">
        <f t="shared" si="53"/>
        <v>#N/A</v>
      </c>
      <c r="FH10" s="151" t="e">
        <f t="shared" si="53"/>
        <v>#N/A</v>
      </c>
      <c r="FI10" s="151" t="e">
        <f t="shared" si="53"/>
        <v>#N/A</v>
      </c>
      <c r="FJ10" s="151" t="e">
        <f t="shared" si="197"/>
        <v>#N/A</v>
      </c>
      <c r="FK10" s="151" t="e">
        <f t="shared" si="54"/>
        <v>#N/A</v>
      </c>
      <c r="FL10" s="151" t="e">
        <f t="shared" si="54"/>
        <v>#N/A</v>
      </c>
      <c r="FM10" s="288" t="e">
        <f t="shared" si="54"/>
        <v>#N/A</v>
      </c>
      <c r="FN10" s="299">
        <f t="shared" si="198"/>
        <v>0</v>
      </c>
      <c r="FO10" s="511">
        <f t="shared" si="199"/>
        <v>0</v>
      </c>
      <c r="FP10" s="150" t="e">
        <f t="shared" si="200"/>
        <v>#N/A</v>
      </c>
      <c r="FQ10" s="151" t="e">
        <f t="shared" si="201"/>
        <v>#N/A</v>
      </c>
      <c r="FR10" s="151" t="e">
        <f t="shared" si="202"/>
        <v>#N/A</v>
      </c>
      <c r="FS10" s="151" t="e">
        <f t="shared" si="203"/>
        <v>#N/A</v>
      </c>
      <c r="FT10" s="151">
        <f t="shared" si="55"/>
        <v>0</v>
      </c>
      <c r="FU10" s="151">
        <f t="shared" si="56"/>
        <v>0</v>
      </c>
      <c r="FV10" s="151">
        <f t="shared" si="57"/>
        <v>0</v>
      </c>
      <c r="FW10" s="151">
        <f t="shared" si="58"/>
        <v>0</v>
      </c>
      <c r="FX10" s="151">
        <f t="shared" si="59"/>
        <v>0</v>
      </c>
      <c r="FY10" s="151">
        <f t="shared" si="60"/>
        <v>0</v>
      </c>
      <c r="FZ10" s="151">
        <f t="shared" si="61"/>
        <v>0</v>
      </c>
      <c r="GA10" s="151">
        <f t="shared" si="62"/>
        <v>0</v>
      </c>
      <c r="GB10" s="151" t="e">
        <f>IF(CA10=$TK$6,'Tables - Part 3.B'!$C$10*(('Tables - Part 3.B'!$C$7*COF!FT10)^COF!GR10*10^COF!GV10),IF(CA10=$TK$5,'Tables - Part 3.B'!$C$10*(('Tables - Part 3.B'!$C$7*COF!FX10)^COF!GR10*10^COF!GV10),0))</f>
        <v>#N/A</v>
      </c>
      <c r="GC10" s="151" t="e">
        <f>IF(CB10=$TK$6,'Tables - Part 3.B'!$C$10*(('Tables - Part 3.B'!$C$7*COF!FU10)^COF!GS10*10^COF!GW10),IF(CB10=$TK$5,'Tables - Part 3.B'!$C$10*(('Tables - Part 3.B'!$C$7*COF!FY10)^COF!GS10*10^COF!GW10),0))</f>
        <v>#N/A</v>
      </c>
      <c r="GD10" s="151" t="e">
        <f>IF(CC10=$TK$6,'Tables - Part 3.B'!$C$10*(('Tables - Part 3.B'!$C$7*COF!FV10)^COF!GT10*10^COF!GX10),IF(CC10=$TK$5,'Tables - Part 3.B'!$C$10*(('Tables - Part 3.B'!$C$7*COF!FZ10)^COF!GT10*10^COF!GX10),0))</f>
        <v>#N/A</v>
      </c>
      <c r="GE10" s="151" t="e">
        <f>IF(CD10=$TK$6,'Tables - Part 3.B'!$C$10*(('Tables - Part 3.B'!$C$7*COF!FW10)^COF!GU10*10^COF!GY10),IF(CD10=$TK$5,'Tables - Part 3.B'!$C$10*(('Tables - Part 3.B'!$C$7*COF!GA10)^COF!GU10*10^COF!GY10),0))</f>
        <v>#N/A</v>
      </c>
      <c r="GF10" s="152" t="e">
        <f>FP10/60</f>
        <v>#N/A</v>
      </c>
      <c r="GG10" s="152" t="e">
        <f t="shared" si="63"/>
        <v>#N/A</v>
      </c>
      <c r="GH10" s="152" t="e">
        <f t="shared" si="64"/>
        <v>#N/A</v>
      </c>
      <c r="GI10" s="152" t="e">
        <f t="shared" si="65"/>
        <v>#N/A</v>
      </c>
      <c r="GJ10" s="152" t="e">
        <f>IF(GF10&lt;'Tables - Part 3'!$CK$5,0,LOOKUP(GF10,'Tables - Part 3'!$CK$5:$CK$9))</f>
        <v>#N/A</v>
      </c>
      <c r="GK10" s="152" t="e">
        <f>IF(GG10&lt;'Tables - Part 3'!$CK$5,0,LOOKUP(GG10,'Tables - Part 3'!$CK$5:$CK$9))</f>
        <v>#N/A</v>
      </c>
      <c r="GL10" s="152" t="e">
        <f>IF(GH10&lt;'Tables - Part 3'!$CK$5,0,LOOKUP(GH10,'Tables - Part 3'!$CK$5:$CK$9))</f>
        <v>#N/A</v>
      </c>
      <c r="GM10" s="152" t="e">
        <f>IF(GI10&lt;'Tables - Part 3'!$CK$5,0,LOOKUP(GI10,'Tables - Part 3'!$CK$5:$CK$9))</f>
        <v>#N/A</v>
      </c>
      <c r="GN10" s="152" t="e">
        <f>IF(GF10&lt;'Tables - Part 3'!$CK$5,'Tables - Part 3'!$CK$5,IF(COF!GF10&lt;'Tables - Part 3'!$CK$6,'Tables - Part 3'!$CK$6,IF(COF!GF10&lt;'Tables - Part 3'!$CK$7,'Tables - Part 3'!$CK$7,IF(COF!GF10&lt;'Tables - Part 3'!$CK$8,'Tables - Part 3'!$CK$8,IF(COF!GF10&lt;'Tables - Part 3'!$CK$9,'Tables - Part 3'!$CK$9)))))</f>
        <v>#N/A</v>
      </c>
      <c r="GO10" s="152" t="e">
        <f>IF(GG10&lt;'Tables - Part 3'!$CK$5,'Tables - Part 3'!$CK$5,IF(COF!GG10&lt;'Tables - Part 3'!$CK$6,'Tables - Part 3'!$CK$6,IF(COF!GG10&lt;'Tables - Part 3'!$CK$7,'Tables - Part 3'!$CK$7,IF(COF!GG10&lt;'Tables - Part 3'!$CK$8,'Tables - Part 3'!$CK$8,IF(COF!GG10&lt;'Tables - Part 3'!$CK$9,'Tables - Part 3'!$CK$9)))))</f>
        <v>#N/A</v>
      </c>
      <c r="GP10" s="152" t="e">
        <f>IF(GH10&lt;'Tables - Part 3'!$CK$5,'Tables - Part 3'!$CK$5,IF(COF!GH10&lt;'Tables - Part 3'!$CK$6,'Tables - Part 3'!$CK$6,IF(COF!GH10&lt;'Tables - Part 3'!$CK$7,'Tables - Part 3'!$CK$7,IF(COF!GH10&lt;'Tables - Part 3'!$CK$8,'Tables - Part 3'!$CK$8,IF(COF!GH10&lt;'Tables - Part 3'!$CK$9,'Tables - Part 3'!$CK$9)))))</f>
        <v>#N/A</v>
      </c>
      <c r="GQ10" s="152" t="e">
        <f>IF(GI10&lt;'Tables - Part 3'!$CK$5,'Tables - Part 3'!$CK$5,IF(COF!GI10&lt;'Tables - Part 3'!$CK$6,'Tables - Part 3'!$CK$6,IF(COF!GI10&lt;'Tables - Part 3'!$CK$7,'Tables - Part 3'!$CK$7,IF(COF!GI10&lt;'Tables - Part 3'!$CK$8,'Tables - Part 3'!$CK$8,IF(COF!GI10&lt;'Tables - Part 3'!$CK$9,'Tables - Part 3'!$CK$9)))))</f>
        <v>#N/A</v>
      </c>
      <c r="GR10" s="151" t="e">
        <f>IF(CA10=$TK$5,'Tables - Part 3'!$CL$10,IF(COF!CA10=COF!$TK$6,IF(COF!GF10&lt;'Tables - Part 3'!$CK$5,'Tables - Part 3'!$CL$5,IF(GF10&gt;='Tables - Part 3'!$CK$9,'Tables - Part 3'!$CL$9,((COF!GF10-COF!GJ10)*(INDEX('Tables - Part 3'!$CL$5:$CL$9,MATCH(COF!GN10,'Tables - Part 3'!$CK$5:$CK$9,0))-INDEX('Tables - Part 3'!$CL$5:$CL$9,MATCH(COF!GJ10,'Tables - Part 3'!$CK$5:$CK$9,0)))/(GN10-GJ10)+INDEX('Tables - Part 3'!$CL$5:$CL$9,MATCH(COF!GJ10,'Tables - Part 3'!$CK$5:$CK$9,0)))))))</f>
        <v>#N/A</v>
      </c>
      <c r="GS10" s="151" t="e">
        <f>IF(CB10=$TK$5,'Tables - Part 3'!$CL$10,IF(COF!CB10=COF!$TK$6,IF(COF!GG10&lt;'Tables - Part 3'!$CK$5,'Tables - Part 3'!$CL$5,IF(GG10&gt;='Tables - Part 3'!$CK$9,'Tables - Part 3'!$CL$9,((COF!GG10-COF!GK10)*(INDEX('Tables - Part 3'!$CL$5:$CL$9,MATCH(COF!GO10,'Tables - Part 3'!$CK$5:$CK$9,0))-INDEX('Tables - Part 3'!$CL$5:$CL$9,MATCH(COF!GK10,'Tables - Part 3'!$CK$5:$CK$9,0)))/(GO10-GK10)+INDEX('Tables - Part 3'!$CL$5:$CL$9,MATCH(COF!GK10,'Tables - Part 3'!$CK$5:$CK$9,0)))))))</f>
        <v>#N/A</v>
      </c>
      <c r="GT10" s="151" t="e">
        <f>IF(CC10=$TK$5,'Tables - Part 3'!$CL$10,IF(COF!CC10=COF!$TK$6,IF(COF!GH10&lt;'Tables - Part 3'!$CK$5,'Tables - Part 3'!$CL$5,IF(GH10&gt;='Tables - Part 3'!$CK$9,'Tables - Part 3'!$CL$9,((COF!GH10-COF!GL10)*(INDEX('Tables - Part 3'!$CL$5:$CL$9,MATCH(COF!GP10,'Tables - Part 3'!$CK$5:$CK$9,0))-INDEX('Tables - Part 3'!$CL$5:$CL$9,MATCH(COF!GL10,'Tables - Part 3'!$CK$5:$CK$9,0)))/(GP10-GL10)+INDEX('Tables - Part 3'!$CL$5:$CL$9,MATCH(COF!GL10,'Tables - Part 3'!$CK$5:$CK$9,0)))))))</f>
        <v>#N/A</v>
      </c>
      <c r="GU10" s="151" t="e">
        <f>IF(CD10=$TK$5,'Tables - Part 3'!$CL$10,IF(COF!CD10=COF!$TK$6,IF(COF!GI10&lt;'Tables - Part 3'!$CK$5,'Tables - Part 3'!$CL$5,IF(GI10&gt;='Tables - Part 3'!$CK$9,'Tables - Part 3'!$CL$9,((COF!GI10-COF!GM10)*(INDEX('Tables - Part 3'!$CL$5:$CL$9,MATCH(COF!GQ10,'Tables - Part 3'!$CK$5:$CK$9,0))-INDEX('Tables - Part 3'!$CL$5:$CL$9,MATCH(COF!GM10,'Tables - Part 3'!$CK$5:$CK$9,0)))/(GQ10-GM10)+INDEX('Tables - Part 3'!$CL$5:$CL$9,MATCH(COF!GM10,'Tables - Part 3'!$CK$5:$CK$9,0)))))))</f>
        <v>#N/A</v>
      </c>
      <c r="GV10" s="151" t="e">
        <f>IF(CA10=$TK$5,'Tables - Part 3'!$CM$10,IF(COF!CA10=COF!$TK$6,IF(GF10&lt;'Tables - Part 3'!$CK$5,'Tables - Part 3'!$CM$5,IF(GF10&gt;='Tables - Part 3'!$CK$9,'Tables - Part 3'!$CM$9,((COF!GF10-COF!GJ10)*(INDEX('Tables - Part 3'!$CM$5:$CM$9,MATCH(COF!GN10,'Tables - Part 3'!$CK$5:$CK$9,0))-INDEX('Tables - Part 3'!$CM$5:$CM$9,MATCH(COF!GJ10,'Tables - Part 3'!$CK$5:$CK$9,0)))/(GN10-GJ10)+INDEX('Tables - Part 3'!$CM$5:$CM$9,MATCH(COF!GJ10,'Tables - Part 3'!$CK$5:$CK$9,0)))))))</f>
        <v>#N/A</v>
      </c>
      <c r="GW10" s="151" t="e">
        <f>IF(CB10=$TK$5,'Tables - Part 3'!$CM$10,IF(COF!CB10=COF!$TK$6,IF(GG10&lt;'Tables - Part 3'!$CK$5,'Tables - Part 3'!$CM$5,IF(GG10&gt;='Tables - Part 3'!$CK$9,'Tables - Part 3'!$CM$9,((COF!GG10-COF!GK10)*(INDEX('Tables - Part 3'!$CM$5:$CM$9,MATCH(COF!GO10,'Tables - Part 3'!$CK$5:$CK$9,0))-INDEX('Tables - Part 3'!$CM$5:$CM$9,MATCH(COF!GK10,'Tables - Part 3'!$CK$5:$CK$9,0)))/(GO10-GK10)+INDEX('Tables - Part 3'!$CM$5:$CM$9,MATCH(COF!GK10,'Tables - Part 3'!$CK$5:$CK$9,0)))))))</f>
        <v>#N/A</v>
      </c>
      <c r="GX10" s="151" t="e">
        <f>IF(CC10=$TK$5,'Tables - Part 3'!$CM$10,IF(COF!CC10=COF!$TK$6,IF(GH10&lt;'Tables - Part 3'!$CK$5,'Tables - Part 3'!$CM$5,IF(GH10&gt;='Tables - Part 3'!$CK$9,'Tables - Part 3'!$CM$9,((COF!GH10-COF!GL10)*(INDEX('Tables - Part 3'!$CM$5:$CM$9,MATCH(COF!GP10,'Tables - Part 3'!$CK$5:$CK$9,0))-INDEX('Tables - Part 3'!$CM$5:$CM$9,MATCH(COF!GL10,'Tables - Part 3'!$CK$5:$CK$9,0)))/(GP10-GL10)+INDEX('Tables - Part 3'!$CM$5:$CM$9,MATCH(COF!GL10,'Tables - Part 3'!$CK$5:$CK$9,0)))))))</f>
        <v>#N/A</v>
      </c>
      <c r="GY10" s="151" t="e">
        <f>IF(CD10=$TK$5,'Tables - Part 3'!$CM$10,IF(COF!CD10=COF!$TK$6,IF(GI10&lt;'Tables - Part 3'!$CK$5,'Tables - Part 3'!$CM$5,IF(GI10&gt;='Tables - Part 3'!$CK$9,'Tables - Part 3'!$CM$9,((COF!GI10-COF!GM10)*(INDEX('Tables - Part 3'!$CM$5:$CM$9,MATCH(COF!GQ10,'Tables - Part 3'!$CK$5:$CK$9,0))-INDEX('Tables - Part 3'!$CM$5:$CM$9,MATCH(COF!GM10,'Tables - Part 3'!$CK$5:$CK$9,0)))/(GQ10-GM10)+INDEX('Tables - Part 3'!$CM$5:$CM$9,MATCH(COF!GM10,'Tables - Part 3'!$CK$5:$CK$9,0)))))))</f>
        <v>#N/A</v>
      </c>
      <c r="GZ10" s="151">
        <f t="shared" si="66"/>
        <v>0</v>
      </c>
      <c r="HA10" s="151">
        <f t="shared" si="67"/>
        <v>0</v>
      </c>
      <c r="HB10" s="151">
        <f t="shared" si="68"/>
        <v>0</v>
      </c>
      <c r="HC10" s="151">
        <f t="shared" si="69"/>
        <v>0</v>
      </c>
      <c r="HD10" s="151">
        <f t="shared" si="70"/>
        <v>0</v>
      </c>
      <c r="HE10" s="151">
        <f t="shared" si="71"/>
        <v>0</v>
      </c>
      <c r="HF10" s="151">
        <f t="shared" si="72"/>
        <v>0</v>
      </c>
      <c r="HG10" s="151">
        <f t="shared" si="73"/>
        <v>0</v>
      </c>
      <c r="HH10" s="151" t="e">
        <f>IF(CA10=$TK$6,'Tables - Part 3.B'!$C$10*(('Tables - Part 3.B'!$C$7*COF!GZ10)^COF!HL10*10^COF!HP10),IF(CA10=$TK$5,'Tables - Part 3.B'!$C$10*(('Tables - Part 3.B'!$C$7*COF!HD10)^COF!HL10*10^COF!HP10),0))</f>
        <v>#N/A</v>
      </c>
      <c r="HI10" s="151" t="e">
        <f>IF(CB10=$TK$6,'Tables - Part 3.B'!$C$10*(('Tables - Part 3.B'!$C$7*COF!HA10)^COF!HM10*10^COF!HQ10),IF(CB10=$TK$5,'Tables - Part 3.B'!$C$10*(('Tables - Part 3.B'!$C$7*COF!HE10)^COF!HM10*10^COF!HQ10),0))</f>
        <v>#N/A</v>
      </c>
      <c r="HJ10" s="151" t="e">
        <f>IF(CC10=$TK$6,'Tables - Part 3.B'!$C$10*(('Tables - Part 3.B'!$C$7*COF!HB10)^COF!HN10*10^COF!HR10),IF(CC10=$TK$5,'Tables - Part 3.B'!$C$10*(('Tables - Part 3.B'!$C$7*COF!HF10)^COF!HN10*10^COF!HR10),0))</f>
        <v>#N/A</v>
      </c>
      <c r="HK10" s="151" t="e">
        <f>IF(CD10=$TK$6,'Tables - Part 3.B'!$C$10*(('Tables - Part 3.B'!$C$7*COF!HC10)^COF!HO10*10^COF!HS10),IF(CD10=$TK$5,'Tables - Part 3.B'!$C$10*(('Tables - Part 3.B'!$C$7*COF!HG10)^COF!HO10*10^COF!HS10),0))</f>
        <v>#N/A</v>
      </c>
      <c r="HL10" s="151" t="e">
        <f>IF(CA10=$TK$5,'Tables - Part 3'!$CN$10,IF(COF!CA10=COF!$TK$6,IF(COF!GF10&lt;'Tables - Part 3'!$CK$5,'Tables - Part 3'!$CN$5,IF(GF10&gt;='Tables - Part 3'!$CK$9,'Tables - Part 3'!$CN$9,((COF!GF10-COF!GJ10)*(INDEX('Tables - Part 3'!$CN$5:$CN$9,MATCH(COF!GN10,'Tables - Part 3'!$CK$5:$CK$9,0))-INDEX('Tables - Part 3'!$CN$5:$CN$9,MATCH(COF!GJ10,'Tables - Part 3'!$CK$5:$CK$9,0)))/(GN10-GJ10)+INDEX('Tables - Part 3'!$CN$5:$CN$9,MATCH(COF!GJ10,'Tables - Part 3'!$CK$5:$CK$9,0)))))))</f>
        <v>#N/A</v>
      </c>
      <c r="HM10" s="151" t="e">
        <f>IF(CB10=$TK$5,'Tables - Part 3'!$CN$10,IF(COF!CB10=COF!$TK$6,IF(COF!GG10&lt;'Tables - Part 3'!$CK$5,'Tables - Part 3'!$CN$5,IF(GG10&gt;='Tables - Part 3'!$CK$9,'Tables - Part 3'!$CN$9,((COF!GG10-COF!GK10)*(INDEX('Tables - Part 3'!$CN$5:$CN$9,MATCH(COF!GO10,'Tables - Part 3'!$CK$5:$CK$9,0))-INDEX('Tables - Part 3'!$CN$5:$CN$9,MATCH(COF!GK10,'Tables - Part 3'!$CK$5:$CK$9,0)))/(GO10-GK10)+INDEX('Tables - Part 3'!$CN$5:$CN$9,MATCH(COF!GK10,'Tables - Part 3'!$CK$5:$CK$9,0)))))))</f>
        <v>#N/A</v>
      </c>
      <c r="HN10" s="151" t="e">
        <f>IF(CC10=$TK$5,'Tables - Part 3'!$CN$10,IF(COF!CC10=COF!$TK$6,IF(COF!GH10&lt;'Tables - Part 3'!$CK$5,'Tables - Part 3'!$CN$5,IF(GH10&gt;='Tables - Part 3'!$CK$9,'Tables - Part 3'!$CN$9,((COF!GH10-COF!GL10)*(INDEX('Tables - Part 3'!$CN$5:$CN$9,MATCH(COF!GP10,'Tables - Part 3'!$CK$5:$CK$9,0))-INDEX('Tables - Part 3'!$CN$5:$CN$9,MATCH(COF!GL10,'Tables - Part 3'!$CK$5:$CK$9,0)))/(GP10-GL10)+INDEX('Tables - Part 3'!$CN$5:$CN$9,MATCH(COF!GL10,'Tables - Part 3'!$CK$5:$CK$9,0)))))))</f>
        <v>#N/A</v>
      </c>
      <c r="HO10" s="151" t="e">
        <f>IF(CD10=$TK$5,'Tables - Part 3'!$CN$10,IF(COF!CD10=COF!$TK$6,IF(COF!GI10&lt;'Tables - Part 3'!$CK$5,'Tables - Part 3'!$CN$5,IF(GI10&gt;='Tables - Part 3'!$CK$9,'Tables - Part 3'!$CN$9,((COF!GI10-COF!GM10)*(INDEX('Tables - Part 3'!$CN$5:$CN$9,MATCH(COF!GQ10,'Tables - Part 3'!$CK$5:$CK$9,0))-INDEX('Tables - Part 3'!$CN$5:$CN$9,MATCH(COF!GM10,'Tables - Part 3'!$CK$5:$CK$9,0)))/(GQ10-GM10)+INDEX('Tables - Part 3'!$CN$5:$CN$9,MATCH(COF!GM10,'Tables - Part 3'!$CK$5:$CK$9,0)))))))</f>
        <v>#N/A</v>
      </c>
      <c r="HP10" s="151" t="e">
        <f>IF(CA10=$TK$5,'Tables - Part 3'!$CO$10,IF(COF!CA10=COF!$TK$6,IF(GF10&lt;'Tables - Part 3'!$CK$5,'Tables - Part 3'!$CO$5,IF(GF10&gt;='Tables - Part 3'!$CK$9,'Tables - Part 3'!$CO$9,((COF!GF10-COF!GJ10)*(INDEX('Tables - Part 3'!$CO$5:$CO$9,MATCH(COF!GN10,'Tables - Part 3'!$CK$5:$CK$9,0))-INDEX('Tables - Part 3'!$CO$5:$CO$9,MATCH(COF!GJ10,'Tables - Part 3'!$CK$5:$CK$9,0)))/(GN10-GJ10)+INDEX('Tables - Part 3'!$CO$5:$CO$9,MATCH(COF!GJ10,'Tables - Part 3'!$CK$5:$CK$9,0)))))))</f>
        <v>#N/A</v>
      </c>
      <c r="HQ10" s="151" t="e">
        <f>IF(CB10=$TK$5,'Tables - Part 3'!$CO$10,IF(COF!CB10=COF!$TK$6,IF(GG10&lt;'Tables - Part 3'!$CK$5,'Tables - Part 3'!$CO$5,IF(GG10&gt;='Tables - Part 3'!$CK$9,'Tables - Part 3'!$CO$9,((COF!GG10-COF!GK10)*(INDEX('Tables - Part 3'!$CO$5:$CO$9,MATCH(COF!GO10,'Tables - Part 3'!$CK$5:$CK$9,0))-INDEX('Tables - Part 3'!$CO$5:$CO$9,MATCH(COF!GK10,'Tables - Part 3'!$CK$5:$CK$9,0)))/(GO10-GK10)+INDEX('Tables - Part 3'!$CO$5:$CO$9,MATCH(COF!GK10,'Tables - Part 3'!$CK$5:$CK$9,0)))))))</f>
        <v>#N/A</v>
      </c>
      <c r="HR10" s="151" t="e">
        <f>IF(CC10=$TK$5,'Tables - Part 3'!$CO$10,IF(COF!CC10=COF!$TK$6,IF(GH10&lt;'Tables - Part 3'!$CK$5,'Tables - Part 3'!$CO$5,IF(GH10&gt;='Tables - Part 3'!$CK$9,'Tables - Part 3'!$CO$9,((COF!GH10-COF!GL10)*(INDEX('Tables - Part 3'!$CO$5:$CO$9,MATCH(COF!GP10,'Tables - Part 3'!$CK$5:$CK$9,0))-INDEX('Tables - Part 3'!$CO$5:$CO$9,MATCH(COF!GL10,'Tables - Part 3'!$CK$5:$CK$9,0)))/(GP10-GL10)+INDEX('Tables - Part 3'!$CO$5:$CO$9,MATCH(COF!GL10,'Tables - Part 3'!$CK$5:$CK$9,0)))))))</f>
        <v>#N/A</v>
      </c>
      <c r="HS10" s="151" t="e">
        <f>IF(CD10=$TK$5,'Tables - Part 3'!$CO$10,IF(COF!CD10=COF!$TK$6,IF(GI10&lt;'Tables - Part 3'!$CK$5,'Tables - Part 3'!$CO$5,IF(GI10&gt;='Tables - Part 3'!$CK$9,'Tables - Part 3'!$CO$9,((COF!GI10-COF!GM10)*(INDEX('Tables - Part 3'!$CO$5:$CO$9,MATCH(COF!GQ10,'Tables - Part 3'!$CK$5:$CK$9,0))-INDEX('Tables - Part 3'!$CO$5:$CO$9,MATCH(COF!GM10,'Tables - Part 3'!$CK$5:$CK$9,0)))/(GQ10-GM10)+INDEX('Tables - Part 3'!$CO$5:$CO$9,MATCH(COF!GM10,'Tables - Part 3'!$CK$5:$CK$9,0)))))))</f>
        <v>#N/A</v>
      </c>
      <c r="HT10" s="151">
        <f t="shared" si="74"/>
        <v>0</v>
      </c>
      <c r="HU10" s="151">
        <f t="shared" si="75"/>
        <v>0</v>
      </c>
      <c r="HV10" s="151">
        <f t="shared" si="76"/>
        <v>0</v>
      </c>
      <c r="HW10" s="151">
        <f t="shared" si="77"/>
        <v>0</v>
      </c>
      <c r="HX10" s="151">
        <f t="shared" si="78"/>
        <v>0</v>
      </c>
      <c r="HY10" s="151">
        <f t="shared" si="79"/>
        <v>0</v>
      </c>
      <c r="HZ10" s="151">
        <f t="shared" si="80"/>
        <v>0</v>
      </c>
      <c r="IA10" s="151">
        <f t="shared" si="81"/>
        <v>0</v>
      </c>
      <c r="IB10" s="153" t="e">
        <f t="shared" si="82"/>
        <v>#N/A</v>
      </c>
      <c r="IC10" s="153" t="e">
        <f t="shared" si="83"/>
        <v>#N/A</v>
      </c>
      <c r="ID10" s="153" t="e">
        <f t="shared" si="84"/>
        <v>#N/A</v>
      </c>
      <c r="IE10" s="153" t="e">
        <f t="shared" si="85"/>
        <v>#N/A</v>
      </c>
      <c r="IF10" s="152" t="e">
        <f>IF(GF10&lt;'Tables - Part 3'!$CQ$5,0,LOOKUP(GF10,'Tables - Part 3'!$CQ$5:$CQ$16))</f>
        <v>#N/A</v>
      </c>
      <c r="IG10" s="152" t="e">
        <f>IF(GG10&lt;'Tables - Part 3'!$CQ$5,0,LOOKUP(GG10,'Tables - Part 3'!$CQ$5:$CQ$16))</f>
        <v>#N/A</v>
      </c>
      <c r="IH10" s="152" t="e">
        <f>IF(GH10&lt;'Tables - Part 3'!$CQ$5,0,LOOKUP(GH10,'Tables - Part 3'!$CQ$5:$CQ$16))</f>
        <v>#N/A</v>
      </c>
      <c r="II10" s="152" t="e">
        <f>IF(GI10&lt;'Tables - Part 3'!$CQ$5,0,LOOKUP(GI10,'Tables - Part 3'!$CQ$5:$CQ$16))</f>
        <v>#N/A</v>
      </c>
      <c r="IJ10" s="152" t="e">
        <f>IF(GF10&lt;'Tables - Part 3'!$CQ$5,'Tables - Part 3'!$CQ$5,IF(COF!GF10&lt;'Tables - Part 3'!$CQ$6,'Tables - Part 3'!$CQ$6,IF(COF!GF10&lt;'Tables - Part 3'!$CQ$7,'Tables - Part 3'!$CQ$7,IF(COF!GF10&lt;'Tables - Part 3'!$CQ$8,'Tables - Part 3'!$CQ$8,IF(COF!GF10&lt;'Tables - Part 3'!$CQ$9,'Tables - Part 3'!$CQ$9,IF(COF!GF10&lt;'Tables - Part 3'!$CQ$10,'Tables - Part 3'!$CQ$10,IF(COF!GF10&lt;'Tables - Part 3'!$CQ$11,'Tables - Part 3'!$CQ$11,IF(COF!GF10&lt;'Tables - Part 3'!$CQ$12,'Tables - Part 3'!$CQ$12,IF(COF!GF10&lt;'Tables - Part 3'!$CQ$13,'Tables - Part 3'!$CQ$13,IF(COF!GF10&lt;'Tables - Part 3'!$CQ$14,'Tables - Part 3'!$CQ$14,IF(COF!GF10&lt;'Tables - Part 3'!$CQ$15,'Tables - Part 3'!$CQ$15,IF(COF!GF10&lt;'Tables - Part 3'!$CQ$16,'Tables - Part 3'!$CQ$16))))))))))))</f>
        <v>#N/A</v>
      </c>
      <c r="IK10" s="152" t="e">
        <f>IF(GG10&lt;'Tables - Part 3'!$CQ$5,'Tables - Part 3'!$CQ$5,IF(COF!GG10&lt;'Tables - Part 3'!$CQ$6,'Tables - Part 3'!$CQ$6,IF(COF!GG10&lt;'Tables - Part 3'!$CQ$7,'Tables - Part 3'!$CQ$7,IF(COF!GG10&lt;'Tables - Part 3'!$CQ$8,'Tables - Part 3'!$CQ$8,IF(COF!GG10&lt;'Tables - Part 3'!$CQ$9,'Tables - Part 3'!$CQ$9,IF(COF!GG10&lt;'Tables - Part 3'!$CQ$10,'Tables - Part 3'!$CQ$10,IF(COF!GG10&lt;'Tables - Part 3'!$CQ$11,'Tables - Part 3'!$CQ$11,IF(COF!GG10&lt;'Tables - Part 3'!$CQ$12,'Tables - Part 3'!$CQ$12,IF(COF!GG10&lt;'Tables - Part 3'!$CQ$13,'Tables - Part 3'!$CQ$13,IF(COF!GG10&lt;'Tables - Part 3'!$CQ$14,'Tables - Part 3'!$CQ$14,IF(COF!GG10&lt;'Tables - Part 3'!$CQ$15,'Tables - Part 3'!$CQ$15,IF(COF!GG10&lt;'Tables - Part 3'!$CQ$16,'Tables - Part 3'!$CQ$16))))))))))))</f>
        <v>#N/A</v>
      </c>
      <c r="IL10" s="152" t="e">
        <f>IF(GH10&lt;'Tables - Part 3'!$CQ$5,'Tables - Part 3'!$CQ$5,IF(COF!GH10&lt;'Tables - Part 3'!$CQ$6,'Tables - Part 3'!$CQ$6,IF(COF!GH10&lt;'Tables - Part 3'!$CQ$7,'Tables - Part 3'!$CQ$7,IF(COF!GH10&lt;'Tables - Part 3'!$CQ$8,'Tables - Part 3'!$CQ$8,IF(COF!GH10&lt;'Tables - Part 3'!$CQ$9,'Tables - Part 3'!$CQ$9,IF(COF!GH10&lt;'Tables - Part 3'!$CQ$10,'Tables - Part 3'!$CQ$10,IF(COF!GH10&lt;'Tables - Part 3'!$CQ$11,'Tables - Part 3'!$CQ$11,IF(COF!GH10&lt;'Tables - Part 3'!$CQ$12,'Tables - Part 3'!$CQ$12,IF(COF!GH10&lt;'Tables - Part 3'!$CQ$13,'Tables - Part 3'!$CQ$13,IF(COF!GH10&lt;'Tables - Part 3'!$CQ$14,'Tables - Part 3'!$CQ$14,IF(COF!GH10&lt;'Tables - Part 3'!$CQ$15,'Tables - Part 3'!$CQ$15,IF(COF!GH10&lt;'Tables - Part 3'!$CQ$16,'Tables - Part 3'!$CQ$16))))))))))))</f>
        <v>#N/A</v>
      </c>
      <c r="IM10" s="152" t="e">
        <f>IF(GI10&lt;'Tables - Part 3'!$CQ$5,'Tables - Part 3'!$CQ$5,IF(COF!GI10&lt;'Tables - Part 3'!$CQ$6,'Tables - Part 3'!$CQ$6,IF(COF!GI10&lt;'Tables - Part 3'!$CQ$7,'Tables - Part 3'!$CQ$7,IF(COF!GI10&lt;'Tables - Part 3'!$CQ$8,'Tables - Part 3'!$CQ$8,IF(COF!GI10&lt;'Tables - Part 3'!$CQ$9,'Tables - Part 3'!$CQ$9,IF(COF!GI10&lt;'Tables - Part 3'!$CQ$10,'Tables - Part 3'!$CQ$10,IF(COF!GI10&lt;'Tables - Part 3'!$CQ$11,'Tables - Part 3'!$CQ$11,IF(COF!GI10&lt;'Tables - Part 3'!$CQ$12,'Tables - Part 3'!$CQ$12,IF(COF!GI10&lt;'Tables - Part 3'!$CQ$13,'Tables - Part 3'!$CQ$13,IF(COF!GI10&lt;'Tables - Part 3'!$CQ$14,'Tables - Part 3'!$CQ$14,IF(COF!GI10&lt;'Tables - Part 3'!$CQ$15,'Tables - Part 3'!$CQ$15,IF(COF!GI10&lt;'Tables - Part 3'!$CQ$16,'Tables - Part 3'!$CQ$16))))))))))))</f>
        <v>#N/A</v>
      </c>
      <c r="IN10" s="151" t="e">
        <f>IF(CA10=$TK$5,'Tables - Part 3'!$CR$17,IF(COF!CA10=COF!$TK$6,IF(COF!GF10&lt;'Tables - Part 3'!$CQ$5,'Tables - Part 3'!$CR$5,IF(GF10&gt;='Tables - Part 3'!$CQ$16,'Tables - Part 3'!$CR$16,((COF!GF10-COF!IF10)*(INDEX('Tables - Part 3'!$CR$5:$CR$16,MATCH(COF!IJ10,'Tables - Part 3'!$CQ$5:$CQ$16,0))-INDEX('Tables - Part 3'!$CR$5:$CR$16,MATCH(COF!IF10,'Tables - Part 3'!$CQ$5:$CQ$16,0)))/(IJ10-IF10)+INDEX('Tables - Part 3'!$CR$5:$CR$16,MATCH(COF!IF10,'Tables - Part 3'!$CQ$5:$CQ$16,0)))))))</f>
        <v>#N/A</v>
      </c>
      <c r="IO10" s="151" t="e">
        <f>IF(CB10=$TK$5,'Tables - Part 3'!$CR$17,IF(COF!CB10=COF!$TK$6,IF(COF!GG10&lt;'Tables - Part 3'!$CQ$5,'Tables - Part 3'!$CR$5,IF(GG10&gt;='Tables - Part 3'!$CQ$16,'Tables - Part 3'!$CR$16,((COF!GG10-COF!IG10)*(INDEX('Tables - Part 3'!$CR$5:$CR$16,MATCH(COF!IK10,'Tables - Part 3'!$CQ$5:$CQ$16,0))-INDEX('Tables - Part 3'!$CR$5:$CR$16,MATCH(COF!IG10,'Tables - Part 3'!$CQ$5:$CQ$16,0)))/(IK10-IG10)+INDEX('Tables - Part 3'!$CR$5:$CR$16,MATCH(COF!IG10,'Tables - Part 3'!$CQ$5:$CQ$16,0)))))))</f>
        <v>#N/A</v>
      </c>
      <c r="IP10" s="151" t="e">
        <f>IF(CC10=$TK$5,'Tables - Part 3'!$CR$17,IF(COF!CC10=COF!$TK$6,IF(COF!GH10&lt;'Tables - Part 3'!$CQ$5,'Tables - Part 3'!$CR$5,IF(GH10&gt;='Tables - Part 3'!$CQ$16,'Tables - Part 3'!$CR$16,((COF!GH10-COF!IH10)*(INDEX('Tables - Part 3'!$CR$5:$CR$16,MATCH(COF!IL10,'Tables - Part 3'!$CQ$5:$CQ$16,0))-INDEX('Tables - Part 3'!$CR$5:$CR$16,MATCH(COF!IH10,'Tables - Part 3'!$CQ$5:$CQ$16,0)))/(IL10-IH10)+INDEX('Tables - Part 3'!$CR$5:$CR$16,MATCH(COF!IH10,'Tables - Part 3'!$CQ$5:$CQ$16,0)))))))</f>
        <v>#N/A</v>
      </c>
      <c r="IQ10" s="151" t="e">
        <f>IF(CD10=$TK$5,'Tables - Part 3'!$CR$17,IF(COF!CD10=COF!$TK$6,IF(COF!GI10&lt;'Tables - Part 3'!$CQ$5,'Tables - Part 3'!$CR$5,IF(GI10&gt;='Tables - Part 3'!$CQ$16,'Tables - Part 3'!$CR$16,((COF!GI10-COF!II10)*(INDEX('Tables - Part 3'!$CR$5:$CR$16,MATCH(COF!IM10,'Tables - Part 3'!$CQ$5:$CQ$16,0))-INDEX('Tables - Part 3'!$CR$5:$CR$16,MATCH(COF!II10,'Tables - Part 3'!$CQ$5:$CQ$16,0)))/(IM10-II10)+INDEX('Tables - Part 3'!$CR$5:$CR$16,MATCH(COF!II10,'Tables - Part 3'!$CQ$5:$CQ$16,0)))))))</f>
        <v>#N/A</v>
      </c>
      <c r="IR10" s="151" t="e">
        <f>IF(CA10=$TK$5,'Tables - Part 3'!$CS$17,IF(COF!CA10=COF!$TK$6,IF(COF!GF10&lt;'Tables - Part 3'!$CQ$5,'Tables - Part 3'!$CS$5,IF(GF10&gt;='Tables - Part 3'!$CQ$16,'Tables - Part 3'!$CS$16,((COF!GF10-COF!IF10)*(INDEX('Tables - Part 3'!$CS$5:$CS$16,MATCH(COF!IJ10,'Tables - Part 3'!$CQ$5:$CQ$16,0))-INDEX('Tables - Part 3'!$CS$5:$CS$16,MATCH(COF!IF10,'Tables - Part 3'!$CQ$5:$CQ$16,0)))/(IJ10-IF10)+INDEX('Tables - Part 3'!$CS$5:$CS$16,MATCH(COF!IF10,'Tables - Part 3'!$CQ$5:$CQ$16,0)))))))</f>
        <v>#N/A</v>
      </c>
      <c r="IS10" s="151" t="e">
        <f>IF(CB10=$TK$5,'Tables - Part 3'!$CS$17,IF(COF!CB10=COF!$TK$6,IF(COF!GG10&lt;'Tables - Part 3'!$CQ$5,'Tables - Part 3'!$CS$5,IF(GG10&gt;='Tables - Part 3'!$CQ$16,'Tables - Part 3'!$CS$16,((COF!GG10-COF!IG10)*(INDEX('Tables - Part 3'!$CS$5:$CS$16,MATCH(COF!IK10,'Tables - Part 3'!$CQ$5:$CQ$16,0))-INDEX('Tables - Part 3'!$CS$5:$CS$16,MATCH(COF!IG10,'Tables - Part 3'!$CQ$5:$CQ$16,0)))/(IK10-IG10)+INDEX('Tables - Part 3'!$CS$5:$CS$16,MATCH(COF!IG10,'Tables - Part 3'!$CQ$5:$CQ$16,0)))))))</f>
        <v>#N/A</v>
      </c>
      <c r="IT10" s="151" t="e">
        <f>IF(CC10=$TK$5,'Tables - Part 3'!$CS$17,IF(COF!CC10=COF!$TK$6,IF(COF!GH10&lt;'Tables - Part 3'!$CQ$5,'Tables - Part 3'!$CS$5,IF(GH10&gt;='Tables - Part 3'!$CQ$16,'Tables - Part 3'!$CS$16,((COF!GH10-COF!IH10)*(INDEX('Tables - Part 3'!$CS$5:$CS$16,MATCH(COF!IL10,'Tables - Part 3'!$CQ$5:$CQ$16,0))-INDEX('Tables - Part 3'!$CS$5:$CS$16,MATCH(COF!IH10,'Tables - Part 3'!$CQ$5:$CQ$16,0)))/(IL10-IH10)+INDEX('Tables - Part 3'!$CS$5:$CS$16,MATCH(COF!IH10,'Tables - Part 3'!$CQ$5:$CQ$16,0)))))))</f>
        <v>#N/A</v>
      </c>
      <c r="IU10" s="151" t="e">
        <f>IF(CD10=$TK$5,'Tables - Part 3'!$CS$17,IF(COF!CD10=COF!$TK$6,IF(COF!GI10&lt;'Tables - Part 3'!$CQ$5,'Tables - Part 3'!$CS$5,IF(GI10&gt;='Tables - Part 3'!$CQ$16,'Tables - Part 3'!$CS$16,((COF!GI10-COF!II10)*(INDEX('Tables - Part 3'!$CS$5:$CS$16,MATCH(COF!IM10,'Tables - Part 3'!$CQ$5:$CQ$16,0))-INDEX('Tables - Part 3'!$CS$5:$CS$16,MATCH(COF!II10,'Tables - Part 3'!$CQ$5:$CQ$16,0)))/(IM10-II10)+INDEX('Tables - Part 3'!$CS$5:$CS$16,MATCH(COF!II10,'Tables - Part 3'!$CQ$5:$CQ$16,0)))))))</f>
        <v>#N/A</v>
      </c>
      <c r="IV10" s="151">
        <f t="shared" si="86"/>
        <v>0</v>
      </c>
      <c r="IW10" s="151">
        <f t="shared" si="87"/>
        <v>0</v>
      </c>
      <c r="IX10" s="151">
        <f t="shared" si="88"/>
        <v>0</v>
      </c>
      <c r="IY10" s="151">
        <f t="shared" si="89"/>
        <v>0</v>
      </c>
      <c r="IZ10" s="151">
        <f t="shared" si="90"/>
        <v>0</v>
      </c>
      <c r="JA10" s="151">
        <f t="shared" si="91"/>
        <v>0</v>
      </c>
      <c r="JB10" s="151">
        <f t="shared" si="92"/>
        <v>0</v>
      </c>
      <c r="JC10" s="151">
        <f t="shared" si="93"/>
        <v>0</v>
      </c>
      <c r="JD10" s="151" t="e">
        <f t="shared" si="94"/>
        <v>#N/A</v>
      </c>
      <c r="JE10" s="151" t="e">
        <f t="shared" si="95"/>
        <v>#N/A</v>
      </c>
      <c r="JF10" s="151" t="e">
        <f t="shared" si="96"/>
        <v>#N/A</v>
      </c>
      <c r="JG10" s="151" t="e">
        <f t="shared" si="97"/>
        <v>#N/A</v>
      </c>
      <c r="JH10" s="151" t="e">
        <f>IF(CA10=$TK$5,'Tables - Part 3'!$CT$17,IF(COF!CA10=COF!$TK$6,IF(COF!GF10&lt;'Tables - Part 3'!$CQ$5,'Tables - Part 3'!$CT$5,IF(GF10&gt;='Tables - Part 3'!$CQ$16,'Tables - Part 3'!$CT$16,((COF!GF10-COF!IF10)*(INDEX('Tables - Part 3'!$CT$5:$CT$16,MATCH(COF!IJ10,'Tables - Part 3'!$CQ$5:$CQ$16,0))-INDEX('Tables - Part 3'!$CT$5:$CT$16,MATCH(COF!IF10,'Tables - Part 3'!$CQ$5:$CQ$16,0)))/(IJ10-IF10)+INDEX('Tables - Part 3'!$CT$5:$CT$16,MATCH(COF!IF10,'Tables - Part 3'!$CQ$5:$CQ$16,0)))))))</f>
        <v>#N/A</v>
      </c>
      <c r="JI10" s="151" t="e">
        <f>IF(CB10=$TK$5,'Tables - Part 3'!$CT$17,IF(COF!CB10=COF!$TK$6,IF(COF!GG10&lt;'Tables - Part 3'!$CQ$5,'Tables - Part 3'!$CT$5,IF(GG10&gt;='Tables - Part 3'!$CQ$16,'Tables - Part 3'!$CT$16,((COF!GG10-COF!IG10)*(INDEX('Tables - Part 3'!$CT$5:$CT$16,MATCH(COF!IK10,'Tables - Part 3'!$CQ$5:$CQ$16,0))-INDEX('Tables - Part 3'!$CT$5:$CT$16,MATCH(COF!IG10,'Tables - Part 3'!$CQ$5:$CQ$16,0)))/(IK10-IG10)+INDEX('Tables - Part 3'!$CT$5:$CT$16,MATCH(COF!IG10,'Tables - Part 3'!$CQ$5:$CQ$16,0)))))))</f>
        <v>#N/A</v>
      </c>
      <c r="JJ10" s="151" t="e">
        <f>IF(CC10=$TK$5,'Tables - Part 3'!$CT$17,IF(COF!CC10=COF!$TK$6,IF(COF!GH10&lt;'Tables - Part 3'!$CQ$5,'Tables - Part 3'!$CT$5,IF(GH10&gt;='Tables - Part 3'!$CQ$16,'Tables - Part 3'!$CT$16,((COF!GH10-COF!IH10)*(INDEX('Tables - Part 3'!$CT$5:$CT$16,MATCH(COF!IL10,'Tables - Part 3'!$CQ$5:$CQ$16,0))-INDEX('Tables - Part 3'!$CT$5:$CT$16,MATCH(COF!IH10,'Tables - Part 3'!$CQ$5:$CQ$16,0)))/(IL10-IH10)+INDEX('Tables - Part 3'!$CT$5:$CT$16,MATCH(COF!IH10,'Tables - Part 3'!$CQ$5:$CQ$16,0)))))))</f>
        <v>#N/A</v>
      </c>
      <c r="JK10" s="151" t="e">
        <f>IF(CD10=$TK$5,'Tables - Part 3'!$CT$17,IF(COF!CD10=COF!$TK$6,IF(COF!GI10&lt;'Tables - Part 3'!$CQ$5,'Tables - Part 3'!$CT$5,IF(GI10&gt;='Tables - Part 3'!$CQ$16,'Tables - Part 3'!$CT$16,((COF!GI10-COF!II10)*(INDEX('Tables - Part 3'!$CT$5:$CT$16,MATCH(COF!IM10,'Tables - Part 3'!$CQ$5:$CQ$16,0))-INDEX('Tables - Part 3'!$CT$5:$CT$16,MATCH(COF!II10,'Tables - Part 3'!$CQ$5:$CQ$16,0)))/(IM10-II10)+INDEX('Tables - Part 3'!$CT$5:$CT$16,MATCH(COF!II10,'Tables - Part 3'!$CQ$5:$CQ$16,0)))))))</f>
        <v>#N/A</v>
      </c>
      <c r="JL10" s="151" t="e">
        <f>IF(CA10=$TK$5,'Tables - Part 3'!$CU$17,IF(COF!CA10=COF!$TK$6,IF(COF!GF10&lt;'Tables - Part 3'!$CQ$5,'Tables - Part 3'!$CU$5,IF(GF10&gt;='Tables - Part 3'!$CQ$16,'Tables - Part 3'!$CU$16,((COF!GF10-COF!IF10)*(INDEX('Tables - Part 3'!$CU$5:$CU$16,MATCH(COF!IJ10,'Tables - Part 3'!$CQ$5:$CQ$16,0))-INDEX('Tables - Part 3'!$CU$5:$CU$16,MATCH(COF!IF10,'Tables - Part 3'!$CQ$5:$CQ$16,0)))/(IJ10-IF10)+INDEX('Tables - Part 3'!$CU$5:$CU$16,MATCH(COF!IF10,'Tables - Part 3'!$CQ$5:$CQ$16,0)))))))</f>
        <v>#N/A</v>
      </c>
      <c r="JM10" s="151" t="e">
        <f>IF(CB10=$TK$5,'Tables - Part 3'!$CU$17,IF(COF!CB10=COF!$TK$6,IF(COF!GG10&lt;'Tables - Part 3'!$CQ$5,'Tables - Part 3'!$CU$5,IF(GG10&gt;='Tables - Part 3'!$CQ$16,'Tables - Part 3'!$CU$16,((COF!GG10-COF!IG10)*(INDEX('Tables - Part 3'!$CU$5:$CU$16,MATCH(COF!IK10,'Tables - Part 3'!$CQ$5:$CQ$16,0))-INDEX('Tables - Part 3'!$CU$5:$CU$16,MATCH(COF!IG10,'Tables - Part 3'!$CQ$5:$CQ$16,0)))/(IK10-IG10)+INDEX('Tables - Part 3'!$CU$5:$CU$16,MATCH(COF!IG10,'Tables - Part 3'!$CQ$5:$CQ$16,0)))))))</f>
        <v>#N/A</v>
      </c>
      <c r="JN10" s="151" t="e">
        <f>IF(CC10=$TK$5,'Tables - Part 3'!$CU$17,IF(COF!CC10=COF!$TK$6,IF(COF!GH10&lt;'Tables - Part 3'!$CQ$5,'Tables - Part 3'!$CU$5,IF(GH10&gt;='Tables - Part 3'!$CQ$16,'Tables - Part 3'!$CU$16,((COF!GH10-COF!IH10)*(INDEX('Tables - Part 3'!$CU$5:$CU$16,MATCH(COF!IL10,'Tables - Part 3'!$CQ$5:$CQ$16,0))-INDEX('Tables - Part 3'!$CU$5:$CU$16,MATCH(COF!IH10,'Tables - Part 3'!$CQ$5:$CQ$16,0)))/(IL10-IH10)+INDEX('Tables - Part 3'!$CU$5:$CU$16,MATCH(COF!IH10,'Tables - Part 3'!$CQ$5:$CQ$16,0)))))))</f>
        <v>#N/A</v>
      </c>
      <c r="JO10" s="151" t="e">
        <f>IF(CD10=$TK$5,'Tables - Part 3'!$CU$17,IF(COF!CD10=COF!$TK$6,IF(COF!GI10&lt;'Tables - Part 3'!$CQ$5,'Tables - Part 3'!$CU$5,IF(GI10&gt;='Tables - Part 3'!$CQ$16,'Tables - Part 3'!$CU$16,((COF!GI10-COF!II10)*(INDEX('Tables - Part 3'!$CU$5:$CU$16,MATCH(COF!IM10,'Tables - Part 3'!$CQ$5:$CQ$16,0))-INDEX('Tables - Part 3'!$CU$5:$CU$16,MATCH(COF!II10,'Tables - Part 3'!$CQ$5:$CQ$16,0)))/(IM10-II10)+INDEX('Tables - Part 3'!$CU$5:$CU$16,MATCH(COF!II10,'Tables - Part 3'!$CQ$5:$CQ$16,0)))))))</f>
        <v>#N/A</v>
      </c>
      <c r="JP10" s="282"/>
      <c r="JQ10" s="151">
        <f t="shared" si="98"/>
        <v>0</v>
      </c>
      <c r="JR10" s="151">
        <f t="shared" si="99"/>
        <v>0</v>
      </c>
      <c r="JS10" s="151">
        <f t="shared" si="100"/>
        <v>0</v>
      </c>
      <c r="JT10" s="151">
        <f t="shared" si="101"/>
        <v>0</v>
      </c>
      <c r="JU10" s="151" t="e">
        <f t="shared" si="204"/>
        <v>#N/A</v>
      </c>
      <c r="JV10" s="151" t="e">
        <f t="shared" si="205"/>
        <v>#N/A</v>
      </c>
      <c r="JW10" s="151" t="e">
        <f t="shared" si="206"/>
        <v>#N/A</v>
      </c>
      <c r="JX10" s="151" t="e">
        <f t="shared" si="207"/>
        <v>#N/A</v>
      </c>
      <c r="JY10" s="152" t="e">
        <f>IF(GF10&lt;'Tables - Part 3'!$CY$6,0,LOOKUP(GF10,'Tables - Part 3'!$CY$6:$CY$11))</f>
        <v>#N/A</v>
      </c>
      <c r="JZ10" s="152" t="e">
        <f>IF(GG10&lt;'Tables - Part 3'!$CY$6,0,LOOKUP(GG10,'Tables - Part 3'!$CY$6:$CY$11))</f>
        <v>#N/A</v>
      </c>
      <c r="KA10" s="152" t="e">
        <f>IF(GH10&lt;'Tables - Part 3'!$CY$6,0,LOOKUP(GH10,'Tables - Part 3'!$CY$6:$CY$11))</f>
        <v>#N/A</v>
      </c>
      <c r="KB10" s="152" t="e">
        <f>IF(GI10&lt;'Tables - Part 3'!$CY$6,0,LOOKUP(GI10,'Tables - Part 3'!$CY$6:$CY$11))</f>
        <v>#N/A</v>
      </c>
      <c r="KC10" s="152" t="e">
        <f>IF(GF10&lt;'Tables - Part 3'!$CY$6,'Tables - Part 3'!$CY$6,IF(COF!GF10&lt;'Tables - Part 3'!$CY$7,'Tables - Part 3'!$CY$7,IF(COF!GF10&lt;'Tables - Part 3'!$CY$8,'Tables - Part 3'!$CY$8,IF(COF!GF10&lt;'Tables - Part 3'!$CY$9,'Tables - Part 3'!$CY$9,IF(COF!GF10&lt;'Tables - Part 3'!$CY$10,'Tables - Part 3'!$CY$10,IF(COF!GF10&lt;'Tables - Part 3'!$CY$11,'Tables - Part 3'!$CY$11))))))</f>
        <v>#N/A</v>
      </c>
      <c r="KD10" s="152" t="e">
        <f>IF(GG10&lt;'Tables - Part 3'!$CY$6,'Tables - Part 3'!$CY$6,IF(COF!GG10&lt;'Tables - Part 3'!$CY$7,'Tables - Part 3'!$CY$7,IF(COF!GG10&lt;'Tables - Part 3'!$CY$8,'Tables - Part 3'!$CY$8,IF(COF!GG10&lt;'Tables - Part 3'!$CY$9,'Tables - Part 3'!$CY$9,IF(COF!GG10&lt;'Tables - Part 3'!$CY$10,'Tables - Part 3'!$CY$10,IF(COF!GG10&lt;'Tables - Part 3'!$CY$11,'Tables - Part 3'!$CY$11))))))</f>
        <v>#N/A</v>
      </c>
      <c r="KE10" s="152" t="e">
        <f>IF(GH10&lt;'Tables - Part 3'!$CY$6,'Tables - Part 3'!$CY$6,IF(COF!GH10&lt;'Tables - Part 3'!$CY$7,'Tables - Part 3'!$CY$7,IF(COF!GH10&lt;'Tables - Part 3'!$CY$8,'Tables - Part 3'!$CY$8,IF(COF!GH10&lt;'Tables - Part 3'!$CY$9,'Tables - Part 3'!$CY$9,IF(COF!GH10&lt;'Tables - Part 3'!$CY$10,'Tables - Part 3'!$CY$10,IF(COF!GH10&lt;'Tables - Part 3'!$CY$11,'Tables - Part 3'!$CY$11))))))</f>
        <v>#N/A</v>
      </c>
      <c r="KF10" s="152" t="e">
        <f>IF(GI10&lt;'Tables - Part 3'!$CY$6,'Tables - Part 3'!$CY$6,IF(COF!GI10&lt;'Tables - Part 3'!$CY$7,'Tables - Part 3'!$CY$7,IF(COF!GI10&lt;'Tables - Part 3'!$CY$8,'Tables - Part 3'!$CY$8,IF(COF!GI10&lt;'Tables - Part 3'!$CY$9,'Tables - Part 3'!$CY$9,IF(COF!GI10&lt;'Tables - Part 3'!$CY$10,'Tables - Part 3'!$CY$10,IF(COF!GI10&lt;'Tables - Part 3'!$CY$11,'Tables - Part 3'!$CY$11))))))</f>
        <v>#N/A</v>
      </c>
      <c r="KG10" s="151" t="e">
        <f>IF(CA10=$TK$5,'Tables - Part 3'!$CZ$6,IF(COF!CA10=COF!$TK$6,IF(COF!GF10&lt;'Tables - Part 3'!$CY$6,'Tables - Part 3'!$CZ$6,IF(GF10&gt;='Tables - Part 3'!$CY$11,'Tables - Part 3'!$CZ$11,((COF!GF10-COF!JY10)*(INDEX('Tables - Part 3'!$CZ$6:$CZ$11,MATCH(COF!KC10,'Tables - Part 3'!$CY$6:$CY$11,0))-INDEX('Tables - Part 3'!$CZ$6:$CZ$11,MATCH(COF!JY10,'Tables - Part 3'!$CY$6:$CY$11,0)))/(KC10-JY10)+INDEX('Tables - Part 3'!$CZ$6:$CZ$11,MATCH(COF!JY10,'Tables - Part 3'!$CY$6:$CY$11,0)))))))</f>
        <v>#N/A</v>
      </c>
      <c r="KH10" s="151" t="e">
        <f>IF(CB10=$TK$5,'Tables - Part 3'!$CZ$6,IF(COF!CB10=COF!$TK$6,IF(COF!GG10&lt;'Tables - Part 3'!$CY$6,'Tables - Part 3'!$CZ$6,IF(GG10&gt;='Tables - Part 3'!$CY$11,'Tables - Part 3'!$CZ$11,((COF!GG10-COF!JZ10)*(INDEX('Tables - Part 3'!$CZ$6:$CZ$11,MATCH(COF!KD10,'Tables - Part 3'!$CY$6:$CY$11,0))-INDEX('Tables - Part 3'!$CZ$6:$CZ$11,MATCH(COF!JZ10,'Tables - Part 3'!$CY$6:$CY$11,0)))/(KD10-JZ10)+INDEX('Tables - Part 3'!$CZ$6:$CZ$11,MATCH(COF!JZ10,'Tables - Part 3'!$CY$6:$CY$11,0)))))))</f>
        <v>#N/A</v>
      </c>
      <c r="KI10" s="151" t="e">
        <f>IF(CC10=$TK$5,'Tables - Part 3'!$CZ$6,IF(COF!CC10=COF!$TK$6,IF(COF!GH10&lt;'Tables - Part 3'!$CY$6,'Tables - Part 3'!$CZ$6,IF(GH10&gt;='Tables - Part 3'!$CY$11,'Tables - Part 3'!$CZ$11,((COF!GH10-COF!KA10)*(INDEX('Tables - Part 3'!$CZ$6:$CZ$11,MATCH(COF!KE10,'Tables - Part 3'!$CY$6:$CY$11,0))-INDEX('Tables - Part 3'!$CZ$6:$CZ$11,MATCH(COF!KA10,'Tables - Part 3'!$CY$6:$CY$11,0)))/(KE10-KA10)+INDEX('Tables - Part 3'!$CZ$6:$CZ$11,MATCH(COF!KA10,'Tables - Part 3'!$CY$6:$CY$11,0)))))))</f>
        <v>#N/A</v>
      </c>
      <c r="KJ10" s="151" t="e">
        <f>IF(CD10=$TK$5,'Tables - Part 3'!$CZ$6,IF(COF!CD10=COF!$TK$6,IF(COF!GI10&lt;'Tables - Part 3'!$CY$6,'Tables - Part 3'!$CZ$6,IF(GI10&gt;='Tables - Part 3'!$CY$11,'Tables - Part 3'!$CZ$11,((COF!GI10-COF!KB10)*(INDEX('Tables - Part 3'!$CZ$6:$CZ$11,MATCH(COF!KF10,'Tables - Part 3'!$CY$6:$CY$11,0))-INDEX('Tables - Part 3'!$CZ$6:$CZ$11,MATCH(COF!KB10,'Tables - Part 3'!$CY$6:$CY$11,0)))/(KF10-KB10)+INDEX('Tables - Part 3'!$CZ$6:$CZ$11,MATCH(COF!KB10,'Tables - Part 3'!$CY$6:$CY$11,0)))))))</f>
        <v>#N/A</v>
      </c>
      <c r="KK10" s="153" t="e">
        <f>IF(CA10=$TK$5,'Tables - Part 3'!$DA$6,IF(COF!CA10=COF!$TK$6,IF(COF!GF10&lt;'Tables - Part 3'!$CY$6,'Tables - Part 3'!$DA$6,IF(GF10&gt;='Tables - Part 3'!$CY$11,'Tables - Part 3'!$DA$11,((COF!GF10-COF!JY10)*(INDEX('Tables - Part 3'!$DA$6:$DA$11,MATCH(COF!KC10,'Tables - Part 3'!$CY$6:$CY$11,0))-INDEX('Tables - Part 3'!$DA$6:$DA$11,MATCH(COF!JY10,'Tables - Part 3'!$CY$6:$CY$11,0)))/(KC10-JY10)+INDEX('Tables - Part 3'!$DA$6:$DA$16,MATCH(COF!JY10,'Tables - Part 3'!$CY$6:$CY$11,0)))))))</f>
        <v>#N/A</v>
      </c>
      <c r="KL10" s="153" t="e">
        <f>IF(CB10=$TK$5,'Tables - Part 3'!$DA$6,IF(COF!CB10=COF!$TK$6,IF(COF!GG10&lt;'Tables - Part 3'!$CY$6,'Tables - Part 3'!$DA$6,IF(GG10&gt;='Tables - Part 3'!$CY$11,'Tables - Part 3'!$DA$11,((COF!GG10-COF!JZ10)*(INDEX('Tables - Part 3'!$DA$6:$DA$11,MATCH(COF!KD10,'Tables - Part 3'!$CY$6:$CY$11,0))-INDEX('Tables - Part 3'!$DA$6:$DA$11,MATCH(COF!JZ10,'Tables - Part 3'!$CY$6:$CY$11,0)))/(KD10-JZ10)+INDEX('Tables - Part 3'!$DA$6:$DA$16,MATCH(COF!JZ10,'Tables - Part 3'!$CY$6:$CY$11,0)))))))</f>
        <v>#N/A</v>
      </c>
      <c r="KM10" s="153" t="e">
        <f>IF(CC10=$TK$5,'Tables - Part 3'!$DA$6,IF(COF!CC10=COF!$TK$6,IF(COF!GH10&lt;'Tables - Part 3'!$CY$6,'Tables - Part 3'!$DA$6,IF(GH10&gt;='Tables - Part 3'!$CY$11,'Tables - Part 3'!$DA$11,((COF!GH10-COF!KA10)*(INDEX('Tables - Part 3'!$DA$6:$DA$11,MATCH(COF!KE10,'Tables - Part 3'!$CY$6:$CY$11,0))-INDEX('Tables - Part 3'!$DA$6:$DA$11,MATCH(COF!KA10,'Tables - Part 3'!$CY$6:$CY$11,0)))/(KE10-KA10)+INDEX('Tables - Part 3'!$DA$6:$DA$16,MATCH(COF!KA10,'Tables - Part 3'!$CY$6:$CY$11,0)))))))</f>
        <v>#N/A</v>
      </c>
      <c r="KN10" s="153" t="e">
        <f>IF(CD10=$TK$5,'Tables - Part 3'!$DA$6,IF(COF!CD10=COF!$TK$6,IF(COF!GI10&lt;'Tables - Part 3'!$CY$6,'Tables - Part 3'!$DA$6,IF(GI10&gt;='Tables - Part 3'!$CY$11,'Tables - Part 3'!$DA$11,((COF!GI10-COF!KB10)*(INDEX('Tables - Part 3'!$DA$6:$DA$11,MATCH(COF!KF10,'Tables - Part 3'!$CY$6:$CY$11,0))-INDEX('Tables - Part 3'!$DA$6:$DA$11,MATCH(COF!KB10,'Tables - Part 3'!$CY$6:$CY$11,0)))/(KF10-KB10)+INDEX('Tables - Part 3'!$DA$6:$DA$16,MATCH(COF!KB10,'Tables - Part 3'!$CY$6:$CY$11,0)))))))</f>
        <v>#N/A</v>
      </c>
      <c r="KO10" s="153">
        <f t="shared" si="102"/>
        <v>0</v>
      </c>
      <c r="KP10" s="153">
        <f t="shared" si="103"/>
        <v>0</v>
      </c>
      <c r="KQ10" s="153">
        <f t="shared" si="104"/>
        <v>0</v>
      </c>
      <c r="KR10" s="153">
        <f t="shared" si="105"/>
        <v>0</v>
      </c>
      <c r="KS10" s="151" t="e">
        <f t="shared" si="208"/>
        <v>#N/A</v>
      </c>
      <c r="KT10" s="151" t="e">
        <f t="shared" si="209"/>
        <v>#N/A</v>
      </c>
      <c r="KU10" s="151" t="e">
        <f t="shared" si="210"/>
        <v>#N/A</v>
      </c>
      <c r="KV10" s="151" t="e">
        <f t="shared" si="211"/>
        <v>#N/A</v>
      </c>
      <c r="KW10" s="151" t="e">
        <f>IF(CA10=$TK$5,'Tables - Part 3'!$CZ$12,IF(COF!CA10=COF!$TK$6,IF(COF!GF10&lt;'Tables - Part 3'!$CY$12,'Tables - Part 3'!$CZ$12,IF(GF10&gt;='Tables - Part 3'!$CY$17,'Tables - Part 3'!$CZ$17,((COF!GF10-COF!JY10)*(INDEX('Tables - Part 3'!$CZ$12:$CZ$17,MATCH(COF!KC10,'Tables - Part 3'!$CY$12:$CY$17,0))-INDEX('Tables - Part 3'!$CZ$12:$CZ$17,MATCH(COF!JY10,'Tables - Part 3'!$CY$12:$CY$17,0)))/(KC10-JY10)+INDEX('Tables - Part 3'!$CZ$12:$CZ$17,MATCH(COF!JY10,'Tables - Part 3'!$CY$12:$CY$17,0)))))))</f>
        <v>#N/A</v>
      </c>
      <c r="KX10" s="151" t="e">
        <f>IF(CB10=$TK$5,'Tables - Part 3'!$CZ$12,IF(COF!CB10=COF!$TK$6,IF(COF!GG10&lt;'Tables - Part 3'!$CY$12,'Tables - Part 3'!$CZ$12,IF(GG10&gt;='Tables - Part 3'!$CY$17,'Tables - Part 3'!$CZ$17,((COF!GG10-COF!JZ10)*(INDEX('Tables - Part 3'!$CZ$12:$CZ$17,MATCH(COF!KD10,'Tables - Part 3'!$CY$12:$CY$17,0))-INDEX('Tables - Part 3'!$CZ$12:$CZ$17,MATCH(COF!JZ10,'Tables - Part 3'!$CY$12:$CY$17,0)))/(KD10-JZ10)+INDEX('Tables - Part 3'!$CZ$12:$CZ$17,MATCH(COF!JZ10,'Tables - Part 3'!$CY$12:$CY$17,0)))))))</f>
        <v>#N/A</v>
      </c>
      <c r="KY10" s="151" t="e">
        <f>IF(CC10=$TK$5,'Tables - Part 3'!$CZ$12,IF(COF!CC10=COF!$TK$6,IF(COF!GH10&lt;'Tables - Part 3'!$CY$12,'Tables - Part 3'!$CZ$12,IF(GH10&gt;='Tables - Part 3'!$CY$17,'Tables - Part 3'!$CZ$17,((COF!GH10-COF!KA10)*(INDEX('Tables - Part 3'!$CZ$12:$CZ$17,MATCH(COF!KE10,'Tables - Part 3'!$CY$12:$CY$17,0))-INDEX('Tables - Part 3'!$CZ$12:$CZ$17,MATCH(COF!KA10,'Tables - Part 3'!$CY$12:$CY$17,0)))/(KE10-KA10)+INDEX('Tables - Part 3'!$CZ$12:$CZ$17,MATCH(COF!KA10,'Tables - Part 3'!$CY$12:$CY$17,0)))))))</f>
        <v>#N/A</v>
      </c>
      <c r="KZ10" s="151" t="e">
        <f>IF(CD10=$TK$5,'Tables - Part 3'!$CZ$12,IF(COF!CD10=COF!$TK$6,IF(COF!GI10&lt;'Tables - Part 3'!$CY$12,'Tables - Part 3'!$CZ$12,IF(GI10&gt;='Tables - Part 3'!$CY$17,'Tables - Part 3'!$CZ$17,((COF!GI10-COF!KB10)*(INDEX('Tables - Part 3'!$CZ$12:$CZ$17,MATCH(COF!KF10,'Tables - Part 3'!$CY$12:$CY$17,0))-INDEX('Tables - Part 3'!$CZ$12:$CZ$17,MATCH(COF!KB10,'Tables - Part 3'!$CY$12:$CY$17,0)))/(KF10-KB10)+INDEX('Tables - Part 3'!$CZ$12:$CZ$17,MATCH(COF!KB10,'Tables - Part 3'!$CY$12:$CY$17,0)))))))</f>
        <v>#N/A</v>
      </c>
      <c r="LA10" s="151" t="e">
        <f>IF(CA10=$TK$5,'Tables - Part 3'!$DA$6,IF(COF!CA10=COF!$TK$6,IF(COF!GF10&lt;'Tables - Part 3'!$CY$6,'Tables - Part 3'!$DA$6,IF(GF10&gt;='Tables - Part 3'!$CY$11,'Tables - Part 3'!$DA$11,((COF!GF10-COF!JY10)*(INDEX('Tables - Part 3'!$DA$6:$DA$11,MATCH(COF!KC10,'Tables - Part 3'!$CY$6:$CY$11,0))-INDEX('Tables - Part 3'!$DA$6:$DA$11,MATCH(COF!JY10,'Tables - Part 3'!$CY$6:$CY$11,0)))/(KC10-JY10)+INDEX('Tables - Part 3'!$DA$5:$DA$16,MATCH(COF!JY10,'Tables - Part 3'!$CY$6:$CY$11,0)))))))</f>
        <v>#N/A</v>
      </c>
      <c r="LB10" s="151" t="e">
        <f>IF(CB10=$TK$5,'Tables - Part 3'!$DA$6,IF(COF!CB10=COF!$TK$6,IF(COF!GG10&lt;'Tables - Part 3'!$CY$6,'Tables - Part 3'!$DA$6,IF(GG10&gt;='Tables - Part 3'!$CY$11,'Tables - Part 3'!$DA$11,((COF!GG10-COF!JZ10)*(INDEX('Tables - Part 3'!$DA$6:$DA$11,MATCH(COF!KD10,'Tables - Part 3'!$CY$6:$CY$11,0))-INDEX('Tables - Part 3'!$DA$6:$DA$11,MATCH(COF!JZ10,'Tables - Part 3'!$CY$6:$CY$11,0)))/(KD10-JZ10)+INDEX('Tables - Part 3'!$DA$5:$DA$16,MATCH(COF!JZ10,'Tables - Part 3'!$CY$6:$CY$11,0)))))))</f>
        <v>#N/A</v>
      </c>
      <c r="LC10" s="151" t="e">
        <f>IF(CC10=$TK$5,'Tables - Part 3'!$DA$6,IF(COF!CC10=COF!$TK$6,IF(COF!GH10&lt;'Tables - Part 3'!$CY$6,'Tables - Part 3'!$DA$6,IF(GH10&gt;='Tables - Part 3'!$CY$11,'Tables - Part 3'!$DA$11,((COF!GH10-COF!KA10)*(INDEX('Tables - Part 3'!$DA$6:$DA$11,MATCH(COF!KE10,'Tables - Part 3'!$CY$6:$CY$11,0))-INDEX('Tables - Part 3'!$DA$6:$DA$11,MATCH(COF!KA10,'Tables - Part 3'!$CY$6:$CY$11,0)))/(KE10-KA10)+INDEX('Tables - Part 3'!$DA$5:$DA$16,MATCH(COF!KA10,'Tables - Part 3'!$CY$6:$CY$11,0)))))))</f>
        <v>#N/A</v>
      </c>
      <c r="LD10" s="151" t="e">
        <f>IF(CD10=$TK$5,'Tables - Part 3'!$DA$6,IF(COF!CD10=COF!$TK$6,IF(COF!GI10&lt;'Tables - Part 3'!$CY$6,'Tables - Part 3'!$DA$6,IF(GI10&gt;='Tables - Part 3'!$CY$11,'Tables - Part 3'!$DA$11,((COF!GI10-COF!KB10)*(INDEX('Tables - Part 3'!$DA$6:$DA$11,MATCH(COF!KF10,'Tables - Part 3'!$CY$6:$CY$11,0))-INDEX('Tables - Part 3'!$DA$6:$DA$11,MATCH(COF!KB10,'Tables - Part 3'!$CY$6:$CY$11,0)))/(KF10-KB10)+INDEX('Tables - Part 3'!$DA$5:$DA$16,MATCH(COF!KB10,'Tables - Part 3'!$CY$6:$CY$11,0)))))))</f>
        <v>#N/A</v>
      </c>
      <c r="LE10" s="154"/>
      <c r="LF10" s="154"/>
      <c r="LG10" s="154"/>
      <c r="LH10" s="154"/>
      <c r="LI10" s="154"/>
      <c r="LJ10" s="154"/>
      <c r="LK10" s="154"/>
      <c r="LL10" s="151" t="e">
        <f t="shared" si="212"/>
        <v>#N/A</v>
      </c>
      <c r="LM10" s="151" t="e">
        <f t="shared" si="213"/>
        <v>#N/A</v>
      </c>
      <c r="LN10" s="151" t="e">
        <f t="shared" si="214"/>
        <v>#N/A</v>
      </c>
      <c r="LO10" s="151" t="e">
        <f t="shared" si="215"/>
        <v>#N/A</v>
      </c>
      <c r="LP10" s="151">
        <f t="shared" si="106"/>
        <v>0</v>
      </c>
      <c r="LQ10" s="502">
        <f>IF($F10='Tables - Part 3'!$B$17,'Tables - Part 3.B'!$C$11*COF!CJ10,0)</f>
        <v>0</v>
      </c>
      <c r="LR10" s="502">
        <f>IF($F10='Tables - Part 3'!$B$17,'Tables - Part 3.B'!$C$11*COF!CK10,0)</f>
        <v>0</v>
      </c>
      <c r="LS10" s="502">
        <f>IF($F10='Tables - Part 3'!$B$17,'Tables - Part 3.B'!$C$11*COF!CL10,0)</f>
        <v>0</v>
      </c>
      <c r="LT10" s="502">
        <f>IF($F10='Tables - Part 3'!$B$17,'Tables - Part 3.B'!$C$11*COF!CM10,0)</f>
        <v>0</v>
      </c>
      <c r="LU10" s="502">
        <f>IF($F10='Tables - Part 3'!$B$17,'Tables - Part 3.B'!$C$12*POWER(COF!CR10,0.6384),0)</f>
        <v>0</v>
      </c>
      <c r="LV10" s="502">
        <f>IF($F10='Tables - Part 3'!$B$17,'Tables - Part 3.B'!$C$12*POWER(COF!CS10,0.6384),0)</f>
        <v>0</v>
      </c>
      <c r="LW10" s="502">
        <f>IF($F10='Tables - Part 3'!$B$17,'Tables - Part 3.B'!$C$12*POWER(COF!CT10,0.6384),0)</f>
        <v>0</v>
      </c>
      <c r="LX10" s="502">
        <f>IF($F10='Tables - Part 3'!$B$17,'Tables - Part 3.B'!$C$12*POWER(COF!CU10,0.6384),0)</f>
        <v>0</v>
      </c>
      <c r="LY10" s="151" t="e">
        <f>MIN(CJ10/'Tables - Part 3.B'!$C$8,1)</f>
        <v>#N/A</v>
      </c>
      <c r="LZ10" s="151" t="e">
        <f>MIN(CK10/'Tables - Part 3.B'!$C$8,1)</f>
        <v>#N/A</v>
      </c>
      <c r="MA10" s="151" t="e">
        <f>MIN(CL10/'Tables - Part 3.B'!$C$8,1)</f>
        <v>#N/A</v>
      </c>
      <c r="MB10" s="151" t="e">
        <f>MIN(CM10/'Tables - Part 3.B'!$C$8,1)</f>
        <v>#N/A</v>
      </c>
      <c r="MC10" s="151" t="e">
        <f t="shared" si="216"/>
        <v>#N/A</v>
      </c>
      <c r="MD10" s="151" t="e">
        <f t="shared" si="107"/>
        <v>#N/A</v>
      </c>
      <c r="ME10" s="151" t="e">
        <f t="shared" si="107"/>
        <v>#N/A</v>
      </c>
      <c r="MF10" s="151" t="e">
        <f t="shared" si="107"/>
        <v>#N/A</v>
      </c>
      <c r="MG10" s="502">
        <f>IF($F10='Tables - Part 3'!$B$18,0.2*'Tables - Part 3.B'!$C$10*$ML10*POWER('Tables - Part 3.B'!$C$7*CJ10,$MM10),0)</f>
        <v>0</v>
      </c>
      <c r="MH10" s="502">
        <f>IF($F10='Tables - Part 3'!$B$18,0.2*'Tables - Part 3.B'!$C$10*$ML10*POWER('Tables - Part 3.B'!$C$7*CK10,$MM10),0)</f>
        <v>0</v>
      </c>
      <c r="MI10" s="502">
        <f>IF($F10='Tables - Part 3'!$B$18,0.2*'Tables - Part 3.B'!$C$10*$ML10*POWER('Tables - Part 3.B'!$C$7*CL10,$MM10),0)</f>
        <v>0</v>
      </c>
      <c r="MJ10" s="502">
        <f>IF($F10='Tables - Part 3'!$B$18,0.2*'Tables - Part 3.B'!$C$10*$ML10*POWER('Tables - Part 3.B'!$C$7*CM10,$MM10),0)</f>
        <v>0</v>
      </c>
      <c r="MK10" s="151">
        <v>0</v>
      </c>
      <c r="ML10" s="151" t="e">
        <f>2696-21.9*'Tables - Part 3.B'!$C$13*(COF!OO10-COF!$TM$5)+1.474*POWER('Tables - Part 3.B'!$C$13*(COF!OO10-COF!$TM$5),2)</f>
        <v>#VALUE!</v>
      </c>
      <c r="MM10" s="151" t="e">
        <f>0.31-0.00032*POWER('Tables - Part 3.B'!$C$13*(COF!OO10-COF!$TM$5)-40,2)</f>
        <v>#VALUE!</v>
      </c>
      <c r="MN10" s="151">
        <v>0</v>
      </c>
      <c r="MO10" s="151">
        <f t="shared" si="217"/>
        <v>0</v>
      </c>
      <c r="MP10" s="151">
        <f t="shared" si="108"/>
        <v>0</v>
      </c>
      <c r="MQ10" s="151">
        <f t="shared" si="108"/>
        <v>0</v>
      </c>
      <c r="MR10" s="151">
        <f t="shared" si="108"/>
        <v>0</v>
      </c>
      <c r="MS10" s="151" t="e">
        <f t="shared" si="218"/>
        <v>#N/A</v>
      </c>
      <c r="MT10" s="151" t="e">
        <f t="shared" si="219"/>
        <v>#N/A</v>
      </c>
      <c r="MU10" s="151" t="e">
        <f t="shared" si="220"/>
        <v>#N/A</v>
      </c>
      <c r="MV10" s="151" t="e">
        <f t="shared" si="221"/>
        <v>#N/A</v>
      </c>
      <c r="MW10" s="151">
        <f t="shared" si="222"/>
        <v>0</v>
      </c>
      <c r="MX10" s="151">
        <f t="shared" si="223"/>
        <v>0</v>
      </c>
      <c r="MY10" s="151">
        <f t="shared" si="224"/>
        <v>0</v>
      </c>
      <c r="MZ10" s="526">
        <f t="shared" si="109"/>
        <v>0</v>
      </c>
      <c r="NA10" s="151" t="e">
        <f>INDEX('Tables - Part 3'!DQ$5:DQ$32,MATCH($E10,'Tables - Part 3'!$DP$5:$DP$32,0))</f>
        <v>#N/A</v>
      </c>
      <c r="NB10" s="151" t="e">
        <f>INDEX('Tables - Part 3'!DR$5:DR$32,MATCH($E10,'Tables - Part 3'!$DP$5:$DP$32,0))</f>
        <v>#N/A</v>
      </c>
      <c r="NC10" s="151" t="e">
        <f>INDEX('Tables - Part 3'!DS$5:DS$32,MATCH($E10,'Tables - Part 3'!$DP$5:$DP$32,0))</f>
        <v>#N/A</v>
      </c>
      <c r="ND10" s="151" t="e">
        <f>INDEX('Tables - Part 3'!DT$5:DT$32,MATCH($E10,'Tables - Part 3'!$DP$5:$DP$32,0))</f>
        <v>#N/A</v>
      </c>
      <c r="NE10" s="151" t="e">
        <f>IF(W10='Tables - Part 3'!$DV$44,COF!X10,IF(OR(COF!X10&lt;&gt;0,COF!X10&lt;&gt;""),COF!X10,INDEX('Tables - Part 3'!$DW$4:$DW$43,MATCH(COF!W10,'Tables - Part 3'!$DV$4:$DV$43,0))))</f>
        <v>#N/A</v>
      </c>
      <c r="NF10" s="151">
        <f t="shared" si="110"/>
        <v>1</v>
      </c>
      <c r="NG10" s="151" t="e">
        <f t="shared" si="225"/>
        <v>#N/A</v>
      </c>
      <c r="NH10" s="151">
        <f t="shared" si="111"/>
        <v>0</v>
      </c>
      <c r="NI10" s="151" t="e">
        <f>INDEX('Tables - Part 3'!EC$5:EC$31,MATCH(COF!$E10,'Tables - Part 3'!$EB$5:$EB$31,0))</f>
        <v>#N/A</v>
      </c>
      <c r="NJ10" s="151" t="e">
        <f>INDEX('Tables - Part 3'!ED$5:ED$31,MATCH(COF!$E10,'Tables - Part 3'!$EB$5:$EB$31,0))</f>
        <v>#N/A</v>
      </c>
      <c r="NK10" s="151" t="e">
        <f>INDEX('Tables - Part 3'!EE$5:EE$31,MATCH(COF!$E10,'Tables - Part 3'!$EB$5:$EB$31,0))</f>
        <v>#N/A</v>
      </c>
      <c r="NL10" s="151" t="e">
        <f>INDEX('Tables - Part 3'!EF$5:EF$31,MATCH(COF!$E10,'Tables - Part 3'!$EB$5:$EB$31,0))</f>
        <v>#N/A</v>
      </c>
      <c r="NM10" s="151">
        <f t="shared" si="112"/>
        <v>1</v>
      </c>
      <c r="NN10" s="151" t="e">
        <f t="shared" si="226"/>
        <v>#N/A</v>
      </c>
      <c r="NO10" s="151" t="e">
        <f t="shared" si="227"/>
        <v>#NUM!</v>
      </c>
      <c r="NP10" s="151" t="e">
        <f t="shared" si="113"/>
        <v>#N/A</v>
      </c>
      <c r="NQ10" s="151">
        <f t="shared" si="114"/>
        <v>0</v>
      </c>
      <c r="NR10" s="151" t="e">
        <f>INDEX('Tables - Part 3'!$EL$4:$EL$37,MATCH(COF!F10,'Tables - Part 3'!$EH$4:$EH$37,0))</f>
        <v>#N/A</v>
      </c>
      <c r="NS10" s="151" t="e">
        <f>CR10*(1-$NR10)*'Tables - Part 3.B'!$C$15/COF!$AS10</f>
        <v>#N/A</v>
      </c>
      <c r="NT10" s="151" t="e">
        <f>CS10*(1-$NR10)*'Tables - Part 3.B'!$C$15/COF!$AS10</f>
        <v>#N/A</v>
      </c>
      <c r="NU10" s="151" t="e">
        <f>CT10*(1-$NR10)*'Tables - Part 3.B'!$C$15/COF!$AS10</f>
        <v>#N/A</v>
      </c>
      <c r="NV10" s="151" t="e">
        <f>CU10*(1-$NR10)*'Tables - Part 3.B'!$C$15/COF!$AS10</f>
        <v>#N/A</v>
      </c>
      <c r="NW10" s="151" t="e">
        <f t="shared" si="115"/>
        <v>#N/A</v>
      </c>
      <c r="NX10" s="542">
        <f t="shared" si="116"/>
        <v>0</v>
      </c>
      <c r="NY10" s="156" t="e">
        <f>0.61*$ON10*$AS10*(BM10/'Tables - Part 3.B'!$C$4)*SQRT((2*$TM$13*($OO10-$TM$5)/$AS10))</f>
        <v>#N/A</v>
      </c>
      <c r="NZ10" s="155" t="e">
        <f>0.61*$ON10*$AS10*(BN10/'Tables - Part 3.B'!$C$4)*SQRT((2*$TM$13*($OO10-$TM$5)/$AS10))</f>
        <v>#N/A</v>
      </c>
      <c r="OA10" s="155" t="e">
        <f>0.61*$ON10*$AS10*(BO10/'Tables - Part 3.B'!$C$4)*SQRT((2*$TM$13*($OO10-$TM$5)/$AS10))</f>
        <v>#N/A</v>
      </c>
      <c r="OB10" s="155" t="e">
        <f>0.61*$ON10*$AS10*(BP10/'Tables - Part 3.B'!$C$4)*SQRT((2*$TM$13*($OO10-$TM$5)/$AS10))</f>
        <v>#N/A</v>
      </c>
      <c r="OC10" s="155" t="e">
        <f>0.61*$ON10*AS10*(32450/'Tables - Part 3.B'!$C$4)*SQRT((2*$TM$13*(OO10-$TM$5)/AS10))</f>
        <v>#N/A</v>
      </c>
      <c r="OD10" s="156" t="e">
        <f>(0.9/'Tables - Part 3.B'!$C$5)*BM10*$OO10*SQRT(($AV10*$AU10*$TM$13/(8.314*$OP10))*POWER(2/($AV10+1),(($AV10+1)/($AV10-1))))</f>
        <v>#VALUE!</v>
      </c>
      <c r="OE10" s="156" t="e">
        <f>(0.9/'Tables - Part 3.B'!$C$5)*BN10*$OO10*SQRT(($AV10*$AU10*$TM$13/(8.314*$OP10))*POWER(2/($AV10+1),(($AV10+1)/($AV10-1))))</f>
        <v>#VALUE!</v>
      </c>
      <c r="OF10" s="156" t="e">
        <f>(0.9/'Tables - Part 3.B'!$C$5)*BO10*$OO10*SQRT(($AV10*$AU10*$TM$13/(8.314*$OP10))*POWER(2/($AV10+1),(($AV10+1)/($AV10-1))))</f>
        <v>#VALUE!</v>
      </c>
      <c r="OG10" s="156" t="e">
        <f>(0.9/'Tables - Part 3.B'!$C$5)*BP10*$OO10*SQRT(($AV10*$AU10*$TM$13/(8.314*$OP10))*POWER(2/($AV10+1),(($AV10+1)/($AV10-1))))</f>
        <v>#VALUE!</v>
      </c>
      <c r="OH10" s="156" t="e">
        <f>(0.9/'Tables - Part 3.B'!$C$5)*32450*$OO10*SQRT(($AV10*$AU10*$TM$13/(8.314*$OP10))*POWER(2/($AV10+1),(($AV10+1)/($AV10-1))))</f>
        <v>#VALUE!</v>
      </c>
      <c r="OI10" s="156" t="e">
        <f>(0.9/'Tables - Part 3.B'!$C$5)*BM10*$OO10*SQRT((($AU10*$TM$13)/(8.314*$OP10))*((2*$AV10)/($AV10-1))*POWER(($TM$5/$OO10),(2/$AV10))*(1-POWER(($TM$5/$OO10),(($AV10-1)/$AV10))))</f>
        <v>#VALUE!</v>
      </c>
      <c r="OJ10" s="156" t="e">
        <f>(0.9/'Tables - Part 3.B'!$C$5)*BN10*$OO10*SQRT((($AU10*$TM$13)/(8.314*$OP10))*((2*$AV10)/($AV10-1))*POWER(($TM$5/$OO10),(2/$AV10))*(1-POWER(($TM$5/$OO10),(($AV10-1)/$AV10))))</f>
        <v>#VALUE!</v>
      </c>
      <c r="OK10" s="156" t="e">
        <f>(0.9/'Tables - Part 3.B'!$C$5)*BO10*$OO10*SQRT((($AU10*$TM$13)/(8.314*$OP10))*((2*$AV10)/($AV10-1))*POWER(($TM$5/$OO10),(2/$AV10))*(1-POWER(($TM$5/$OO10),(($AV10-1)/$AV10))))</f>
        <v>#VALUE!</v>
      </c>
      <c r="OL10" s="156" t="e">
        <f>(0.9/'Tables - Part 3.B'!$C$5)*BP10*$OO10*SQRT((($AU10*$TM$13)/(8.314*$OP10))*((2*$AV10)/($AV10-1))*POWER(($TM$5/$OO10),(2/$AV10))*(1-POWER(($TM$5/$OO10),(($AV10-1)/$AV10))))</f>
        <v>#VALUE!</v>
      </c>
      <c r="OM10" s="156" t="e">
        <f>(0.9/'Tables - Part 3.B'!$C$5)*32450*$OO10*SQRT((($AU10*$TM$13)/(8.314*$OP10))*((2*$AV10)/($AV10-1))*POWER(($TM$5/$OO10),(2/$AV10))*(1-POWER(($TM$5/$OO10),(($AV10-1)/$AV10))))</f>
        <v>#VALUE!</v>
      </c>
      <c r="ON10" s="156">
        <f t="shared" si="117"/>
        <v>1</v>
      </c>
      <c r="OO10" s="157" t="str">
        <f t="shared" si="118"/>
        <v/>
      </c>
      <c r="OP10" s="157" t="str">
        <f t="shared" si="119"/>
        <v/>
      </c>
      <c r="OQ10" s="158" t="e">
        <f t="shared" si="228"/>
        <v>#N/A</v>
      </c>
      <c r="OR10" s="158" t="e">
        <f>INDEX('Tables - Part 3'!$F$4:$R$35,MATCH(COF!$F10,'Tables - Part 3'!$F$4:$F$35,0),COUNTA('Tables - Part 3'!$F$3:$K$3))</f>
        <v>#N/A</v>
      </c>
      <c r="OS10" s="158" t="e">
        <f t="shared" si="229"/>
        <v>#N/A</v>
      </c>
      <c r="OT10" s="158" t="e">
        <f t="shared" si="230"/>
        <v>#N/A</v>
      </c>
      <c r="OU10" s="158" t="e">
        <f t="shared" si="231"/>
        <v>#N/A</v>
      </c>
      <c r="OV10" s="159" t="e">
        <f>INDEX('Tables - Part 3'!$M$4:$Q$35,MATCH(COF!$F10,'Tables - Part 3'!$F$4:$F$35,0),COUNTA('Tables - Part 3'!$M$3))</f>
        <v>#N/A</v>
      </c>
      <c r="OW10" s="159" t="e">
        <f>INDEX('Tables - Part 3'!$M$4:$Q$35,MATCH(COF!$F10,'Tables - Part 3'!$F$4:$F$35,0),COUNTA('Tables - Part 3'!$M$3:$N$3))</f>
        <v>#N/A</v>
      </c>
      <c r="OX10" s="159" t="e">
        <f>INDEX('Tables - Part 3'!$M$4:$Q$35,MATCH(COF!$F10,'Tables - Part 3'!$F$4:$F$35,0),COUNTA('Tables - Part 3'!$M$3:$O$3))</f>
        <v>#N/A</v>
      </c>
      <c r="OY10" s="159" t="e">
        <f>INDEX('Tables - Part 3'!$M$4:$Q$35,MATCH(COF!$F10,'Tables - Part 3'!$F$4:$F$35,0),COUNTA('Tables - Part 3'!$M$3:$P$3))</f>
        <v>#N/A</v>
      </c>
      <c r="OZ10" s="160" t="e">
        <f>INDEX('Tables - Part 3'!$M$4:$Q$35,MATCH(COF!$F10,'Tables - Part 3'!$F$4:$F$35,0),COUNTA('Tables - Part 3'!$M$3:$Q$3))</f>
        <v>#N/A</v>
      </c>
      <c r="PA10" s="162" t="e">
        <f>INDEX('Tables - Part 3'!$I$4:$I$35,MATCH(COF!$F10,'Tables - Part 3'!$F$4:$F$35,0))</f>
        <v>#N/A</v>
      </c>
      <c r="PB10" s="158" t="e">
        <f t="shared" si="120"/>
        <v>#N/A</v>
      </c>
      <c r="PC10" s="158" t="str">
        <f t="shared" si="121"/>
        <v/>
      </c>
      <c r="PD10" s="158" t="e">
        <f>INDEX('Tables - Part 3'!AW$7:AW$31,MATCH(COF!$F10,'Tables - Part 3'!$AU$7:$AU$31,0),1)</f>
        <v>#N/A</v>
      </c>
      <c r="PE10" s="158" t="e">
        <f>INDEX('Tables - Part 3'!AX$7:AX$31,MATCH(COF!$F10,'Tables - Part 3'!$AU$7:$AU$31,0),1)</f>
        <v>#N/A</v>
      </c>
      <c r="PF10" s="158" t="e">
        <f>INDEX('Tables - Part 3'!AY$7:AY$31,MATCH(COF!$F10,'Tables - Part 3'!$AU$7:$AU$31,0),1)</f>
        <v>#N/A</v>
      </c>
      <c r="PG10" s="158" t="e">
        <f>INDEX('Tables - Part 3'!AZ$7:AZ$31,MATCH(COF!$F10,'Tables - Part 3'!$AU$7:$AU$31,0),1)</f>
        <v>#N/A</v>
      </c>
      <c r="PH10" s="158" t="e">
        <f>INDEX('Tables - Part 3'!BA$7:BA$31,MATCH(COF!$F10,'Tables - Part 3'!$AU$7:$AU$31,0),1)</f>
        <v>#N/A</v>
      </c>
      <c r="PI10" s="158" t="e">
        <f>INDEX('Tables - Part 3'!BB$7:BB$31,MATCH(COF!$F10,'Tables - Part 3'!$AU$7:$AU$31,0),1)</f>
        <v>#N/A</v>
      </c>
      <c r="PJ10" s="158" t="e">
        <f>INDEX('Tables - Part 3'!BC$7:BC$31,MATCH(COF!$F10,'Tables - Part 3'!$AU$7:$AU$31,0),1)</f>
        <v>#N/A</v>
      </c>
      <c r="PK10" s="158" t="e">
        <f>INDEX('Tables - Part 3'!BD$7:BD$31,MATCH(COF!$F10,'Tables - Part 3'!$AU$7:$AU$31,0),1)</f>
        <v>#N/A</v>
      </c>
      <c r="PL10" s="158" t="e">
        <f>INDEX('Tables - Part 3'!BE$7:BE$31,MATCH(COF!$F10,'Tables - Part 3'!$AU$7:$AU$31,0),1)</f>
        <v>#N/A</v>
      </c>
      <c r="PM10" s="158" t="e">
        <f>INDEX('Tables - Part 3'!BF$7:BF$31,MATCH(COF!$F10,'Tables - Part 3'!$AU$7:$AU$31,0),1)</f>
        <v>#N/A</v>
      </c>
      <c r="PN10" s="158" t="e">
        <f>INDEX('Tables - Part 3'!BG$7:BG$31,MATCH(COF!$F10,'Tables - Part 3'!$AU$7:$AU$31,0),1)</f>
        <v>#N/A</v>
      </c>
      <c r="PO10" s="158" t="e">
        <f>INDEX('Tables - Part 3'!BH$7:BH$31,MATCH(COF!$F10,'Tables - Part 3'!$AU$7:$AU$31,0),1)</f>
        <v>#N/A</v>
      </c>
      <c r="PP10" s="158" t="e">
        <f>INDEX('Tables - Part 3'!BI$7:BI$31,MATCH(COF!$F10,'Tables - Part 3'!$AU$7:$AU$31,0),1)</f>
        <v>#N/A</v>
      </c>
      <c r="PQ10" s="158" t="e">
        <f>INDEX('Tables - Part 3'!BJ$7:BJ$31,MATCH(COF!$F10,'Tables - Part 3'!$AU$7:$AU$31,0),1)</f>
        <v>#N/A</v>
      </c>
      <c r="PR10" s="158" t="e">
        <f>INDEX('Tables - Part 3'!BK$7:BK$31,MATCH(COF!$F10,'Tables - Part 3'!$AU$7:$AU$31,0),1)</f>
        <v>#N/A</v>
      </c>
      <c r="PS10" s="158" t="e">
        <f>INDEX('Tables - Part 3'!BL$7:BL$31,MATCH(COF!$F10,'Tables - Part 3'!$AU$7:$AU$31,0),1)</f>
        <v>#N/A</v>
      </c>
      <c r="PT10" s="158" t="e">
        <f>INDEX('Tables - Part 3'!BP$7:BP$31,MATCH(COF!$F10,'Tables - Part 3'!$AU$7:$AU$31,0),1)</f>
        <v>#N/A</v>
      </c>
      <c r="PU10" s="158" t="e">
        <f>INDEX('Tables - Part 3'!BQ$7:BQ$31,MATCH(COF!$F10,'Tables - Part 3'!$AU$7:$AU$31,0),1)</f>
        <v>#N/A</v>
      </c>
      <c r="PV10" s="158" t="e">
        <f>INDEX('Tables - Part 3'!BR$7:BR$31,MATCH(COF!$F10,'Tables - Part 3'!$AU$7:$AU$31,0),1)</f>
        <v>#N/A</v>
      </c>
      <c r="PW10" s="158" t="e">
        <f>INDEX('Tables - Part 3'!BS$7:BS$31,MATCH(COF!$F10,'Tables - Part 3'!$AU$7:$AU$31,0),1)</f>
        <v>#N/A</v>
      </c>
      <c r="PX10" s="158" t="e">
        <f>INDEX('Tables - Part 3'!BT$7:BT$31,MATCH(COF!$F10,'Tables - Part 3'!$AU$7:$AU$31,0),1)</f>
        <v>#N/A</v>
      </c>
      <c r="PY10" s="158" t="e">
        <f>INDEX('Tables - Part 3'!BU$7:BU$31,MATCH(COF!$F10,'Tables - Part 3'!$AU$7:$AU$31,0),1)</f>
        <v>#N/A</v>
      </c>
      <c r="PZ10" s="158" t="e">
        <f>INDEX('Tables - Part 3'!BV$7:BV$31,MATCH(COF!$F10,'Tables - Part 3'!$AU$7:$AU$31,0),1)</f>
        <v>#N/A</v>
      </c>
      <c r="QA10" s="158" t="e">
        <f>INDEX('Tables - Part 3'!BW$7:BW$31,MATCH(COF!$F10,'Tables - Part 3'!$AU$7:$AU$31,0),1)</f>
        <v>#N/A</v>
      </c>
      <c r="QB10" s="158" t="e">
        <f>INDEX('Tables - Part 3'!BX$7:BX$31,MATCH(COF!$F10,'Tables - Part 3'!$AU$7:$AU$31,0),1)</f>
        <v>#N/A</v>
      </c>
      <c r="QC10" s="158" t="e">
        <f>INDEX('Tables - Part 3'!BY$7:BY$31,MATCH(COF!$F10,'Tables - Part 3'!$AU$7:$AU$31,0),1)</f>
        <v>#N/A</v>
      </c>
      <c r="QD10" s="158" t="e">
        <f>INDEX('Tables - Part 3'!BZ$7:BZ$31,MATCH(COF!$F10,'Tables - Part 3'!$AU$7:$AU$31,0),1)</f>
        <v>#N/A</v>
      </c>
      <c r="QE10" s="158" t="e">
        <f>INDEX('Tables - Part 3'!CA$7:CA$31,MATCH(COF!$F10,'Tables - Part 3'!$AU$7:$AU$31,0),1)</f>
        <v>#N/A</v>
      </c>
      <c r="QF10" s="158" t="e">
        <f>INDEX('Tables - Part 3'!CB$7:CB$31,MATCH(COF!$F10,'Tables - Part 3'!$AU$7:$AU$31,0),1)</f>
        <v>#N/A</v>
      </c>
      <c r="QG10" s="158" t="e">
        <f>INDEX('Tables - Part 3'!CC$7:CC$31,MATCH(COF!$F10,'Tables - Part 3'!$AU$7:$AU$31,0),1)</f>
        <v>#N/A</v>
      </c>
      <c r="QH10" s="158" t="e">
        <f>INDEX('Tables - Part 3'!CD$7:CD$31,MATCH(COF!$F10,'Tables - Part 3'!$AU$7:$AU$31,0),1)</f>
        <v>#N/A</v>
      </c>
      <c r="QI10" s="158" t="e">
        <f>INDEX('Tables - Part 3'!CE$7:CE$31,MATCH(COF!$F10,'Tables - Part 3'!$AU$7:$AU$31,0),1)</f>
        <v>#N/A</v>
      </c>
      <c r="QJ10" s="151">
        <f>'Tables - Part 5'!$R$4</f>
        <v>3.1749999999999998</v>
      </c>
      <c r="QK10" s="151">
        <f>'Tables - Part 5'!$R$5</f>
        <v>6.35</v>
      </c>
      <c r="QL10" s="151">
        <f>'Tables - Part 5'!$R$6</f>
        <v>50.8</v>
      </c>
      <c r="QM10" s="151">
        <f t="shared" si="122"/>
        <v>0</v>
      </c>
      <c r="QN10" s="151">
        <f t="shared" si="232"/>
        <v>7.9173043608984015</v>
      </c>
      <c r="QO10" s="151">
        <f t="shared" si="233"/>
        <v>31.669217443593606</v>
      </c>
      <c r="QP10" s="151">
        <f t="shared" si="234"/>
        <v>2026.8299163899908</v>
      </c>
      <c r="QQ10" s="151">
        <f t="shared" si="235"/>
        <v>0</v>
      </c>
      <c r="QR10" s="151">
        <f t="shared" si="236"/>
        <v>0</v>
      </c>
      <c r="QS10" s="151">
        <f>'Tables - Part 3.B'!$C$34*0.61*QN10*SQRT(2*$TM$15*QR10)</f>
        <v>0</v>
      </c>
      <c r="QT10" s="151">
        <f>'Tables - Part 3.B'!$C$34*0.61*QO10*SQRT(2*$TM$15*QS10)</f>
        <v>0</v>
      </c>
      <c r="QU10" s="151">
        <f>'Tables - Part 3.B'!$C$34*0.61*QP10*SQRT(2*$TM$15*QT10)</f>
        <v>0</v>
      </c>
      <c r="QV10" s="151">
        <f>'Tables - Part 3.B'!$C$34*0.61*QQ10*SQRT(2*$TM$15*QU10)</f>
        <v>0</v>
      </c>
      <c r="QW10" s="151">
        <f t="shared" si="237"/>
        <v>0</v>
      </c>
      <c r="QX10" s="151">
        <f t="shared" si="238"/>
        <v>0</v>
      </c>
      <c r="QY10" s="151">
        <f t="shared" si="239"/>
        <v>0</v>
      </c>
      <c r="QZ10" s="151">
        <f t="shared" si="240"/>
        <v>0</v>
      </c>
      <c r="RA10" s="151">
        <f t="shared" si="241"/>
        <v>0</v>
      </c>
      <c r="RB10" s="151">
        <f>QX10*'Tables - Part 3.B'!$C$15</f>
        <v>0</v>
      </c>
      <c r="RC10" s="151">
        <f>QY10*'Tables - Part 3.B'!$C$15</f>
        <v>0</v>
      </c>
      <c r="RD10" s="151">
        <f>QZ10*'Tables - Part 3.B'!$C$15</f>
        <v>0</v>
      </c>
      <c r="RE10" s="151">
        <f>RA10*'Tables - Part 3.B'!$C$15</f>
        <v>0</v>
      </c>
      <c r="RF10" s="151" t="e">
        <f t="shared" si="242"/>
        <v>#N/A</v>
      </c>
      <c r="RG10" s="151" t="e">
        <f t="shared" si="243"/>
        <v>#N/A</v>
      </c>
      <c r="RH10" s="151" t="e">
        <f t="shared" si="244"/>
        <v>#N/A</v>
      </c>
      <c r="RI10" s="151" t="e">
        <f t="shared" si="245"/>
        <v>#N/A</v>
      </c>
      <c r="RJ10" s="151">
        <f t="shared" si="246"/>
        <v>0</v>
      </c>
      <c r="RK10" s="151">
        <f t="shared" si="247"/>
        <v>0</v>
      </c>
      <c r="RL10" s="151">
        <f t="shared" si="248"/>
        <v>0</v>
      </c>
      <c r="RM10" s="151">
        <f t="shared" si="249"/>
        <v>0</v>
      </c>
      <c r="RN10" s="151">
        <v>7</v>
      </c>
      <c r="RO10" s="151">
        <v>1</v>
      </c>
      <c r="RP10" s="151">
        <v>1</v>
      </c>
      <c r="RQ10" s="151">
        <v>1</v>
      </c>
      <c r="RR10" s="151" t="e">
        <f t="shared" si="250"/>
        <v>#DIV/0!</v>
      </c>
      <c r="RS10" s="151" t="e">
        <f t="shared" si="251"/>
        <v>#DIV/0!</v>
      </c>
      <c r="RT10" s="151" t="e">
        <f t="shared" si="252"/>
        <v>#DIV/0!</v>
      </c>
      <c r="RU10" s="151" t="e">
        <f t="shared" si="253"/>
        <v>#DIV/0!</v>
      </c>
      <c r="RV10" s="151" t="e">
        <f t="shared" si="254"/>
        <v>#DIV/0!</v>
      </c>
      <c r="RW10" s="151" t="e">
        <f t="shared" si="255"/>
        <v>#DIV/0!</v>
      </c>
      <c r="RX10" s="151" t="e">
        <f t="shared" si="256"/>
        <v>#DIV/0!</v>
      </c>
      <c r="RY10" s="151" t="e">
        <f t="shared" si="257"/>
        <v>#DIV/0!</v>
      </c>
      <c r="RZ10" s="151" t="e">
        <f t="shared" si="258"/>
        <v>#DIV/0!</v>
      </c>
      <c r="SA10" s="151" t="e">
        <f t="shared" si="259"/>
        <v>#DIV/0!</v>
      </c>
      <c r="SB10" s="151" t="e">
        <f t="shared" si="260"/>
        <v>#DIV/0!</v>
      </c>
      <c r="SC10" s="151" t="e">
        <f t="shared" si="261"/>
        <v>#DIV/0!</v>
      </c>
      <c r="SD10" s="151">
        <f t="shared" si="262"/>
        <v>0</v>
      </c>
      <c r="SE10" s="151">
        <f t="shared" si="263"/>
        <v>0</v>
      </c>
      <c r="SF10" s="151">
        <f t="shared" si="264"/>
        <v>0</v>
      </c>
      <c r="SG10" s="151">
        <f t="shared" si="265"/>
        <v>0</v>
      </c>
      <c r="SH10" s="151">
        <f t="shared" si="266"/>
        <v>0</v>
      </c>
      <c r="SI10" s="151">
        <f t="shared" si="267"/>
        <v>0</v>
      </c>
      <c r="SJ10" s="151">
        <f t="shared" si="268"/>
        <v>0</v>
      </c>
      <c r="SK10" s="151">
        <f t="shared" si="269"/>
        <v>0</v>
      </c>
      <c r="SL10" s="542"/>
      <c r="SM10" s="542"/>
      <c r="SN10" s="542"/>
      <c r="SO10" s="151"/>
      <c r="SP10" s="151"/>
      <c r="SQ10" s="151"/>
      <c r="SR10" s="151"/>
      <c r="SS10" s="151"/>
      <c r="ST10" s="151"/>
      <c r="SU10" s="151"/>
      <c r="SV10" s="151"/>
      <c r="SW10" s="151"/>
      <c r="SX10" s="151"/>
      <c r="SY10" s="151"/>
      <c r="SZ10" s="151"/>
      <c r="TA10" s="151"/>
      <c r="TB10" s="151"/>
      <c r="TC10" s="151"/>
      <c r="TD10" s="151"/>
      <c r="TE10" s="542"/>
      <c r="TH10" s="158" t="s">
        <v>244</v>
      </c>
      <c r="TJ10" s="193" t="s">
        <v>127</v>
      </c>
      <c r="TK10" s="158"/>
      <c r="TQ10" s="155" t="s">
        <v>67</v>
      </c>
    </row>
    <row r="11" spans="2:537" x14ac:dyDescent="0.35">
      <c r="B11" s="161"/>
      <c r="C11" s="161"/>
      <c r="D11" s="161"/>
      <c r="E11" s="161"/>
      <c r="F11" s="666"/>
      <c r="G11" s="161"/>
      <c r="H11" s="537"/>
      <c r="I11" s="161"/>
      <c r="J11" s="161"/>
      <c r="K11" s="161"/>
      <c r="L11" s="161"/>
      <c r="M11" s="161"/>
      <c r="N11" s="161"/>
      <c r="O11" s="161"/>
      <c r="P11" s="161"/>
      <c r="Q11" s="161"/>
      <c r="R11" s="161"/>
      <c r="S11" s="667"/>
      <c r="T11" s="161"/>
      <c r="U11" s="161"/>
      <c r="V11" s="161"/>
      <c r="W11" s="161"/>
      <c r="X11" s="537"/>
      <c r="Y11" s="537"/>
      <c r="Z11" s="399"/>
      <c r="AA11" s="537"/>
      <c r="AB11" s="399"/>
      <c r="AC11" s="399"/>
      <c r="AD11" s="399"/>
      <c r="AE11" s="399"/>
      <c r="AF11" s="399"/>
      <c r="AG11" s="399"/>
      <c r="AH11" s="399"/>
      <c r="AI11" s="399"/>
      <c r="AJ11" s="399"/>
      <c r="AK11" s="399"/>
      <c r="AL11" s="399"/>
      <c r="AM11" s="399"/>
      <c r="AN11" s="399"/>
      <c r="AO11" s="399"/>
      <c r="AP11" s="399"/>
      <c r="AQ11" s="151" t="e">
        <f>INDEX('Tables - Part 3'!$J$4:$J$35,MATCH(COF!$F11,'Tables - Part 3'!$F$4:$F$35,0),1)</f>
        <v>#N/A</v>
      </c>
      <c r="AR11" s="151" t="e">
        <f>IF($G11=$TH$7,'Tables - Part 3'!$W$4,IF(AND($AQ11=$TH$7,COF!$PA11&lt;26.67),'Tables - Part 3'!$W$4,'Tables - Part 3'!$W$7))</f>
        <v>#N/A</v>
      </c>
      <c r="AS11" s="150" t="e">
        <f>INDEX('Tables - Part 3'!$F$4:$R$35,MATCH(COF!$F11,'Tables - Part 3'!$F$4:$F$35,0),COUNTA('Tables - Part 3'!$F$3:$H$3))</f>
        <v>#N/A</v>
      </c>
      <c r="AT11" s="279" t="e">
        <f t="shared" si="6"/>
        <v>#VALUE!</v>
      </c>
      <c r="AU11" s="151" t="e">
        <f>INDEX('Tables - Part 3'!$F$4:$R$35,MATCH(COF!$F11,'Tables - Part 3'!$F$4:$F$35,0),COUNTA('Tables - Part 3'!$F$3:$G$3))</f>
        <v>#N/A</v>
      </c>
      <c r="AV11" s="151" t="e">
        <f t="shared" si="131"/>
        <v>#N/A</v>
      </c>
      <c r="AW11" s="151" t="e">
        <f t="shared" si="7"/>
        <v>#N/A</v>
      </c>
      <c r="AX11" s="151" t="e">
        <f>INDEX('Tables - Part 3'!$F$4:$R$35,MATCH(COF!$F11,'Tables - Part 3'!$F$4:$F$35,0),COUNTA('Tables - Part 3'!$F$3:$R$3))+273.15</f>
        <v>#N/A</v>
      </c>
      <c r="AY11" s="151">
        <f t="shared" si="8"/>
        <v>0</v>
      </c>
      <c r="AZ11" s="151" t="e">
        <f t="shared" si="9"/>
        <v>#N/A</v>
      </c>
      <c r="BA11" s="151" t="e">
        <f t="shared" si="132"/>
        <v>#N/A</v>
      </c>
      <c r="BB11" s="151" t="e">
        <f t="shared" si="133"/>
        <v>#N/A</v>
      </c>
      <c r="BC11" s="151" t="e">
        <f t="shared" si="134"/>
        <v>#N/A</v>
      </c>
      <c r="BD11" s="151" t="e">
        <f t="shared" si="135"/>
        <v>#N/A</v>
      </c>
      <c r="BE11" s="151" t="e">
        <f t="shared" si="10"/>
        <v>#N/A</v>
      </c>
      <c r="BF11" s="151" t="e">
        <f t="shared" si="11"/>
        <v>#N/A</v>
      </c>
      <c r="BG11" s="151" t="e">
        <f t="shared" si="12"/>
        <v>#N/A</v>
      </c>
      <c r="BH11" s="151" t="e">
        <f t="shared" si="13"/>
        <v>#N/A</v>
      </c>
      <c r="BI11" s="151">
        <f>'Tables - Part 3'!$AD$4</f>
        <v>6.4</v>
      </c>
      <c r="BJ11" s="151">
        <f>MIN(O11,'Tables - Part 3'!$AD$5)</f>
        <v>25</v>
      </c>
      <c r="BK11" s="151">
        <f>MIN(O11,'Tables - Part 3'!$AD$6)</f>
        <v>102</v>
      </c>
      <c r="BL11" s="151">
        <f>MIN(O11,'Tables - Part 3'!$AD$7)</f>
        <v>406</v>
      </c>
      <c r="BM11" s="151">
        <f t="shared" si="136"/>
        <v>32.169908772759484</v>
      </c>
      <c r="BN11" s="151">
        <f t="shared" si="137"/>
        <v>490.87385212340519</v>
      </c>
      <c r="BO11" s="151">
        <f t="shared" si="138"/>
        <v>8171.2824919870518</v>
      </c>
      <c r="BP11" s="151">
        <f t="shared" si="139"/>
        <v>129461.89166178179</v>
      </c>
      <c r="BQ11" s="151" t="e">
        <f>INDEX('Tables - Part 2'!$D$5:$G$30,MATCH(COF!$E11,'Tables - Part 2'!$C$5:$C$30,0),1)</f>
        <v>#N/A</v>
      </c>
      <c r="BR11" s="571" t="e">
        <f>INDEX('Tables - Part 2'!$D$5:$G$30,MATCH(COF!$E11,'Tables - Part 2'!$C$5:$C$30,0),2)</f>
        <v>#N/A</v>
      </c>
      <c r="BS11" s="571" t="e">
        <f>INDEX('Tables - Part 2'!$D$5:$G$30,MATCH(COF!$E11,'Tables - Part 2'!$C$5:$C$30,0),3)</f>
        <v>#N/A</v>
      </c>
      <c r="BT11" s="151" t="e">
        <f>INDEX('Tables - Part 2'!$D$5:$G$30,MATCH(COF!$E11,'Tables - Part 2'!$C$5:$C$30,0),4)</f>
        <v>#N/A</v>
      </c>
      <c r="BU11" s="151" t="e">
        <f t="shared" si="140"/>
        <v>#N/A</v>
      </c>
      <c r="BV11" s="151" t="e">
        <f t="shared" si="141"/>
        <v>#N/A</v>
      </c>
      <c r="BW11" s="151" t="e">
        <f t="shared" si="142"/>
        <v>#N/A</v>
      </c>
      <c r="BX11" s="151" t="e">
        <f t="shared" si="143"/>
        <v>#N/A</v>
      </c>
      <c r="BY11" s="502" t="e">
        <f t="shared" si="144"/>
        <v>#N/A</v>
      </c>
      <c r="BZ11" s="502" t="e">
        <f t="shared" si="145"/>
        <v>#N/A</v>
      </c>
      <c r="CA11" s="151" t="e">
        <f>IF(OR(BI11&lt;='Tables - Part 3'!$AD$4,BE11&lt;='Tables - Part 3.B'!$C$6,BV11&lt;=25.22),COF!$TK$6,COF!$TK$5)</f>
        <v>#N/A</v>
      </c>
      <c r="CB11" s="151" t="e">
        <f>IF(OR(BJ11&lt;='Tables - Part 3'!$AD$4,BF11&lt;='Tables - Part 3.B'!$C$6,BW11&lt;=25.22),COF!$TK$6,COF!$TK$5)</f>
        <v>#N/A</v>
      </c>
      <c r="CC11" s="151" t="e">
        <f>IF(OR(BK11&lt;='Tables - Part 3'!$AD$4,BG11&lt;='Tables - Part 3.B'!$C$6,BX11&lt;=25.22),COF!$TK$6,COF!$TK$5)</f>
        <v>#N/A</v>
      </c>
      <c r="CD11" s="151" t="e">
        <f>IF(OR(BL11&lt;='Tables - Part 3'!$AD$4,BH11&lt;='Tables - Part 3.B'!$C$6,BY11&lt;=25.22),COF!$TK$6,COF!$TK$5)</f>
        <v>#N/A</v>
      </c>
      <c r="CE11" s="151" t="str">
        <f t="shared" si="146"/>
        <v/>
      </c>
      <c r="CF11" s="151" t="e">
        <f>INDEX('Tables - Part 3'!$AR$4:$AR$12,MATCH(COF!$PC11,'Tables - Part 3'!$AP$4:$AP$12,0),1)</f>
        <v>#N/A</v>
      </c>
      <c r="CG11" s="151" t="e">
        <f>INDEX('Tables - Part 3'!$AR$13:$AR$21,MATCH(COF!$PC11,'Tables - Part 3'!$AP$13:$AP$21,0),1)</f>
        <v>#N/A</v>
      </c>
      <c r="CH11" s="151" t="e">
        <f>INDEX('Tables - Part 3'!$AR$22:$AR$30,MATCH(COF!$PC11,'Tables - Part 3'!$AP$22:$AP$30,0),1)</f>
        <v>#N/A</v>
      </c>
      <c r="CI11" s="151" t="e">
        <f>INDEX('Tables - Part 3'!$AR$22:$AR$30,MATCH(COF!$PC11,'Tables - Part 3'!$AP$22:$AP$30,0),1)</f>
        <v>#N/A</v>
      </c>
      <c r="CJ11" s="151" t="e">
        <f t="shared" si="147"/>
        <v>#N/A</v>
      </c>
      <c r="CK11" s="151" t="e">
        <f t="shared" si="148"/>
        <v>#N/A</v>
      </c>
      <c r="CL11" s="151" t="e">
        <f t="shared" si="149"/>
        <v>#N/A</v>
      </c>
      <c r="CM11" s="151" t="e">
        <f t="shared" si="150"/>
        <v>#N/A</v>
      </c>
      <c r="CN11" s="151" t="e">
        <f t="shared" si="151"/>
        <v>#N/A</v>
      </c>
      <c r="CO11" s="151" t="e">
        <f t="shared" si="152"/>
        <v>#N/A</v>
      </c>
      <c r="CP11" s="151" t="e">
        <f t="shared" si="153"/>
        <v>#N/A</v>
      </c>
      <c r="CQ11" s="151" t="e">
        <f t="shared" si="154"/>
        <v>#N/A</v>
      </c>
      <c r="CR11" s="151" t="e">
        <f t="shared" si="155"/>
        <v>#N/A</v>
      </c>
      <c r="CS11" s="151" t="e">
        <f t="shared" si="156"/>
        <v>#N/A</v>
      </c>
      <c r="CT11" s="151" t="e">
        <f t="shared" si="157"/>
        <v>#N/A</v>
      </c>
      <c r="CU11" s="151" t="e">
        <f t="shared" si="158"/>
        <v>#N/A</v>
      </c>
      <c r="CV11" s="151" t="e">
        <f>INDEX('Tables - Part 3'!$CI$4:$CI$8,MATCH(COF!V11,'Tables - Part 3'!$CG$4:$CG$8,0),1)</f>
        <v>#N/A</v>
      </c>
      <c r="CW11" s="502" t="e">
        <f>IF(CR11&gt;'Tables - Part 3.B'!$C$6,4*LOG10('Tables - Part 3.B'!$C$7*CR11)-15,1)</f>
        <v>#N/A</v>
      </c>
      <c r="CX11" s="502" t="e">
        <f>IF(CS11&gt;'Tables - Part 3.B'!$C$6,4*LOG10('Tables - Part 3.B'!$C$7*CS11)-15,1)</f>
        <v>#N/A</v>
      </c>
      <c r="CY11" s="502" t="e">
        <f>IF(CT11&gt;'Tables - Part 3.B'!$C$6,4*LOG10('Tables - Part 3.B'!$C$7*CT11)-15,1)</f>
        <v>#N/A</v>
      </c>
      <c r="CZ11" s="502" t="e">
        <f>IF(CU11&gt;'Tables - Part 3.B'!$C$6,4*LOG10('Tables - Part 3.B'!$C$7*CU11)-15,1)</f>
        <v>#N/A</v>
      </c>
      <c r="DA11" s="151" t="e">
        <f>INDEX('Tables - Part 3'!$C$4:$C$37,MATCH(COF!$F11,'Tables - Part 3'!$B$4:$B$37,0),1)</f>
        <v>#N/A</v>
      </c>
      <c r="DB11" s="151" t="e">
        <f t="shared" si="159"/>
        <v>#N/A</v>
      </c>
      <c r="DC11" s="151" t="e">
        <f t="shared" si="160"/>
        <v>#N/A</v>
      </c>
      <c r="DD11" s="151" t="e">
        <f t="shared" si="161"/>
        <v>#N/A</v>
      </c>
      <c r="DE11" s="151" t="e">
        <f t="shared" si="162"/>
        <v>#N/A</v>
      </c>
      <c r="DF11" s="151" t="e">
        <f t="shared" si="163"/>
        <v>#N/A</v>
      </c>
      <c r="DG11" s="151" t="e">
        <f t="shared" si="164"/>
        <v>#N/A</v>
      </c>
      <c r="DH11" s="151" t="e">
        <f t="shared" si="165"/>
        <v>#N/A</v>
      </c>
      <c r="DI11" s="151" t="e">
        <f t="shared" si="166"/>
        <v>#N/A</v>
      </c>
      <c r="DJ11" s="151" t="e">
        <f t="shared" si="167"/>
        <v>#N/A</v>
      </c>
      <c r="DK11" s="151" t="e">
        <f t="shared" si="168"/>
        <v>#N/A</v>
      </c>
      <c r="DL11" s="151" t="e">
        <f t="shared" si="169"/>
        <v>#N/A</v>
      </c>
      <c r="DM11" s="151" t="e">
        <f t="shared" si="170"/>
        <v>#N/A</v>
      </c>
      <c r="DN11" s="151" t="e">
        <f t="shared" si="171"/>
        <v>#N/A</v>
      </c>
      <c r="DO11" s="151" t="e">
        <f t="shared" si="172"/>
        <v>#N/A</v>
      </c>
      <c r="DP11" s="151" t="e">
        <f t="shared" si="173"/>
        <v>#N/A</v>
      </c>
      <c r="DQ11" s="151" t="e">
        <f t="shared" si="174"/>
        <v>#N/A</v>
      </c>
      <c r="DR11" s="151" t="e">
        <f t="shared" si="175"/>
        <v>#N/A</v>
      </c>
      <c r="DS11" s="151" t="e">
        <f t="shared" si="176"/>
        <v>#N/A</v>
      </c>
      <c r="DT11" s="151" t="e">
        <f t="shared" si="177"/>
        <v>#N/A</v>
      </c>
      <c r="DU11" s="151" t="e">
        <f t="shared" si="178"/>
        <v>#N/A</v>
      </c>
      <c r="DV11" s="151" t="e">
        <f t="shared" si="179"/>
        <v>#N/A</v>
      </c>
      <c r="DW11" s="151" t="e">
        <f t="shared" si="180"/>
        <v>#N/A</v>
      </c>
      <c r="DX11" s="151" t="e">
        <f t="shared" si="181"/>
        <v>#N/A</v>
      </c>
      <c r="DY11" s="151" t="e">
        <f t="shared" si="182"/>
        <v>#N/A</v>
      </c>
      <c r="DZ11" s="151" t="e">
        <f t="shared" si="183"/>
        <v>#N/A</v>
      </c>
      <c r="EA11" s="151" t="e">
        <f t="shared" si="184"/>
        <v>#N/A</v>
      </c>
      <c r="EB11" s="151" t="e">
        <f t="shared" si="185"/>
        <v>#N/A</v>
      </c>
      <c r="EC11" s="151" t="e">
        <f t="shared" si="186"/>
        <v>#N/A</v>
      </c>
      <c r="ED11" s="151" t="e">
        <f t="shared" si="187"/>
        <v>#N/A</v>
      </c>
      <c r="EE11" s="151" t="e">
        <f t="shared" si="188"/>
        <v>#N/A</v>
      </c>
      <c r="EF11" s="151" t="e">
        <f t="shared" si="189"/>
        <v>#N/A</v>
      </c>
      <c r="EG11" s="151" t="e">
        <f t="shared" si="190"/>
        <v>#N/A</v>
      </c>
      <c r="EH11" s="151" t="e">
        <f>IF(CA11=$TK$5,1,MIN(CJ11/'Tables - Part 3.B'!$C$8,1))</f>
        <v>#N/A</v>
      </c>
      <c r="EI11" s="151" t="e">
        <f>IF(CB11=$TK$5,1,MIN(CK11/'Tables - Part 3.B'!$C$8,1))</f>
        <v>#N/A</v>
      </c>
      <c r="EJ11" s="151" t="e">
        <f>IF(CC11=$TK$5,1,MIN(CL11/'Tables - Part 3.B'!$C$8,1))</f>
        <v>#N/A</v>
      </c>
      <c r="EK11" s="151" t="e">
        <f>IF(CD11=$TK$5,1,MIN(CM11/'Tables - Part 3.B'!$C$8,1))</f>
        <v>#N/A</v>
      </c>
      <c r="EL11" s="151" t="e">
        <f t="shared" si="191"/>
        <v>#VALUE!</v>
      </c>
      <c r="EM11" s="151" t="e">
        <f t="shared" si="48"/>
        <v>#VALUE!</v>
      </c>
      <c r="EN11" s="151" t="e">
        <f t="shared" si="48"/>
        <v>#VALUE!</v>
      </c>
      <c r="EO11" s="151" t="e">
        <f t="shared" si="48"/>
        <v>#VALUE!</v>
      </c>
      <c r="EP11" s="151" t="e">
        <f t="shared" si="192"/>
        <v>#N/A</v>
      </c>
      <c r="EQ11" s="151" t="e">
        <f t="shared" si="49"/>
        <v>#N/A</v>
      </c>
      <c r="ER11" s="151" t="e">
        <f t="shared" si="49"/>
        <v>#N/A</v>
      </c>
      <c r="ES11" s="151" t="e">
        <f t="shared" si="49"/>
        <v>#N/A</v>
      </c>
      <c r="ET11" s="151" t="e">
        <f t="shared" si="193"/>
        <v>#N/A</v>
      </c>
      <c r="EU11" s="151" t="e">
        <f t="shared" si="50"/>
        <v>#N/A</v>
      </c>
      <c r="EV11" s="151" t="e">
        <f t="shared" si="50"/>
        <v>#N/A</v>
      </c>
      <c r="EW11" s="151" t="e">
        <f t="shared" si="50"/>
        <v>#N/A</v>
      </c>
      <c r="EX11" s="151" t="e">
        <f t="shared" si="194"/>
        <v>#N/A</v>
      </c>
      <c r="EY11" s="151" t="e">
        <f t="shared" si="51"/>
        <v>#N/A</v>
      </c>
      <c r="EZ11" s="151" t="e">
        <f t="shared" si="51"/>
        <v>#N/A</v>
      </c>
      <c r="FA11" s="151" t="e">
        <f t="shared" si="51"/>
        <v>#N/A</v>
      </c>
      <c r="FB11" s="151" t="e">
        <f t="shared" si="195"/>
        <v>#N/A</v>
      </c>
      <c r="FC11" s="151" t="e">
        <f t="shared" si="52"/>
        <v>#N/A</v>
      </c>
      <c r="FD11" s="151" t="e">
        <f t="shared" si="52"/>
        <v>#N/A</v>
      </c>
      <c r="FE11" s="151" t="e">
        <f t="shared" si="52"/>
        <v>#N/A</v>
      </c>
      <c r="FF11" s="151" t="e">
        <f t="shared" si="196"/>
        <v>#N/A</v>
      </c>
      <c r="FG11" s="151" t="e">
        <f t="shared" si="53"/>
        <v>#N/A</v>
      </c>
      <c r="FH11" s="151" t="e">
        <f t="shared" si="53"/>
        <v>#N/A</v>
      </c>
      <c r="FI11" s="151" t="e">
        <f t="shared" si="53"/>
        <v>#N/A</v>
      </c>
      <c r="FJ11" s="151" t="e">
        <f t="shared" si="197"/>
        <v>#N/A</v>
      </c>
      <c r="FK11" s="151" t="e">
        <f t="shared" si="54"/>
        <v>#N/A</v>
      </c>
      <c r="FL11" s="151" t="e">
        <f t="shared" si="54"/>
        <v>#N/A</v>
      </c>
      <c r="FM11" s="288" t="e">
        <f t="shared" si="54"/>
        <v>#N/A</v>
      </c>
      <c r="FN11" s="299">
        <f t="shared" si="198"/>
        <v>0</v>
      </c>
      <c r="FO11" s="511">
        <f t="shared" si="199"/>
        <v>0</v>
      </c>
      <c r="FP11" s="150" t="e">
        <f t="shared" si="200"/>
        <v>#N/A</v>
      </c>
      <c r="FQ11" s="151" t="e">
        <f t="shared" si="201"/>
        <v>#N/A</v>
      </c>
      <c r="FR11" s="151" t="e">
        <f t="shared" si="202"/>
        <v>#N/A</v>
      </c>
      <c r="FS11" s="151" t="e">
        <f t="shared" si="203"/>
        <v>#N/A</v>
      </c>
      <c r="FT11" s="151">
        <f t="shared" ref="FT11:FT20" si="270">IF($K11=$TQ$6,$L11*BV11,0)</f>
        <v>0</v>
      </c>
      <c r="FU11" s="151">
        <f t="shared" si="56"/>
        <v>0</v>
      </c>
      <c r="FV11" s="151">
        <f t="shared" si="57"/>
        <v>0</v>
      </c>
      <c r="FW11" s="151">
        <f t="shared" si="58"/>
        <v>0</v>
      </c>
      <c r="FX11" s="151">
        <f t="shared" ref="FX11:FX20" si="271">IF($K11=$TQ$6,$L11*CR11,0)</f>
        <v>0</v>
      </c>
      <c r="FY11" s="151">
        <f t="shared" si="60"/>
        <v>0</v>
      </c>
      <c r="FZ11" s="151">
        <f t="shared" si="61"/>
        <v>0</v>
      </c>
      <c r="GA11" s="151">
        <f t="shared" si="62"/>
        <v>0</v>
      </c>
      <c r="GB11" s="151" t="e">
        <f>IF(CA11=$TK$6,'Tables - Part 3.B'!$C$10*(('Tables - Part 3.B'!$C$7*COF!FT11)^COF!GR11*10^COF!GV11),IF(CA11=$TK$5,'Tables - Part 3.B'!$C$10*(('Tables - Part 3.B'!$C$7*COF!FX11)^COF!GR11*10^COF!GV11),0))</f>
        <v>#N/A</v>
      </c>
      <c r="GC11" s="151" t="e">
        <f>IF(CB11=$TK$6,'Tables - Part 3.B'!$C$10*(('Tables - Part 3.B'!$C$7*COF!FU11)^COF!GS11*10^COF!GW11),IF(CB11=$TK$5,'Tables - Part 3.B'!$C$10*(('Tables - Part 3.B'!$C$7*COF!FY11)^COF!GS11*10^COF!GW11),0))</f>
        <v>#N/A</v>
      </c>
      <c r="GD11" s="151" t="e">
        <f>IF(CC11=$TK$6,'Tables - Part 3.B'!$C$10*(('Tables - Part 3.B'!$C$7*COF!FV11)^COF!GT11*10^COF!GX11),IF(CC11=$TK$5,'Tables - Part 3.B'!$C$10*(('Tables - Part 3.B'!$C$7*COF!FZ11)^COF!GT11*10^COF!GX11),0))</f>
        <v>#N/A</v>
      </c>
      <c r="GE11" s="151" t="e">
        <f>IF(CD11=$TK$6,'Tables - Part 3.B'!$C$10*(('Tables - Part 3.B'!$C$7*COF!FW11)^COF!GU11*10^COF!GY11),IF(CD11=$TK$5,'Tables - Part 3.B'!$C$10*(('Tables - Part 3.B'!$C$7*COF!GA11)^COF!GU11*10^COF!GY11),0))</f>
        <v>#N/A</v>
      </c>
      <c r="GF11" s="152" t="e">
        <f t="shared" ref="GF11:GF24" si="272">FP11/60</f>
        <v>#N/A</v>
      </c>
      <c r="GG11" s="152" t="e">
        <f t="shared" si="63"/>
        <v>#N/A</v>
      </c>
      <c r="GH11" s="152" t="e">
        <f t="shared" si="64"/>
        <v>#N/A</v>
      </c>
      <c r="GI11" s="152" t="e">
        <f t="shared" si="65"/>
        <v>#N/A</v>
      </c>
      <c r="GJ11" s="152" t="e">
        <f>IF(GF11&lt;'Tables - Part 3'!$CK$5,0,LOOKUP(GF11,'Tables - Part 3'!$CK$5:$CK$9))</f>
        <v>#N/A</v>
      </c>
      <c r="GK11" s="152" t="e">
        <f>IF(GG11&lt;'Tables - Part 3'!$CK$5,0,LOOKUP(GG11,'Tables - Part 3'!$CK$5:$CK$9))</f>
        <v>#N/A</v>
      </c>
      <c r="GL11" s="152" t="e">
        <f>IF(GH11&lt;'Tables - Part 3'!$CK$5,0,LOOKUP(GH11,'Tables - Part 3'!$CK$5:$CK$9))</f>
        <v>#N/A</v>
      </c>
      <c r="GM11" s="152" t="e">
        <f>IF(GI11&lt;'Tables - Part 3'!$CK$5,0,LOOKUP(GI11,'Tables - Part 3'!$CK$5:$CK$9))</f>
        <v>#N/A</v>
      </c>
      <c r="GN11" s="152" t="e">
        <f>IF(GF11&lt;'Tables - Part 3'!$CK$5,'Tables - Part 3'!$CK$5,IF(COF!GF11&lt;'Tables - Part 3'!$CK$6,'Tables - Part 3'!$CK$6,IF(COF!GF11&lt;'Tables - Part 3'!$CK$7,'Tables - Part 3'!$CK$7,IF(COF!GF11&lt;'Tables - Part 3'!$CK$8,'Tables - Part 3'!$CK$8,IF(COF!GF11&lt;'Tables - Part 3'!$CK$9,'Tables - Part 3'!$CK$9)))))</f>
        <v>#N/A</v>
      </c>
      <c r="GO11" s="152" t="e">
        <f>IF(GG11&lt;'Tables - Part 3'!$CK$5,'Tables - Part 3'!$CK$5,IF(COF!GG11&lt;'Tables - Part 3'!$CK$6,'Tables - Part 3'!$CK$6,IF(COF!GG11&lt;'Tables - Part 3'!$CK$7,'Tables - Part 3'!$CK$7,IF(COF!GG11&lt;'Tables - Part 3'!$CK$8,'Tables - Part 3'!$CK$8,IF(COF!GG11&lt;'Tables - Part 3'!$CK$9,'Tables - Part 3'!$CK$9)))))</f>
        <v>#N/A</v>
      </c>
      <c r="GP11" s="152" t="e">
        <f>IF(GH11&lt;'Tables - Part 3'!$CK$5,'Tables - Part 3'!$CK$5,IF(COF!GH11&lt;'Tables - Part 3'!$CK$6,'Tables - Part 3'!$CK$6,IF(COF!GH11&lt;'Tables - Part 3'!$CK$7,'Tables - Part 3'!$CK$7,IF(COF!GH11&lt;'Tables - Part 3'!$CK$8,'Tables - Part 3'!$CK$8,IF(COF!GH11&lt;'Tables - Part 3'!$CK$9,'Tables - Part 3'!$CK$9)))))</f>
        <v>#N/A</v>
      </c>
      <c r="GQ11" s="152" t="e">
        <f>IF(GI11&lt;'Tables - Part 3'!$CK$5,'Tables - Part 3'!$CK$5,IF(COF!GI11&lt;'Tables - Part 3'!$CK$6,'Tables - Part 3'!$CK$6,IF(COF!GI11&lt;'Tables - Part 3'!$CK$7,'Tables - Part 3'!$CK$7,IF(COF!GI11&lt;'Tables - Part 3'!$CK$8,'Tables - Part 3'!$CK$8,IF(COF!GI11&lt;'Tables - Part 3'!$CK$9,'Tables - Part 3'!$CK$9)))))</f>
        <v>#N/A</v>
      </c>
      <c r="GR11" s="151" t="e">
        <f>IF(CA11=$TK$5,'Tables - Part 3'!$CL$10,IF(COF!CA11=COF!$TK$6,IF(COF!GF11&lt;'Tables - Part 3'!$CK$5,'Tables - Part 3'!$CL$5,IF(GF11&gt;='Tables - Part 3'!$CK$9,'Tables - Part 3'!$CL$9,((COF!GF11-COF!GJ11)*(INDEX('Tables - Part 3'!$CL$5:$CL$9,MATCH(COF!GN11,'Tables - Part 3'!$CK$5:$CK$9,0))-INDEX('Tables - Part 3'!$CL$5:$CL$9,MATCH(COF!GJ11,'Tables - Part 3'!$CK$5:$CK$9,0)))/(GN11-GJ11)+INDEX('Tables - Part 3'!$CL$5:$CL$9,MATCH(COF!GJ11,'Tables - Part 3'!$CK$5:$CK$9,0)))))))</f>
        <v>#N/A</v>
      </c>
      <c r="GS11" s="151" t="e">
        <f>IF(CB11=$TK$5,'Tables - Part 3'!$CL$10,IF(COF!CB11=COF!$TK$6,IF(COF!GG11&lt;'Tables - Part 3'!$CK$5,'Tables - Part 3'!$CL$5,IF(GG11&gt;='Tables - Part 3'!$CK$9,'Tables - Part 3'!$CL$9,((COF!GG11-COF!GK11)*(INDEX('Tables - Part 3'!$CL$5:$CL$9,MATCH(COF!GO11,'Tables - Part 3'!$CK$5:$CK$9,0))-INDEX('Tables - Part 3'!$CL$5:$CL$9,MATCH(COF!GK11,'Tables - Part 3'!$CK$5:$CK$9,0)))/(GO11-GK11)+INDEX('Tables - Part 3'!$CL$5:$CL$9,MATCH(COF!GK11,'Tables - Part 3'!$CK$5:$CK$9,0)))))))</f>
        <v>#N/A</v>
      </c>
      <c r="GT11" s="151" t="e">
        <f>IF(CC11=$TK$5,'Tables - Part 3'!$CL$10,IF(COF!CC11=COF!$TK$6,IF(COF!GH11&lt;'Tables - Part 3'!$CK$5,'Tables - Part 3'!$CL$5,IF(GH11&gt;='Tables - Part 3'!$CK$9,'Tables - Part 3'!$CL$9,((COF!GH11-COF!GL11)*(INDEX('Tables - Part 3'!$CL$5:$CL$9,MATCH(COF!GP11,'Tables - Part 3'!$CK$5:$CK$9,0))-INDEX('Tables - Part 3'!$CL$5:$CL$9,MATCH(COF!GL11,'Tables - Part 3'!$CK$5:$CK$9,0)))/(GP11-GL11)+INDEX('Tables - Part 3'!$CL$5:$CL$9,MATCH(COF!GL11,'Tables - Part 3'!$CK$5:$CK$9,0)))))))</f>
        <v>#N/A</v>
      </c>
      <c r="GU11" s="151" t="e">
        <f>IF(CD11=$TK$5,'Tables - Part 3'!$CL$10,IF(COF!CD11=COF!$TK$6,IF(COF!GI11&lt;'Tables - Part 3'!$CK$5,'Tables - Part 3'!$CL$5,IF(GI11&gt;='Tables - Part 3'!$CK$9,'Tables - Part 3'!$CL$9,((COF!GI11-COF!GM11)*(INDEX('Tables - Part 3'!$CL$5:$CL$9,MATCH(COF!GQ11,'Tables - Part 3'!$CK$5:$CK$9,0))-INDEX('Tables - Part 3'!$CL$5:$CL$9,MATCH(COF!GM11,'Tables - Part 3'!$CK$5:$CK$9,0)))/(GQ11-GM11)+INDEX('Tables - Part 3'!$CL$5:$CL$9,MATCH(COF!GM11,'Tables - Part 3'!$CK$5:$CK$9,0)))))))</f>
        <v>#N/A</v>
      </c>
      <c r="GV11" s="151" t="e">
        <f>IF(CA11=$TK$5,'Tables - Part 3'!$CM$10,IF(COF!CA11=COF!$TK$6,IF(GF11&lt;'Tables - Part 3'!$CK$5,'Tables - Part 3'!$CM$5,IF(GF11&gt;='Tables - Part 3'!$CK$9,'Tables - Part 3'!$CM$9,((COF!GF11-COF!GJ11)*(INDEX('Tables - Part 3'!$CM$5:$CM$9,MATCH(COF!GN11,'Tables - Part 3'!$CK$5:$CK$9,0))-INDEX('Tables - Part 3'!$CM$5:$CM$9,MATCH(COF!GJ11,'Tables - Part 3'!$CK$5:$CK$9,0)))/(GN11-GJ11)+INDEX('Tables - Part 3'!$CM$5:$CM$9,MATCH(COF!GJ11,'Tables - Part 3'!$CK$5:$CK$9,0)))))))</f>
        <v>#N/A</v>
      </c>
      <c r="GW11" s="151" t="e">
        <f>IF(CB11=$TK$5,'Tables - Part 3'!$CM$10,IF(COF!CB11=COF!$TK$6,IF(GG11&lt;'Tables - Part 3'!$CK$5,'Tables - Part 3'!$CM$5,IF(GG11&gt;='Tables - Part 3'!$CK$9,'Tables - Part 3'!$CM$9,((COF!GG11-COF!GK11)*(INDEX('Tables - Part 3'!$CM$5:$CM$9,MATCH(COF!GO11,'Tables - Part 3'!$CK$5:$CK$9,0))-INDEX('Tables - Part 3'!$CM$5:$CM$9,MATCH(COF!GK11,'Tables - Part 3'!$CK$5:$CK$9,0)))/(GO11-GK11)+INDEX('Tables - Part 3'!$CM$5:$CM$9,MATCH(COF!GK11,'Tables - Part 3'!$CK$5:$CK$9,0)))))))</f>
        <v>#N/A</v>
      </c>
      <c r="GX11" s="151" t="e">
        <f>IF(CC11=$TK$5,'Tables - Part 3'!$CM$10,IF(COF!CC11=COF!$TK$6,IF(GH11&lt;'Tables - Part 3'!$CK$5,'Tables - Part 3'!$CM$5,IF(GH11&gt;='Tables - Part 3'!$CK$9,'Tables - Part 3'!$CM$9,((COF!GH11-COF!GL11)*(INDEX('Tables - Part 3'!$CM$5:$CM$9,MATCH(COF!GP11,'Tables - Part 3'!$CK$5:$CK$9,0))-INDEX('Tables - Part 3'!$CM$5:$CM$9,MATCH(COF!GL11,'Tables - Part 3'!$CK$5:$CK$9,0)))/(GP11-GL11)+INDEX('Tables - Part 3'!$CM$5:$CM$9,MATCH(COF!GL11,'Tables - Part 3'!$CK$5:$CK$9,0)))))))</f>
        <v>#N/A</v>
      </c>
      <c r="GY11" s="151" t="e">
        <f>IF(CD11=$TK$5,'Tables - Part 3'!$CM$10,IF(COF!CD11=COF!$TK$6,IF(GI11&lt;'Tables - Part 3'!$CK$5,'Tables - Part 3'!$CM$5,IF(GI11&gt;='Tables - Part 3'!$CK$9,'Tables - Part 3'!$CM$9,((COF!GI11-COF!GM11)*(INDEX('Tables - Part 3'!$CM$5:$CM$9,MATCH(COF!GQ11,'Tables - Part 3'!$CK$5:$CK$9,0))-INDEX('Tables - Part 3'!$CM$5:$CM$9,MATCH(COF!GM11,'Tables - Part 3'!$CK$5:$CK$9,0)))/(GQ11-GM11)+INDEX('Tables - Part 3'!$CM$5:$CM$9,MATCH(COF!GM11,'Tables - Part 3'!$CK$5:$CK$9,0)))))))</f>
        <v>#N/A</v>
      </c>
      <c r="GZ11" s="151">
        <f t="shared" ref="GZ11:GZ20" si="273">IF($K11=$TQ$7,$L11*BV11,0)</f>
        <v>0</v>
      </c>
      <c r="HA11" s="151">
        <f t="shared" si="67"/>
        <v>0</v>
      </c>
      <c r="HB11" s="151">
        <f t="shared" si="68"/>
        <v>0</v>
      </c>
      <c r="HC11" s="151">
        <f t="shared" si="69"/>
        <v>0</v>
      </c>
      <c r="HD11" s="151">
        <f t="shared" ref="HD11:HD20" si="274">IF($K11=$TQ$7,$L11*CR11,0)</f>
        <v>0</v>
      </c>
      <c r="HE11" s="151">
        <f t="shared" si="71"/>
        <v>0</v>
      </c>
      <c r="HF11" s="151">
        <f t="shared" si="72"/>
        <v>0</v>
      </c>
      <c r="HG11" s="151">
        <f t="shared" si="73"/>
        <v>0</v>
      </c>
      <c r="HH11" s="151" t="e">
        <f>IF(CA11=$TK$6,'Tables - Part 3.B'!$C$10*(('Tables - Part 3.B'!$C$7*COF!GZ11)^COF!HL11*10^COF!HP11),IF(CA11=$TK$5,'Tables - Part 3.B'!$C$10*(('Tables - Part 3.B'!$C$7*COF!HD11)^COF!HL11*10^COF!HP11),0))</f>
        <v>#N/A</v>
      </c>
      <c r="HI11" s="151" t="e">
        <f>IF(CB11=$TK$6,'Tables - Part 3.B'!$C$10*(('Tables - Part 3.B'!$C$7*COF!HA11)^COF!HM11*10^COF!HQ11),IF(CB11=$TK$5,'Tables - Part 3.B'!$C$10*(('Tables - Part 3.B'!$C$7*COF!HE11)^COF!HM11*10^COF!HQ11),0))</f>
        <v>#N/A</v>
      </c>
      <c r="HJ11" s="151" t="e">
        <f>IF(CC11=$TK$6,'Tables - Part 3.B'!$C$10*(('Tables - Part 3.B'!$C$7*COF!HB11)^COF!HN11*10^COF!HR11),IF(CC11=$TK$5,'Tables - Part 3.B'!$C$10*(('Tables - Part 3.B'!$C$7*COF!HF11)^COF!HN11*10^COF!HR11),0))</f>
        <v>#N/A</v>
      </c>
      <c r="HK11" s="151" t="e">
        <f>IF(CD11=$TK$6,'Tables - Part 3.B'!$C$10*(('Tables - Part 3.B'!$C$7*COF!HC11)^COF!HO11*10^COF!HS11),IF(CD11=$TK$5,'Tables - Part 3.B'!$C$10*(('Tables - Part 3.B'!$C$7*COF!HG11)^COF!HO11*10^COF!HS11),0))</f>
        <v>#N/A</v>
      </c>
      <c r="HL11" s="151" t="e">
        <f>IF(CA11=$TK$5,'Tables - Part 3'!$CN$10,IF(COF!CA11=COF!$TK$6,IF(COF!GF11&lt;'Tables - Part 3'!$CK$5,'Tables - Part 3'!$CN$5,IF(GF11&gt;='Tables - Part 3'!$CK$9,'Tables - Part 3'!$CN$9,((COF!GF11-COF!GJ11)*(INDEX('Tables - Part 3'!$CN$5:$CN$9,MATCH(COF!GN11,'Tables - Part 3'!$CK$5:$CK$9,0))-INDEX('Tables - Part 3'!$CN$5:$CN$9,MATCH(COF!GJ11,'Tables - Part 3'!$CK$5:$CK$9,0)))/(GN11-GJ11)+INDEX('Tables - Part 3'!$CN$5:$CN$9,MATCH(COF!GJ11,'Tables - Part 3'!$CK$5:$CK$9,0)))))))</f>
        <v>#N/A</v>
      </c>
      <c r="HM11" s="151" t="e">
        <f>IF(CB11=$TK$5,'Tables - Part 3'!$CN$10,IF(COF!CB11=COF!$TK$6,IF(COF!GG11&lt;'Tables - Part 3'!$CK$5,'Tables - Part 3'!$CN$5,IF(GG11&gt;='Tables - Part 3'!$CK$9,'Tables - Part 3'!$CN$9,((COF!GG11-COF!GK11)*(INDEX('Tables - Part 3'!$CN$5:$CN$9,MATCH(COF!GO11,'Tables - Part 3'!$CK$5:$CK$9,0))-INDEX('Tables - Part 3'!$CN$5:$CN$9,MATCH(COF!GK11,'Tables - Part 3'!$CK$5:$CK$9,0)))/(GO11-GK11)+INDEX('Tables - Part 3'!$CN$5:$CN$9,MATCH(COF!GK11,'Tables - Part 3'!$CK$5:$CK$9,0)))))))</f>
        <v>#N/A</v>
      </c>
      <c r="HN11" s="151" t="e">
        <f>IF(CC11=$TK$5,'Tables - Part 3'!$CN$10,IF(COF!CC11=COF!$TK$6,IF(COF!GH11&lt;'Tables - Part 3'!$CK$5,'Tables - Part 3'!$CN$5,IF(GH11&gt;='Tables - Part 3'!$CK$9,'Tables - Part 3'!$CN$9,((COF!GH11-COF!GL11)*(INDEX('Tables - Part 3'!$CN$5:$CN$9,MATCH(COF!GP11,'Tables - Part 3'!$CK$5:$CK$9,0))-INDEX('Tables - Part 3'!$CN$5:$CN$9,MATCH(COF!GL11,'Tables - Part 3'!$CK$5:$CK$9,0)))/(GP11-GL11)+INDEX('Tables - Part 3'!$CN$5:$CN$9,MATCH(COF!GL11,'Tables - Part 3'!$CK$5:$CK$9,0)))))))</f>
        <v>#N/A</v>
      </c>
      <c r="HO11" s="151" t="e">
        <f>IF(CD11=$TK$5,'Tables - Part 3'!$CN$10,IF(COF!CD11=COF!$TK$6,IF(COF!GI11&lt;'Tables - Part 3'!$CK$5,'Tables - Part 3'!$CN$5,IF(GI11&gt;='Tables - Part 3'!$CK$9,'Tables - Part 3'!$CN$9,((COF!GI11-COF!GM11)*(INDEX('Tables - Part 3'!$CN$5:$CN$9,MATCH(COF!GQ11,'Tables - Part 3'!$CK$5:$CK$9,0))-INDEX('Tables - Part 3'!$CN$5:$CN$9,MATCH(COF!GM11,'Tables - Part 3'!$CK$5:$CK$9,0)))/(GQ11-GM11)+INDEX('Tables - Part 3'!$CN$5:$CN$9,MATCH(COF!GM11,'Tables - Part 3'!$CK$5:$CK$9,0)))))))</f>
        <v>#N/A</v>
      </c>
      <c r="HP11" s="151" t="e">
        <f>IF(CA11=$TK$5,'Tables - Part 3'!$CO$10,IF(COF!CA11=COF!$TK$6,IF(GF11&lt;'Tables - Part 3'!$CK$5,'Tables - Part 3'!$CO$5,IF(GF11&gt;='Tables - Part 3'!$CK$9,'Tables - Part 3'!$CO$9,((COF!GF11-COF!GJ11)*(INDEX('Tables - Part 3'!$CO$5:$CO$9,MATCH(COF!GN11,'Tables - Part 3'!$CK$5:$CK$9,0))-INDEX('Tables - Part 3'!$CO$5:$CO$9,MATCH(COF!GJ11,'Tables - Part 3'!$CK$5:$CK$9,0)))/(GN11-GJ11)+INDEX('Tables - Part 3'!$CO$5:$CO$9,MATCH(COF!GJ11,'Tables - Part 3'!$CK$5:$CK$9,0)))))))</f>
        <v>#N/A</v>
      </c>
      <c r="HQ11" s="151" t="e">
        <f>IF(CB11=$TK$5,'Tables - Part 3'!$CO$10,IF(COF!CB11=COF!$TK$6,IF(GG11&lt;'Tables - Part 3'!$CK$5,'Tables - Part 3'!$CO$5,IF(GG11&gt;='Tables - Part 3'!$CK$9,'Tables - Part 3'!$CO$9,((COF!GG11-COF!GK11)*(INDEX('Tables - Part 3'!$CO$5:$CO$9,MATCH(COF!GO11,'Tables - Part 3'!$CK$5:$CK$9,0))-INDEX('Tables - Part 3'!$CO$5:$CO$9,MATCH(COF!GK11,'Tables - Part 3'!$CK$5:$CK$9,0)))/(GO11-GK11)+INDEX('Tables - Part 3'!$CO$5:$CO$9,MATCH(COF!GK11,'Tables - Part 3'!$CK$5:$CK$9,0)))))))</f>
        <v>#N/A</v>
      </c>
      <c r="HR11" s="151" t="e">
        <f>IF(CC11=$TK$5,'Tables - Part 3'!$CO$10,IF(COF!CC11=COF!$TK$6,IF(GH11&lt;'Tables - Part 3'!$CK$5,'Tables - Part 3'!$CO$5,IF(GH11&gt;='Tables - Part 3'!$CK$9,'Tables - Part 3'!$CO$9,((COF!GH11-COF!GL11)*(INDEX('Tables - Part 3'!$CO$5:$CO$9,MATCH(COF!GP11,'Tables - Part 3'!$CK$5:$CK$9,0))-INDEX('Tables - Part 3'!$CO$5:$CO$9,MATCH(COF!GL11,'Tables - Part 3'!$CK$5:$CK$9,0)))/(GP11-GL11)+INDEX('Tables - Part 3'!$CO$5:$CO$9,MATCH(COF!GL11,'Tables - Part 3'!$CK$5:$CK$9,0)))))))</f>
        <v>#N/A</v>
      </c>
      <c r="HS11" s="151" t="e">
        <f>IF(CD11=$TK$5,'Tables - Part 3'!$CO$10,IF(COF!CD11=COF!$TK$6,IF(GI11&lt;'Tables - Part 3'!$CK$5,'Tables - Part 3'!$CO$5,IF(GI11&gt;='Tables - Part 3'!$CK$9,'Tables - Part 3'!$CO$9,((COF!GI11-COF!GM11)*(INDEX('Tables - Part 3'!$CO$5:$CO$9,MATCH(COF!GQ11,'Tables - Part 3'!$CK$5:$CK$9,0))-INDEX('Tables - Part 3'!$CO$5:$CO$9,MATCH(COF!GM11,'Tables - Part 3'!$CK$5:$CK$9,0)))/(GQ11-GM11)+INDEX('Tables - Part 3'!$CO$5:$CO$9,MATCH(COF!GM11,'Tables - Part 3'!$CK$5:$CK$9,0)))))))</f>
        <v>#N/A</v>
      </c>
      <c r="HT11" s="151">
        <f t="shared" ref="HT11:HT20" si="275">IF($K11=$TQ$8,$L11*BV11,0)</f>
        <v>0</v>
      </c>
      <c r="HU11" s="151">
        <f t="shared" si="75"/>
        <v>0</v>
      </c>
      <c r="HV11" s="151">
        <f t="shared" si="76"/>
        <v>0</v>
      </c>
      <c r="HW11" s="151">
        <f t="shared" si="77"/>
        <v>0</v>
      </c>
      <c r="HX11" s="151">
        <f t="shared" ref="HX11:HX20" si="276">IF($K11=$TQ$8,$L11*CR11,0)</f>
        <v>0</v>
      </c>
      <c r="HY11" s="151">
        <f t="shared" si="79"/>
        <v>0</v>
      </c>
      <c r="HZ11" s="151">
        <f t="shared" si="80"/>
        <v>0</v>
      </c>
      <c r="IA11" s="151">
        <f t="shared" si="81"/>
        <v>0</v>
      </c>
      <c r="IB11" s="153" t="e">
        <f t="shared" si="82"/>
        <v>#N/A</v>
      </c>
      <c r="IC11" s="153" t="e">
        <f t="shared" si="83"/>
        <v>#N/A</v>
      </c>
      <c r="ID11" s="153" t="e">
        <f t="shared" si="84"/>
        <v>#N/A</v>
      </c>
      <c r="IE11" s="153" t="e">
        <f t="shared" si="85"/>
        <v>#N/A</v>
      </c>
      <c r="IF11" s="152" t="e">
        <f>IF(GF11&lt;'Tables - Part 3'!$CQ$5,0,LOOKUP(GF11,'Tables - Part 3'!$CQ$5:$CQ$16))</f>
        <v>#N/A</v>
      </c>
      <c r="IG11" s="152" t="e">
        <f>IF(GG11&lt;'Tables - Part 3'!$CQ$5,0,LOOKUP(GG11,'Tables - Part 3'!$CQ$5:$CQ$16))</f>
        <v>#N/A</v>
      </c>
      <c r="IH11" s="152" t="e">
        <f>IF(GH11&lt;'Tables - Part 3'!$CQ$5,0,LOOKUP(GH11,'Tables - Part 3'!$CQ$5:$CQ$16))</f>
        <v>#N/A</v>
      </c>
      <c r="II11" s="152" t="e">
        <f>IF(GI11&lt;'Tables - Part 3'!$CQ$5,0,LOOKUP(GI11,'Tables - Part 3'!$CQ$5:$CQ$16))</f>
        <v>#N/A</v>
      </c>
      <c r="IJ11" s="152" t="e">
        <f>IF(GF11&lt;'Tables - Part 3'!$CQ$5,'Tables - Part 3'!$CQ$5,IF(COF!GF11&lt;'Tables - Part 3'!$CQ$6,'Tables - Part 3'!$CQ$6,IF(COF!GF11&lt;'Tables - Part 3'!$CQ$7,'Tables - Part 3'!$CQ$7,IF(COF!GF11&lt;'Tables - Part 3'!$CQ$8,'Tables - Part 3'!$CQ$8,IF(COF!GF11&lt;'Tables - Part 3'!$CQ$9,'Tables - Part 3'!$CQ$9,IF(COF!GF11&lt;'Tables - Part 3'!$CQ$10,'Tables - Part 3'!$CQ$10,IF(COF!GF11&lt;'Tables - Part 3'!$CQ$11,'Tables - Part 3'!$CQ$11,IF(COF!GF11&lt;'Tables - Part 3'!$CQ$12,'Tables - Part 3'!$CQ$12,IF(COF!GF11&lt;'Tables - Part 3'!$CQ$13,'Tables - Part 3'!$CQ$13,IF(COF!GF11&lt;'Tables - Part 3'!$CQ$14,'Tables - Part 3'!$CQ$14,IF(COF!GF11&lt;'Tables - Part 3'!$CQ$15,'Tables - Part 3'!$CQ$15,IF(COF!GF11&lt;'Tables - Part 3'!$CQ$16,'Tables - Part 3'!$CQ$16))))))))))))</f>
        <v>#N/A</v>
      </c>
      <c r="IK11" s="152" t="e">
        <f>IF(GG11&lt;'Tables - Part 3'!$CQ$5,'Tables - Part 3'!$CQ$5,IF(COF!GG11&lt;'Tables - Part 3'!$CQ$6,'Tables - Part 3'!$CQ$6,IF(COF!GG11&lt;'Tables - Part 3'!$CQ$7,'Tables - Part 3'!$CQ$7,IF(COF!GG11&lt;'Tables - Part 3'!$CQ$8,'Tables - Part 3'!$CQ$8,IF(COF!GG11&lt;'Tables - Part 3'!$CQ$9,'Tables - Part 3'!$CQ$9,IF(COF!GG11&lt;'Tables - Part 3'!$CQ$10,'Tables - Part 3'!$CQ$10,IF(COF!GG11&lt;'Tables - Part 3'!$CQ$11,'Tables - Part 3'!$CQ$11,IF(COF!GG11&lt;'Tables - Part 3'!$CQ$12,'Tables - Part 3'!$CQ$12,IF(COF!GG11&lt;'Tables - Part 3'!$CQ$13,'Tables - Part 3'!$CQ$13,IF(COF!GG11&lt;'Tables - Part 3'!$CQ$14,'Tables - Part 3'!$CQ$14,IF(COF!GG11&lt;'Tables - Part 3'!$CQ$15,'Tables - Part 3'!$CQ$15,IF(COF!GG11&lt;'Tables - Part 3'!$CQ$16,'Tables - Part 3'!$CQ$16))))))))))))</f>
        <v>#N/A</v>
      </c>
      <c r="IL11" s="152" t="e">
        <f>IF(GH11&lt;'Tables - Part 3'!$CQ$5,'Tables - Part 3'!$CQ$5,IF(COF!GH11&lt;'Tables - Part 3'!$CQ$6,'Tables - Part 3'!$CQ$6,IF(COF!GH11&lt;'Tables - Part 3'!$CQ$7,'Tables - Part 3'!$CQ$7,IF(COF!GH11&lt;'Tables - Part 3'!$CQ$8,'Tables - Part 3'!$CQ$8,IF(COF!GH11&lt;'Tables - Part 3'!$CQ$9,'Tables - Part 3'!$CQ$9,IF(COF!GH11&lt;'Tables - Part 3'!$CQ$10,'Tables - Part 3'!$CQ$10,IF(COF!GH11&lt;'Tables - Part 3'!$CQ$11,'Tables - Part 3'!$CQ$11,IF(COF!GH11&lt;'Tables - Part 3'!$CQ$12,'Tables - Part 3'!$CQ$12,IF(COF!GH11&lt;'Tables - Part 3'!$CQ$13,'Tables - Part 3'!$CQ$13,IF(COF!GH11&lt;'Tables - Part 3'!$CQ$14,'Tables - Part 3'!$CQ$14,IF(COF!GH11&lt;'Tables - Part 3'!$CQ$15,'Tables - Part 3'!$CQ$15,IF(COF!GH11&lt;'Tables - Part 3'!$CQ$16,'Tables - Part 3'!$CQ$16))))))))))))</f>
        <v>#N/A</v>
      </c>
      <c r="IM11" s="152" t="e">
        <f>IF(GI11&lt;'Tables - Part 3'!$CQ$5,'Tables - Part 3'!$CQ$5,IF(COF!GI11&lt;'Tables - Part 3'!$CQ$6,'Tables - Part 3'!$CQ$6,IF(COF!GI11&lt;'Tables - Part 3'!$CQ$7,'Tables - Part 3'!$CQ$7,IF(COF!GI11&lt;'Tables - Part 3'!$CQ$8,'Tables - Part 3'!$CQ$8,IF(COF!GI11&lt;'Tables - Part 3'!$CQ$9,'Tables - Part 3'!$CQ$9,IF(COF!GI11&lt;'Tables - Part 3'!$CQ$10,'Tables - Part 3'!$CQ$10,IF(COF!GI11&lt;'Tables - Part 3'!$CQ$11,'Tables - Part 3'!$CQ$11,IF(COF!GI11&lt;'Tables - Part 3'!$CQ$12,'Tables - Part 3'!$CQ$12,IF(COF!GI11&lt;'Tables - Part 3'!$CQ$13,'Tables - Part 3'!$CQ$13,IF(COF!GI11&lt;'Tables - Part 3'!$CQ$14,'Tables - Part 3'!$CQ$14,IF(COF!GI11&lt;'Tables - Part 3'!$CQ$15,'Tables - Part 3'!$CQ$15,IF(COF!GI11&lt;'Tables - Part 3'!$CQ$16,'Tables - Part 3'!$CQ$16))))))))))))</f>
        <v>#N/A</v>
      </c>
      <c r="IN11" s="151" t="e">
        <f>IF(CA11=$TK$5,'Tables - Part 3'!$CR$17,IF(COF!CA11=COF!$TK$6,IF(COF!GF11&lt;'Tables - Part 3'!$CQ$5,'Tables - Part 3'!$CR$5,IF(GF11&gt;='Tables - Part 3'!$CQ$16,'Tables - Part 3'!$CR$16,((COF!GF11-COF!IF11)*(INDEX('Tables - Part 3'!$CR$5:$CR$16,MATCH(COF!IJ11,'Tables - Part 3'!$CQ$5:$CQ$16,0))-INDEX('Tables - Part 3'!$CR$5:$CR$16,MATCH(COF!IF11,'Tables - Part 3'!$CQ$5:$CQ$16,0)))/(IJ11-IF11)+INDEX('Tables - Part 3'!$CR$5:$CR$16,MATCH(COF!IF11,'Tables - Part 3'!$CQ$5:$CQ$16,0)))))))</f>
        <v>#N/A</v>
      </c>
      <c r="IO11" s="151" t="e">
        <f>IF(CB11=$TK$5,'Tables - Part 3'!$CR$17,IF(COF!CB11=COF!$TK$6,IF(COF!GG11&lt;'Tables - Part 3'!$CQ$5,'Tables - Part 3'!$CR$5,IF(GG11&gt;='Tables - Part 3'!$CQ$16,'Tables - Part 3'!$CR$16,((COF!GG11-COF!IG11)*(INDEX('Tables - Part 3'!$CR$5:$CR$16,MATCH(COF!IK11,'Tables - Part 3'!$CQ$5:$CQ$16,0))-INDEX('Tables - Part 3'!$CR$5:$CR$16,MATCH(COF!IG11,'Tables - Part 3'!$CQ$5:$CQ$16,0)))/(IK11-IG11)+INDEX('Tables - Part 3'!$CR$5:$CR$16,MATCH(COF!IG11,'Tables - Part 3'!$CQ$5:$CQ$16,0)))))))</f>
        <v>#N/A</v>
      </c>
      <c r="IP11" s="151" t="e">
        <f>IF(CC11=$TK$5,'Tables - Part 3'!$CR$17,IF(COF!CC11=COF!$TK$6,IF(COF!GH11&lt;'Tables - Part 3'!$CQ$5,'Tables - Part 3'!$CR$5,IF(GH11&gt;='Tables - Part 3'!$CQ$16,'Tables - Part 3'!$CR$16,((COF!GH11-COF!IH11)*(INDEX('Tables - Part 3'!$CR$5:$CR$16,MATCH(COF!IL11,'Tables - Part 3'!$CQ$5:$CQ$16,0))-INDEX('Tables - Part 3'!$CR$5:$CR$16,MATCH(COF!IH11,'Tables - Part 3'!$CQ$5:$CQ$16,0)))/(IL11-IH11)+INDEX('Tables - Part 3'!$CR$5:$CR$16,MATCH(COF!IH11,'Tables - Part 3'!$CQ$5:$CQ$16,0)))))))</f>
        <v>#N/A</v>
      </c>
      <c r="IQ11" s="151" t="e">
        <f>IF(CD11=$TK$5,'Tables - Part 3'!$CR$17,IF(COF!CD11=COF!$TK$6,IF(COF!GI11&lt;'Tables - Part 3'!$CQ$5,'Tables - Part 3'!$CR$5,IF(GI11&gt;='Tables - Part 3'!$CQ$16,'Tables - Part 3'!$CR$16,((COF!GI11-COF!II11)*(INDEX('Tables - Part 3'!$CR$5:$CR$16,MATCH(COF!IM11,'Tables - Part 3'!$CQ$5:$CQ$16,0))-INDEX('Tables - Part 3'!$CR$5:$CR$16,MATCH(COF!II11,'Tables - Part 3'!$CQ$5:$CQ$16,0)))/(IM11-II11)+INDEX('Tables - Part 3'!$CR$5:$CR$16,MATCH(COF!II11,'Tables - Part 3'!$CQ$5:$CQ$16,0)))))))</f>
        <v>#N/A</v>
      </c>
      <c r="IR11" s="151" t="e">
        <f>IF(CA11=$TK$5,'Tables - Part 3'!$CS$17,IF(COF!CA11=COF!$TK$6,IF(COF!GF11&lt;'Tables - Part 3'!$CQ$5,'Tables - Part 3'!$CS$5,IF(GF11&gt;='Tables - Part 3'!$CQ$16,'Tables - Part 3'!$CS$16,((COF!GF11-COF!IF11)*(INDEX('Tables - Part 3'!$CS$5:$CS$16,MATCH(COF!IJ11,'Tables - Part 3'!$CQ$5:$CQ$16,0))-INDEX('Tables - Part 3'!$CS$5:$CS$16,MATCH(COF!IF11,'Tables - Part 3'!$CQ$5:$CQ$16,0)))/(IJ11-IF11)+INDEX('Tables - Part 3'!$CS$5:$CS$16,MATCH(COF!IF11,'Tables - Part 3'!$CQ$5:$CQ$16,0)))))))</f>
        <v>#N/A</v>
      </c>
      <c r="IS11" s="151" t="e">
        <f>IF(CB11=$TK$5,'Tables - Part 3'!$CS$17,IF(COF!CB11=COF!$TK$6,IF(COF!GG11&lt;'Tables - Part 3'!$CQ$5,'Tables - Part 3'!$CS$5,IF(GG11&gt;='Tables - Part 3'!$CQ$16,'Tables - Part 3'!$CS$16,((COF!GG11-COF!IG11)*(INDEX('Tables - Part 3'!$CS$5:$CS$16,MATCH(COF!IK11,'Tables - Part 3'!$CQ$5:$CQ$16,0))-INDEX('Tables - Part 3'!$CS$5:$CS$16,MATCH(COF!IG11,'Tables - Part 3'!$CQ$5:$CQ$16,0)))/(IK11-IG11)+INDEX('Tables - Part 3'!$CS$5:$CS$16,MATCH(COF!IG11,'Tables - Part 3'!$CQ$5:$CQ$16,0)))))))</f>
        <v>#N/A</v>
      </c>
      <c r="IT11" s="151" t="e">
        <f>IF(CC11=$TK$5,'Tables - Part 3'!$CS$17,IF(COF!CC11=COF!$TK$6,IF(COF!GH11&lt;'Tables - Part 3'!$CQ$5,'Tables - Part 3'!$CS$5,IF(GH11&gt;='Tables - Part 3'!$CQ$16,'Tables - Part 3'!$CS$16,((COF!GH11-COF!IH11)*(INDEX('Tables - Part 3'!$CS$5:$CS$16,MATCH(COF!IL11,'Tables - Part 3'!$CQ$5:$CQ$16,0))-INDEX('Tables - Part 3'!$CS$5:$CS$16,MATCH(COF!IH11,'Tables - Part 3'!$CQ$5:$CQ$16,0)))/(IL11-IH11)+INDEX('Tables - Part 3'!$CS$5:$CS$16,MATCH(COF!IH11,'Tables - Part 3'!$CQ$5:$CQ$16,0)))))))</f>
        <v>#N/A</v>
      </c>
      <c r="IU11" s="151" t="e">
        <f>IF(CD11=$TK$5,'Tables - Part 3'!$CS$17,IF(COF!CD11=COF!$TK$6,IF(COF!GI11&lt;'Tables - Part 3'!$CQ$5,'Tables - Part 3'!$CS$5,IF(GI11&gt;='Tables - Part 3'!$CQ$16,'Tables - Part 3'!$CS$16,((COF!GI11-COF!II11)*(INDEX('Tables - Part 3'!$CS$5:$CS$16,MATCH(COF!IM11,'Tables - Part 3'!$CQ$5:$CQ$16,0))-INDEX('Tables - Part 3'!$CS$5:$CS$16,MATCH(COF!II11,'Tables - Part 3'!$CQ$5:$CQ$16,0)))/(IM11-II11)+INDEX('Tables - Part 3'!$CS$5:$CS$16,MATCH(COF!II11,'Tables - Part 3'!$CQ$5:$CQ$16,0)))))))</f>
        <v>#N/A</v>
      </c>
      <c r="IV11" s="151">
        <f t="shared" ref="IV11:IV20" si="277">IF($K11=$TQ$9,$L11*BV11,0)</f>
        <v>0</v>
      </c>
      <c r="IW11" s="151">
        <f t="shared" si="87"/>
        <v>0</v>
      </c>
      <c r="IX11" s="151">
        <f t="shared" si="88"/>
        <v>0</v>
      </c>
      <c r="IY11" s="151">
        <f t="shared" si="89"/>
        <v>0</v>
      </c>
      <c r="IZ11" s="151">
        <f t="shared" ref="IZ11:IZ20" si="278">IF($K11=$TQ$9,$L11*CR11,0)</f>
        <v>0</v>
      </c>
      <c r="JA11" s="151">
        <f t="shared" si="91"/>
        <v>0</v>
      </c>
      <c r="JB11" s="151">
        <f t="shared" si="92"/>
        <v>0</v>
      </c>
      <c r="JC11" s="151">
        <f t="shared" si="93"/>
        <v>0</v>
      </c>
      <c r="JD11" s="151" t="e">
        <f t="shared" si="94"/>
        <v>#N/A</v>
      </c>
      <c r="JE11" s="151" t="e">
        <f t="shared" si="95"/>
        <v>#N/A</v>
      </c>
      <c r="JF11" s="151" t="e">
        <f t="shared" si="96"/>
        <v>#N/A</v>
      </c>
      <c r="JG11" s="151" t="e">
        <f t="shared" si="97"/>
        <v>#N/A</v>
      </c>
      <c r="JH11" s="151" t="e">
        <f>IF(CA11=$TK$5,'Tables - Part 3'!$CT$17,IF(COF!CA11=COF!$TK$6,IF(COF!GF11&lt;'Tables - Part 3'!$CQ$5,'Tables - Part 3'!$CT$5,IF(GF11&gt;='Tables - Part 3'!$CQ$16,'Tables - Part 3'!$CT$16,((COF!GF11-COF!IF11)*(INDEX('Tables - Part 3'!$CT$5:$CT$16,MATCH(COF!IJ11,'Tables - Part 3'!$CQ$5:$CQ$16,0))-INDEX('Tables - Part 3'!$CT$5:$CT$16,MATCH(COF!IF11,'Tables - Part 3'!$CQ$5:$CQ$16,0)))/(IJ11-IF11)+INDEX('Tables - Part 3'!$CT$5:$CT$16,MATCH(COF!IF11,'Tables - Part 3'!$CQ$5:$CQ$16,0)))))))</f>
        <v>#N/A</v>
      </c>
      <c r="JI11" s="151" t="e">
        <f>IF(CB11=$TK$5,'Tables - Part 3'!$CT$17,IF(COF!CB11=COF!$TK$6,IF(COF!GG11&lt;'Tables - Part 3'!$CQ$5,'Tables - Part 3'!$CT$5,IF(GG11&gt;='Tables - Part 3'!$CQ$16,'Tables - Part 3'!$CT$16,((COF!GG11-COF!IG11)*(INDEX('Tables - Part 3'!$CT$5:$CT$16,MATCH(COF!IK11,'Tables - Part 3'!$CQ$5:$CQ$16,0))-INDEX('Tables - Part 3'!$CT$5:$CT$16,MATCH(COF!IG11,'Tables - Part 3'!$CQ$5:$CQ$16,0)))/(IK11-IG11)+INDEX('Tables - Part 3'!$CT$5:$CT$16,MATCH(COF!IG11,'Tables - Part 3'!$CQ$5:$CQ$16,0)))))))</f>
        <v>#N/A</v>
      </c>
      <c r="JJ11" s="151" t="e">
        <f>IF(CC11=$TK$5,'Tables - Part 3'!$CT$17,IF(COF!CC11=COF!$TK$6,IF(COF!GH11&lt;'Tables - Part 3'!$CQ$5,'Tables - Part 3'!$CT$5,IF(GH11&gt;='Tables - Part 3'!$CQ$16,'Tables - Part 3'!$CT$16,((COF!GH11-COF!IH11)*(INDEX('Tables - Part 3'!$CT$5:$CT$16,MATCH(COF!IL11,'Tables - Part 3'!$CQ$5:$CQ$16,0))-INDEX('Tables - Part 3'!$CT$5:$CT$16,MATCH(COF!IH11,'Tables - Part 3'!$CQ$5:$CQ$16,0)))/(IL11-IH11)+INDEX('Tables - Part 3'!$CT$5:$CT$16,MATCH(COF!IH11,'Tables - Part 3'!$CQ$5:$CQ$16,0)))))))</f>
        <v>#N/A</v>
      </c>
      <c r="JK11" s="151" t="e">
        <f>IF(CD11=$TK$5,'Tables - Part 3'!$CT$17,IF(COF!CD11=COF!$TK$6,IF(COF!GI11&lt;'Tables - Part 3'!$CQ$5,'Tables - Part 3'!$CT$5,IF(GI11&gt;='Tables - Part 3'!$CQ$16,'Tables - Part 3'!$CT$16,((COF!GI11-COF!II11)*(INDEX('Tables - Part 3'!$CT$5:$CT$16,MATCH(COF!IM11,'Tables - Part 3'!$CQ$5:$CQ$16,0))-INDEX('Tables - Part 3'!$CT$5:$CT$16,MATCH(COF!II11,'Tables - Part 3'!$CQ$5:$CQ$16,0)))/(IM11-II11)+INDEX('Tables - Part 3'!$CT$5:$CT$16,MATCH(COF!II11,'Tables - Part 3'!$CQ$5:$CQ$16,0)))))))</f>
        <v>#N/A</v>
      </c>
      <c r="JL11" s="151" t="e">
        <f>IF(CA11=$TK$5,'Tables - Part 3'!$CU$17,IF(COF!CA11=COF!$TK$6,IF(COF!GF11&lt;'Tables - Part 3'!$CQ$5,'Tables - Part 3'!$CU$5,IF(GF11&gt;='Tables - Part 3'!$CQ$16,'Tables - Part 3'!$CU$16,((COF!GF11-COF!IF11)*(INDEX('Tables - Part 3'!$CU$5:$CU$16,MATCH(COF!IJ11,'Tables - Part 3'!$CQ$5:$CQ$16,0))-INDEX('Tables - Part 3'!$CU$5:$CU$16,MATCH(COF!IF11,'Tables - Part 3'!$CQ$5:$CQ$16,0)))/(IJ11-IF11)+INDEX('Tables - Part 3'!$CU$5:$CU$16,MATCH(COF!IF11,'Tables - Part 3'!$CQ$5:$CQ$16,0)))))))</f>
        <v>#N/A</v>
      </c>
      <c r="JM11" s="151" t="e">
        <f>IF(CB11=$TK$5,'Tables - Part 3'!$CU$17,IF(COF!CB11=COF!$TK$6,IF(COF!GG11&lt;'Tables - Part 3'!$CQ$5,'Tables - Part 3'!$CU$5,IF(GG11&gt;='Tables - Part 3'!$CQ$16,'Tables - Part 3'!$CU$16,((COF!GG11-COF!IG11)*(INDEX('Tables - Part 3'!$CU$5:$CU$16,MATCH(COF!IK11,'Tables - Part 3'!$CQ$5:$CQ$16,0))-INDEX('Tables - Part 3'!$CU$5:$CU$16,MATCH(COF!IG11,'Tables - Part 3'!$CQ$5:$CQ$16,0)))/(IK11-IG11)+INDEX('Tables - Part 3'!$CU$5:$CU$16,MATCH(COF!IG11,'Tables - Part 3'!$CQ$5:$CQ$16,0)))))))</f>
        <v>#N/A</v>
      </c>
      <c r="JN11" s="151" t="e">
        <f>IF(CC11=$TK$5,'Tables - Part 3'!$CU$17,IF(COF!CC11=COF!$TK$6,IF(COF!GH11&lt;'Tables - Part 3'!$CQ$5,'Tables - Part 3'!$CU$5,IF(GH11&gt;='Tables - Part 3'!$CQ$16,'Tables - Part 3'!$CU$16,((COF!GH11-COF!IH11)*(INDEX('Tables - Part 3'!$CU$5:$CU$16,MATCH(COF!IL11,'Tables - Part 3'!$CQ$5:$CQ$16,0))-INDEX('Tables - Part 3'!$CU$5:$CU$16,MATCH(COF!IH11,'Tables - Part 3'!$CQ$5:$CQ$16,0)))/(IL11-IH11)+INDEX('Tables - Part 3'!$CU$5:$CU$16,MATCH(COF!IH11,'Tables - Part 3'!$CQ$5:$CQ$16,0)))))))</f>
        <v>#N/A</v>
      </c>
      <c r="JO11" s="151" t="e">
        <f>IF(CD11=$TK$5,'Tables - Part 3'!$CU$17,IF(COF!CD11=COF!$TK$6,IF(COF!GI11&lt;'Tables - Part 3'!$CQ$5,'Tables - Part 3'!$CU$5,IF(GI11&gt;='Tables - Part 3'!$CQ$16,'Tables - Part 3'!$CU$16,((COF!GI11-COF!II11)*(INDEX('Tables - Part 3'!$CU$5:$CU$16,MATCH(COF!IM11,'Tables - Part 3'!$CQ$5:$CQ$16,0))-INDEX('Tables - Part 3'!$CU$5:$CU$16,MATCH(COF!II11,'Tables - Part 3'!$CQ$5:$CQ$16,0)))/(IM11-II11)+INDEX('Tables - Part 3'!$CU$5:$CU$16,MATCH(COF!II11,'Tables - Part 3'!$CQ$5:$CQ$16,0)))))))</f>
        <v>#N/A</v>
      </c>
      <c r="JP11" s="282"/>
      <c r="JQ11" s="151">
        <f t="shared" ref="JQ11:JQ20" si="279">IF($K11=$TQ$11,$L11*BV11,0)</f>
        <v>0</v>
      </c>
      <c r="JR11" s="151">
        <f t="shared" si="99"/>
        <v>0</v>
      </c>
      <c r="JS11" s="151">
        <f t="shared" si="100"/>
        <v>0</v>
      </c>
      <c r="JT11" s="151">
        <f t="shared" si="101"/>
        <v>0</v>
      </c>
      <c r="JU11" s="151" t="e">
        <f t="shared" si="204"/>
        <v>#N/A</v>
      </c>
      <c r="JV11" s="151" t="e">
        <f t="shared" si="205"/>
        <v>#N/A</v>
      </c>
      <c r="JW11" s="151" t="e">
        <f t="shared" si="206"/>
        <v>#N/A</v>
      </c>
      <c r="JX11" s="151" t="e">
        <f t="shared" si="207"/>
        <v>#N/A</v>
      </c>
      <c r="JY11" s="152" t="e">
        <f>IF(GF11&lt;'Tables - Part 3'!$CY$6,0,LOOKUP(GF11,'Tables - Part 3'!$CY$6:$CY$11))</f>
        <v>#N/A</v>
      </c>
      <c r="JZ11" s="152" t="e">
        <f>IF(GG11&lt;'Tables - Part 3'!$CY$6,0,LOOKUP(GG11,'Tables - Part 3'!$CY$6:$CY$11))</f>
        <v>#N/A</v>
      </c>
      <c r="KA11" s="152" t="e">
        <f>IF(GH11&lt;'Tables - Part 3'!$CY$6,0,LOOKUP(GH11,'Tables - Part 3'!$CY$6:$CY$11))</f>
        <v>#N/A</v>
      </c>
      <c r="KB11" s="152" t="e">
        <f>IF(GI11&lt;'Tables - Part 3'!$CY$6,0,LOOKUP(GI11,'Tables - Part 3'!$CY$6:$CY$11))</f>
        <v>#N/A</v>
      </c>
      <c r="KC11" s="152" t="e">
        <f>IF(GF11&lt;'Tables - Part 3'!$CY$6,'Tables - Part 3'!$CY$6,IF(COF!GF11&lt;'Tables - Part 3'!$CY$7,'Tables - Part 3'!$CY$7,IF(COF!GF11&lt;'Tables - Part 3'!$CY$8,'Tables - Part 3'!$CY$8,IF(COF!GF11&lt;'Tables - Part 3'!$CY$9,'Tables - Part 3'!$CY$9,IF(COF!GF11&lt;'Tables - Part 3'!$CY$10,'Tables - Part 3'!$CY$10,IF(COF!GF11&lt;'Tables - Part 3'!$CY$11,'Tables - Part 3'!$CY$11))))))</f>
        <v>#N/A</v>
      </c>
      <c r="KD11" s="152" t="e">
        <f>IF(GG11&lt;'Tables - Part 3'!$CY$6,'Tables - Part 3'!$CY$6,IF(COF!GG11&lt;'Tables - Part 3'!$CY$7,'Tables - Part 3'!$CY$7,IF(COF!GG11&lt;'Tables - Part 3'!$CY$8,'Tables - Part 3'!$CY$8,IF(COF!GG11&lt;'Tables - Part 3'!$CY$9,'Tables - Part 3'!$CY$9,IF(COF!GG11&lt;'Tables - Part 3'!$CY$10,'Tables - Part 3'!$CY$10,IF(COF!GG11&lt;'Tables - Part 3'!$CY$11,'Tables - Part 3'!$CY$11))))))</f>
        <v>#N/A</v>
      </c>
      <c r="KE11" s="152" t="e">
        <f>IF(GH11&lt;'Tables - Part 3'!$CY$6,'Tables - Part 3'!$CY$6,IF(COF!GH11&lt;'Tables - Part 3'!$CY$7,'Tables - Part 3'!$CY$7,IF(COF!GH11&lt;'Tables - Part 3'!$CY$8,'Tables - Part 3'!$CY$8,IF(COF!GH11&lt;'Tables - Part 3'!$CY$9,'Tables - Part 3'!$CY$9,IF(COF!GH11&lt;'Tables - Part 3'!$CY$10,'Tables - Part 3'!$CY$10,IF(COF!GH11&lt;'Tables - Part 3'!$CY$11,'Tables - Part 3'!$CY$11))))))</f>
        <v>#N/A</v>
      </c>
      <c r="KF11" s="152" t="e">
        <f>IF(GI11&lt;'Tables - Part 3'!$CY$6,'Tables - Part 3'!$CY$6,IF(COF!GI11&lt;'Tables - Part 3'!$CY$7,'Tables - Part 3'!$CY$7,IF(COF!GI11&lt;'Tables - Part 3'!$CY$8,'Tables - Part 3'!$CY$8,IF(COF!GI11&lt;'Tables - Part 3'!$CY$9,'Tables - Part 3'!$CY$9,IF(COF!GI11&lt;'Tables - Part 3'!$CY$10,'Tables - Part 3'!$CY$10,IF(COF!GI11&lt;'Tables - Part 3'!$CY$11,'Tables - Part 3'!$CY$11))))))</f>
        <v>#N/A</v>
      </c>
      <c r="KG11" s="151" t="e">
        <f>IF(CA11=$TK$5,'Tables - Part 3'!$CZ$6,IF(COF!CA11=COF!$TK$6,IF(COF!GF11&lt;'Tables - Part 3'!$CY$6,'Tables - Part 3'!$CZ$6,IF(GF11&gt;='Tables - Part 3'!$CY$11,'Tables - Part 3'!$CZ$11,((COF!GF11-COF!JY11)*(INDEX('Tables - Part 3'!$CZ$6:$CZ$11,MATCH(COF!KC11,'Tables - Part 3'!$CY$6:$CY$11,0))-INDEX('Tables - Part 3'!$CZ$6:$CZ$11,MATCH(COF!JY11,'Tables - Part 3'!$CY$6:$CY$11,0)))/(KC11-JY11)+INDEX('Tables - Part 3'!$CZ$6:$CZ$11,MATCH(COF!JY11,'Tables - Part 3'!$CY$6:$CY$11,0)))))))</f>
        <v>#N/A</v>
      </c>
      <c r="KH11" s="151" t="e">
        <f>IF(CB11=$TK$5,'Tables - Part 3'!$CZ$6,IF(COF!CB11=COF!$TK$6,IF(COF!GG11&lt;'Tables - Part 3'!$CY$6,'Tables - Part 3'!$CZ$6,IF(GG11&gt;='Tables - Part 3'!$CY$11,'Tables - Part 3'!$CZ$11,((COF!GG11-COF!JZ11)*(INDEX('Tables - Part 3'!$CZ$6:$CZ$11,MATCH(COF!KD11,'Tables - Part 3'!$CY$6:$CY$11,0))-INDEX('Tables - Part 3'!$CZ$6:$CZ$11,MATCH(COF!JZ11,'Tables - Part 3'!$CY$6:$CY$11,0)))/(KD11-JZ11)+INDEX('Tables - Part 3'!$CZ$6:$CZ$11,MATCH(COF!JZ11,'Tables - Part 3'!$CY$6:$CY$11,0)))))))</f>
        <v>#N/A</v>
      </c>
      <c r="KI11" s="151" t="e">
        <f>IF(CC11=$TK$5,'Tables - Part 3'!$CZ$6,IF(COF!CC11=COF!$TK$6,IF(COF!GH11&lt;'Tables - Part 3'!$CY$6,'Tables - Part 3'!$CZ$6,IF(GH11&gt;='Tables - Part 3'!$CY$11,'Tables - Part 3'!$CZ$11,((COF!GH11-COF!KA11)*(INDEX('Tables - Part 3'!$CZ$6:$CZ$11,MATCH(COF!KE11,'Tables - Part 3'!$CY$6:$CY$11,0))-INDEX('Tables - Part 3'!$CZ$6:$CZ$11,MATCH(COF!KA11,'Tables - Part 3'!$CY$6:$CY$11,0)))/(KE11-KA11)+INDEX('Tables - Part 3'!$CZ$6:$CZ$11,MATCH(COF!KA11,'Tables - Part 3'!$CY$6:$CY$11,0)))))))</f>
        <v>#N/A</v>
      </c>
      <c r="KJ11" s="151" t="e">
        <f>IF(CD11=$TK$5,'Tables - Part 3'!$CZ$6,IF(COF!CD11=COF!$TK$6,IF(COF!GI11&lt;'Tables - Part 3'!$CY$6,'Tables - Part 3'!$CZ$6,IF(GI11&gt;='Tables - Part 3'!$CY$11,'Tables - Part 3'!$CZ$11,((COF!GI11-COF!KB11)*(INDEX('Tables - Part 3'!$CZ$6:$CZ$11,MATCH(COF!KF11,'Tables - Part 3'!$CY$6:$CY$11,0))-INDEX('Tables - Part 3'!$CZ$6:$CZ$11,MATCH(COF!KB11,'Tables - Part 3'!$CY$6:$CY$11,0)))/(KF11-KB11)+INDEX('Tables - Part 3'!$CZ$6:$CZ$11,MATCH(COF!KB11,'Tables - Part 3'!$CY$6:$CY$11,0)))))))</f>
        <v>#N/A</v>
      </c>
      <c r="KK11" s="153" t="e">
        <f>IF(CA11=$TK$5,'Tables - Part 3'!$DA$6,IF(COF!CA11=COF!$TK$6,IF(COF!GF11&lt;'Tables - Part 3'!$CY$6,'Tables - Part 3'!$DA$6,IF(GF11&gt;='Tables - Part 3'!$CY$11,'Tables - Part 3'!$DA$11,((COF!GF11-COF!JY11)*(INDEX('Tables - Part 3'!$DA$6:$DA$11,MATCH(COF!KC11,'Tables - Part 3'!$CY$6:$CY$11,0))-INDEX('Tables - Part 3'!$DA$6:$DA$11,MATCH(COF!JY11,'Tables - Part 3'!$CY$6:$CY$11,0)))/(KC11-JY11)+INDEX('Tables - Part 3'!$DA$6:$DA$16,MATCH(COF!JY11,'Tables - Part 3'!$CY$6:$CY$11,0)))))))</f>
        <v>#N/A</v>
      </c>
      <c r="KL11" s="153" t="e">
        <f>IF(CB11=$TK$5,'Tables - Part 3'!$DA$6,IF(COF!CB11=COF!$TK$6,IF(COF!GG11&lt;'Tables - Part 3'!$CY$6,'Tables - Part 3'!$DA$6,IF(GG11&gt;='Tables - Part 3'!$CY$11,'Tables - Part 3'!$DA$11,((COF!GG11-COF!JZ11)*(INDEX('Tables - Part 3'!$DA$6:$DA$11,MATCH(COF!KD11,'Tables - Part 3'!$CY$6:$CY$11,0))-INDEX('Tables - Part 3'!$DA$6:$DA$11,MATCH(COF!JZ11,'Tables - Part 3'!$CY$6:$CY$11,0)))/(KD11-JZ11)+INDEX('Tables - Part 3'!$DA$6:$DA$16,MATCH(COF!JZ11,'Tables - Part 3'!$CY$6:$CY$11,0)))))))</f>
        <v>#N/A</v>
      </c>
      <c r="KM11" s="153" t="e">
        <f>IF(CC11=$TK$5,'Tables - Part 3'!$DA$6,IF(COF!CC11=COF!$TK$6,IF(COF!GH11&lt;'Tables - Part 3'!$CY$6,'Tables - Part 3'!$DA$6,IF(GH11&gt;='Tables - Part 3'!$CY$11,'Tables - Part 3'!$DA$11,((COF!GH11-COF!KA11)*(INDEX('Tables - Part 3'!$DA$6:$DA$11,MATCH(COF!KE11,'Tables - Part 3'!$CY$6:$CY$11,0))-INDEX('Tables - Part 3'!$DA$6:$DA$11,MATCH(COF!KA11,'Tables - Part 3'!$CY$6:$CY$11,0)))/(KE11-KA11)+INDEX('Tables - Part 3'!$DA$6:$DA$16,MATCH(COF!KA11,'Tables - Part 3'!$CY$6:$CY$11,0)))))))</f>
        <v>#N/A</v>
      </c>
      <c r="KN11" s="153" t="e">
        <f>IF(CD11=$TK$5,'Tables - Part 3'!$DA$6,IF(COF!CD11=COF!$TK$6,IF(COF!GI11&lt;'Tables - Part 3'!$CY$6,'Tables - Part 3'!$DA$6,IF(GI11&gt;='Tables - Part 3'!$CY$11,'Tables - Part 3'!$DA$11,((COF!GI11-COF!KB11)*(INDEX('Tables - Part 3'!$DA$6:$DA$11,MATCH(COF!KF11,'Tables - Part 3'!$CY$6:$CY$11,0))-INDEX('Tables - Part 3'!$DA$6:$DA$11,MATCH(COF!KB11,'Tables - Part 3'!$CY$6:$CY$11,0)))/(KF11-KB11)+INDEX('Tables - Part 3'!$DA$6:$DA$16,MATCH(COF!KB11,'Tables - Part 3'!$CY$6:$CY$11,0)))))))</f>
        <v>#N/A</v>
      </c>
      <c r="KO11" s="153">
        <f t="shared" ref="KO11:KO20" si="280">IF($K11=$TQ$12,$L11*BV11,0)</f>
        <v>0</v>
      </c>
      <c r="KP11" s="153">
        <f t="shared" si="103"/>
        <v>0</v>
      </c>
      <c r="KQ11" s="153">
        <f t="shared" si="104"/>
        <v>0</v>
      </c>
      <c r="KR11" s="153">
        <f t="shared" si="105"/>
        <v>0</v>
      </c>
      <c r="KS11" s="151" t="e">
        <f t="shared" si="208"/>
        <v>#N/A</v>
      </c>
      <c r="KT11" s="151" t="e">
        <f t="shared" si="209"/>
        <v>#N/A</v>
      </c>
      <c r="KU11" s="151" t="e">
        <f t="shared" si="210"/>
        <v>#N/A</v>
      </c>
      <c r="KV11" s="151" t="e">
        <f t="shared" si="211"/>
        <v>#N/A</v>
      </c>
      <c r="KW11" s="151" t="e">
        <f>IF(CA11=$TK$5,'Tables - Part 3'!$CZ$12,IF(COF!CA11=COF!$TK$6,IF(COF!GF11&lt;'Tables - Part 3'!$CY$12,'Tables - Part 3'!$CZ$12,IF(GF11&gt;='Tables - Part 3'!$CY$17,'Tables - Part 3'!$CZ$17,((COF!GF11-COF!JY11)*(INDEX('Tables - Part 3'!$CZ$12:$CZ$17,MATCH(COF!KC11,'Tables - Part 3'!$CY$12:$CY$17,0))-INDEX('Tables - Part 3'!$CZ$12:$CZ$17,MATCH(COF!JY11,'Tables - Part 3'!$CY$12:$CY$17,0)))/(KC11-JY11)+INDEX('Tables - Part 3'!$CZ$12:$CZ$17,MATCH(COF!JY11,'Tables - Part 3'!$CY$12:$CY$17,0)))))))</f>
        <v>#N/A</v>
      </c>
      <c r="KX11" s="151" t="e">
        <f>IF(CB11=$TK$5,'Tables - Part 3'!$CZ$12,IF(COF!CB11=COF!$TK$6,IF(COF!GG11&lt;'Tables - Part 3'!$CY$12,'Tables - Part 3'!$CZ$12,IF(GG11&gt;='Tables - Part 3'!$CY$17,'Tables - Part 3'!$CZ$17,((COF!GG11-COF!JZ11)*(INDEX('Tables - Part 3'!$CZ$12:$CZ$17,MATCH(COF!KD11,'Tables - Part 3'!$CY$12:$CY$17,0))-INDEX('Tables - Part 3'!$CZ$12:$CZ$17,MATCH(COF!JZ11,'Tables - Part 3'!$CY$12:$CY$17,0)))/(KD11-JZ11)+INDEX('Tables - Part 3'!$CZ$12:$CZ$17,MATCH(COF!JZ11,'Tables - Part 3'!$CY$12:$CY$17,0)))))))</f>
        <v>#N/A</v>
      </c>
      <c r="KY11" s="151" t="e">
        <f>IF(CC11=$TK$5,'Tables - Part 3'!$CZ$12,IF(COF!CC11=COF!$TK$6,IF(COF!GH11&lt;'Tables - Part 3'!$CY$12,'Tables - Part 3'!$CZ$12,IF(GH11&gt;='Tables - Part 3'!$CY$17,'Tables - Part 3'!$CZ$17,((COF!GH11-COF!KA11)*(INDEX('Tables - Part 3'!$CZ$12:$CZ$17,MATCH(COF!KE11,'Tables - Part 3'!$CY$12:$CY$17,0))-INDEX('Tables - Part 3'!$CZ$12:$CZ$17,MATCH(COF!KA11,'Tables - Part 3'!$CY$12:$CY$17,0)))/(KE11-KA11)+INDEX('Tables - Part 3'!$CZ$12:$CZ$17,MATCH(COF!KA11,'Tables - Part 3'!$CY$12:$CY$17,0)))))))</f>
        <v>#N/A</v>
      </c>
      <c r="KZ11" s="151" t="e">
        <f>IF(CD11=$TK$5,'Tables - Part 3'!$CZ$12,IF(COF!CD11=COF!$TK$6,IF(COF!GI11&lt;'Tables - Part 3'!$CY$12,'Tables - Part 3'!$CZ$12,IF(GI11&gt;='Tables - Part 3'!$CY$17,'Tables - Part 3'!$CZ$17,((COF!GI11-COF!KB11)*(INDEX('Tables - Part 3'!$CZ$12:$CZ$17,MATCH(COF!KF11,'Tables - Part 3'!$CY$12:$CY$17,0))-INDEX('Tables - Part 3'!$CZ$12:$CZ$17,MATCH(COF!KB11,'Tables - Part 3'!$CY$12:$CY$17,0)))/(KF11-KB11)+INDEX('Tables - Part 3'!$CZ$12:$CZ$17,MATCH(COF!KB11,'Tables - Part 3'!$CY$12:$CY$17,0)))))))</f>
        <v>#N/A</v>
      </c>
      <c r="LA11" s="151" t="e">
        <f>IF(CA11=$TK$5,'Tables - Part 3'!$DA$6,IF(COF!CA11=COF!$TK$6,IF(COF!GF11&lt;'Tables - Part 3'!$CY$6,'Tables - Part 3'!$DA$6,IF(GF11&gt;='Tables - Part 3'!$CY$11,'Tables - Part 3'!$DA$11,((COF!GF11-COF!JY11)*(INDEX('Tables - Part 3'!$DA$6:$DA$11,MATCH(COF!KC11,'Tables - Part 3'!$CY$6:$CY$11,0))-INDEX('Tables - Part 3'!$DA$6:$DA$11,MATCH(COF!JY11,'Tables - Part 3'!$CY$6:$CY$11,0)))/(KC11-JY11)+INDEX('Tables - Part 3'!$DA$5:$DA$16,MATCH(COF!JY11,'Tables - Part 3'!$CY$6:$CY$11,0)))))))</f>
        <v>#N/A</v>
      </c>
      <c r="LB11" s="151" t="e">
        <f>IF(CB11=$TK$5,'Tables - Part 3'!$DA$6,IF(COF!CB11=COF!$TK$6,IF(COF!GG11&lt;'Tables - Part 3'!$CY$6,'Tables - Part 3'!$DA$6,IF(GG11&gt;='Tables - Part 3'!$CY$11,'Tables - Part 3'!$DA$11,((COF!GG11-COF!JZ11)*(INDEX('Tables - Part 3'!$DA$6:$DA$11,MATCH(COF!KD11,'Tables - Part 3'!$CY$6:$CY$11,0))-INDEX('Tables - Part 3'!$DA$6:$DA$11,MATCH(COF!JZ11,'Tables - Part 3'!$CY$6:$CY$11,0)))/(KD11-JZ11)+INDEX('Tables - Part 3'!$DA$5:$DA$16,MATCH(COF!JZ11,'Tables - Part 3'!$CY$6:$CY$11,0)))))))</f>
        <v>#N/A</v>
      </c>
      <c r="LC11" s="151" t="e">
        <f>IF(CC11=$TK$5,'Tables - Part 3'!$DA$6,IF(COF!CC11=COF!$TK$6,IF(COF!GH11&lt;'Tables - Part 3'!$CY$6,'Tables - Part 3'!$DA$6,IF(GH11&gt;='Tables - Part 3'!$CY$11,'Tables - Part 3'!$DA$11,((COF!GH11-COF!KA11)*(INDEX('Tables - Part 3'!$DA$6:$DA$11,MATCH(COF!KE11,'Tables - Part 3'!$CY$6:$CY$11,0))-INDEX('Tables - Part 3'!$DA$6:$DA$11,MATCH(COF!KA11,'Tables - Part 3'!$CY$6:$CY$11,0)))/(KE11-KA11)+INDEX('Tables - Part 3'!$DA$5:$DA$16,MATCH(COF!KA11,'Tables - Part 3'!$CY$6:$CY$11,0)))))))</f>
        <v>#N/A</v>
      </c>
      <c r="LD11" s="151" t="e">
        <f>IF(CD11=$TK$5,'Tables - Part 3'!$DA$6,IF(COF!CD11=COF!$TK$6,IF(COF!GI11&lt;'Tables - Part 3'!$CY$6,'Tables - Part 3'!$DA$6,IF(GI11&gt;='Tables - Part 3'!$CY$11,'Tables - Part 3'!$DA$11,((COF!GI11-COF!KB11)*(INDEX('Tables - Part 3'!$DA$6:$DA$11,MATCH(COF!KF11,'Tables - Part 3'!$CY$6:$CY$11,0))-INDEX('Tables - Part 3'!$DA$6:$DA$11,MATCH(COF!KB11,'Tables - Part 3'!$CY$6:$CY$11,0)))/(KF11-KB11)+INDEX('Tables - Part 3'!$DA$5:$DA$16,MATCH(COF!KB11,'Tables - Part 3'!$CY$6:$CY$11,0)))))))</f>
        <v>#N/A</v>
      </c>
      <c r="LE11" s="154"/>
      <c r="LF11" s="154"/>
      <c r="LG11" s="154"/>
      <c r="LH11" s="154"/>
      <c r="LI11" s="154"/>
      <c r="LJ11" s="154"/>
      <c r="LK11" s="154"/>
      <c r="LL11" s="151" t="e">
        <f t="shared" si="212"/>
        <v>#N/A</v>
      </c>
      <c r="LM11" s="151" t="e">
        <f t="shared" si="213"/>
        <v>#N/A</v>
      </c>
      <c r="LN11" s="151" t="e">
        <f t="shared" si="214"/>
        <v>#N/A</v>
      </c>
      <c r="LO11" s="151" t="e">
        <f t="shared" si="215"/>
        <v>#N/A</v>
      </c>
      <c r="LP11" s="151">
        <f t="shared" si="106"/>
        <v>0</v>
      </c>
      <c r="LQ11" s="502">
        <f>IF($F11='Tables - Part 3'!$B$17,'Tables - Part 3.B'!$C$11*COF!CJ11,0)</f>
        <v>0</v>
      </c>
      <c r="LR11" s="502">
        <f>IF($F11='Tables - Part 3'!$B$17,'Tables - Part 3.B'!$C$11*COF!CK11,0)</f>
        <v>0</v>
      </c>
      <c r="LS11" s="502">
        <f>IF($F11='Tables - Part 3'!$B$17,'Tables - Part 3.B'!$C$11*COF!CL11,0)</f>
        <v>0</v>
      </c>
      <c r="LT11" s="502">
        <f>IF($F11='Tables - Part 3'!$B$17,'Tables - Part 3.B'!$C$11*COF!CM11,0)</f>
        <v>0</v>
      </c>
      <c r="LU11" s="502">
        <f>IF($F11='Tables - Part 3'!$B$17,'Tables - Part 3.B'!$C$12*POWER(COF!CR11,0.6384),0)</f>
        <v>0</v>
      </c>
      <c r="LV11" s="502">
        <f>IF($F11='Tables - Part 3'!$B$17,'Tables - Part 3.B'!$C$12*POWER(COF!CS11,0.6384),0)</f>
        <v>0</v>
      </c>
      <c r="LW11" s="502">
        <f>IF($F11='Tables - Part 3'!$B$17,'Tables - Part 3.B'!$C$12*POWER(COF!CT11,0.6384),0)</f>
        <v>0</v>
      </c>
      <c r="LX11" s="502">
        <f>IF($F11='Tables - Part 3'!$B$17,'Tables - Part 3.B'!$C$12*POWER(COF!CU11,0.6384),0)</f>
        <v>0</v>
      </c>
      <c r="LY11" s="151" t="e">
        <f>MIN(CJ11/'Tables - Part 3.B'!$C$8,1)</f>
        <v>#N/A</v>
      </c>
      <c r="LZ11" s="151" t="e">
        <f>MIN(CK11/'Tables - Part 3.B'!$C$8,1)</f>
        <v>#N/A</v>
      </c>
      <c r="MA11" s="151" t="e">
        <f>MIN(CL11/'Tables - Part 3.B'!$C$8,1)</f>
        <v>#N/A</v>
      </c>
      <c r="MB11" s="151" t="e">
        <f>MIN(CM11/'Tables - Part 3.B'!$C$8,1)</f>
        <v>#N/A</v>
      </c>
      <c r="MC11" s="151" t="e">
        <f t="shared" si="216"/>
        <v>#N/A</v>
      </c>
      <c r="MD11" s="151" t="e">
        <f t="shared" si="107"/>
        <v>#N/A</v>
      </c>
      <c r="ME11" s="151" t="e">
        <f t="shared" si="107"/>
        <v>#N/A</v>
      </c>
      <c r="MF11" s="151" t="e">
        <f t="shared" si="107"/>
        <v>#N/A</v>
      </c>
      <c r="MG11" s="502">
        <f>IF($F11='Tables - Part 3'!$B$18,0.2*'Tables - Part 3.B'!$C$10*$ML11*POWER('Tables - Part 3.B'!$C$7*CJ11,$MM11),0)</f>
        <v>0</v>
      </c>
      <c r="MH11" s="502">
        <f>IF($F11='Tables - Part 3'!$B$18,0.2*'Tables - Part 3.B'!$C$10*$ML11*POWER('Tables - Part 3.B'!$C$7*CK11,$MM11),0)</f>
        <v>0</v>
      </c>
      <c r="MI11" s="502">
        <f>IF($F11='Tables - Part 3'!$B$18,0.2*'Tables - Part 3.B'!$C$10*$ML11*POWER('Tables - Part 3.B'!$C$7*CL11,$MM11),0)</f>
        <v>0</v>
      </c>
      <c r="MJ11" s="502">
        <f>IF($F11='Tables - Part 3'!$B$18,0.2*'Tables - Part 3.B'!$C$10*$ML11*POWER('Tables - Part 3.B'!$C$7*CM11,$MM11),0)</f>
        <v>0</v>
      </c>
      <c r="MK11" s="151">
        <v>0</v>
      </c>
      <c r="ML11" s="151" t="e">
        <f>2696-21.9*'Tables - Part 3.B'!$C$13*(COF!OO11-COF!$TM$5)+1.474*POWER('Tables - Part 3.B'!$C$13*(COF!OO11-COF!$TM$5),2)</f>
        <v>#VALUE!</v>
      </c>
      <c r="MM11" s="151" t="e">
        <f>0.31-0.00032*POWER('Tables - Part 3.B'!$C$13*(COF!OO11-COF!$TM$5)-40,2)</f>
        <v>#VALUE!</v>
      </c>
      <c r="MN11" s="151">
        <v>0</v>
      </c>
      <c r="MO11" s="151">
        <f t="shared" si="217"/>
        <v>0</v>
      </c>
      <c r="MP11" s="151">
        <f t="shared" si="108"/>
        <v>0</v>
      </c>
      <c r="MQ11" s="151">
        <f t="shared" si="108"/>
        <v>0</v>
      </c>
      <c r="MR11" s="151">
        <f t="shared" si="108"/>
        <v>0</v>
      </c>
      <c r="MS11" s="151" t="e">
        <f t="shared" si="218"/>
        <v>#N/A</v>
      </c>
      <c r="MT11" s="151" t="e">
        <f t="shared" si="219"/>
        <v>#N/A</v>
      </c>
      <c r="MU11" s="151" t="e">
        <f t="shared" si="220"/>
        <v>#N/A</v>
      </c>
      <c r="MV11" s="151" t="e">
        <f t="shared" si="221"/>
        <v>#N/A</v>
      </c>
      <c r="MW11" s="151">
        <f t="shared" si="222"/>
        <v>0</v>
      </c>
      <c r="MX11" s="151">
        <f t="shared" si="223"/>
        <v>0</v>
      </c>
      <c r="MY11" s="151">
        <f t="shared" si="224"/>
        <v>0</v>
      </c>
      <c r="MZ11" s="526">
        <f t="shared" si="109"/>
        <v>0</v>
      </c>
      <c r="NA11" s="151" t="e">
        <f>INDEX('Tables - Part 3'!DQ$5:DQ$32,MATCH($E11,'Tables - Part 3'!$DP$5:$DP$32,0))</f>
        <v>#N/A</v>
      </c>
      <c r="NB11" s="151" t="e">
        <f>INDEX('Tables - Part 3'!DR$5:DR$32,MATCH($E11,'Tables - Part 3'!$DP$5:$DP$32,0))</f>
        <v>#N/A</v>
      </c>
      <c r="NC11" s="151" t="e">
        <f>INDEX('Tables - Part 3'!DS$5:DS$32,MATCH($E11,'Tables - Part 3'!$DP$5:$DP$32,0))</f>
        <v>#N/A</v>
      </c>
      <c r="ND11" s="151" t="e">
        <f>INDEX('Tables - Part 3'!DT$5:DT$32,MATCH($E11,'Tables - Part 3'!$DP$5:$DP$32,0))</f>
        <v>#N/A</v>
      </c>
      <c r="NE11" s="151" t="e">
        <f>IF(W11='Tables - Part 3'!$DV$44,COF!X11,IF(OR(COF!X11&lt;&gt;0,COF!X11&lt;&gt;""),COF!X11,INDEX('Tables - Part 3'!$DW$4:$DW$43,MATCH(COF!W11,'Tables - Part 3'!$DV$4:$DV$43,0))))</f>
        <v>#N/A</v>
      </c>
      <c r="NF11" s="151">
        <f t="shared" si="110"/>
        <v>1</v>
      </c>
      <c r="NG11" s="151" t="e">
        <f t="shared" si="225"/>
        <v>#N/A</v>
      </c>
      <c r="NH11" s="151">
        <f t="shared" si="111"/>
        <v>0</v>
      </c>
      <c r="NI11" s="151" t="e">
        <f>INDEX('Tables - Part 3'!EC$5:EC$31,MATCH(COF!$E11,'Tables - Part 3'!$EB$5:$EB$31,0))</f>
        <v>#N/A</v>
      </c>
      <c r="NJ11" s="151" t="e">
        <f>INDEX('Tables - Part 3'!ED$5:ED$31,MATCH(COF!$E11,'Tables - Part 3'!$EB$5:$EB$31,0))</f>
        <v>#N/A</v>
      </c>
      <c r="NK11" s="151" t="e">
        <f>INDEX('Tables - Part 3'!EE$5:EE$31,MATCH(COF!$E11,'Tables - Part 3'!$EB$5:$EB$31,0))</f>
        <v>#N/A</v>
      </c>
      <c r="NL11" s="151" t="e">
        <f>INDEX('Tables - Part 3'!EF$5:EF$31,MATCH(COF!$E11,'Tables - Part 3'!$EB$5:$EB$31,0))</f>
        <v>#N/A</v>
      </c>
      <c r="NM11" s="151">
        <f t="shared" si="112"/>
        <v>1</v>
      </c>
      <c r="NN11" s="151" t="e">
        <f t="shared" si="226"/>
        <v>#N/A</v>
      </c>
      <c r="NO11" s="151" t="e">
        <f t="shared" si="227"/>
        <v>#NUM!</v>
      </c>
      <c r="NP11" s="151" t="e">
        <f t="shared" si="113"/>
        <v>#N/A</v>
      </c>
      <c r="NQ11" s="151">
        <f t="shared" si="114"/>
        <v>0</v>
      </c>
      <c r="NR11" s="151" t="e">
        <f>INDEX('Tables - Part 3'!$EL$4:$EL$37,MATCH(COF!F11,'Tables - Part 3'!$EH$4:$EH$37,0))</f>
        <v>#N/A</v>
      </c>
      <c r="NS11" s="151" t="e">
        <f>CR11*(1-$NR11)*'Tables - Part 3.B'!$C$15/COF!$AS11</f>
        <v>#N/A</v>
      </c>
      <c r="NT11" s="151" t="e">
        <f>CS11*(1-$NR11)*'Tables - Part 3.B'!$C$15/COF!$AS11</f>
        <v>#N/A</v>
      </c>
      <c r="NU11" s="151" t="e">
        <f>CT11*(1-$NR11)*'Tables - Part 3.B'!$C$15/COF!$AS11</f>
        <v>#N/A</v>
      </c>
      <c r="NV11" s="151" t="e">
        <f>CU11*(1-$NR11)*'Tables - Part 3.B'!$C$15/COF!$AS11</f>
        <v>#N/A</v>
      </c>
      <c r="NW11" s="151" t="e">
        <f t="shared" si="115"/>
        <v>#N/A</v>
      </c>
      <c r="NX11" s="542">
        <f t="shared" si="116"/>
        <v>0</v>
      </c>
      <c r="NY11" s="156" t="e">
        <f>0.61*$ON11*$AS11*(BM11/'Tables - Part 3.B'!$C$4)*SQRT((2*$TM$13*($OO11-$TM$5)/$AS11))</f>
        <v>#N/A</v>
      </c>
      <c r="NZ11" s="155" t="e">
        <f>0.61*$ON11*$AS11*(BN11/'Tables - Part 3.B'!$C$4)*SQRT((2*$TM$13*($OO11-$TM$5)/$AS11))</f>
        <v>#N/A</v>
      </c>
      <c r="OA11" s="155" t="e">
        <f>0.61*$ON11*$AS11*(BO11/'Tables - Part 3.B'!$C$4)*SQRT((2*$TM$13*($OO11-$TM$5)/$AS11))</f>
        <v>#N/A</v>
      </c>
      <c r="OB11" s="155" t="e">
        <f>0.61*$ON11*$AS11*(BP11/'Tables - Part 3.B'!$C$4)*SQRT((2*$TM$13*($OO11-$TM$5)/$AS11))</f>
        <v>#N/A</v>
      </c>
      <c r="OC11" s="155" t="e">
        <f>0.61*$ON11*AS11*(32450/'Tables - Part 3.B'!$C$4)*SQRT((2*$TM$13*(OO11-$TM$5)/AS11))</f>
        <v>#N/A</v>
      </c>
      <c r="OD11" s="156" t="e">
        <f>(0.9/'Tables - Part 3.B'!$C$5)*BM11*$OO11*SQRT(($AV11*$AU11*$TM$13/(8.314*$OP11))*POWER(2/($AV11+1),(($AV11+1)/($AV11-1))))</f>
        <v>#VALUE!</v>
      </c>
      <c r="OE11" s="156" t="e">
        <f>(0.9/'Tables - Part 3.B'!$C$5)*BN11*$OO11*SQRT(($AV11*$AU11*$TM$13/(8.314*$OP11))*POWER(2/($AV11+1),(($AV11+1)/($AV11-1))))</f>
        <v>#VALUE!</v>
      </c>
      <c r="OF11" s="156" t="e">
        <f>(0.9/'Tables - Part 3.B'!$C$5)*BO11*$OO11*SQRT(($AV11*$AU11*$TM$13/(8.314*$OP11))*POWER(2/($AV11+1),(($AV11+1)/($AV11-1))))</f>
        <v>#VALUE!</v>
      </c>
      <c r="OG11" s="156" t="e">
        <f>(0.9/'Tables - Part 3.B'!$C$5)*BP11*$OO11*SQRT(($AV11*$AU11*$TM$13/(8.314*$OP11))*POWER(2/($AV11+1),(($AV11+1)/($AV11-1))))</f>
        <v>#VALUE!</v>
      </c>
      <c r="OH11" s="156" t="e">
        <f>(0.9/'Tables - Part 3.B'!$C$5)*32450*$OO11*SQRT(($AV11*$AU11*$TM$13/(8.314*$OP11))*POWER(2/($AV11+1),(($AV11+1)/($AV11-1))))</f>
        <v>#VALUE!</v>
      </c>
      <c r="OI11" s="156" t="e">
        <f>(0.9/'Tables - Part 3.B'!$C$5)*BM11*$OO11*SQRT((($AU11*$TM$13)/(8.314*$OP11))*((2*$AV11)/($AV11-1))*POWER(($TM$5/$OO11),(2/$AV11))*(1-POWER(($TM$5/$OO11),(($AV11-1)/$AV11))))</f>
        <v>#VALUE!</v>
      </c>
      <c r="OJ11" s="156" t="e">
        <f>(0.9/'Tables - Part 3.B'!$C$5)*BN11*$OO11*SQRT((($AU11*$TM$13)/(8.314*$OP11))*((2*$AV11)/($AV11-1))*POWER(($TM$5/$OO11),(2/$AV11))*(1-POWER(($TM$5/$OO11),(($AV11-1)/$AV11))))</f>
        <v>#VALUE!</v>
      </c>
      <c r="OK11" s="156" t="e">
        <f>(0.9/'Tables - Part 3.B'!$C$5)*BO11*$OO11*SQRT((($AU11*$TM$13)/(8.314*$OP11))*((2*$AV11)/($AV11-1))*POWER(($TM$5/$OO11),(2/$AV11))*(1-POWER(($TM$5/$OO11),(($AV11-1)/$AV11))))</f>
        <v>#VALUE!</v>
      </c>
      <c r="OL11" s="156" t="e">
        <f>(0.9/'Tables - Part 3.B'!$C$5)*BP11*$OO11*SQRT((($AU11*$TM$13)/(8.314*$OP11))*((2*$AV11)/($AV11-1))*POWER(($TM$5/$OO11),(2/$AV11))*(1-POWER(($TM$5/$OO11),(($AV11-1)/$AV11))))</f>
        <v>#VALUE!</v>
      </c>
      <c r="OM11" s="156" t="e">
        <f>(0.9/'Tables - Part 3.B'!$C$5)*32450*$OO11*SQRT((($AU11*$TM$13)/(8.314*$OP11))*((2*$AV11)/($AV11-1))*POWER(($TM$5/$OO11),(2/$AV11))*(1-POWER(($TM$5/$OO11),(($AV11-1)/$AV11))))</f>
        <v>#VALUE!</v>
      </c>
      <c r="ON11" s="156">
        <f t="shared" si="117"/>
        <v>1</v>
      </c>
      <c r="OO11" s="157" t="str">
        <f t="shared" si="118"/>
        <v/>
      </c>
      <c r="OP11" s="157" t="str">
        <f t="shared" si="119"/>
        <v/>
      </c>
      <c r="OQ11" s="158" t="e">
        <f t="shared" si="228"/>
        <v>#N/A</v>
      </c>
      <c r="OR11" s="158" t="e">
        <f>INDEX('Tables - Part 3'!$F$4:$R$35,MATCH(COF!$F11,'Tables - Part 3'!$F$4:$F$35,0),COUNTA('Tables - Part 3'!$F$3:$K$3))</f>
        <v>#N/A</v>
      </c>
      <c r="OS11" s="158" t="e">
        <f t="shared" si="229"/>
        <v>#N/A</v>
      </c>
      <c r="OT11" s="158" t="e">
        <f t="shared" si="230"/>
        <v>#N/A</v>
      </c>
      <c r="OU11" s="158" t="e">
        <f t="shared" si="231"/>
        <v>#N/A</v>
      </c>
      <c r="OV11" s="159" t="e">
        <f>INDEX('Tables - Part 3'!$M$4:$Q$35,MATCH(COF!$F11,'Tables - Part 3'!$F$4:$F$35,0),COUNTA('Tables - Part 3'!$M$3))</f>
        <v>#N/A</v>
      </c>
      <c r="OW11" s="159" t="e">
        <f>INDEX('Tables - Part 3'!$M$4:$Q$35,MATCH(COF!$F11,'Tables - Part 3'!$F$4:$F$35,0),COUNTA('Tables - Part 3'!$M$3:$N$3))</f>
        <v>#N/A</v>
      </c>
      <c r="OX11" s="159" t="e">
        <f>INDEX('Tables - Part 3'!$M$4:$Q$35,MATCH(COF!$F11,'Tables - Part 3'!$F$4:$F$35,0),COUNTA('Tables - Part 3'!$M$3:$O$3))</f>
        <v>#N/A</v>
      </c>
      <c r="OY11" s="159" t="e">
        <f>INDEX('Tables - Part 3'!$M$4:$Q$35,MATCH(COF!$F11,'Tables - Part 3'!$F$4:$F$35,0),COUNTA('Tables - Part 3'!$M$3:$P$3))</f>
        <v>#N/A</v>
      </c>
      <c r="OZ11" s="160" t="e">
        <f>INDEX('Tables - Part 3'!$M$4:$Q$35,MATCH(COF!$F11,'Tables - Part 3'!$F$4:$F$35,0),COUNTA('Tables - Part 3'!$M$3:$Q$3))</f>
        <v>#N/A</v>
      </c>
      <c r="PA11" s="162" t="e">
        <f>INDEX('Tables - Part 3'!$I$4:$I$35,MATCH(COF!$F11,'Tables - Part 3'!$F$4:$F$35,0))</f>
        <v>#N/A</v>
      </c>
      <c r="PB11" s="158" t="e">
        <f t="shared" si="120"/>
        <v>#N/A</v>
      </c>
      <c r="PC11" s="158" t="str">
        <f t="shared" si="121"/>
        <v/>
      </c>
      <c r="PD11" s="158" t="e">
        <f>INDEX('Tables - Part 3'!AW$7:AW$31,MATCH(COF!$F11,'Tables - Part 3'!$AU$7:$AU$31,0),1)</f>
        <v>#N/A</v>
      </c>
      <c r="PE11" s="158" t="e">
        <f>INDEX('Tables - Part 3'!AX$7:AX$31,MATCH(COF!$F11,'Tables - Part 3'!$AU$7:$AU$31,0),1)</f>
        <v>#N/A</v>
      </c>
      <c r="PF11" s="158" t="e">
        <f>INDEX('Tables - Part 3'!AY$7:AY$31,MATCH(COF!$F11,'Tables - Part 3'!$AU$7:$AU$31,0),1)</f>
        <v>#N/A</v>
      </c>
      <c r="PG11" s="158" t="e">
        <f>INDEX('Tables - Part 3'!AZ$7:AZ$31,MATCH(COF!$F11,'Tables - Part 3'!$AU$7:$AU$31,0),1)</f>
        <v>#N/A</v>
      </c>
      <c r="PH11" s="158" t="e">
        <f>INDEX('Tables - Part 3'!BA$7:BA$31,MATCH(COF!$F11,'Tables - Part 3'!$AU$7:$AU$31,0),1)</f>
        <v>#N/A</v>
      </c>
      <c r="PI11" s="158" t="e">
        <f>INDEX('Tables - Part 3'!BB$7:BB$31,MATCH(COF!$F11,'Tables - Part 3'!$AU$7:$AU$31,0),1)</f>
        <v>#N/A</v>
      </c>
      <c r="PJ11" s="158" t="e">
        <f>INDEX('Tables - Part 3'!BC$7:BC$31,MATCH(COF!$F11,'Tables - Part 3'!$AU$7:$AU$31,0),1)</f>
        <v>#N/A</v>
      </c>
      <c r="PK11" s="158" t="e">
        <f>INDEX('Tables - Part 3'!BD$7:BD$31,MATCH(COF!$F11,'Tables - Part 3'!$AU$7:$AU$31,0),1)</f>
        <v>#N/A</v>
      </c>
      <c r="PL11" s="158" t="e">
        <f>INDEX('Tables - Part 3'!BE$7:BE$31,MATCH(COF!$F11,'Tables - Part 3'!$AU$7:$AU$31,0),1)</f>
        <v>#N/A</v>
      </c>
      <c r="PM11" s="158" t="e">
        <f>INDEX('Tables - Part 3'!BF$7:BF$31,MATCH(COF!$F11,'Tables - Part 3'!$AU$7:$AU$31,0),1)</f>
        <v>#N/A</v>
      </c>
      <c r="PN11" s="158" t="e">
        <f>INDEX('Tables - Part 3'!BG$7:BG$31,MATCH(COF!$F11,'Tables - Part 3'!$AU$7:$AU$31,0),1)</f>
        <v>#N/A</v>
      </c>
      <c r="PO11" s="158" t="e">
        <f>INDEX('Tables - Part 3'!BH$7:BH$31,MATCH(COF!$F11,'Tables - Part 3'!$AU$7:$AU$31,0),1)</f>
        <v>#N/A</v>
      </c>
      <c r="PP11" s="158" t="e">
        <f>INDEX('Tables - Part 3'!BI$7:BI$31,MATCH(COF!$F11,'Tables - Part 3'!$AU$7:$AU$31,0),1)</f>
        <v>#N/A</v>
      </c>
      <c r="PQ11" s="158" t="e">
        <f>INDEX('Tables - Part 3'!BJ$7:BJ$31,MATCH(COF!$F11,'Tables - Part 3'!$AU$7:$AU$31,0),1)</f>
        <v>#N/A</v>
      </c>
      <c r="PR11" s="158" t="e">
        <f>INDEX('Tables - Part 3'!BK$7:BK$31,MATCH(COF!$F11,'Tables - Part 3'!$AU$7:$AU$31,0),1)</f>
        <v>#N/A</v>
      </c>
      <c r="PS11" s="158" t="e">
        <f>INDEX('Tables - Part 3'!BL$7:BL$31,MATCH(COF!$F11,'Tables - Part 3'!$AU$7:$AU$31,0),1)</f>
        <v>#N/A</v>
      </c>
      <c r="PT11" s="158" t="e">
        <f>INDEX('Tables - Part 3'!BP$7:BP$31,MATCH(COF!$F11,'Tables - Part 3'!$AU$7:$AU$31,0),1)</f>
        <v>#N/A</v>
      </c>
      <c r="PU11" s="158" t="e">
        <f>INDEX('Tables - Part 3'!BQ$7:BQ$31,MATCH(COF!$F11,'Tables - Part 3'!$AU$7:$AU$31,0),1)</f>
        <v>#N/A</v>
      </c>
      <c r="PV11" s="158" t="e">
        <f>INDEX('Tables - Part 3'!BR$7:BR$31,MATCH(COF!$F11,'Tables - Part 3'!$AU$7:$AU$31,0),1)</f>
        <v>#N/A</v>
      </c>
      <c r="PW11" s="158" t="e">
        <f>INDEX('Tables - Part 3'!BS$7:BS$31,MATCH(COF!$F11,'Tables - Part 3'!$AU$7:$AU$31,0),1)</f>
        <v>#N/A</v>
      </c>
      <c r="PX11" s="158" t="e">
        <f>INDEX('Tables - Part 3'!BT$7:BT$31,MATCH(COF!$F11,'Tables - Part 3'!$AU$7:$AU$31,0),1)</f>
        <v>#N/A</v>
      </c>
      <c r="PY11" s="158" t="e">
        <f>INDEX('Tables - Part 3'!BU$7:BU$31,MATCH(COF!$F11,'Tables - Part 3'!$AU$7:$AU$31,0),1)</f>
        <v>#N/A</v>
      </c>
      <c r="PZ11" s="158" t="e">
        <f>INDEX('Tables - Part 3'!BV$7:BV$31,MATCH(COF!$F11,'Tables - Part 3'!$AU$7:$AU$31,0),1)</f>
        <v>#N/A</v>
      </c>
      <c r="QA11" s="158" t="e">
        <f>INDEX('Tables - Part 3'!BW$7:BW$31,MATCH(COF!$F11,'Tables - Part 3'!$AU$7:$AU$31,0),1)</f>
        <v>#N/A</v>
      </c>
      <c r="QB11" s="158" t="e">
        <f>INDEX('Tables - Part 3'!BX$7:BX$31,MATCH(COF!$F11,'Tables - Part 3'!$AU$7:$AU$31,0),1)</f>
        <v>#N/A</v>
      </c>
      <c r="QC11" s="158" t="e">
        <f>INDEX('Tables - Part 3'!BY$7:BY$31,MATCH(COF!$F11,'Tables - Part 3'!$AU$7:$AU$31,0),1)</f>
        <v>#N/A</v>
      </c>
      <c r="QD11" s="158" t="e">
        <f>INDEX('Tables - Part 3'!BZ$7:BZ$31,MATCH(COF!$F11,'Tables - Part 3'!$AU$7:$AU$31,0),1)</f>
        <v>#N/A</v>
      </c>
      <c r="QE11" s="158" t="e">
        <f>INDEX('Tables - Part 3'!CA$7:CA$31,MATCH(COF!$F11,'Tables - Part 3'!$AU$7:$AU$31,0),1)</f>
        <v>#N/A</v>
      </c>
      <c r="QF11" s="158" t="e">
        <f>INDEX('Tables - Part 3'!CB$7:CB$31,MATCH(COF!$F11,'Tables - Part 3'!$AU$7:$AU$31,0),1)</f>
        <v>#N/A</v>
      </c>
      <c r="QG11" s="158" t="e">
        <f>INDEX('Tables - Part 3'!CC$7:CC$31,MATCH(COF!$F11,'Tables - Part 3'!$AU$7:$AU$31,0),1)</f>
        <v>#N/A</v>
      </c>
      <c r="QH11" s="158" t="e">
        <f>INDEX('Tables - Part 3'!CD$7:CD$31,MATCH(COF!$F11,'Tables - Part 3'!$AU$7:$AU$31,0),1)</f>
        <v>#N/A</v>
      </c>
      <c r="QI11" s="158" t="e">
        <f>INDEX('Tables - Part 3'!CE$7:CE$31,MATCH(COF!$F11,'Tables - Part 3'!$AU$7:$AU$31,0),1)</f>
        <v>#N/A</v>
      </c>
      <c r="QJ11" s="151">
        <f>'Tables - Part 5'!$R$4</f>
        <v>3.1749999999999998</v>
      </c>
      <c r="QK11" s="151">
        <f>'Tables - Part 5'!$R$5</f>
        <v>6.35</v>
      </c>
      <c r="QL11" s="151">
        <f>'Tables - Part 5'!$R$6</f>
        <v>50.8</v>
      </c>
      <c r="QM11" s="151">
        <f t="shared" si="122"/>
        <v>0</v>
      </c>
      <c r="QN11" s="151">
        <f t="shared" si="232"/>
        <v>7.9173043608984015</v>
      </c>
      <c r="QO11" s="151">
        <f t="shared" si="233"/>
        <v>31.669217443593606</v>
      </c>
      <c r="QP11" s="151">
        <f t="shared" si="234"/>
        <v>2026.8299163899908</v>
      </c>
      <c r="QQ11" s="151">
        <f t="shared" si="235"/>
        <v>0</v>
      </c>
      <c r="QR11" s="151">
        <f t="shared" si="236"/>
        <v>0</v>
      </c>
      <c r="QS11" s="151">
        <f>'Tables - Part 3.B'!$C$34*0.61*QN11*SQRT(2*$TM$15*QR11)</f>
        <v>0</v>
      </c>
      <c r="QT11" s="151">
        <f>'Tables - Part 3.B'!$C$34*0.61*QO11*SQRT(2*$TM$15*QS11)</f>
        <v>0</v>
      </c>
      <c r="QU11" s="151">
        <f>'Tables - Part 3.B'!$C$34*0.61*QP11*SQRT(2*$TM$15*QT11)</f>
        <v>0</v>
      </c>
      <c r="QV11" s="151">
        <f>'Tables - Part 3.B'!$C$34*0.61*QQ11*SQRT(2*$TM$15*QU11)</f>
        <v>0</v>
      </c>
      <c r="QW11" s="151">
        <f t="shared" si="237"/>
        <v>0</v>
      </c>
      <c r="QX11" s="151">
        <f t="shared" si="238"/>
        <v>0</v>
      </c>
      <c r="QY11" s="151">
        <f t="shared" si="239"/>
        <v>0</v>
      </c>
      <c r="QZ11" s="151">
        <f t="shared" si="240"/>
        <v>0</v>
      </c>
      <c r="RA11" s="151">
        <f t="shared" si="241"/>
        <v>0</v>
      </c>
      <c r="RB11" s="151">
        <f>QX11*'Tables - Part 3.B'!$C$15</f>
        <v>0</v>
      </c>
      <c r="RC11" s="151">
        <f>QY11*'Tables - Part 3.B'!$C$15</f>
        <v>0</v>
      </c>
      <c r="RD11" s="151">
        <f>QZ11*'Tables - Part 3.B'!$C$15</f>
        <v>0</v>
      </c>
      <c r="RE11" s="151">
        <f>RA11*'Tables - Part 3.B'!$C$15</f>
        <v>0</v>
      </c>
      <c r="RF11" s="151" t="e">
        <f t="shared" si="242"/>
        <v>#N/A</v>
      </c>
      <c r="RG11" s="151" t="e">
        <f t="shared" si="243"/>
        <v>#N/A</v>
      </c>
      <c r="RH11" s="151" t="e">
        <f t="shared" si="244"/>
        <v>#N/A</v>
      </c>
      <c r="RI11" s="151" t="e">
        <f t="shared" si="245"/>
        <v>#N/A</v>
      </c>
      <c r="RJ11" s="151">
        <f t="shared" si="246"/>
        <v>0</v>
      </c>
      <c r="RK11" s="151">
        <f t="shared" si="247"/>
        <v>0</v>
      </c>
      <c r="RL11" s="151">
        <f t="shared" si="248"/>
        <v>0</v>
      </c>
      <c r="RM11" s="151">
        <f t="shared" si="249"/>
        <v>0</v>
      </c>
      <c r="RN11" s="151">
        <v>7</v>
      </c>
      <c r="RO11" s="151">
        <v>1</v>
      </c>
      <c r="RP11" s="151">
        <v>1</v>
      </c>
      <c r="RQ11" s="151">
        <v>1</v>
      </c>
      <c r="RR11" s="151" t="e">
        <f t="shared" si="250"/>
        <v>#DIV/0!</v>
      </c>
      <c r="RS11" s="151" t="e">
        <f t="shared" si="251"/>
        <v>#DIV/0!</v>
      </c>
      <c r="RT11" s="151" t="e">
        <f t="shared" si="252"/>
        <v>#DIV/0!</v>
      </c>
      <c r="RU11" s="151" t="e">
        <f t="shared" si="253"/>
        <v>#DIV/0!</v>
      </c>
      <c r="RV11" s="151" t="e">
        <f t="shared" si="254"/>
        <v>#DIV/0!</v>
      </c>
      <c r="RW11" s="151" t="e">
        <f t="shared" si="255"/>
        <v>#DIV/0!</v>
      </c>
      <c r="RX11" s="151" t="e">
        <f t="shared" si="256"/>
        <v>#DIV/0!</v>
      </c>
      <c r="RY11" s="151" t="e">
        <f t="shared" si="257"/>
        <v>#DIV/0!</v>
      </c>
      <c r="RZ11" s="151" t="e">
        <f t="shared" si="258"/>
        <v>#DIV/0!</v>
      </c>
      <c r="SA11" s="151" t="e">
        <f t="shared" si="259"/>
        <v>#DIV/0!</v>
      </c>
      <c r="SB11" s="151" t="e">
        <f t="shared" si="260"/>
        <v>#DIV/0!</v>
      </c>
      <c r="SC11" s="151" t="e">
        <f t="shared" si="261"/>
        <v>#DIV/0!</v>
      </c>
      <c r="SD11" s="151">
        <f t="shared" si="262"/>
        <v>0</v>
      </c>
      <c r="SE11" s="151">
        <f t="shared" si="263"/>
        <v>0</v>
      </c>
      <c r="SF11" s="151">
        <f t="shared" si="264"/>
        <v>0</v>
      </c>
      <c r="SG11" s="151">
        <f t="shared" si="265"/>
        <v>0</v>
      </c>
      <c r="SH11" s="151">
        <f t="shared" si="266"/>
        <v>0</v>
      </c>
      <c r="SI11" s="151">
        <f t="shared" si="267"/>
        <v>0</v>
      </c>
      <c r="SJ11" s="151">
        <f t="shared" si="268"/>
        <v>0</v>
      </c>
      <c r="SK11" s="151">
        <f t="shared" si="269"/>
        <v>0</v>
      </c>
      <c r="SL11" s="542"/>
      <c r="SM11" s="542"/>
      <c r="SN11" s="542"/>
      <c r="SO11" s="151"/>
      <c r="SP11" s="151"/>
      <c r="SQ11" s="151"/>
      <c r="SR11" s="151"/>
      <c r="SS11" s="151"/>
      <c r="ST11" s="151"/>
      <c r="SU11" s="151"/>
      <c r="SV11" s="151"/>
      <c r="SW11" s="151"/>
      <c r="SX11" s="151"/>
      <c r="SY11" s="151"/>
      <c r="SZ11" s="151"/>
      <c r="TA11" s="151"/>
      <c r="TB11" s="151"/>
      <c r="TC11" s="151"/>
      <c r="TD11" s="151"/>
      <c r="TE11" s="542"/>
      <c r="TH11" s="158" t="s">
        <v>245</v>
      </c>
      <c r="TJ11" s="200" t="s">
        <v>166</v>
      </c>
      <c r="TK11" s="184" t="s">
        <v>15</v>
      </c>
      <c r="TQ11" s="155" t="s">
        <v>65</v>
      </c>
    </row>
    <row r="12" spans="2:537" x14ac:dyDescent="0.35">
      <c r="B12" s="161"/>
      <c r="C12" s="161"/>
      <c r="D12" s="161"/>
      <c r="E12" s="161"/>
      <c r="F12" s="666"/>
      <c r="G12" s="161"/>
      <c r="H12" s="537"/>
      <c r="I12" s="161"/>
      <c r="J12" s="161"/>
      <c r="K12" s="161"/>
      <c r="L12" s="161"/>
      <c r="M12" s="161"/>
      <c r="N12" s="161"/>
      <c r="O12" s="161"/>
      <c r="P12" s="161"/>
      <c r="Q12" s="161"/>
      <c r="R12" s="161"/>
      <c r="S12" s="667"/>
      <c r="T12" s="161"/>
      <c r="U12" s="161"/>
      <c r="V12" s="161"/>
      <c r="W12" s="161"/>
      <c r="X12" s="537"/>
      <c r="Y12" s="537"/>
      <c r="Z12" s="399"/>
      <c r="AA12" s="537"/>
      <c r="AB12" s="399"/>
      <c r="AC12" s="399"/>
      <c r="AD12" s="399"/>
      <c r="AE12" s="399"/>
      <c r="AF12" s="399"/>
      <c r="AG12" s="399"/>
      <c r="AH12" s="399"/>
      <c r="AI12" s="399"/>
      <c r="AJ12" s="399"/>
      <c r="AK12" s="399"/>
      <c r="AL12" s="399"/>
      <c r="AM12" s="399"/>
      <c r="AN12" s="399"/>
      <c r="AO12" s="399"/>
      <c r="AP12" s="399"/>
      <c r="AQ12" s="151" t="e">
        <f>INDEX('Tables - Part 3'!$J$4:$J$35,MATCH(COF!$F12,'Tables - Part 3'!$F$4:$F$35,0),1)</f>
        <v>#N/A</v>
      </c>
      <c r="AR12" s="151" t="e">
        <f>IF($G12=$TH$7,'Tables - Part 3'!$W$4,IF(AND($AQ12=$TH$7,COF!$PA12&lt;26.67),'Tables - Part 3'!$W$4,'Tables - Part 3'!$W$7))</f>
        <v>#N/A</v>
      </c>
      <c r="AS12" s="150" t="e">
        <f>INDEX('Tables - Part 3'!$F$4:$R$35,MATCH(COF!$F12,'Tables - Part 3'!$F$4:$F$35,0),COUNTA('Tables - Part 3'!$F$3:$H$3))</f>
        <v>#N/A</v>
      </c>
      <c r="AT12" s="279" t="e">
        <f t="shared" si="6"/>
        <v>#VALUE!</v>
      </c>
      <c r="AU12" s="151" t="e">
        <f>INDEX('Tables - Part 3'!$F$4:$R$35,MATCH(COF!$F12,'Tables - Part 3'!$F$4:$F$35,0),COUNTA('Tables - Part 3'!$F$3:$G$3))</f>
        <v>#N/A</v>
      </c>
      <c r="AV12" s="151" t="e">
        <f t="shared" si="131"/>
        <v>#N/A</v>
      </c>
      <c r="AW12" s="151" t="e">
        <f t="shared" si="7"/>
        <v>#N/A</v>
      </c>
      <c r="AX12" s="151" t="e">
        <f>INDEX('Tables - Part 3'!$F$4:$R$35,MATCH(COF!$F12,'Tables - Part 3'!$F$4:$F$35,0),COUNTA('Tables - Part 3'!$F$3:$R$3))+273.15</f>
        <v>#N/A</v>
      </c>
      <c r="AY12" s="151">
        <f t="shared" si="8"/>
        <v>0</v>
      </c>
      <c r="AZ12" s="151" t="e">
        <f t="shared" si="9"/>
        <v>#N/A</v>
      </c>
      <c r="BA12" s="151" t="e">
        <f t="shared" si="132"/>
        <v>#N/A</v>
      </c>
      <c r="BB12" s="151" t="e">
        <f t="shared" si="133"/>
        <v>#N/A</v>
      </c>
      <c r="BC12" s="151" t="e">
        <f t="shared" si="134"/>
        <v>#N/A</v>
      </c>
      <c r="BD12" s="151" t="e">
        <f t="shared" si="135"/>
        <v>#N/A</v>
      </c>
      <c r="BE12" s="151" t="e">
        <f t="shared" si="10"/>
        <v>#N/A</v>
      </c>
      <c r="BF12" s="151" t="e">
        <f t="shared" si="11"/>
        <v>#N/A</v>
      </c>
      <c r="BG12" s="151" t="e">
        <f t="shared" si="12"/>
        <v>#N/A</v>
      </c>
      <c r="BH12" s="151" t="e">
        <f t="shared" si="13"/>
        <v>#N/A</v>
      </c>
      <c r="BI12" s="151">
        <f>'Tables - Part 3'!$AD$4</f>
        <v>6.4</v>
      </c>
      <c r="BJ12" s="151">
        <f>MIN(O12,'Tables - Part 3'!$AD$5)</f>
        <v>25</v>
      </c>
      <c r="BK12" s="151">
        <f>MIN(O12,'Tables - Part 3'!$AD$6)</f>
        <v>102</v>
      </c>
      <c r="BL12" s="151">
        <f>MIN(O12,'Tables - Part 3'!$AD$7)</f>
        <v>406</v>
      </c>
      <c r="BM12" s="151">
        <f t="shared" si="136"/>
        <v>32.169908772759484</v>
      </c>
      <c r="BN12" s="151">
        <f t="shared" si="137"/>
        <v>490.87385212340519</v>
      </c>
      <c r="BO12" s="151">
        <f t="shared" si="138"/>
        <v>8171.2824919870518</v>
      </c>
      <c r="BP12" s="151">
        <f t="shared" si="139"/>
        <v>129461.89166178179</v>
      </c>
      <c r="BQ12" s="151" t="e">
        <f>INDEX('Tables - Part 2'!$D$5:$G$30,MATCH(COF!$E12,'Tables - Part 2'!$C$5:$C$30,0),1)</f>
        <v>#N/A</v>
      </c>
      <c r="BR12" s="571" t="e">
        <f>INDEX('Tables - Part 2'!$D$5:$G$30,MATCH(COF!$E12,'Tables - Part 2'!$C$5:$C$30,0),2)</f>
        <v>#N/A</v>
      </c>
      <c r="BS12" s="571" t="e">
        <f>INDEX('Tables - Part 2'!$D$5:$G$30,MATCH(COF!$E12,'Tables - Part 2'!$C$5:$C$30,0),3)</f>
        <v>#N/A</v>
      </c>
      <c r="BT12" s="151" t="e">
        <f>INDEX('Tables - Part 2'!$D$5:$G$30,MATCH(COF!$E12,'Tables - Part 2'!$C$5:$C$30,0),4)</f>
        <v>#N/A</v>
      </c>
      <c r="BU12" s="151" t="e">
        <f t="shared" si="140"/>
        <v>#N/A</v>
      </c>
      <c r="BV12" s="151" t="e">
        <f t="shared" si="141"/>
        <v>#N/A</v>
      </c>
      <c r="BW12" s="151" t="e">
        <f t="shared" si="142"/>
        <v>#N/A</v>
      </c>
      <c r="BX12" s="151" t="e">
        <f t="shared" si="143"/>
        <v>#N/A</v>
      </c>
      <c r="BY12" s="502" t="e">
        <f t="shared" si="144"/>
        <v>#N/A</v>
      </c>
      <c r="BZ12" s="502" t="e">
        <f t="shared" si="145"/>
        <v>#N/A</v>
      </c>
      <c r="CA12" s="151" t="e">
        <f>IF(OR(BI12&lt;='Tables - Part 3'!$AD$4,BE12&lt;='Tables - Part 3.B'!$C$6,BV12&lt;=25.22),COF!$TK$6,COF!$TK$5)</f>
        <v>#N/A</v>
      </c>
      <c r="CB12" s="151" t="e">
        <f>IF(OR(BJ12&lt;='Tables - Part 3'!$AD$4,BF12&lt;='Tables - Part 3.B'!$C$6,BW12&lt;=25.22),COF!$TK$6,COF!$TK$5)</f>
        <v>#N/A</v>
      </c>
      <c r="CC12" s="151" t="e">
        <f>IF(OR(BK12&lt;='Tables - Part 3'!$AD$4,BG12&lt;='Tables - Part 3.B'!$C$6,BX12&lt;=25.22),COF!$TK$6,COF!$TK$5)</f>
        <v>#N/A</v>
      </c>
      <c r="CD12" s="151" t="e">
        <f>IF(OR(BL12&lt;='Tables - Part 3'!$AD$4,BH12&lt;='Tables - Part 3.B'!$C$6,BY12&lt;=25.22),COF!$TK$6,COF!$TK$5)</f>
        <v>#N/A</v>
      </c>
      <c r="CE12" s="151" t="str">
        <f t="shared" si="146"/>
        <v/>
      </c>
      <c r="CF12" s="151" t="e">
        <f>INDEX('Tables - Part 3'!$AR$4:$AR$12,MATCH(COF!$PC12,'Tables - Part 3'!$AP$4:$AP$12,0),1)</f>
        <v>#N/A</v>
      </c>
      <c r="CG12" s="151" t="e">
        <f>INDEX('Tables - Part 3'!$AR$13:$AR$21,MATCH(COF!$PC12,'Tables - Part 3'!$AP$13:$AP$21,0),1)</f>
        <v>#N/A</v>
      </c>
      <c r="CH12" s="151" t="e">
        <f>INDEX('Tables - Part 3'!$AR$22:$AR$30,MATCH(COF!$PC12,'Tables - Part 3'!$AP$22:$AP$30,0),1)</f>
        <v>#N/A</v>
      </c>
      <c r="CI12" s="151" t="e">
        <f>INDEX('Tables - Part 3'!$AR$22:$AR$30,MATCH(COF!$PC12,'Tables - Part 3'!$AP$22:$AP$30,0),1)</f>
        <v>#N/A</v>
      </c>
      <c r="CJ12" s="151" t="e">
        <f t="shared" si="147"/>
        <v>#N/A</v>
      </c>
      <c r="CK12" s="151" t="e">
        <f t="shared" si="148"/>
        <v>#N/A</v>
      </c>
      <c r="CL12" s="151" t="e">
        <f t="shared" si="149"/>
        <v>#N/A</v>
      </c>
      <c r="CM12" s="151" t="e">
        <f t="shared" si="150"/>
        <v>#N/A</v>
      </c>
      <c r="CN12" s="151" t="e">
        <f t="shared" si="151"/>
        <v>#N/A</v>
      </c>
      <c r="CO12" s="151" t="e">
        <f t="shared" si="152"/>
        <v>#N/A</v>
      </c>
      <c r="CP12" s="151" t="e">
        <f t="shared" si="153"/>
        <v>#N/A</v>
      </c>
      <c r="CQ12" s="151" t="e">
        <f t="shared" si="154"/>
        <v>#N/A</v>
      </c>
      <c r="CR12" s="151" t="e">
        <f t="shared" si="155"/>
        <v>#N/A</v>
      </c>
      <c r="CS12" s="151" t="e">
        <f t="shared" si="156"/>
        <v>#N/A</v>
      </c>
      <c r="CT12" s="151" t="e">
        <f t="shared" si="157"/>
        <v>#N/A</v>
      </c>
      <c r="CU12" s="151" t="e">
        <f t="shared" si="158"/>
        <v>#N/A</v>
      </c>
      <c r="CV12" s="151" t="e">
        <f>INDEX('Tables - Part 3'!$CI$4:$CI$8,MATCH(COF!V12,'Tables - Part 3'!$CG$4:$CG$8,0),1)</f>
        <v>#N/A</v>
      </c>
      <c r="CW12" s="502" t="e">
        <f>IF(CR12&gt;'Tables - Part 3.B'!$C$6,4*LOG10('Tables - Part 3.B'!$C$7*CR12)-15,1)</f>
        <v>#N/A</v>
      </c>
      <c r="CX12" s="502" t="e">
        <f>IF(CS12&gt;'Tables - Part 3.B'!$C$6,4*LOG10('Tables - Part 3.B'!$C$7*CS12)-15,1)</f>
        <v>#N/A</v>
      </c>
      <c r="CY12" s="502" t="e">
        <f>IF(CT12&gt;'Tables - Part 3.B'!$C$6,4*LOG10('Tables - Part 3.B'!$C$7*CT12)-15,1)</f>
        <v>#N/A</v>
      </c>
      <c r="CZ12" s="502" t="e">
        <f>IF(CU12&gt;'Tables - Part 3.B'!$C$6,4*LOG10('Tables - Part 3.B'!$C$7*CU12)-15,1)</f>
        <v>#N/A</v>
      </c>
      <c r="DA12" s="151" t="e">
        <f>INDEX('Tables - Part 3'!$C$4:$C$37,MATCH(COF!$F12,'Tables - Part 3'!$B$4:$B$37,0),1)</f>
        <v>#N/A</v>
      </c>
      <c r="DB12" s="151" t="e">
        <f t="shared" si="159"/>
        <v>#N/A</v>
      </c>
      <c r="DC12" s="151" t="e">
        <f t="shared" si="160"/>
        <v>#N/A</v>
      </c>
      <c r="DD12" s="151" t="e">
        <f t="shared" si="161"/>
        <v>#N/A</v>
      </c>
      <c r="DE12" s="151" t="e">
        <f t="shared" si="162"/>
        <v>#N/A</v>
      </c>
      <c r="DF12" s="151" t="e">
        <f t="shared" si="163"/>
        <v>#N/A</v>
      </c>
      <c r="DG12" s="151" t="e">
        <f t="shared" si="164"/>
        <v>#N/A</v>
      </c>
      <c r="DH12" s="151" t="e">
        <f t="shared" si="165"/>
        <v>#N/A</v>
      </c>
      <c r="DI12" s="151" t="e">
        <f t="shared" si="166"/>
        <v>#N/A</v>
      </c>
      <c r="DJ12" s="151" t="e">
        <f t="shared" si="167"/>
        <v>#N/A</v>
      </c>
      <c r="DK12" s="151" t="e">
        <f t="shared" si="168"/>
        <v>#N/A</v>
      </c>
      <c r="DL12" s="151" t="e">
        <f t="shared" si="169"/>
        <v>#N/A</v>
      </c>
      <c r="DM12" s="151" t="e">
        <f t="shared" si="170"/>
        <v>#N/A</v>
      </c>
      <c r="DN12" s="151" t="e">
        <f t="shared" si="171"/>
        <v>#N/A</v>
      </c>
      <c r="DO12" s="151" t="e">
        <f t="shared" si="172"/>
        <v>#N/A</v>
      </c>
      <c r="DP12" s="151" t="e">
        <f t="shared" si="173"/>
        <v>#N/A</v>
      </c>
      <c r="DQ12" s="151" t="e">
        <f t="shared" si="174"/>
        <v>#N/A</v>
      </c>
      <c r="DR12" s="151" t="e">
        <f t="shared" si="175"/>
        <v>#N/A</v>
      </c>
      <c r="DS12" s="151" t="e">
        <f t="shared" si="176"/>
        <v>#N/A</v>
      </c>
      <c r="DT12" s="151" t="e">
        <f t="shared" si="177"/>
        <v>#N/A</v>
      </c>
      <c r="DU12" s="151" t="e">
        <f t="shared" si="178"/>
        <v>#N/A</v>
      </c>
      <c r="DV12" s="151" t="e">
        <f t="shared" si="179"/>
        <v>#N/A</v>
      </c>
      <c r="DW12" s="151" t="e">
        <f t="shared" si="180"/>
        <v>#N/A</v>
      </c>
      <c r="DX12" s="151" t="e">
        <f t="shared" si="181"/>
        <v>#N/A</v>
      </c>
      <c r="DY12" s="151" t="e">
        <f t="shared" si="182"/>
        <v>#N/A</v>
      </c>
      <c r="DZ12" s="151" t="e">
        <f t="shared" si="183"/>
        <v>#N/A</v>
      </c>
      <c r="EA12" s="151" t="e">
        <f t="shared" si="184"/>
        <v>#N/A</v>
      </c>
      <c r="EB12" s="151" t="e">
        <f t="shared" si="185"/>
        <v>#N/A</v>
      </c>
      <c r="EC12" s="151" t="e">
        <f t="shared" si="186"/>
        <v>#N/A</v>
      </c>
      <c r="ED12" s="151" t="e">
        <f t="shared" si="187"/>
        <v>#N/A</v>
      </c>
      <c r="EE12" s="151" t="e">
        <f t="shared" si="188"/>
        <v>#N/A</v>
      </c>
      <c r="EF12" s="151" t="e">
        <f t="shared" si="189"/>
        <v>#N/A</v>
      </c>
      <c r="EG12" s="151" t="e">
        <f t="shared" si="190"/>
        <v>#N/A</v>
      </c>
      <c r="EH12" s="151" t="e">
        <f>IF(CA12=$TK$5,1,MIN(CJ12/'Tables - Part 3.B'!$C$8,1))</f>
        <v>#N/A</v>
      </c>
      <c r="EI12" s="151" t="e">
        <f>IF(CB12=$TK$5,1,MIN(CK12/'Tables - Part 3.B'!$C$8,1))</f>
        <v>#N/A</v>
      </c>
      <c r="EJ12" s="151" t="e">
        <f>IF(CC12=$TK$5,1,MIN(CL12/'Tables - Part 3.B'!$C$8,1))</f>
        <v>#N/A</v>
      </c>
      <c r="EK12" s="151" t="e">
        <f>IF(CD12=$TK$5,1,MIN(CM12/'Tables - Part 3.B'!$C$8,1))</f>
        <v>#N/A</v>
      </c>
      <c r="EL12" s="151" t="e">
        <f t="shared" si="191"/>
        <v>#VALUE!</v>
      </c>
      <c r="EM12" s="151" t="e">
        <f t="shared" si="48"/>
        <v>#VALUE!</v>
      </c>
      <c r="EN12" s="151" t="e">
        <f t="shared" si="48"/>
        <v>#VALUE!</v>
      </c>
      <c r="EO12" s="151" t="e">
        <f t="shared" si="48"/>
        <v>#VALUE!</v>
      </c>
      <c r="EP12" s="151" t="e">
        <f t="shared" si="192"/>
        <v>#N/A</v>
      </c>
      <c r="EQ12" s="151" t="e">
        <f t="shared" si="49"/>
        <v>#N/A</v>
      </c>
      <c r="ER12" s="151" t="e">
        <f t="shared" si="49"/>
        <v>#N/A</v>
      </c>
      <c r="ES12" s="151" t="e">
        <f t="shared" si="49"/>
        <v>#N/A</v>
      </c>
      <c r="ET12" s="151" t="e">
        <f t="shared" si="193"/>
        <v>#N/A</v>
      </c>
      <c r="EU12" s="151" t="e">
        <f t="shared" si="50"/>
        <v>#N/A</v>
      </c>
      <c r="EV12" s="151" t="e">
        <f t="shared" si="50"/>
        <v>#N/A</v>
      </c>
      <c r="EW12" s="151" t="e">
        <f t="shared" si="50"/>
        <v>#N/A</v>
      </c>
      <c r="EX12" s="151" t="e">
        <f t="shared" si="194"/>
        <v>#N/A</v>
      </c>
      <c r="EY12" s="151" t="e">
        <f t="shared" si="51"/>
        <v>#N/A</v>
      </c>
      <c r="EZ12" s="151" t="e">
        <f t="shared" si="51"/>
        <v>#N/A</v>
      </c>
      <c r="FA12" s="151" t="e">
        <f t="shared" si="51"/>
        <v>#N/A</v>
      </c>
      <c r="FB12" s="151" t="e">
        <f t="shared" si="195"/>
        <v>#N/A</v>
      </c>
      <c r="FC12" s="151" t="e">
        <f t="shared" si="52"/>
        <v>#N/A</v>
      </c>
      <c r="FD12" s="151" t="e">
        <f t="shared" si="52"/>
        <v>#N/A</v>
      </c>
      <c r="FE12" s="151" t="e">
        <f t="shared" si="52"/>
        <v>#N/A</v>
      </c>
      <c r="FF12" s="151" t="e">
        <f t="shared" si="196"/>
        <v>#N/A</v>
      </c>
      <c r="FG12" s="151" t="e">
        <f t="shared" si="53"/>
        <v>#N/A</v>
      </c>
      <c r="FH12" s="151" t="e">
        <f t="shared" si="53"/>
        <v>#N/A</v>
      </c>
      <c r="FI12" s="151" t="e">
        <f t="shared" si="53"/>
        <v>#N/A</v>
      </c>
      <c r="FJ12" s="151" t="e">
        <f t="shared" si="197"/>
        <v>#N/A</v>
      </c>
      <c r="FK12" s="151" t="e">
        <f t="shared" si="54"/>
        <v>#N/A</v>
      </c>
      <c r="FL12" s="151" t="e">
        <f t="shared" si="54"/>
        <v>#N/A</v>
      </c>
      <c r="FM12" s="288" t="e">
        <f t="shared" si="54"/>
        <v>#N/A</v>
      </c>
      <c r="FN12" s="299">
        <f t="shared" si="198"/>
        <v>0</v>
      </c>
      <c r="FO12" s="511">
        <f t="shared" si="199"/>
        <v>0</v>
      </c>
      <c r="FP12" s="150" t="e">
        <f t="shared" si="200"/>
        <v>#N/A</v>
      </c>
      <c r="FQ12" s="151" t="e">
        <f t="shared" si="201"/>
        <v>#N/A</v>
      </c>
      <c r="FR12" s="151" t="e">
        <f t="shared" si="202"/>
        <v>#N/A</v>
      </c>
      <c r="FS12" s="151" t="e">
        <f t="shared" si="203"/>
        <v>#N/A</v>
      </c>
      <c r="FT12" s="151">
        <f t="shared" si="270"/>
        <v>0</v>
      </c>
      <c r="FU12" s="151">
        <f t="shared" si="56"/>
        <v>0</v>
      </c>
      <c r="FV12" s="151">
        <f t="shared" si="57"/>
        <v>0</v>
      </c>
      <c r="FW12" s="151">
        <f t="shared" si="58"/>
        <v>0</v>
      </c>
      <c r="FX12" s="151">
        <f t="shared" si="271"/>
        <v>0</v>
      </c>
      <c r="FY12" s="151">
        <f t="shared" si="60"/>
        <v>0</v>
      </c>
      <c r="FZ12" s="151">
        <f t="shared" si="61"/>
        <v>0</v>
      </c>
      <c r="GA12" s="151">
        <f t="shared" si="62"/>
        <v>0</v>
      </c>
      <c r="GB12" s="151" t="e">
        <f>IF(CA12=$TK$6,'Tables - Part 3.B'!$C$10*(('Tables - Part 3.B'!$C$7*COF!FT12)^COF!GR12*10^COF!GV12),IF(CA12=$TK$5,'Tables - Part 3.B'!$C$10*(('Tables - Part 3.B'!$C$7*COF!FX12)^COF!GR12*10^COF!GV12),0))</f>
        <v>#N/A</v>
      </c>
      <c r="GC12" s="151" t="e">
        <f>IF(CB12=$TK$6,'Tables - Part 3.B'!$C$10*(('Tables - Part 3.B'!$C$7*COF!FU12)^COF!GS12*10^COF!GW12),IF(CB12=$TK$5,'Tables - Part 3.B'!$C$10*(('Tables - Part 3.B'!$C$7*COF!FY12)^COF!GS12*10^COF!GW12),0))</f>
        <v>#N/A</v>
      </c>
      <c r="GD12" s="151" t="e">
        <f>IF(CC12=$TK$6,'Tables - Part 3.B'!$C$10*(('Tables - Part 3.B'!$C$7*COF!FV12)^COF!GT12*10^COF!GX12),IF(CC12=$TK$5,'Tables - Part 3.B'!$C$10*(('Tables - Part 3.B'!$C$7*COF!FZ12)^COF!GT12*10^COF!GX12),0))</f>
        <v>#N/A</v>
      </c>
      <c r="GE12" s="151" t="e">
        <f>IF(CD12=$TK$6,'Tables - Part 3.B'!$C$10*(('Tables - Part 3.B'!$C$7*COF!FW12)^COF!GU12*10^COF!GY12),IF(CD12=$TK$5,'Tables - Part 3.B'!$C$10*(('Tables - Part 3.B'!$C$7*COF!GA12)^COF!GU12*10^COF!GY12),0))</f>
        <v>#N/A</v>
      </c>
      <c r="GF12" s="152" t="e">
        <f t="shared" si="272"/>
        <v>#N/A</v>
      </c>
      <c r="GG12" s="152" t="e">
        <f t="shared" si="63"/>
        <v>#N/A</v>
      </c>
      <c r="GH12" s="152" t="e">
        <f t="shared" si="64"/>
        <v>#N/A</v>
      </c>
      <c r="GI12" s="152" t="e">
        <f t="shared" si="65"/>
        <v>#N/A</v>
      </c>
      <c r="GJ12" s="152" t="e">
        <f>IF(GF12&lt;'Tables - Part 3'!$CK$5,0,LOOKUP(GF12,'Tables - Part 3'!$CK$5:$CK$9))</f>
        <v>#N/A</v>
      </c>
      <c r="GK12" s="152" t="e">
        <f>IF(GG12&lt;'Tables - Part 3'!$CK$5,0,LOOKUP(GG12,'Tables - Part 3'!$CK$5:$CK$9))</f>
        <v>#N/A</v>
      </c>
      <c r="GL12" s="152" t="e">
        <f>IF(GH12&lt;'Tables - Part 3'!$CK$5,0,LOOKUP(GH12,'Tables - Part 3'!$CK$5:$CK$9))</f>
        <v>#N/A</v>
      </c>
      <c r="GM12" s="152" t="e">
        <f>IF(GI12&lt;'Tables - Part 3'!$CK$5,0,LOOKUP(GI12,'Tables - Part 3'!$CK$5:$CK$9))</f>
        <v>#N/A</v>
      </c>
      <c r="GN12" s="152" t="e">
        <f>IF(GF12&lt;'Tables - Part 3'!$CK$5,'Tables - Part 3'!$CK$5,IF(COF!GF12&lt;'Tables - Part 3'!$CK$6,'Tables - Part 3'!$CK$6,IF(COF!GF12&lt;'Tables - Part 3'!$CK$7,'Tables - Part 3'!$CK$7,IF(COF!GF12&lt;'Tables - Part 3'!$CK$8,'Tables - Part 3'!$CK$8,IF(COF!GF12&lt;'Tables - Part 3'!$CK$9,'Tables - Part 3'!$CK$9)))))</f>
        <v>#N/A</v>
      </c>
      <c r="GO12" s="152" t="e">
        <f>IF(GG12&lt;'Tables - Part 3'!$CK$5,'Tables - Part 3'!$CK$5,IF(COF!GG12&lt;'Tables - Part 3'!$CK$6,'Tables - Part 3'!$CK$6,IF(COF!GG12&lt;'Tables - Part 3'!$CK$7,'Tables - Part 3'!$CK$7,IF(COF!GG12&lt;'Tables - Part 3'!$CK$8,'Tables - Part 3'!$CK$8,IF(COF!GG12&lt;'Tables - Part 3'!$CK$9,'Tables - Part 3'!$CK$9)))))</f>
        <v>#N/A</v>
      </c>
      <c r="GP12" s="152" t="e">
        <f>IF(GH12&lt;'Tables - Part 3'!$CK$5,'Tables - Part 3'!$CK$5,IF(COF!GH12&lt;'Tables - Part 3'!$CK$6,'Tables - Part 3'!$CK$6,IF(COF!GH12&lt;'Tables - Part 3'!$CK$7,'Tables - Part 3'!$CK$7,IF(COF!GH12&lt;'Tables - Part 3'!$CK$8,'Tables - Part 3'!$CK$8,IF(COF!GH12&lt;'Tables - Part 3'!$CK$9,'Tables - Part 3'!$CK$9)))))</f>
        <v>#N/A</v>
      </c>
      <c r="GQ12" s="152" t="e">
        <f>IF(GI12&lt;'Tables - Part 3'!$CK$5,'Tables - Part 3'!$CK$5,IF(COF!GI12&lt;'Tables - Part 3'!$CK$6,'Tables - Part 3'!$CK$6,IF(COF!GI12&lt;'Tables - Part 3'!$CK$7,'Tables - Part 3'!$CK$7,IF(COF!GI12&lt;'Tables - Part 3'!$CK$8,'Tables - Part 3'!$CK$8,IF(COF!GI12&lt;'Tables - Part 3'!$CK$9,'Tables - Part 3'!$CK$9)))))</f>
        <v>#N/A</v>
      </c>
      <c r="GR12" s="151" t="e">
        <f>IF(CA12=$TK$5,'Tables - Part 3'!$CL$10,IF(COF!CA12=COF!$TK$6,IF(COF!GF12&lt;'Tables - Part 3'!$CK$5,'Tables - Part 3'!$CL$5,IF(GF12&gt;='Tables - Part 3'!$CK$9,'Tables - Part 3'!$CL$9,((COF!GF12-COF!GJ12)*(INDEX('Tables - Part 3'!$CL$5:$CL$9,MATCH(COF!GN12,'Tables - Part 3'!$CK$5:$CK$9,0))-INDEX('Tables - Part 3'!$CL$5:$CL$9,MATCH(COF!GJ12,'Tables - Part 3'!$CK$5:$CK$9,0)))/(GN12-GJ12)+INDEX('Tables - Part 3'!$CL$5:$CL$9,MATCH(COF!GJ12,'Tables - Part 3'!$CK$5:$CK$9,0)))))))</f>
        <v>#N/A</v>
      </c>
      <c r="GS12" s="151" t="e">
        <f>IF(CB12=$TK$5,'Tables - Part 3'!$CL$10,IF(COF!CB12=COF!$TK$6,IF(COF!GG12&lt;'Tables - Part 3'!$CK$5,'Tables - Part 3'!$CL$5,IF(GG12&gt;='Tables - Part 3'!$CK$9,'Tables - Part 3'!$CL$9,((COF!GG12-COF!GK12)*(INDEX('Tables - Part 3'!$CL$5:$CL$9,MATCH(COF!GO12,'Tables - Part 3'!$CK$5:$CK$9,0))-INDEX('Tables - Part 3'!$CL$5:$CL$9,MATCH(COF!GK12,'Tables - Part 3'!$CK$5:$CK$9,0)))/(GO12-GK12)+INDEX('Tables - Part 3'!$CL$5:$CL$9,MATCH(COF!GK12,'Tables - Part 3'!$CK$5:$CK$9,0)))))))</f>
        <v>#N/A</v>
      </c>
      <c r="GT12" s="151" t="e">
        <f>IF(CC12=$TK$5,'Tables - Part 3'!$CL$10,IF(COF!CC12=COF!$TK$6,IF(COF!GH12&lt;'Tables - Part 3'!$CK$5,'Tables - Part 3'!$CL$5,IF(GH12&gt;='Tables - Part 3'!$CK$9,'Tables - Part 3'!$CL$9,((COF!GH12-COF!GL12)*(INDEX('Tables - Part 3'!$CL$5:$CL$9,MATCH(COF!GP12,'Tables - Part 3'!$CK$5:$CK$9,0))-INDEX('Tables - Part 3'!$CL$5:$CL$9,MATCH(COF!GL12,'Tables - Part 3'!$CK$5:$CK$9,0)))/(GP12-GL12)+INDEX('Tables - Part 3'!$CL$5:$CL$9,MATCH(COF!GL12,'Tables - Part 3'!$CK$5:$CK$9,0)))))))</f>
        <v>#N/A</v>
      </c>
      <c r="GU12" s="151" t="e">
        <f>IF(CD12=$TK$5,'Tables - Part 3'!$CL$10,IF(COF!CD12=COF!$TK$6,IF(COF!GI12&lt;'Tables - Part 3'!$CK$5,'Tables - Part 3'!$CL$5,IF(GI12&gt;='Tables - Part 3'!$CK$9,'Tables - Part 3'!$CL$9,((COF!GI12-COF!GM12)*(INDEX('Tables - Part 3'!$CL$5:$CL$9,MATCH(COF!GQ12,'Tables - Part 3'!$CK$5:$CK$9,0))-INDEX('Tables - Part 3'!$CL$5:$CL$9,MATCH(COF!GM12,'Tables - Part 3'!$CK$5:$CK$9,0)))/(GQ12-GM12)+INDEX('Tables - Part 3'!$CL$5:$CL$9,MATCH(COF!GM12,'Tables - Part 3'!$CK$5:$CK$9,0)))))))</f>
        <v>#N/A</v>
      </c>
      <c r="GV12" s="151" t="e">
        <f>IF(CA12=$TK$5,'Tables - Part 3'!$CM$10,IF(COF!CA12=COF!$TK$6,IF(GF12&lt;'Tables - Part 3'!$CK$5,'Tables - Part 3'!$CM$5,IF(GF12&gt;='Tables - Part 3'!$CK$9,'Tables - Part 3'!$CM$9,((COF!GF12-COF!GJ12)*(INDEX('Tables - Part 3'!$CM$5:$CM$9,MATCH(COF!GN12,'Tables - Part 3'!$CK$5:$CK$9,0))-INDEX('Tables - Part 3'!$CM$5:$CM$9,MATCH(COF!GJ12,'Tables - Part 3'!$CK$5:$CK$9,0)))/(GN12-GJ12)+INDEX('Tables - Part 3'!$CM$5:$CM$9,MATCH(COF!GJ12,'Tables - Part 3'!$CK$5:$CK$9,0)))))))</f>
        <v>#N/A</v>
      </c>
      <c r="GW12" s="151" t="e">
        <f>IF(CB12=$TK$5,'Tables - Part 3'!$CM$10,IF(COF!CB12=COF!$TK$6,IF(GG12&lt;'Tables - Part 3'!$CK$5,'Tables - Part 3'!$CM$5,IF(GG12&gt;='Tables - Part 3'!$CK$9,'Tables - Part 3'!$CM$9,((COF!GG12-COF!GK12)*(INDEX('Tables - Part 3'!$CM$5:$CM$9,MATCH(COF!GO12,'Tables - Part 3'!$CK$5:$CK$9,0))-INDEX('Tables - Part 3'!$CM$5:$CM$9,MATCH(COF!GK12,'Tables - Part 3'!$CK$5:$CK$9,0)))/(GO12-GK12)+INDEX('Tables - Part 3'!$CM$5:$CM$9,MATCH(COF!GK12,'Tables - Part 3'!$CK$5:$CK$9,0)))))))</f>
        <v>#N/A</v>
      </c>
      <c r="GX12" s="151" t="e">
        <f>IF(CC12=$TK$5,'Tables - Part 3'!$CM$10,IF(COF!CC12=COF!$TK$6,IF(GH12&lt;'Tables - Part 3'!$CK$5,'Tables - Part 3'!$CM$5,IF(GH12&gt;='Tables - Part 3'!$CK$9,'Tables - Part 3'!$CM$9,((COF!GH12-COF!GL12)*(INDEX('Tables - Part 3'!$CM$5:$CM$9,MATCH(COF!GP12,'Tables - Part 3'!$CK$5:$CK$9,0))-INDEX('Tables - Part 3'!$CM$5:$CM$9,MATCH(COF!GL12,'Tables - Part 3'!$CK$5:$CK$9,0)))/(GP12-GL12)+INDEX('Tables - Part 3'!$CM$5:$CM$9,MATCH(COF!GL12,'Tables - Part 3'!$CK$5:$CK$9,0)))))))</f>
        <v>#N/A</v>
      </c>
      <c r="GY12" s="151" t="e">
        <f>IF(CD12=$TK$5,'Tables - Part 3'!$CM$10,IF(COF!CD12=COF!$TK$6,IF(GI12&lt;'Tables - Part 3'!$CK$5,'Tables - Part 3'!$CM$5,IF(GI12&gt;='Tables - Part 3'!$CK$9,'Tables - Part 3'!$CM$9,((COF!GI12-COF!GM12)*(INDEX('Tables - Part 3'!$CM$5:$CM$9,MATCH(COF!GQ12,'Tables - Part 3'!$CK$5:$CK$9,0))-INDEX('Tables - Part 3'!$CM$5:$CM$9,MATCH(COF!GM12,'Tables - Part 3'!$CK$5:$CK$9,0)))/(GQ12-GM12)+INDEX('Tables - Part 3'!$CM$5:$CM$9,MATCH(COF!GM12,'Tables - Part 3'!$CK$5:$CK$9,0)))))))</f>
        <v>#N/A</v>
      </c>
      <c r="GZ12" s="151">
        <f t="shared" si="273"/>
        <v>0</v>
      </c>
      <c r="HA12" s="151">
        <f t="shared" si="67"/>
        <v>0</v>
      </c>
      <c r="HB12" s="151">
        <f t="shared" si="68"/>
        <v>0</v>
      </c>
      <c r="HC12" s="151">
        <f t="shared" si="69"/>
        <v>0</v>
      </c>
      <c r="HD12" s="151">
        <f t="shared" si="274"/>
        <v>0</v>
      </c>
      <c r="HE12" s="151">
        <f t="shared" si="71"/>
        <v>0</v>
      </c>
      <c r="HF12" s="151">
        <f t="shared" si="72"/>
        <v>0</v>
      </c>
      <c r="HG12" s="151">
        <f t="shared" si="73"/>
        <v>0</v>
      </c>
      <c r="HH12" s="151" t="e">
        <f>IF(CA12=$TK$6,'Tables - Part 3.B'!$C$10*(('Tables - Part 3.B'!$C$7*COF!GZ12)^COF!HL12*10^COF!HP12),IF(CA12=$TK$5,'Tables - Part 3.B'!$C$10*(('Tables - Part 3.B'!$C$7*COF!HD12)^COF!HL12*10^COF!HP12),0))</f>
        <v>#N/A</v>
      </c>
      <c r="HI12" s="151" t="e">
        <f>IF(CB12=$TK$6,'Tables - Part 3.B'!$C$10*(('Tables - Part 3.B'!$C$7*COF!HA12)^COF!HM12*10^COF!HQ12),IF(CB12=$TK$5,'Tables - Part 3.B'!$C$10*(('Tables - Part 3.B'!$C$7*COF!HE12)^COF!HM12*10^COF!HQ12),0))</f>
        <v>#N/A</v>
      </c>
      <c r="HJ12" s="151" t="e">
        <f>IF(CC12=$TK$6,'Tables - Part 3.B'!$C$10*(('Tables - Part 3.B'!$C$7*COF!HB12)^COF!HN12*10^COF!HR12),IF(CC12=$TK$5,'Tables - Part 3.B'!$C$10*(('Tables - Part 3.B'!$C$7*COF!HF12)^COF!HN12*10^COF!HR12),0))</f>
        <v>#N/A</v>
      </c>
      <c r="HK12" s="151" t="e">
        <f>IF(CD12=$TK$6,'Tables - Part 3.B'!$C$10*(('Tables - Part 3.B'!$C$7*COF!HC12)^COF!HO12*10^COF!HS12),IF(CD12=$TK$5,'Tables - Part 3.B'!$C$10*(('Tables - Part 3.B'!$C$7*COF!HG12)^COF!HO12*10^COF!HS12),0))</f>
        <v>#N/A</v>
      </c>
      <c r="HL12" s="151" t="e">
        <f>IF(CA12=$TK$5,'Tables - Part 3'!$CN$10,IF(COF!CA12=COF!$TK$6,IF(COF!GF12&lt;'Tables - Part 3'!$CK$5,'Tables - Part 3'!$CN$5,IF(GF12&gt;='Tables - Part 3'!$CK$9,'Tables - Part 3'!$CN$9,((COF!GF12-COF!GJ12)*(INDEX('Tables - Part 3'!$CN$5:$CN$9,MATCH(COF!GN12,'Tables - Part 3'!$CK$5:$CK$9,0))-INDEX('Tables - Part 3'!$CN$5:$CN$9,MATCH(COF!GJ12,'Tables - Part 3'!$CK$5:$CK$9,0)))/(GN12-GJ12)+INDEX('Tables - Part 3'!$CN$5:$CN$9,MATCH(COF!GJ12,'Tables - Part 3'!$CK$5:$CK$9,0)))))))</f>
        <v>#N/A</v>
      </c>
      <c r="HM12" s="151" t="e">
        <f>IF(CB12=$TK$5,'Tables - Part 3'!$CN$10,IF(COF!CB12=COF!$TK$6,IF(COF!GG12&lt;'Tables - Part 3'!$CK$5,'Tables - Part 3'!$CN$5,IF(GG12&gt;='Tables - Part 3'!$CK$9,'Tables - Part 3'!$CN$9,((COF!GG12-COF!GK12)*(INDEX('Tables - Part 3'!$CN$5:$CN$9,MATCH(COF!GO12,'Tables - Part 3'!$CK$5:$CK$9,0))-INDEX('Tables - Part 3'!$CN$5:$CN$9,MATCH(COF!GK12,'Tables - Part 3'!$CK$5:$CK$9,0)))/(GO12-GK12)+INDEX('Tables - Part 3'!$CN$5:$CN$9,MATCH(COF!GK12,'Tables - Part 3'!$CK$5:$CK$9,0)))))))</f>
        <v>#N/A</v>
      </c>
      <c r="HN12" s="151" t="e">
        <f>IF(CC12=$TK$5,'Tables - Part 3'!$CN$10,IF(COF!CC12=COF!$TK$6,IF(COF!GH12&lt;'Tables - Part 3'!$CK$5,'Tables - Part 3'!$CN$5,IF(GH12&gt;='Tables - Part 3'!$CK$9,'Tables - Part 3'!$CN$9,((COF!GH12-COF!GL12)*(INDEX('Tables - Part 3'!$CN$5:$CN$9,MATCH(COF!GP12,'Tables - Part 3'!$CK$5:$CK$9,0))-INDEX('Tables - Part 3'!$CN$5:$CN$9,MATCH(COF!GL12,'Tables - Part 3'!$CK$5:$CK$9,0)))/(GP12-GL12)+INDEX('Tables - Part 3'!$CN$5:$CN$9,MATCH(COF!GL12,'Tables - Part 3'!$CK$5:$CK$9,0)))))))</f>
        <v>#N/A</v>
      </c>
      <c r="HO12" s="151" t="e">
        <f>IF(CD12=$TK$5,'Tables - Part 3'!$CN$10,IF(COF!CD12=COF!$TK$6,IF(COF!GI12&lt;'Tables - Part 3'!$CK$5,'Tables - Part 3'!$CN$5,IF(GI12&gt;='Tables - Part 3'!$CK$9,'Tables - Part 3'!$CN$9,((COF!GI12-COF!GM12)*(INDEX('Tables - Part 3'!$CN$5:$CN$9,MATCH(COF!GQ12,'Tables - Part 3'!$CK$5:$CK$9,0))-INDEX('Tables - Part 3'!$CN$5:$CN$9,MATCH(COF!GM12,'Tables - Part 3'!$CK$5:$CK$9,0)))/(GQ12-GM12)+INDEX('Tables - Part 3'!$CN$5:$CN$9,MATCH(COF!GM12,'Tables - Part 3'!$CK$5:$CK$9,0)))))))</f>
        <v>#N/A</v>
      </c>
      <c r="HP12" s="151" t="e">
        <f>IF(CA12=$TK$5,'Tables - Part 3'!$CO$10,IF(COF!CA12=COF!$TK$6,IF(GF12&lt;'Tables - Part 3'!$CK$5,'Tables - Part 3'!$CO$5,IF(GF12&gt;='Tables - Part 3'!$CK$9,'Tables - Part 3'!$CO$9,((COF!GF12-COF!GJ12)*(INDEX('Tables - Part 3'!$CO$5:$CO$9,MATCH(COF!GN12,'Tables - Part 3'!$CK$5:$CK$9,0))-INDEX('Tables - Part 3'!$CO$5:$CO$9,MATCH(COF!GJ12,'Tables - Part 3'!$CK$5:$CK$9,0)))/(GN12-GJ12)+INDEX('Tables - Part 3'!$CO$5:$CO$9,MATCH(COF!GJ12,'Tables - Part 3'!$CK$5:$CK$9,0)))))))</f>
        <v>#N/A</v>
      </c>
      <c r="HQ12" s="151" t="e">
        <f>IF(CB12=$TK$5,'Tables - Part 3'!$CO$10,IF(COF!CB12=COF!$TK$6,IF(GG12&lt;'Tables - Part 3'!$CK$5,'Tables - Part 3'!$CO$5,IF(GG12&gt;='Tables - Part 3'!$CK$9,'Tables - Part 3'!$CO$9,((COF!GG12-COF!GK12)*(INDEX('Tables - Part 3'!$CO$5:$CO$9,MATCH(COF!GO12,'Tables - Part 3'!$CK$5:$CK$9,0))-INDEX('Tables - Part 3'!$CO$5:$CO$9,MATCH(COF!GK12,'Tables - Part 3'!$CK$5:$CK$9,0)))/(GO12-GK12)+INDEX('Tables - Part 3'!$CO$5:$CO$9,MATCH(COF!GK12,'Tables - Part 3'!$CK$5:$CK$9,0)))))))</f>
        <v>#N/A</v>
      </c>
      <c r="HR12" s="151" t="e">
        <f>IF(CC12=$TK$5,'Tables - Part 3'!$CO$10,IF(COF!CC12=COF!$TK$6,IF(GH12&lt;'Tables - Part 3'!$CK$5,'Tables - Part 3'!$CO$5,IF(GH12&gt;='Tables - Part 3'!$CK$9,'Tables - Part 3'!$CO$9,((COF!GH12-COF!GL12)*(INDEX('Tables - Part 3'!$CO$5:$CO$9,MATCH(COF!GP12,'Tables - Part 3'!$CK$5:$CK$9,0))-INDEX('Tables - Part 3'!$CO$5:$CO$9,MATCH(COF!GL12,'Tables - Part 3'!$CK$5:$CK$9,0)))/(GP12-GL12)+INDEX('Tables - Part 3'!$CO$5:$CO$9,MATCH(COF!GL12,'Tables - Part 3'!$CK$5:$CK$9,0)))))))</f>
        <v>#N/A</v>
      </c>
      <c r="HS12" s="151" t="e">
        <f>IF(CD12=$TK$5,'Tables - Part 3'!$CO$10,IF(COF!CD12=COF!$TK$6,IF(GI12&lt;'Tables - Part 3'!$CK$5,'Tables - Part 3'!$CO$5,IF(GI12&gt;='Tables - Part 3'!$CK$9,'Tables - Part 3'!$CO$9,((COF!GI12-COF!GM12)*(INDEX('Tables - Part 3'!$CO$5:$CO$9,MATCH(COF!GQ12,'Tables - Part 3'!$CK$5:$CK$9,0))-INDEX('Tables - Part 3'!$CO$5:$CO$9,MATCH(COF!GM12,'Tables - Part 3'!$CK$5:$CK$9,0)))/(GQ12-GM12)+INDEX('Tables - Part 3'!$CO$5:$CO$9,MATCH(COF!GM12,'Tables - Part 3'!$CK$5:$CK$9,0)))))))</f>
        <v>#N/A</v>
      </c>
      <c r="HT12" s="151">
        <f t="shared" si="275"/>
        <v>0</v>
      </c>
      <c r="HU12" s="151">
        <f t="shared" si="75"/>
        <v>0</v>
      </c>
      <c r="HV12" s="151">
        <f t="shared" si="76"/>
        <v>0</v>
      </c>
      <c r="HW12" s="151">
        <f t="shared" si="77"/>
        <v>0</v>
      </c>
      <c r="HX12" s="151">
        <f t="shared" si="276"/>
        <v>0</v>
      </c>
      <c r="HY12" s="151">
        <f t="shared" si="79"/>
        <v>0</v>
      </c>
      <c r="HZ12" s="151">
        <f t="shared" si="80"/>
        <v>0</v>
      </c>
      <c r="IA12" s="151">
        <f t="shared" si="81"/>
        <v>0</v>
      </c>
      <c r="IB12" s="153" t="e">
        <f t="shared" si="82"/>
        <v>#N/A</v>
      </c>
      <c r="IC12" s="153" t="e">
        <f t="shared" si="83"/>
        <v>#N/A</v>
      </c>
      <c r="ID12" s="153" t="e">
        <f t="shared" si="84"/>
        <v>#N/A</v>
      </c>
      <c r="IE12" s="153" t="e">
        <f t="shared" si="85"/>
        <v>#N/A</v>
      </c>
      <c r="IF12" s="152" t="e">
        <f>IF(GF12&lt;'Tables - Part 3'!$CQ$5,0,LOOKUP(GF12,'Tables - Part 3'!$CQ$5:$CQ$16))</f>
        <v>#N/A</v>
      </c>
      <c r="IG12" s="152" t="e">
        <f>IF(GG12&lt;'Tables - Part 3'!$CQ$5,0,LOOKUP(GG12,'Tables - Part 3'!$CQ$5:$CQ$16))</f>
        <v>#N/A</v>
      </c>
      <c r="IH12" s="152" t="e">
        <f>IF(GH12&lt;'Tables - Part 3'!$CQ$5,0,LOOKUP(GH12,'Tables - Part 3'!$CQ$5:$CQ$16))</f>
        <v>#N/A</v>
      </c>
      <c r="II12" s="152" t="e">
        <f>IF(GI12&lt;'Tables - Part 3'!$CQ$5,0,LOOKUP(GI12,'Tables - Part 3'!$CQ$5:$CQ$16))</f>
        <v>#N/A</v>
      </c>
      <c r="IJ12" s="152" t="e">
        <f>IF(GF12&lt;'Tables - Part 3'!$CQ$5,'Tables - Part 3'!$CQ$5,IF(COF!GF12&lt;'Tables - Part 3'!$CQ$6,'Tables - Part 3'!$CQ$6,IF(COF!GF12&lt;'Tables - Part 3'!$CQ$7,'Tables - Part 3'!$CQ$7,IF(COF!GF12&lt;'Tables - Part 3'!$CQ$8,'Tables - Part 3'!$CQ$8,IF(COF!GF12&lt;'Tables - Part 3'!$CQ$9,'Tables - Part 3'!$CQ$9,IF(COF!GF12&lt;'Tables - Part 3'!$CQ$10,'Tables - Part 3'!$CQ$10,IF(COF!GF12&lt;'Tables - Part 3'!$CQ$11,'Tables - Part 3'!$CQ$11,IF(COF!GF12&lt;'Tables - Part 3'!$CQ$12,'Tables - Part 3'!$CQ$12,IF(COF!GF12&lt;'Tables - Part 3'!$CQ$13,'Tables - Part 3'!$CQ$13,IF(COF!GF12&lt;'Tables - Part 3'!$CQ$14,'Tables - Part 3'!$CQ$14,IF(COF!GF12&lt;'Tables - Part 3'!$CQ$15,'Tables - Part 3'!$CQ$15,IF(COF!GF12&lt;'Tables - Part 3'!$CQ$16,'Tables - Part 3'!$CQ$16))))))))))))</f>
        <v>#N/A</v>
      </c>
      <c r="IK12" s="152" t="e">
        <f>IF(GG12&lt;'Tables - Part 3'!$CQ$5,'Tables - Part 3'!$CQ$5,IF(COF!GG12&lt;'Tables - Part 3'!$CQ$6,'Tables - Part 3'!$CQ$6,IF(COF!GG12&lt;'Tables - Part 3'!$CQ$7,'Tables - Part 3'!$CQ$7,IF(COF!GG12&lt;'Tables - Part 3'!$CQ$8,'Tables - Part 3'!$CQ$8,IF(COF!GG12&lt;'Tables - Part 3'!$CQ$9,'Tables - Part 3'!$CQ$9,IF(COF!GG12&lt;'Tables - Part 3'!$CQ$10,'Tables - Part 3'!$CQ$10,IF(COF!GG12&lt;'Tables - Part 3'!$CQ$11,'Tables - Part 3'!$CQ$11,IF(COF!GG12&lt;'Tables - Part 3'!$CQ$12,'Tables - Part 3'!$CQ$12,IF(COF!GG12&lt;'Tables - Part 3'!$CQ$13,'Tables - Part 3'!$CQ$13,IF(COF!GG12&lt;'Tables - Part 3'!$CQ$14,'Tables - Part 3'!$CQ$14,IF(COF!GG12&lt;'Tables - Part 3'!$CQ$15,'Tables - Part 3'!$CQ$15,IF(COF!GG12&lt;'Tables - Part 3'!$CQ$16,'Tables - Part 3'!$CQ$16))))))))))))</f>
        <v>#N/A</v>
      </c>
      <c r="IL12" s="152" t="e">
        <f>IF(GH12&lt;'Tables - Part 3'!$CQ$5,'Tables - Part 3'!$CQ$5,IF(COF!GH12&lt;'Tables - Part 3'!$CQ$6,'Tables - Part 3'!$CQ$6,IF(COF!GH12&lt;'Tables - Part 3'!$CQ$7,'Tables - Part 3'!$CQ$7,IF(COF!GH12&lt;'Tables - Part 3'!$CQ$8,'Tables - Part 3'!$CQ$8,IF(COF!GH12&lt;'Tables - Part 3'!$CQ$9,'Tables - Part 3'!$CQ$9,IF(COF!GH12&lt;'Tables - Part 3'!$CQ$10,'Tables - Part 3'!$CQ$10,IF(COF!GH12&lt;'Tables - Part 3'!$CQ$11,'Tables - Part 3'!$CQ$11,IF(COF!GH12&lt;'Tables - Part 3'!$CQ$12,'Tables - Part 3'!$CQ$12,IF(COF!GH12&lt;'Tables - Part 3'!$CQ$13,'Tables - Part 3'!$CQ$13,IF(COF!GH12&lt;'Tables - Part 3'!$CQ$14,'Tables - Part 3'!$CQ$14,IF(COF!GH12&lt;'Tables - Part 3'!$CQ$15,'Tables - Part 3'!$CQ$15,IF(COF!GH12&lt;'Tables - Part 3'!$CQ$16,'Tables - Part 3'!$CQ$16))))))))))))</f>
        <v>#N/A</v>
      </c>
      <c r="IM12" s="152" t="e">
        <f>IF(GI12&lt;'Tables - Part 3'!$CQ$5,'Tables - Part 3'!$CQ$5,IF(COF!GI12&lt;'Tables - Part 3'!$CQ$6,'Tables - Part 3'!$CQ$6,IF(COF!GI12&lt;'Tables - Part 3'!$CQ$7,'Tables - Part 3'!$CQ$7,IF(COF!GI12&lt;'Tables - Part 3'!$CQ$8,'Tables - Part 3'!$CQ$8,IF(COF!GI12&lt;'Tables - Part 3'!$CQ$9,'Tables - Part 3'!$CQ$9,IF(COF!GI12&lt;'Tables - Part 3'!$CQ$10,'Tables - Part 3'!$CQ$10,IF(COF!GI12&lt;'Tables - Part 3'!$CQ$11,'Tables - Part 3'!$CQ$11,IF(COF!GI12&lt;'Tables - Part 3'!$CQ$12,'Tables - Part 3'!$CQ$12,IF(COF!GI12&lt;'Tables - Part 3'!$CQ$13,'Tables - Part 3'!$CQ$13,IF(COF!GI12&lt;'Tables - Part 3'!$CQ$14,'Tables - Part 3'!$CQ$14,IF(COF!GI12&lt;'Tables - Part 3'!$CQ$15,'Tables - Part 3'!$CQ$15,IF(COF!GI12&lt;'Tables - Part 3'!$CQ$16,'Tables - Part 3'!$CQ$16))))))))))))</f>
        <v>#N/A</v>
      </c>
      <c r="IN12" s="151" t="e">
        <f>IF(CA12=$TK$5,'Tables - Part 3'!$CR$17,IF(COF!CA12=COF!$TK$6,IF(COF!GF12&lt;'Tables - Part 3'!$CQ$5,'Tables - Part 3'!$CR$5,IF(GF12&gt;='Tables - Part 3'!$CQ$16,'Tables - Part 3'!$CR$16,((COF!GF12-COF!IF12)*(INDEX('Tables - Part 3'!$CR$5:$CR$16,MATCH(COF!IJ12,'Tables - Part 3'!$CQ$5:$CQ$16,0))-INDEX('Tables - Part 3'!$CR$5:$CR$16,MATCH(COF!IF12,'Tables - Part 3'!$CQ$5:$CQ$16,0)))/(IJ12-IF12)+INDEX('Tables - Part 3'!$CR$5:$CR$16,MATCH(COF!IF12,'Tables - Part 3'!$CQ$5:$CQ$16,0)))))))</f>
        <v>#N/A</v>
      </c>
      <c r="IO12" s="151" t="e">
        <f>IF(CB12=$TK$5,'Tables - Part 3'!$CR$17,IF(COF!CB12=COF!$TK$6,IF(COF!GG12&lt;'Tables - Part 3'!$CQ$5,'Tables - Part 3'!$CR$5,IF(GG12&gt;='Tables - Part 3'!$CQ$16,'Tables - Part 3'!$CR$16,((COF!GG12-COF!IG12)*(INDEX('Tables - Part 3'!$CR$5:$CR$16,MATCH(COF!IK12,'Tables - Part 3'!$CQ$5:$CQ$16,0))-INDEX('Tables - Part 3'!$CR$5:$CR$16,MATCH(COF!IG12,'Tables - Part 3'!$CQ$5:$CQ$16,0)))/(IK12-IG12)+INDEX('Tables - Part 3'!$CR$5:$CR$16,MATCH(COF!IG12,'Tables - Part 3'!$CQ$5:$CQ$16,0)))))))</f>
        <v>#N/A</v>
      </c>
      <c r="IP12" s="151" t="e">
        <f>IF(CC12=$TK$5,'Tables - Part 3'!$CR$17,IF(COF!CC12=COF!$TK$6,IF(COF!GH12&lt;'Tables - Part 3'!$CQ$5,'Tables - Part 3'!$CR$5,IF(GH12&gt;='Tables - Part 3'!$CQ$16,'Tables - Part 3'!$CR$16,((COF!GH12-COF!IH12)*(INDEX('Tables - Part 3'!$CR$5:$CR$16,MATCH(COF!IL12,'Tables - Part 3'!$CQ$5:$CQ$16,0))-INDEX('Tables - Part 3'!$CR$5:$CR$16,MATCH(COF!IH12,'Tables - Part 3'!$CQ$5:$CQ$16,0)))/(IL12-IH12)+INDEX('Tables - Part 3'!$CR$5:$CR$16,MATCH(COF!IH12,'Tables - Part 3'!$CQ$5:$CQ$16,0)))))))</f>
        <v>#N/A</v>
      </c>
      <c r="IQ12" s="151" t="e">
        <f>IF(CD12=$TK$5,'Tables - Part 3'!$CR$17,IF(COF!CD12=COF!$TK$6,IF(COF!GI12&lt;'Tables - Part 3'!$CQ$5,'Tables - Part 3'!$CR$5,IF(GI12&gt;='Tables - Part 3'!$CQ$16,'Tables - Part 3'!$CR$16,((COF!GI12-COF!II12)*(INDEX('Tables - Part 3'!$CR$5:$CR$16,MATCH(COF!IM12,'Tables - Part 3'!$CQ$5:$CQ$16,0))-INDEX('Tables - Part 3'!$CR$5:$CR$16,MATCH(COF!II12,'Tables - Part 3'!$CQ$5:$CQ$16,0)))/(IM12-II12)+INDEX('Tables - Part 3'!$CR$5:$CR$16,MATCH(COF!II12,'Tables - Part 3'!$CQ$5:$CQ$16,0)))))))</f>
        <v>#N/A</v>
      </c>
      <c r="IR12" s="151" t="e">
        <f>IF(CA12=$TK$5,'Tables - Part 3'!$CS$17,IF(COF!CA12=COF!$TK$6,IF(COF!GF12&lt;'Tables - Part 3'!$CQ$5,'Tables - Part 3'!$CS$5,IF(GF12&gt;='Tables - Part 3'!$CQ$16,'Tables - Part 3'!$CS$16,((COF!GF12-COF!IF12)*(INDEX('Tables - Part 3'!$CS$5:$CS$16,MATCH(COF!IJ12,'Tables - Part 3'!$CQ$5:$CQ$16,0))-INDEX('Tables - Part 3'!$CS$5:$CS$16,MATCH(COF!IF12,'Tables - Part 3'!$CQ$5:$CQ$16,0)))/(IJ12-IF12)+INDEX('Tables - Part 3'!$CS$5:$CS$16,MATCH(COF!IF12,'Tables - Part 3'!$CQ$5:$CQ$16,0)))))))</f>
        <v>#N/A</v>
      </c>
      <c r="IS12" s="151" t="e">
        <f>IF(CB12=$TK$5,'Tables - Part 3'!$CS$17,IF(COF!CB12=COF!$TK$6,IF(COF!GG12&lt;'Tables - Part 3'!$CQ$5,'Tables - Part 3'!$CS$5,IF(GG12&gt;='Tables - Part 3'!$CQ$16,'Tables - Part 3'!$CS$16,((COF!GG12-COF!IG12)*(INDEX('Tables - Part 3'!$CS$5:$CS$16,MATCH(COF!IK12,'Tables - Part 3'!$CQ$5:$CQ$16,0))-INDEX('Tables - Part 3'!$CS$5:$CS$16,MATCH(COF!IG12,'Tables - Part 3'!$CQ$5:$CQ$16,0)))/(IK12-IG12)+INDEX('Tables - Part 3'!$CS$5:$CS$16,MATCH(COF!IG12,'Tables - Part 3'!$CQ$5:$CQ$16,0)))))))</f>
        <v>#N/A</v>
      </c>
      <c r="IT12" s="151" t="e">
        <f>IF(CC12=$TK$5,'Tables - Part 3'!$CS$17,IF(COF!CC12=COF!$TK$6,IF(COF!GH12&lt;'Tables - Part 3'!$CQ$5,'Tables - Part 3'!$CS$5,IF(GH12&gt;='Tables - Part 3'!$CQ$16,'Tables - Part 3'!$CS$16,((COF!GH12-COF!IH12)*(INDEX('Tables - Part 3'!$CS$5:$CS$16,MATCH(COF!IL12,'Tables - Part 3'!$CQ$5:$CQ$16,0))-INDEX('Tables - Part 3'!$CS$5:$CS$16,MATCH(COF!IH12,'Tables - Part 3'!$CQ$5:$CQ$16,0)))/(IL12-IH12)+INDEX('Tables - Part 3'!$CS$5:$CS$16,MATCH(COF!IH12,'Tables - Part 3'!$CQ$5:$CQ$16,0)))))))</f>
        <v>#N/A</v>
      </c>
      <c r="IU12" s="151" t="e">
        <f>IF(CD12=$TK$5,'Tables - Part 3'!$CS$17,IF(COF!CD12=COF!$TK$6,IF(COF!GI12&lt;'Tables - Part 3'!$CQ$5,'Tables - Part 3'!$CS$5,IF(GI12&gt;='Tables - Part 3'!$CQ$16,'Tables - Part 3'!$CS$16,((COF!GI12-COF!II12)*(INDEX('Tables - Part 3'!$CS$5:$CS$16,MATCH(COF!IM12,'Tables - Part 3'!$CQ$5:$CQ$16,0))-INDEX('Tables - Part 3'!$CS$5:$CS$16,MATCH(COF!II12,'Tables - Part 3'!$CQ$5:$CQ$16,0)))/(IM12-II12)+INDEX('Tables - Part 3'!$CS$5:$CS$16,MATCH(COF!II12,'Tables - Part 3'!$CQ$5:$CQ$16,0)))))))</f>
        <v>#N/A</v>
      </c>
      <c r="IV12" s="151">
        <f t="shared" si="277"/>
        <v>0</v>
      </c>
      <c r="IW12" s="151">
        <f t="shared" si="87"/>
        <v>0</v>
      </c>
      <c r="IX12" s="151">
        <f t="shared" si="88"/>
        <v>0</v>
      </c>
      <c r="IY12" s="151">
        <f t="shared" si="89"/>
        <v>0</v>
      </c>
      <c r="IZ12" s="151">
        <f t="shared" si="278"/>
        <v>0</v>
      </c>
      <c r="JA12" s="151">
        <f t="shared" si="91"/>
        <v>0</v>
      </c>
      <c r="JB12" s="151">
        <f t="shared" si="92"/>
        <v>0</v>
      </c>
      <c r="JC12" s="151">
        <f t="shared" si="93"/>
        <v>0</v>
      </c>
      <c r="JD12" s="151" t="e">
        <f t="shared" si="94"/>
        <v>#N/A</v>
      </c>
      <c r="JE12" s="151" t="e">
        <f t="shared" si="95"/>
        <v>#N/A</v>
      </c>
      <c r="JF12" s="151" t="e">
        <f t="shared" si="96"/>
        <v>#N/A</v>
      </c>
      <c r="JG12" s="151" t="e">
        <f t="shared" si="97"/>
        <v>#N/A</v>
      </c>
      <c r="JH12" s="151" t="e">
        <f>IF(CA12=$TK$5,'Tables - Part 3'!$CT$17,IF(COF!CA12=COF!$TK$6,IF(COF!GF12&lt;'Tables - Part 3'!$CQ$5,'Tables - Part 3'!$CT$5,IF(GF12&gt;='Tables - Part 3'!$CQ$16,'Tables - Part 3'!$CT$16,((COF!GF12-COF!IF12)*(INDEX('Tables - Part 3'!$CT$5:$CT$16,MATCH(COF!IJ12,'Tables - Part 3'!$CQ$5:$CQ$16,0))-INDEX('Tables - Part 3'!$CT$5:$CT$16,MATCH(COF!IF12,'Tables - Part 3'!$CQ$5:$CQ$16,0)))/(IJ12-IF12)+INDEX('Tables - Part 3'!$CT$5:$CT$16,MATCH(COF!IF12,'Tables - Part 3'!$CQ$5:$CQ$16,0)))))))</f>
        <v>#N/A</v>
      </c>
      <c r="JI12" s="151" t="e">
        <f>IF(CB12=$TK$5,'Tables - Part 3'!$CT$17,IF(COF!CB12=COF!$TK$6,IF(COF!GG12&lt;'Tables - Part 3'!$CQ$5,'Tables - Part 3'!$CT$5,IF(GG12&gt;='Tables - Part 3'!$CQ$16,'Tables - Part 3'!$CT$16,((COF!GG12-COF!IG12)*(INDEX('Tables - Part 3'!$CT$5:$CT$16,MATCH(COF!IK12,'Tables - Part 3'!$CQ$5:$CQ$16,0))-INDEX('Tables - Part 3'!$CT$5:$CT$16,MATCH(COF!IG12,'Tables - Part 3'!$CQ$5:$CQ$16,0)))/(IK12-IG12)+INDEX('Tables - Part 3'!$CT$5:$CT$16,MATCH(COF!IG12,'Tables - Part 3'!$CQ$5:$CQ$16,0)))))))</f>
        <v>#N/A</v>
      </c>
      <c r="JJ12" s="151" t="e">
        <f>IF(CC12=$TK$5,'Tables - Part 3'!$CT$17,IF(COF!CC12=COF!$TK$6,IF(COF!GH12&lt;'Tables - Part 3'!$CQ$5,'Tables - Part 3'!$CT$5,IF(GH12&gt;='Tables - Part 3'!$CQ$16,'Tables - Part 3'!$CT$16,((COF!GH12-COF!IH12)*(INDEX('Tables - Part 3'!$CT$5:$CT$16,MATCH(COF!IL12,'Tables - Part 3'!$CQ$5:$CQ$16,0))-INDEX('Tables - Part 3'!$CT$5:$CT$16,MATCH(COF!IH12,'Tables - Part 3'!$CQ$5:$CQ$16,0)))/(IL12-IH12)+INDEX('Tables - Part 3'!$CT$5:$CT$16,MATCH(COF!IH12,'Tables - Part 3'!$CQ$5:$CQ$16,0)))))))</f>
        <v>#N/A</v>
      </c>
      <c r="JK12" s="151" t="e">
        <f>IF(CD12=$TK$5,'Tables - Part 3'!$CT$17,IF(COF!CD12=COF!$TK$6,IF(COF!GI12&lt;'Tables - Part 3'!$CQ$5,'Tables - Part 3'!$CT$5,IF(GI12&gt;='Tables - Part 3'!$CQ$16,'Tables - Part 3'!$CT$16,((COF!GI12-COF!II12)*(INDEX('Tables - Part 3'!$CT$5:$CT$16,MATCH(COF!IM12,'Tables - Part 3'!$CQ$5:$CQ$16,0))-INDEX('Tables - Part 3'!$CT$5:$CT$16,MATCH(COF!II12,'Tables - Part 3'!$CQ$5:$CQ$16,0)))/(IM12-II12)+INDEX('Tables - Part 3'!$CT$5:$CT$16,MATCH(COF!II12,'Tables - Part 3'!$CQ$5:$CQ$16,0)))))))</f>
        <v>#N/A</v>
      </c>
      <c r="JL12" s="151" t="e">
        <f>IF(CA12=$TK$5,'Tables - Part 3'!$CU$17,IF(COF!CA12=COF!$TK$6,IF(COF!GF12&lt;'Tables - Part 3'!$CQ$5,'Tables - Part 3'!$CU$5,IF(GF12&gt;='Tables - Part 3'!$CQ$16,'Tables - Part 3'!$CU$16,((COF!GF12-COF!IF12)*(INDEX('Tables - Part 3'!$CU$5:$CU$16,MATCH(COF!IJ12,'Tables - Part 3'!$CQ$5:$CQ$16,0))-INDEX('Tables - Part 3'!$CU$5:$CU$16,MATCH(COF!IF12,'Tables - Part 3'!$CQ$5:$CQ$16,0)))/(IJ12-IF12)+INDEX('Tables - Part 3'!$CU$5:$CU$16,MATCH(COF!IF12,'Tables - Part 3'!$CQ$5:$CQ$16,0)))))))</f>
        <v>#N/A</v>
      </c>
      <c r="JM12" s="151" t="e">
        <f>IF(CB12=$TK$5,'Tables - Part 3'!$CU$17,IF(COF!CB12=COF!$TK$6,IF(COF!GG12&lt;'Tables - Part 3'!$CQ$5,'Tables - Part 3'!$CU$5,IF(GG12&gt;='Tables - Part 3'!$CQ$16,'Tables - Part 3'!$CU$16,((COF!GG12-COF!IG12)*(INDEX('Tables - Part 3'!$CU$5:$CU$16,MATCH(COF!IK12,'Tables - Part 3'!$CQ$5:$CQ$16,0))-INDEX('Tables - Part 3'!$CU$5:$CU$16,MATCH(COF!IG12,'Tables - Part 3'!$CQ$5:$CQ$16,0)))/(IK12-IG12)+INDEX('Tables - Part 3'!$CU$5:$CU$16,MATCH(COF!IG12,'Tables - Part 3'!$CQ$5:$CQ$16,0)))))))</f>
        <v>#N/A</v>
      </c>
      <c r="JN12" s="151" t="e">
        <f>IF(CC12=$TK$5,'Tables - Part 3'!$CU$17,IF(COF!CC12=COF!$TK$6,IF(COF!GH12&lt;'Tables - Part 3'!$CQ$5,'Tables - Part 3'!$CU$5,IF(GH12&gt;='Tables - Part 3'!$CQ$16,'Tables - Part 3'!$CU$16,((COF!GH12-COF!IH12)*(INDEX('Tables - Part 3'!$CU$5:$CU$16,MATCH(COF!IL12,'Tables - Part 3'!$CQ$5:$CQ$16,0))-INDEX('Tables - Part 3'!$CU$5:$CU$16,MATCH(COF!IH12,'Tables - Part 3'!$CQ$5:$CQ$16,0)))/(IL12-IH12)+INDEX('Tables - Part 3'!$CU$5:$CU$16,MATCH(COF!IH12,'Tables - Part 3'!$CQ$5:$CQ$16,0)))))))</f>
        <v>#N/A</v>
      </c>
      <c r="JO12" s="151" t="e">
        <f>IF(CD12=$TK$5,'Tables - Part 3'!$CU$17,IF(COF!CD12=COF!$TK$6,IF(COF!GI12&lt;'Tables - Part 3'!$CQ$5,'Tables - Part 3'!$CU$5,IF(GI12&gt;='Tables - Part 3'!$CQ$16,'Tables - Part 3'!$CU$16,((COF!GI12-COF!II12)*(INDEX('Tables - Part 3'!$CU$5:$CU$16,MATCH(COF!IM12,'Tables - Part 3'!$CQ$5:$CQ$16,0))-INDEX('Tables - Part 3'!$CU$5:$CU$16,MATCH(COF!II12,'Tables - Part 3'!$CQ$5:$CQ$16,0)))/(IM12-II12)+INDEX('Tables - Part 3'!$CU$5:$CU$16,MATCH(COF!II12,'Tables - Part 3'!$CQ$5:$CQ$16,0)))))))</f>
        <v>#N/A</v>
      </c>
      <c r="JP12" s="282"/>
      <c r="JQ12" s="151">
        <f t="shared" si="279"/>
        <v>0</v>
      </c>
      <c r="JR12" s="151">
        <f t="shared" si="99"/>
        <v>0</v>
      </c>
      <c r="JS12" s="151">
        <f t="shared" si="100"/>
        <v>0</v>
      </c>
      <c r="JT12" s="151">
        <f t="shared" si="101"/>
        <v>0</v>
      </c>
      <c r="JU12" s="151" t="e">
        <f t="shared" si="204"/>
        <v>#N/A</v>
      </c>
      <c r="JV12" s="151" t="e">
        <f t="shared" si="205"/>
        <v>#N/A</v>
      </c>
      <c r="JW12" s="151" t="e">
        <f t="shared" si="206"/>
        <v>#N/A</v>
      </c>
      <c r="JX12" s="151" t="e">
        <f t="shared" si="207"/>
        <v>#N/A</v>
      </c>
      <c r="JY12" s="152" t="e">
        <f>IF(GF12&lt;'Tables - Part 3'!$CY$6,0,LOOKUP(GF12,'Tables - Part 3'!$CY$6:$CY$11))</f>
        <v>#N/A</v>
      </c>
      <c r="JZ12" s="152" t="e">
        <f>IF(GG12&lt;'Tables - Part 3'!$CY$6,0,LOOKUP(GG12,'Tables - Part 3'!$CY$6:$CY$11))</f>
        <v>#N/A</v>
      </c>
      <c r="KA12" s="152" t="e">
        <f>IF(GH12&lt;'Tables - Part 3'!$CY$6,0,LOOKUP(GH12,'Tables - Part 3'!$CY$6:$CY$11))</f>
        <v>#N/A</v>
      </c>
      <c r="KB12" s="152" t="e">
        <f>IF(GI12&lt;'Tables - Part 3'!$CY$6,0,LOOKUP(GI12,'Tables - Part 3'!$CY$6:$CY$11))</f>
        <v>#N/A</v>
      </c>
      <c r="KC12" s="152" t="e">
        <f>IF(GF12&lt;'Tables - Part 3'!$CY$6,'Tables - Part 3'!$CY$6,IF(COF!GF12&lt;'Tables - Part 3'!$CY$7,'Tables - Part 3'!$CY$7,IF(COF!GF12&lt;'Tables - Part 3'!$CY$8,'Tables - Part 3'!$CY$8,IF(COF!GF12&lt;'Tables - Part 3'!$CY$9,'Tables - Part 3'!$CY$9,IF(COF!GF12&lt;'Tables - Part 3'!$CY$10,'Tables - Part 3'!$CY$10,IF(COF!GF12&lt;'Tables - Part 3'!$CY$11,'Tables - Part 3'!$CY$11))))))</f>
        <v>#N/A</v>
      </c>
      <c r="KD12" s="152" t="e">
        <f>IF(GG12&lt;'Tables - Part 3'!$CY$6,'Tables - Part 3'!$CY$6,IF(COF!GG12&lt;'Tables - Part 3'!$CY$7,'Tables - Part 3'!$CY$7,IF(COF!GG12&lt;'Tables - Part 3'!$CY$8,'Tables - Part 3'!$CY$8,IF(COF!GG12&lt;'Tables - Part 3'!$CY$9,'Tables - Part 3'!$CY$9,IF(COF!GG12&lt;'Tables - Part 3'!$CY$10,'Tables - Part 3'!$CY$10,IF(COF!GG12&lt;'Tables - Part 3'!$CY$11,'Tables - Part 3'!$CY$11))))))</f>
        <v>#N/A</v>
      </c>
      <c r="KE12" s="152" t="e">
        <f>IF(GH12&lt;'Tables - Part 3'!$CY$6,'Tables - Part 3'!$CY$6,IF(COF!GH12&lt;'Tables - Part 3'!$CY$7,'Tables - Part 3'!$CY$7,IF(COF!GH12&lt;'Tables - Part 3'!$CY$8,'Tables - Part 3'!$CY$8,IF(COF!GH12&lt;'Tables - Part 3'!$CY$9,'Tables - Part 3'!$CY$9,IF(COF!GH12&lt;'Tables - Part 3'!$CY$10,'Tables - Part 3'!$CY$10,IF(COF!GH12&lt;'Tables - Part 3'!$CY$11,'Tables - Part 3'!$CY$11))))))</f>
        <v>#N/A</v>
      </c>
      <c r="KF12" s="152" t="e">
        <f>IF(GI12&lt;'Tables - Part 3'!$CY$6,'Tables - Part 3'!$CY$6,IF(COF!GI12&lt;'Tables - Part 3'!$CY$7,'Tables - Part 3'!$CY$7,IF(COF!GI12&lt;'Tables - Part 3'!$CY$8,'Tables - Part 3'!$CY$8,IF(COF!GI12&lt;'Tables - Part 3'!$CY$9,'Tables - Part 3'!$CY$9,IF(COF!GI12&lt;'Tables - Part 3'!$CY$10,'Tables - Part 3'!$CY$10,IF(COF!GI12&lt;'Tables - Part 3'!$CY$11,'Tables - Part 3'!$CY$11))))))</f>
        <v>#N/A</v>
      </c>
      <c r="KG12" s="151" t="e">
        <f>IF(CA12=$TK$5,'Tables - Part 3'!$CZ$6,IF(COF!CA12=COF!$TK$6,IF(COF!GF12&lt;'Tables - Part 3'!$CY$6,'Tables - Part 3'!$CZ$6,IF(GF12&gt;='Tables - Part 3'!$CY$11,'Tables - Part 3'!$CZ$11,((COF!GF12-COF!JY12)*(INDEX('Tables - Part 3'!$CZ$6:$CZ$11,MATCH(COF!KC12,'Tables - Part 3'!$CY$6:$CY$11,0))-INDEX('Tables - Part 3'!$CZ$6:$CZ$11,MATCH(COF!JY12,'Tables - Part 3'!$CY$6:$CY$11,0)))/(KC12-JY12)+INDEX('Tables - Part 3'!$CZ$6:$CZ$11,MATCH(COF!JY12,'Tables - Part 3'!$CY$6:$CY$11,0)))))))</f>
        <v>#N/A</v>
      </c>
      <c r="KH12" s="151" t="e">
        <f>IF(CB12=$TK$5,'Tables - Part 3'!$CZ$6,IF(COF!CB12=COF!$TK$6,IF(COF!GG12&lt;'Tables - Part 3'!$CY$6,'Tables - Part 3'!$CZ$6,IF(GG12&gt;='Tables - Part 3'!$CY$11,'Tables - Part 3'!$CZ$11,((COF!GG12-COF!JZ12)*(INDEX('Tables - Part 3'!$CZ$6:$CZ$11,MATCH(COF!KD12,'Tables - Part 3'!$CY$6:$CY$11,0))-INDEX('Tables - Part 3'!$CZ$6:$CZ$11,MATCH(COF!JZ12,'Tables - Part 3'!$CY$6:$CY$11,0)))/(KD12-JZ12)+INDEX('Tables - Part 3'!$CZ$6:$CZ$11,MATCH(COF!JZ12,'Tables - Part 3'!$CY$6:$CY$11,0)))))))</f>
        <v>#N/A</v>
      </c>
      <c r="KI12" s="151" t="e">
        <f>IF(CC12=$TK$5,'Tables - Part 3'!$CZ$6,IF(COF!CC12=COF!$TK$6,IF(COF!GH12&lt;'Tables - Part 3'!$CY$6,'Tables - Part 3'!$CZ$6,IF(GH12&gt;='Tables - Part 3'!$CY$11,'Tables - Part 3'!$CZ$11,((COF!GH12-COF!KA12)*(INDEX('Tables - Part 3'!$CZ$6:$CZ$11,MATCH(COF!KE12,'Tables - Part 3'!$CY$6:$CY$11,0))-INDEX('Tables - Part 3'!$CZ$6:$CZ$11,MATCH(COF!KA12,'Tables - Part 3'!$CY$6:$CY$11,0)))/(KE12-KA12)+INDEX('Tables - Part 3'!$CZ$6:$CZ$11,MATCH(COF!KA12,'Tables - Part 3'!$CY$6:$CY$11,0)))))))</f>
        <v>#N/A</v>
      </c>
      <c r="KJ12" s="151" t="e">
        <f>IF(CD12=$TK$5,'Tables - Part 3'!$CZ$6,IF(COF!CD12=COF!$TK$6,IF(COF!GI12&lt;'Tables - Part 3'!$CY$6,'Tables - Part 3'!$CZ$6,IF(GI12&gt;='Tables - Part 3'!$CY$11,'Tables - Part 3'!$CZ$11,((COF!GI12-COF!KB12)*(INDEX('Tables - Part 3'!$CZ$6:$CZ$11,MATCH(COF!KF12,'Tables - Part 3'!$CY$6:$CY$11,0))-INDEX('Tables - Part 3'!$CZ$6:$CZ$11,MATCH(COF!KB12,'Tables - Part 3'!$CY$6:$CY$11,0)))/(KF12-KB12)+INDEX('Tables - Part 3'!$CZ$6:$CZ$11,MATCH(COF!KB12,'Tables - Part 3'!$CY$6:$CY$11,0)))))))</f>
        <v>#N/A</v>
      </c>
      <c r="KK12" s="153" t="e">
        <f>IF(CA12=$TK$5,'Tables - Part 3'!$DA$6,IF(COF!CA12=COF!$TK$6,IF(COF!GF12&lt;'Tables - Part 3'!$CY$6,'Tables - Part 3'!$DA$6,IF(GF12&gt;='Tables - Part 3'!$CY$11,'Tables - Part 3'!$DA$11,((COF!GF12-COF!JY12)*(INDEX('Tables - Part 3'!$DA$6:$DA$11,MATCH(COF!KC12,'Tables - Part 3'!$CY$6:$CY$11,0))-INDEX('Tables - Part 3'!$DA$6:$DA$11,MATCH(COF!JY12,'Tables - Part 3'!$CY$6:$CY$11,0)))/(KC12-JY12)+INDEX('Tables - Part 3'!$DA$6:$DA$16,MATCH(COF!JY12,'Tables - Part 3'!$CY$6:$CY$11,0)))))))</f>
        <v>#N/A</v>
      </c>
      <c r="KL12" s="153" t="e">
        <f>IF(CB12=$TK$5,'Tables - Part 3'!$DA$6,IF(COF!CB12=COF!$TK$6,IF(COF!GG12&lt;'Tables - Part 3'!$CY$6,'Tables - Part 3'!$DA$6,IF(GG12&gt;='Tables - Part 3'!$CY$11,'Tables - Part 3'!$DA$11,((COF!GG12-COF!JZ12)*(INDEX('Tables - Part 3'!$DA$6:$DA$11,MATCH(COF!KD12,'Tables - Part 3'!$CY$6:$CY$11,0))-INDEX('Tables - Part 3'!$DA$6:$DA$11,MATCH(COF!JZ12,'Tables - Part 3'!$CY$6:$CY$11,0)))/(KD12-JZ12)+INDEX('Tables - Part 3'!$DA$6:$DA$16,MATCH(COF!JZ12,'Tables - Part 3'!$CY$6:$CY$11,0)))))))</f>
        <v>#N/A</v>
      </c>
      <c r="KM12" s="153" t="e">
        <f>IF(CC12=$TK$5,'Tables - Part 3'!$DA$6,IF(COF!CC12=COF!$TK$6,IF(COF!GH12&lt;'Tables - Part 3'!$CY$6,'Tables - Part 3'!$DA$6,IF(GH12&gt;='Tables - Part 3'!$CY$11,'Tables - Part 3'!$DA$11,((COF!GH12-COF!KA12)*(INDEX('Tables - Part 3'!$DA$6:$DA$11,MATCH(COF!KE12,'Tables - Part 3'!$CY$6:$CY$11,0))-INDEX('Tables - Part 3'!$DA$6:$DA$11,MATCH(COF!KA12,'Tables - Part 3'!$CY$6:$CY$11,0)))/(KE12-KA12)+INDEX('Tables - Part 3'!$DA$6:$DA$16,MATCH(COF!KA12,'Tables - Part 3'!$CY$6:$CY$11,0)))))))</f>
        <v>#N/A</v>
      </c>
      <c r="KN12" s="153" t="e">
        <f>IF(CD12=$TK$5,'Tables - Part 3'!$DA$6,IF(COF!CD12=COF!$TK$6,IF(COF!GI12&lt;'Tables - Part 3'!$CY$6,'Tables - Part 3'!$DA$6,IF(GI12&gt;='Tables - Part 3'!$CY$11,'Tables - Part 3'!$DA$11,((COF!GI12-COF!KB12)*(INDEX('Tables - Part 3'!$DA$6:$DA$11,MATCH(COF!KF12,'Tables - Part 3'!$CY$6:$CY$11,0))-INDEX('Tables - Part 3'!$DA$6:$DA$11,MATCH(COF!KB12,'Tables - Part 3'!$CY$6:$CY$11,0)))/(KF12-KB12)+INDEX('Tables - Part 3'!$DA$6:$DA$16,MATCH(COF!KB12,'Tables - Part 3'!$CY$6:$CY$11,0)))))))</f>
        <v>#N/A</v>
      </c>
      <c r="KO12" s="153">
        <f t="shared" si="280"/>
        <v>0</v>
      </c>
      <c r="KP12" s="153">
        <f t="shared" si="103"/>
        <v>0</v>
      </c>
      <c r="KQ12" s="153">
        <f t="shared" si="104"/>
        <v>0</v>
      </c>
      <c r="KR12" s="153">
        <f t="shared" si="105"/>
        <v>0</v>
      </c>
      <c r="KS12" s="151" t="e">
        <f t="shared" si="208"/>
        <v>#N/A</v>
      </c>
      <c r="KT12" s="151" t="e">
        <f t="shared" si="209"/>
        <v>#N/A</v>
      </c>
      <c r="KU12" s="151" t="e">
        <f t="shared" si="210"/>
        <v>#N/A</v>
      </c>
      <c r="KV12" s="151" t="e">
        <f t="shared" si="211"/>
        <v>#N/A</v>
      </c>
      <c r="KW12" s="151" t="e">
        <f>IF(CA12=$TK$5,'Tables - Part 3'!$CZ$12,IF(COF!CA12=COF!$TK$6,IF(COF!GF12&lt;'Tables - Part 3'!$CY$12,'Tables - Part 3'!$CZ$12,IF(GF12&gt;='Tables - Part 3'!$CY$17,'Tables - Part 3'!$CZ$17,((COF!GF12-COF!JY12)*(INDEX('Tables - Part 3'!$CZ$12:$CZ$17,MATCH(COF!KC12,'Tables - Part 3'!$CY$12:$CY$17,0))-INDEX('Tables - Part 3'!$CZ$12:$CZ$17,MATCH(COF!JY12,'Tables - Part 3'!$CY$12:$CY$17,0)))/(KC12-JY12)+INDEX('Tables - Part 3'!$CZ$12:$CZ$17,MATCH(COF!JY12,'Tables - Part 3'!$CY$12:$CY$17,0)))))))</f>
        <v>#N/A</v>
      </c>
      <c r="KX12" s="151" t="e">
        <f>IF(CB12=$TK$5,'Tables - Part 3'!$CZ$12,IF(COF!CB12=COF!$TK$6,IF(COF!GG12&lt;'Tables - Part 3'!$CY$12,'Tables - Part 3'!$CZ$12,IF(GG12&gt;='Tables - Part 3'!$CY$17,'Tables - Part 3'!$CZ$17,((COF!GG12-COF!JZ12)*(INDEX('Tables - Part 3'!$CZ$12:$CZ$17,MATCH(COF!KD12,'Tables - Part 3'!$CY$12:$CY$17,0))-INDEX('Tables - Part 3'!$CZ$12:$CZ$17,MATCH(COF!JZ12,'Tables - Part 3'!$CY$12:$CY$17,0)))/(KD12-JZ12)+INDEX('Tables - Part 3'!$CZ$12:$CZ$17,MATCH(COF!JZ12,'Tables - Part 3'!$CY$12:$CY$17,0)))))))</f>
        <v>#N/A</v>
      </c>
      <c r="KY12" s="151" t="e">
        <f>IF(CC12=$TK$5,'Tables - Part 3'!$CZ$12,IF(COF!CC12=COF!$TK$6,IF(COF!GH12&lt;'Tables - Part 3'!$CY$12,'Tables - Part 3'!$CZ$12,IF(GH12&gt;='Tables - Part 3'!$CY$17,'Tables - Part 3'!$CZ$17,((COF!GH12-COF!KA12)*(INDEX('Tables - Part 3'!$CZ$12:$CZ$17,MATCH(COF!KE12,'Tables - Part 3'!$CY$12:$CY$17,0))-INDEX('Tables - Part 3'!$CZ$12:$CZ$17,MATCH(COF!KA12,'Tables - Part 3'!$CY$12:$CY$17,0)))/(KE12-KA12)+INDEX('Tables - Part 3'!$CZ$12:$CZ$17,MATCH(COF!KA12,'Tables - Part 3'!$CY$12:$CY$17,0)))))))</f>
        <v>#N/A</v>
      </c>
      <c r="KZ12" s="151" t="e">
        <f>IF(CD12=$TK$5,'Tables - Part 3'!$CZ$12,IF(COF!CD12=COF!$TK$6,IF(COF!GI12&lt;'Tables - Part 3'!$CY$12,'Tables - Part 3'!$CZ$12,IF(GI12&gt;='Tables - Part 3'!$CY$17,'Tables - Part 3'!$CZ$17,((COF!GI12-COF!KB12)*(INDEX('Tables - Part 3'!$CZ$12:$CZ$17,MATCH(COF!KF12,'Tables - Part 3'!$CY$12:$CY$17,0))-INDEX('Tables - Part 3'!$CZ$12:$CZ$17,MATCH(COF!KB12,'Tables - Part 3'!$CY$12:$CY$17,0)))/(KF12-KB12)+INDEX('Tables - Part 3'!$CZ$12:$CZ$17,MATCH(COF!KB12,'Tables - Part 3'!$CY$12:$CY$17,0)))))))</f>
        <v>#N/A</v>
      </c>
      <c r="LA12" s="151" t="e">
        <f>IF(CA12=$TK$5,'Tables - Part 3'!$DA$6,IF(COF!CA12=COF!$TK$6,IF(COF!GF12&lt;'Tables - Part 3'!$CY$6,'Tables - Part 3'!$DA$6,IF(GF12&gt;='Tables - Part 3'!$CY$11,'Tables - Part 3'!$DA$11,((COF!GF12-COF!JY12)*(INDEX('Tables - Part 3'!$DA$6:$DA$11,MATCH(COF!KC12,'Tables - Part 3'!$CY$6:$CY$11,0))-INDEX('Tables - Part 3'!$DA$6:$DA$11,MATCH(COF!JY12,'Tables - Part 3'!$CY$6:$CY$11,0)))/(KC12-JY12)+INDEX('Tables - Part 3'!$DA$5:$DA$16,MATCH(COF!JY12,'Tables - Part 3'!$CY$6:$CY$11,0)))))))</f>
        <v>#N/A</v>
      </c>
      <c r="LB12" s="151" t="e">
        <f>IF(CB12=$TK$5,'Tables - Part 3'!$DA$6,IF(COF!CB12=COF!$TK$6,IF(COF!GG12&lt;'Tables - Part 3'!$CY$6,'Tables - Part 3'!$DA$6,IF(GG12&gt;='Tables - Part 3'!$CY$11,'Tables - Part 3'!$DA$11,((COF!GG12-COF!JZ12)*(INDEX('Tables - Part 3'!$DA$6:$DA$11,MATCH(COF!KD12,'Tables - Part 3'!$CY$6:$CY$11,0))-INDEX('Tables - Part 3'!$DA$6:$DA$11,MATCH(COF!JZ12,'Tables - Part 3'!$CY$6:$CY$11,0)))/(KD12-JZ12)+INDEX('Tables - Part 3'!$DA$5:$DA$16,MATCH(COF!JZ12,'Tables - Part 3'!$CY$6:$CY$11,0)))))))</f>
        <v>#N/A</v>
      </c>
      <c r="LC12" s="151" t="e">
        <f>IF(CC12=$TK$5,'Tables - Part 3'!$DA$6,IF(COF!CC12=COF!$TK$6,IF(COF!GH12&lt;'Tables - Part 3'!$CY$6,'Tables - Part 3'!$DA$6,IF(GH12&gt;='Tables - Part 3'!$CY$11,'Tables - Part 3'!$DA$11,((COF!GH12-COF!KA12)*(INDEX('Tables - Part 3'!$DA$6:$DA$11,MATCH(COF!KE12,'Tables - Part 3'!$CY$6:$CY$11,0))-INDEX('Tables - Part 3'!$DA$6:$DA$11,MATCH(COF!KA12,'Tables - Part 3'!$CY$6:$CY$11,0)))/(KE12-KA12)+INDEX('Tables - Part 3'!$DA$5:$DA$16,MATCH(COF!KA12,'Tables - Part 3'!$CY$6:$CY$11,0)))))))</f>
        <v>#N/A</v>
      </c>
      <c r="LD12" s="151" t="e">
        <f>IF(CD12=$TK$5,'Tables - Part 3'!$DA$6,IF(COF!CD12=COF!$TK$6,IF(COF!GI12&lt;'Tables - Part 3'!$CY$6,'Tables - Part 3'!$DA$6,IF(GI12&gt;='Tables - Part 3'!$CY$11,'Tables - Part 3'!$DA$11,((COF!GI12-COF!KB12)*(INDEX('Tables - Part 3'!$DA$6:$DA$11,MATCH(COF!KF12,'Tables - Part 3'!$CY$6:$CY$11,0))-INDEX('Tables - Part 3'!$DA$6:$DA$11,MATCH(COF!KB12,'Tables - Part 3'!$CY$6:$CY$11,0)))/(KF12-KB12)+INDEX('Tables - Part 3'!$DA$5:$DA$16,MATCH(COF!KB12,'Tables - Part 3'!$CY$6:$CY$11,0)))))))</f>
        <v>#N/A</v>
      </c>
      <c r="LE12" s="154"/>
      <c r="LF12" s="154"/>
      <c r="LG12" s="154"/>
      <c r="LH12" s="154"/>
      <c r="LI12" s="154"/>
      <c r="LJ12" s="154"/>
      <c r="LK12" s="154"/>
      <c r="LL12" s="151" t="e">
        <f t="shared" si="212"/>
        <v>#N/A</v>
      </c>
      <c r="LM12" s="151" t="e">
        <f t="shared" si="213"/>
        <v>#N/A</v>
      </c>
      <c r="LN12" s="151" t="e">
        <f t="shared" si="214"/>
        <v>#N/A</v>
      </c>
      <c r="LO12" s="151" t="e">
        <f t="shared" si="215"/>
        <v>#N/A</v>
      </c>
      <c r="LP12" s="151">
        <f t="shared" si="106"/>
        <v>0</v>
      </c>
      <c r="LQ12" s="502">
        <f>IF($F12='Tables - Part 3'!$B$17,'Tables - Part 3.B'!$C$11*COF!CJ12,0)</f>
        <v>0</v>
      </c>
      <c r="LR12" s="502">
        <f>IF($F12='Tables - Part 3'!$B$17,'Tables - Part 3.B'!$C$11*COF!CK12,0)</f>
        <v>0</v>
      </c>
      <c r="LS12" s="502">
        <f>IF($F12='Tables - Part 3'!$B$17,'Tables - Part 3.B'!$C$11*COF!CL12,0)</f>
        <v>0</v>
      </c>
      <c r="LT12" s="502">
        <f>IF($F12='Tables - Part 3'!$B$17,'Tables - Part 3.B'!$C$11*COF!CM12,0)</f>
        <v>0</v>
      </c>
      <c r="LU12" s="502">
        <f>IF($F12='Tables - Part 3'!$B$17,'Tables - Part 3.B'!$C$12*POWER(COF!CR12,0.6384),0)</f>
        <v>0</v>
      </c>
      <c r="LV12" s="502">
        <f>IF($F12='Tables - Part 3'!$B$17,'Tables - Part 3.B'!$C$12*POWER(COF!CS12,0.6384),0)</f>
        <v>0</v>
      </c>
      <c r="LW12" s="502">
        <f>IF($F12='Tables - Part 3'!$B$17,'Tables - Part 3.B'!$C$12*POWER(COF!CT12,0.6384),0)</f>
        <v>0</v>
      </c>
      <c r="LX12" s="502">
        <f>IF($F12='Tables - Part 3'!$B$17,'Tables - Part 3.B'!$C$12*POWER(COF!CU12,0.6384),0)</f>
        <v>0</v>
      </c>
      <c r="LY12" s="151" t="e">
        <f>MIN(CJ12/'Tables - Part 3.B'!$C$8,1)</f>
        <v>#N/A</v>
      </c>
      <c r="LZ12" s="151" t="e">
        <f>MIN(CK12/'Tables - Part 3.B'!$C$8,1)</f>
        <v>#N/A</v>
      </c>
      <c r="MA12" s="151" t="e">
        <f>MIN(CL12/'Tables - Part 3.B'!$C$8,1)</f>
        <v>#N/A</v>
      </c>
      <c r="MB12" s="151" t="e">
        <f>MIN(CM12/'Tables - Part 3.B'!$C$8,1)</f>
        <v>#N/A</v>
      </c>
      <c r="MC12" s="151" t="e">
        <f t="shared" si="216"/>
        <v>#N/A</v>
      </c>
      <c r="MD12" s="151" t="e">
        <f t="shared" si="107"/>
        <v>#N/A</v>
      </c>
      <c r="ME12" s="151" t="e">
        <f t="shared" si="107"/>
        <v>#N/A</v>
      </c>
      <c r="MF12" s="151" t="e">
        <f t="shared" si="107"/>
        <v>#N/A</v>
      </c>
      <c r="MG12" s="502">
        <f>IF($F12='Tables - Part 3'!$B$18,0.2*'Tables - Part 3.B'!$C$10*$ML12*POWER('Tables - Part 3.B'!$C$7*CJ12,$MM12),0)</f>
        <v>0</v>
      </c>
      <c r="MH12" s="502">
        <f>IF($F12='Tables - Part 3'!$B$18,0.2*'Tables - Part 3.B'!$C$10*$ML12*POWER('Tables - Part 3.B'!$C$7*CK12,$MM12),0)</f>
        <v>0</v>
      </c>
      <c r="MI12" s="502">
        <f>IF($F12='Tables - Part 3'!$B$18,0.2*'Tables - Part 3.B'!$C$10*$ML12*POWER('Tables - Part 3.B'!$C$7*CL12,$MM12),0)</f>
        <v>0</v>
      </c>
      <c r="MJ12" s="502">
        <f>IF($F12='Tables - Part 3'!$B$18,0.2*'Tables - Part 3.B'!$C$10*$ML12*POWER('Tables - Part 3.B'!$C$7*CM12,$MM12),0)</f>
        <v>0</v>
      </c>
      <c r="MK12" s="151">
        <v>0</v>
      </c>
      <c r="ML12" s="151" t="e">
        <f>2696-21.9*'Tables - Part 3.B'!$C$13*(COF!OO12-COF!$TM$5)+1.474*POWER('Tables - Part 3.B'!$C$13*(COF!OO12-COF!$TM$5),2)</f>
        <v>#VALUE!</v>
      </c>
      <c r="MM12" s="151" t="e">
        <f>0.31-0.00032*POWER('Tables - Part 3.B'!$C$13*(COF!OO12-COF!$TM$5)-40,2)</f>
        <v>#VALUE!</v>
      </c>
      <c r="MN12" s="151">
        <v>0</v>
      </c>
      <c r="MO12" s="151">
        <f t="shared" si="217"/>
        <v>0</v>
      </c>
      <c r="MP12" s="151">
        <f t="shared" si="108"/>
        <v>0</v>
      </c>
      <c r="MQ12" s="151">
        <f t="shared" si="108"/>
        <v>0</v>
      </c>
      <c r="MR12" s="151">
        <f t="shared" si="108"/>
        <v>0</v>
      </c>
      <c r="MS12" s="151" t="e">
        <f t="shared" si="218"/>
        <v>#N/A</v>
      </c>
      <c r="MT12" s="151" t="e">
        <f t="shared" si="219"/>
        <v>#N/A</v>
      </c>
      <c r="MU12" s="151" t="e">
        <f t="shared" si="220"/>
        <v>#N/A</v>
      </c>
      <c r="MV12" s="151" t="e">
        <f t="shared" si="221"/>
        <v>#N/A</v>
      </c>
      <c r="MW12" s="151">
        <f t="shared" si="222"/>
        <v>0</v>
      </c>
      <c r="MX12" s="151">
        <f t="shared" si="223"/>
        <v>0</v>
      </c>
      <c r="MY12" s="151">
        <f t="shared" si="224"/>
        <v>0</v>
      </c>
      <c r="MZ12" s="526">
        <f t="shared" si="109"/>
        <v>0</v>
      </c>
      <c r="NA12" s="151" t="e">
        <f>INDEX('Tables - Part 3'!DQ$5:DQ$32,MATCH($E12,'Tables - Part 3'!$DP$5:$DP$32,0))</f>
        <v>#N/A</v>
      </c>
      <c r="NB12" s="151" t="e">
        <f>INDEX('Tables - Part 3'!DR$5:DR$32,MATCH($E12,'Tables - Part 3'!$DP$5:$DP$32,0))</f>
        <v>#N/A</v>
      </c>
      <c r="NC12" s="151" t="e">
        <f>INDEX('Tables - Part 3'!DS$5:DS$32,MATCH($E12,'Tables - Part 3'!$DP$5:$DP$32,0))</f>
        <v>#N/A</v>
      </c>
      <c r="ND12" s="151" t="e">
        <f>INDEX('Tables - Part 3'!DT$5:DT$32,MATCH($E12,'Tables - Part 3'!$DP$5:$DP$32,0))</f>
        <v>#N/A</v>
      </c>
      <c r="NE12" s="151" t="e">
        <f>IF(W12='Tables - Part 3'!$DV$44,COF!X12,IF(OR(COF!X12&lt;&gt;0,COF!X12&lt;&gt;""),COF!X12,INDEX('Tables - Part 3'!$DW$4:$DW$43,MATCH(COF!W12,'Tables - Part 3'!$DV$4:$DV$43,0))))</f>
        <v>#N/A</v>
      </c>
      <c r="NF12" s="151">
        <f t="shared" si="110"/>
        <v>1</v>
      </c>
      <c r="NG12" s="151" t="e">
        <f t="shared" si="225"/>
        <v>#N/A</v>
      </c>
      <c r="NH12" s="151">
        <f t="shared" si="111"/>
        <v>0</v>
      </c>
      <c r="NI12" s="151" t="e">
        <f>INDEX('Tables - Part 3'!EC$5:EC$31,MATCH(COF!$E12,'Tables - Part 3'!$EB$5:$EB$31,0))</f>
        <v>#N/A</v>
      </c>
      <c r="NJ12" s="151" t="e">
        <f>INDEX('Tables - Part 3'!ED$5:ED$31,MATCH(COF!$E12,'Tables - Part 3'!$EB$5:$EB$31,0))</f>
        <v>#N/A</v>
      </c>
      <c r="NK12" s="151" t="e">
        <f>INDEX('Tables - Part 3'!EE$5:EE$31,MATCH(COF!$E12,'Tables - Part 3'!$EB$5:$EB$31,0))</f>
        <v>#N/A</v>
      </c>
      <c r="NL12" s="151" t="e">
        <f>INDEX('Tables - Part 3'!EF$5:EF$31,MATCH(COF!$E12,'Tables - Part 3'!$EB$5:$EB$31,0))</f>
        <v>#N/A</v>
      </c>
      <c r="NM12" s="151">
        <f t="shared" si="112"/>
        <v>1</v>
      </c>
      <c r="NN12" s="151" t="e">
        <f t="shared" si="226"/>
        <v>#N/A</v>
      </c>
      <c r="NO12" s="151" t="e">
        <f t="shared" si="227"/>
        <v>#NUM!</v>
      </c>
      <c r="NP12" s="151" t="e">
        <f t="shared" si="113"/>
        <v>#N/A</v>
      </c>
      <c r="NQ12" s="151">
        <f t="shared" si="114"/>
        <v>0</v>
      </c>
      <c r="NR12" s="151" t="e">
        <f>INDEX('Tables - Part 3'!$EL$4:$EL$37,MATCH(COF!F12,'Tables - Part 3'!$EH$4:$EH$37,0))</f>
        <v>#N/A</v>
      </c>
      <c r="NS12" s="151" t="e">
        <f>CR12*(1-$NR12)*'Tables - Part 3.B'!$C$15/COF!$AS12</f>
        <v>#N/A</v>
      </c>
      <c r="NT12" s="151" t="e">
        <f>CS12*(1-$NR12)*'Tables - Part 3.B'!$C$15/COF!$AS12</f>
        <v>#N/A</v>
      </c>
      <c r="NU12" s="151" t="e">
        <f>CT12*(1-$NR12)*'Tables - Part 3.B'!$C$15/COF!$AS12</f>
        <v>#N/A</v>
      </c>
      <c r="NV12" s="151" t="e">
        <f>CU12*(1-$NR12)*'Tables - Part 3.B'!$C$15/COF!$AS12</f>
        <v>#N/A</v>
      </c>
      <c r="NW12" s="151" t="e">
        <f t="shared" si="115"/>
        <v>#N/A</v>
      </c>
      <c r="NX12" s="542">
        <f t="shared" si="116"/>
        <v>0</v>
      </c>
      <c r="NY12" s="156" t="e">
        <f>0.61*$ON12*$AS12*(BM12/'Tables - Part 3.B'!$C$4)*SQRT((2*$TM$13*($OO12-$TM$5)/$AS12))</f>
        <v>#N/A</v>
      </c>
      <c r="NZ12" s="155" t="e">
        <f>0.61*$ON12*$AS12*(BN12/'Tables - Part 3.B'!$C$4)*SQRT((2*$TM$13*($OO12-$TM$5)/$AS12))</f>
        <v>#N/A</v>
      </c>
      <c r="OA12" s="155" t="e">
        <f>0.61*$ON12*$AS12*(BO12/'Tables - Part 3.B'!$C$4)*SQRT((2*$TM$13*($OO12-$TM$5)/$AS12))</f>
        <v>#N/A</v>
      </c>
      <c r="OB12" s="155" t="e">
        <f>0.61*$ON12*$AS12*(BP12/'Tables - Part 3.B'!$C$4)*SQRT((2*$TM$13*($OO12-$TM$5)/$AS12))</f>
        <v>#N/A</v>
      </c>
      <c r="OC12" s="155" t="e">
        <f>0.61*$ON12*AS12*(32450/'Tables - Part 3.B'!$C$4)*SQRT((2*$TM$13*(OO12-$TM$5)/AS12))</f>
        <v>#N/A</v>
      </c>
      <c r="OD12" s="156" t="e">
        <f>(0.9/'Tables - Part 3.B'!$C$5)*BM12*$OO12*SQRT(($AV12*$AU12*$TM$13/(8.314*$OP12))*POWER(2/($AV12+1),(($AV12+1)/($AV12-1))))</f>
        <v>#VALUE!</v>
      </c>
      <c r="OE12" s="156" t="e">
        <f>(0.9/'Tables - Part 3.B'!$C$5)*BN12*$OO12*SQRT(($AV12*$AU12*$TM$13/(8.314*$OP12))*POWER(2/($AV12+1),(($AV12+1)/($AV12-1))))</f>
        <v>#VALUE!</v>
      </c>
      <c r="OF12" s="156" t="e">
        <f>(0.9/'Tables - Part 3.B'!$C$5)*BO12*$OO12*SQRT(($AV12*$AU12*$TM$13/(8.314*$OP12))*POWER(2/($AV12+1),(($AV12+1)/($AV12-1))))</f>
        <v>#VALUE!</v>
      </c>
      <c r="OG12" s="156" t="e">
        <f>(0.9/'Tables - Part 3.B'!$C$5)*BP12*$OO12*SQRT(($AV12*$AU12*$TM$13/(8.314*$OP12))*POWER(2/($AV12+1),(($AV12+1)/($AV12-1))))</f>
        <v>#VALUE!</v>
      </c>
      <c r="OH12" s="156" t="e">
        <f>(0.9/'Tables - Part 3.B'!$C$5)*32450*$OO12*SQRT(($AV12*$AU12*$TM$13/(8.314*$OP12))*POWER(2/($AV12+1),(($AV12+1)/($AV12-1))))</f>
        <v>#VALUE!</v>
      </c>
      <c r="OI12" s="156" t="e">
        <f>(0.9/'Tables - Part 3.B'!$C$5)*BM12*$OO12*SQRT((($AU12*$TM$13)/(8.314*$OP12))*((2*$AV12)/($AV12-1))*POWER(($TM$5/$OO12),(2/$AV12))*(1-POWER(($TM$5/$OO12),(($AV12-1)/$AV12))))</f>
        <v>#VALUE!</v>
      </c>
      <c r="OJ12" s="156" t="e">
        <f>(0.9/'Tables - Part 3.B'!$C$5)*BN12*$OO12*SQRT((($AU12*$TM$13)/(8.314*$OP12))*((2*$AV12)/($AV12-1))*POWER(($TM$5/$OO12),(2/$AV12))*(1-POWER(($TM$5/$OO12),(($AV12-1)/$AV12))))</f>
        <v>#VALUE!</v>
      </c>
      <c r="OK12" s="156" t="e">
        <f>(0.9/'Tables - Part 3.B'!$C$5)*BO12*$OO12*SQRT((($AU12*$TM$13)/(8.314*$OP12))*((2*$AV12)/($AV12-1))*POWER(($TM$5/$OO12),(2/$AV12))*(1-POWER(($TM$5/$OO12),(($AV12-1)/$AV12))))</f>
        <v>#VALUE!</v>
      </c>
      <c r="OL12" s="156" t="e">
        <f>(0.9/'Tables - Part 3.B'!$C$5)*BP12*$OO12*SQRT((($AU12*$TM$13)/(8.314*$OP12))*((2*$AV12)/($AV12-1))*POWER(($TM$5/$OO12),(2/$AV12))*(1-POWER(($TM$5/$OO12),(($AV12-1)/$AV12))))</f>
        <v>#VALUE!</v>
      </c>
      <c r="OM12" s="156" t="e">
        <f>(0.9/'Tables - Part 3.B'!$C$5)*32450*$OO12*SQRT((($AU12*$TM$13)/(8.314*$OP12))*((2*$AV12)/($AV12-1))*POWER(($TM$5/$OO12),(2/$AV12))*(1-POWER(($TM$5/$OO12),(($AV12-1)/$AV12))))</f>
        <v>#VALUE!</v>
      </c>
      <c r="ON12" s="156">
        <f t="shared" si="117"/>
        <v>1</v>
      </c>
      <c r="OO12" s="157" t="str">
        <f t="shared" si="118"/>
        <v/>
      </c>
      <c r="OP12" s="157" t="str">
        <f t="shared" si="119"/>
        <v/>
      </c>
      <c r="OQ12" s="158" t="e">
        <f t="shared" si="228"/>
        <v>#N/A</v>
      </c>
      <c r="OR12" s="158" t="e">
        <f>INDEX('Tables - Part 3'!$F$4:$R$35,MATCH(COF!$F12,'Tables - Part 3'!$F$4:$F$35,0),COUNTA('Tables - Part 3'!$F$3:$K$3))</f>
        <v>#N/A</v>
      </c>
      <c r="OS12" s="158" t="e">
        <f t="shared" si="229"/>
        <v>#N/A</v>
      </c>
      <c r="OT12" s="158" t="e">
        <f t="shared" si="230"/>
        <v>#N/A</v>
      </c>
      <c r="OU12" s="158" t="e">
        <f t="shared" si="231"/>
        <v>#N/A</v>
      </c>
      <c r="OV12" s="159" t="e">
        <f>INDEX('Tables - Part 3'!$M$4:$Q$35,MATCH(COF!$F12,'Tables - Part 3'!$F$4:$F$35,0),COUNTA('Tables - Part 3'!$M$3))</f>
        <v>#N/A</v>
      </c>
      <c r="OW12" s="159" t="e">
        <f>INDEX('Tables - Part 3'!$M$4:$Q$35,MATCH(COF!$F12,'Tables - Part 3'!$F$4:$F$35,0),COUNTA('Tables - Part 3'!$M$3:$N$3))</f>
        <v>#N/A</v>
      </c>
      <c r="OX12" s="159" t="e">
        <f>INDEX('Tables - Part 3'!$M$4:$Q$35,MATCH(COF!$F12,'Tables - Part 3'!$F$4:$F$35,0),COUNTA('Tables - Part 3'!$M$3:$O$3))</f>
        <v>#N/A</v>
      </c>
      <c r="OY12" s="159" t="e">
        <f>INDEX('Tables - Part 3'!$M$4:$Q$35,MATCH(COF!$F12,'Tables - Part 3'!$F$4:$F$35,0),COUNTA('Tables - Part 3'!$M$3:$P$3))</f>
        <v>#N/A</v>
      </c>
      <c r="OZ12" s="160" t="e">
        <f>INDEX('Tables - Part 3'!$M$4:$Q$35,MATCH(COF!$F12,'Tables - Part 3'!$F$4:$F$35,0),COUNTA('Tables - Part 3'!$M$3:$Q$3))</f>
        <v>#N/A</v>
      </c>
      <c r="PA12" s="162" t="e">
        <f>INDEX('Tables - Part 3'!$I$4:$I$35,MATCH(COF!$F12,'Tables - Part 3'!$F$4:$F$35,0))</f>
        <v>#N/A</v>
      </c>
      <c r="PB12" s="158" t="e">
        <f t="shared" si="120"/>
        <v>#N/A</v>
      </c>
      <c r="PC12" s="158" t="str">
        <f t="shared" si="121"/>
        <v/>
      </c>
      <c r="PD12" s="158" t="e">
        <f>INDEX('Tables - Part 3'!AW$7:AW$31,MATCH(COF!$F12,'Tables - Part 3'!$AU$7:$AU$31,0),1)</f>
        <v>#N/A</v>
      </c>
      <c r="PE12" s="158" t="e">
        <f>INDEX('Tables - Part 3'!AX$7:AX$31,MATCH(COF!$F12,'Tables - Part 3'!$AU$7:$AU$31,0),1)</f>
        <v>#N/A</v>
      </c>
      <c r="PF12" s="158" t="e">
        <f>INDEX('Tables - Part 3'!AY$7:AY$31,MATCH(COF!$F12,'Tables - Part 3'!$AU$7:$AU$31,0),1)</f>
        <v>#N/A</v>
      </c>
      <c r="PG12" s="158" t="e">
        <f>INDEX('Tables - Part 3'!AZ$7:AZ$31,MATCH(COF!$F12,'Tables - Part 3'!$AU$7:$AU$31,0),1)</f>
        <v>#N/A</v>
      </c>
      <c r="PH12" s="158" t="e">
        <f>INDEX('Tables - Part 3'!BA$7:BA$31,MATCH(COF!$F12,'Tables - Part 3'!$AU$7:$AU$31,0),1)</f>
        <v>#N/A</v>
      </c>
      <c r="PI12" s="158" t="e">
        <f>INDEX('Tables - Part 3'!BB$7:BB$31,MATCH(COF!$F12,'Tables - Part 3'!$AU$7:$AU$31,0),1)</f>
        <v>#N/A</v>
      </c>
      <c r="PJ12" s="158" t="e">
        <f>INDEX('Tables - Part 3'!BC$7:BC$31,MATCH(COF!$F12,'Tables - Part 3'!$AU$7:$AU$31,0),1)</f>
        <v>#N/A</v>
      </c>
      <c r="PK12" s="158" t="e">
        <f>INDEX('Tables - Part 3'!BD$7:BD$31,MATCH(COF!$F12,'Tables - Part 3'!$AU$7:$AU$31,0),1)</f>
        <v>#N/A</v>
      </c>
      <c r="PL12" s="158" t="e">
        <f>INDEX('Tables - Part 3'!BE$7:BE$31,MATCH(COF!$F12,'Tables - Part 3'!$AU$7:$AU$31,0),1)</f>
        <v>#N/A</v>
      </c>
      <c r="PM12" s="158" t="e">
        <f>INDEX('Tables - Part 3'!BF$7:BF$31,MATCH(COF!$F12,'Tables - Part 3'!$AU$7:$AU$31,0),1)</f>
        <v>#N/A</v>
      </c>
      <c r="PN12" s="158" t="e">
        <f>INDEX('Tables - Part 3'!BG$7:BG$31,MATCH(COF!$F12,'Tables - Part 3'!$AU$7:$AU$31,0),1)</f>
        <v>#N/A</v>
      </c>
      <c r="PO12" s="158" t="e">
        <f>INDEX('Tables - Part 3'!BH$7:BH$31,MATCH(COF!$F12,'Tables - Part 3'!$AU$7:$AU$31,0),1)</f>
        <v>#N/A</v>
      </c>
      <c r="PP12" s="158" t="e">
        <f>INDEX('Tables - Part 3'!BI$7:BI$31,MATCH(COF!$F12,'Tables - Part 3'!$AU$7:$AU$31,0),1)</f>
        <v>#N/A</v>
      </c>
      <c r="PQ12" s="158" t="e">
        <f>INDEX('Tables - Part 3'!BJ$7:BJ$31,MATCH(COF!$F12,'Tables - Part 3'!$AU$7:$AU$31,0),1)</f>
        <v>#N/A</v>
      </c>
      <c r="PR12" s="158" t="e">
        <f>INDEX('Tables - Part 3'!BK$7:BK$31,MATCH(COF!$F12,'Tables - Part 3'!$AU$7:$AU$31,0),1)</f>
        <v>#N/A</v>
      </c>
      <c r="PS12" s="158" t="e">
        <f>INDEX('Tables - Part 3'!BL$7:BL$31,MATCH(COF!$F12,'Tables - Part 3'!$AU$7:$AU$31,0),1)</f>
        <v>#N/A</v>
      </c>
      <c r="PT12" s="158" t="e">
        <f>INDEX('Tables - Part 3'!BP$7:BP$31,MATCH(COF!$F12,'Tables - Part 3'!$AU$7:$AU$31,0),1)</f>
        <v>#N/A</v>
      </c>
      <c r="PU12" s="158" t="e">
        <f>INDEX('Tables - Part 3'!BQ$7:BQ$31,MATCH(COF!$F12,'Tables - Part 3'!$AU$7:$AU$31,0),1)</f>
        <v>#N/A</v>
      </c>
      <c r="PV12" s="158" t="e">
        <f>INDEX('Tables - Part 3'!BR$7:BR$31,MATCH(COF!$F12,'Tables - Part 3'!$AU$7:$AU$31,0),1)</f>
        <v>#N/A</v>
      </c>
      <c r="PW12" s="158" t="e">
        <f>INDEX('Tables - Part 3'!BS$7:BS$31,MATCH(COF!$F12,'Tables - Part 3'!$AU$7:$AU$31,0),1)</f>
        <v>#N/A</v>
      </c>
      <c r="PX12" s="158" t="e">
        <f>INDEX('Tables - Part 3'!BT$7:BT$31,MATCH(COF!$F12,'Tables - Part 3'!$AU$7:$AU$31,0),1)</f>
        <v>#N/A</v>
      </c>
      <c r="PY12" s="158" t="e">
        <f>INDEX('Tables - Part 3'!BU$7:BU$31,MATCH(COF!$F12,'Tables - Part 3'!$AU$7:$AU$31,0),1)</f>
        <v>#N/A</v>
      </c>
      <c r="PZ12" s="158" t="e">
        <f>INDEX('Tables - Part 3'!BV$7:BV$31,MATCH(COF!$F12,'Tables - Part 3'!$AU$7:$AU$31,0),1)</f>
        <v>#N/A</v>
      </c>
      <c r="QA12" s="158" t="e">
        <f>INDEX('Tables - Part 3'!BW$7:BW$31,MATCH(COF!$F12,'Tables - Part 3'!$AU$7:$AU$31,0),1)</f>
        <v>#N/A</v>
      </c>
      <c r="QB12" s="158" t="e">
        <f>INDEX('Tables - Part 3'!BX$7:BX$31,MATCH(COF!$F12,'Tables - Part 3'!$AU$7:$AU$31,0),1)</f>
        <v>#N/A</v>
      </c>
      <c r="QC12" s="158" t="e">
        <f>INDEX('Tables - Part 3'!BY$7:BY$31,MATCH(COF!$F12,'Tables - Part 3'!$AU$7:$AU$31,0),1)</f>
        <v>#N/A</v>
      </c>
      <c r="QD12" s="158" t="e">
        <f>INDEX('Tables - Part 3'!BZ$7:BZ$31,MATCH(COF!$F12,'Tables - Part 3'!$AU$7:$AU$31,0),1)</f>
        <v>#N/A</v>
      </c>
      <c r="QE12" s="158" t="e">
        <f>INDEX('Tables - Part 3'!CA$7:CA$31,MATCH(COF!$F12,'Tables - Part 3'!$AU$7:$AU$31,0),1)</f>
        <v>#N/A</v>
      </c>
      <c r="QF12" s="158" t="e">
        <f>INDEX('Tables - Part 3'!CB$7:CB$31,MATCH(COF!$F12,'Tables - Part 3'!$AU$7:$AU$31,0),1)</f>
        <v>#N/A</v>
      </c>
      <c r="QG12" s="158" t="e">
        <f>INDEX('Tables - Part 3'!CC$7:CC$31,MATCH(COF!$F12,'Tables - Part 3'!$AU$7:$AU$31,0),1)</f>
        <v>#N/A</v>
      </c>
      <c r="QH12" s="158" t="e">
        <f>INDEX('Tables - Part 3'!CD$7:CD$31,MATCH(COF!$F12,'Tables - Part 3'!$AU$7:$AU$31,0),1)</f>
        <v>#N/A</v>
      </c>
      <c r="QI12" s="158" t="e">
        <f>INDEX('Tables - Part 3'!CE$7:CE$31,MATCH(COF!$F12,'Tables - Part 3'!$AU$7:$AU$31,0),1)</f>
        <v>#N/A</v>
      </c>
      <c r="QJ12" s="151">
        <f>'Tables - Part 5'!$R$4</f>
        <v>3.1749999999999998</v>
      </c>
      <c r="QK12" s="151">
        <f>'Tables - Part 5'!$R$5</f>
        <v>6.35</v>
      </c>
      <c r="QL12" s="151">
        <f>'Tables - Part 5'!$R$6</f>
        <v>50.8</v>
      </c>
      <c r="QM12" s="151">
        <f t="shared" si="122"/>
        <v>0</v>
      </c>
      <c r="QN12" s="151">
        <f t="shared" si="232"/>
        <v>7.9173043608984015</v>
      </c>
      <c r="QO12" s="151">
        <f t="shared" si="233"/>
        <v>31.669217443593606</v>
      </c>
      <c r="QP12" s="151">
        <f t="shared" si="234"/>
        <v>2026.8299163899908</v>
      </c>
      <c r="QQ12" s="151">
        <f t="shared" si="235"/>
        <v>0</v>
      </c>
      <c r="QR12" s="151">
        <f t="shared" si="236"/>
        <v>0</v>
      </c>
      <c r="QS12" s="151">
        <f>'Tables - Part 3.B'!$C$34*0.61*QN12*SQRT(2*$TM$15*QR12)</f>
        <v>0</v>
      </c>
      <c r="QT12" s="151">
        <f>'Tables - Part 3.B'!$C$34*0.61*QO12*SQRT(2*$TM$15*QS12)</f>
        <v>0</v>
      </c>
      <c r="QU12" s="151">
        <f>'Tables - Part 3.B'!$C$34*0.61*QP12*SQRT(2*$TM$15*QT12)</f>
        <v>0</v>
      </c>
      <c r="QV12" s="151">
        <f>'Tables - Part 3.B'!$C$34*0.61*QQ12*SQRT(2*$TM$15*QU12)</f>
        <v>0</v>
      </c>
      <c r="QW12" s="151">
        <f t="shared" si="237"/>
        <v>0</v>
      </c>
      <c r="QX12" s="151">
        <f t="shared" si="238"/>
        <v>0</v>
      </c>
      <c r="QY12" s="151">
        <f t="shared" si="239"/>
        <v>0</v>
      </c>
      <c r="QZ12" s="151">
        <f t="shared" si="240"/>
        <v>0</v>
      </c>
      <c r="RA12" s="151">
        <f t="shared" si="241"/>
        <v>0</v>
      </c>
      <c r="RB12" s="151">
        <f>QX12*'Tables - Part 3.B'!$C$15</f>
        <v>0</v>
      </c>
      <c r="RC12" s="151">
        <f>QY12*'Tables - Part 3.B'!$C$15</f>
        <v>0</v>
      </c>
      <c r="RD12" s="151">
        <f>QZ12*'Tables - Part 3.B'!$C$15</f>
        <v>0</v>
      </c>
      <c r="RE12" s="151">
        <f>RA12*'Tables - Part 3.B'!$C$15</f>
        <v>0</v>
      </c>
      <c r="RF12" s="151" t="e">
        <f t="shared" si="242"/>
        <v>#N/A</v>
      </c>
      <c r="RG12" s="151" t="e">
        <f t="shared" si="243"/>
        <v>#N/A</v>
      </c>
      <c r="RH12" s="151" t="e">
        <f t="shared" si="244"/>
        <v>#N/A</v>
      </c>
      <c r="RI12" s="151" t="e">
        <f t="shared" si="245"/>
        <v>#N/A</v>
      </c>
      <c r="RJ12" s="151">
        <f t="shared" si="246"/>
        <v>0</v>
      </c>
      <c r="RK12" s="151">
        <f t="shared" si="247"/>
        <v>0</v>
      </c>
      <c r="RL12" s="151">
        <f t="shared" si="248"/>
        <v>0</v>
      </c>
      <c r="RM12" s="151">
        <f t="shared" si="249"/>
        <v>0</v>
      </c>
      <c r="RN12" s="151">
        <v>7</v>
      </c>
      <c r="RO12" s="151">
        <v>1</v>
      </c>
      <c r="RP12" s="151">
        <v>1</v>
      </c>
      <c r="RQ12" s="151">
        <v>1</v>
      </c>
      <c r="RR12" s="151" t="e">
        <f t="shared" si="250"/>
        <v>#DIV/0!</v>
      </c>
      <c r="RS12" s="151" t="e">
        <f t="shared" si="251"/>
        <v>#DIV/0!</v>
      </c>
      <c r="RT12" s="151" t="e">
        <f t="shared" si="252"/>
        <v>#DIV/0!</v>
      </c>
      <c r="RU12" s="151" t="e">
        <f t="shared" si="253"/>
        <v>#DIV/0!</v>
      </c>
      <c r="RV12" s="151" t="e">
        <f t="shared" si="254"/>
        <v>#DIV/0!</v>
      </c>
      <c r="RW12" s="151" t="e">
        <f t="shared" si="255"/>
        <v>#DIV/0!</v>
      </c>
      <c r="RX12" s="151" t="e">
        <f t="shared" si="256"/>
        <v>#DIV/0!</v>
      </c>
      <c r="RY12" s="151" t="e">
        <f t="shared" si="257"/>
        <v>#DIV/0!</v>
      </c>
      <c r="RZ12" s="151" t="e">
        <f t="shared" si="258"/>
        <v>#DIV/0!</v>
      </c>
      <c r="SA12" s="151" t="e">
        <f t="shared" si="259"/>
        <v>#DIV/0!</v>
      </c>
      <c r="SB12" s="151" t="e">
        <f t="shared" si="260"/>
        <v>#DIV/0!</v>
      </c>
      <c r="SC12" s="151" t="e">
        <f t="shared" si="261"/>
        <v>#DIV/0!</v>
      </c>
      <c r="SD12" s="151">
        <f t="shared" si="262"/>
        <v>0</v>
      </c>
      <c r="SE12" s="151">
        <f t="shared" si="263"/>
        <v>0</v>
      </c>
      <c r="SF12" s="151">
        <f t="shared" si="264"/>
        <v>0</v>
      </c>
      <c r="SG12" s="151">
        <f t="shared" si="265"/>
        <v>0</v>
      </c>
      <c r="SH12" s="151">
        <f t="shared" si="266"/>
        <v>0</v>
      </c>
      <c r="SI12" s="151">
        <f t="shared" si="267"/>
        <v>0</v>
      </c>
      <c r="SJ12" s="151">
        <f t="shared" si="268"/>
        <v>0</v>
      </c>
      <c r="SK12" s="151">
        <f t="shared" si="269"/>
        <v>0</v>
      </c>
      <c r="SL12" s="542"/>
      <c r="SM12" s="542"/>
      <c r="SN12" s="542"/>
      <c r="SO12" s="151"/>
      <c r="SP12" s="151"/>
      <c r="SQ12" s="151"/>
      <c r="SR12" s="151"/>
      <c r="SS12" s="151"/>
      <c r="ST12" s="151"/>
      <c r="SU12" s="151"/>
      <c r="SV12" s="151"/>
      <c r="SW12" s="151"/>
      <c r="SX12" s="151"/>
      <c r="SY12" s="151"/>
      <c r="SZ12" s="151"/>
      <c r="TA12" s="151"/>
      <c r="TB12" s="151"/>
      <c r="TC12" s="151"/>
      <c r="TD12" s="151"/>
      <c r="TE12" s="542"/>
      <c r="TJ12" s="158"/>
      <c r="TK12" s="202" t="s">
        <v>31</v>
      </c>
      <c r="TL12" s="158"/>
      <c r="TM12" s="158"/>
      <c r="TN12" s="158"/>
      <c r="TO12" s="158"/>
      <c r="TQ12" s="155" t="s">
        <v>705</v>
      </c>
    </row>
    <row r="13" spans="2:537" x14ac:dyDescent="0.35">
      <c r="B13" s="161"/>
      <c r="C13" s="161"/>
      <c r="D13" s="161"/>
      <c r="E13" s="161"/>
      <c r="F13" s="666"/>
      <c r="G13" s="161"/>
      <c r="H13" s="537"/>
      <c r="I13" s="161"/>
      <c r="J13" s="161"/>
      <c r="K13" s="161"/>
      <c r="L13" s="161"/>
      <c r="M13" s="161"/>
      <c r="N13" s="161"/>
      <c r="O13" s="161"/>
      <c r="P13" s="161"/>
      <c r="Q13" s="161"/>
      <c r="R13" s="161"/>
      <c r="S13" s="667"/>
      <c r="T13" s="161"/>
      <c r="U13" s="161"/>
      <c r="V13" s="161"/>
      <c r="W13" s="161"/>
      <c r="X13" s="537"/>
      <c r="Y13" s="537"/>
      <c r="Z13" s="399"/>
      <c r="AA13" s="537"/>
      <c r="AB13" s="399"/>
      <c r="AC13" s="399"/>
      <c r="AD13" s="399"/>
      <c r="AE13" s="399"/>
      <c r="AF13" s="399"/>
      <c r="AG13" s="399"/>
      <c r="AH13" s="399"/>
      <c r="AI13" s="399"/>
      <c r="AJ13" s="399"/>
      <c r="AK13" s="399"/>
      <c r="AL13" s="399"/>
      <c r="AM13" s="399"/>
      <c r="AN13" s="399"/>
      <c r="AO13" s="399"/>
      <c r="AP13" s="399"/>
      <c r="AQ13" s="151" t="e">
        <f>INDEX('Tables - Part 3'!$J$4:$J$35,MATCH(COF!$F13,'Tables - Part 3'!$F$4:$F$35,0),1)</f>
        <v>#N/A</v>
      </c>
      <c r="AR13" s="151" t="e">
        <f>IF($G13=$TH$7,'Tables - Part 3'!$W$4,IF(AND($AQ13=$TH$7,COF!$PA13&lt;26.67),'Tables - Part 3'!$W$4,'Tables - Part 3'!$W$7))</f>
        <v>#N/A</v>
      </c>
      <c r="AS13" s="150" t="e">
        <f>INDEX('Tables - Part 3'!$F$4:$R$35,MATCH(COF!$F13,'Tables - Part 3'!$F$4:$F$35,0),COUNTA('Tables - Part 3'!$F$3:$H$3))</f>
        <v>#N/A</v>
      </c>
      <c r="AT13" s="279" t="e">
        <f t="shared" si="6"/>
        <v>#VALUE!</v>
      </c>
      <c r="AU13" s="151" t="e">
        <f>INDEX('Tables - Part 3'!$F$4:$R$35,MATCH(COF!$F13,'Tables - Part 3'!$F$4:$F$35,0),COUNTA('Tables - Part 3'!$F$3:$G$3))</f>
        <v>#N/A</v>
      </c>
      <c r="AV13" s="151" t="e">
        <f t="shared" si="131"/>
        <v>#N/A</v>
      </c>
      <c r="AW13" s="151" t="e">
        <f t="shared" si="7"/>
        <v>#N/A</v>
      </c>
      <c r="AX13" s="151" t="e">
        <f>INDEX('Tables - Part 3'!$F$4:$R$35,MATCH(COF!$F13,'Tables - Part 3'!$F$4:$F$35,0),COUNTA('Tables - Part 3'!$F$3:$R$3))+273.15</f>
        <v>#N/A</v>
      </c>
      <c r="AY13" s="151">
        <f t="shared" si="8"/>
        <v>0</v>
      </c>
      <c r="AZ13" s="151" t="e">
        <f t="shared" si="9"/>
        <v>#N/A</v>
      </c>
      <c r="BA13" s="151" t="e">
        <f t="shared" si="132"/>
        <v>#N/A</v>
      </c>
      <c r="BB13" s="151" t="e">
        <f t="shared" si="133"/>
        <v>#N/A</v>
      </c>
      <c r="BC13" s="151" t="e">
        <f t="shared" si="134"/>
        <v>#N/A</v>
      </c>
      <c r="BD13" s="151" t="e">
        <f t="shared" si="135"/>
        <v>#N/A</v>
      </c>
      <c r="BE13" s="151" t="e">
        <f t="shared" si="10"/>
        <v>#N/A</v>
      </c>
      <c r="BF13" s="151" t="e">
        <f t="shared" si="11"/>
        <v>#N/A</v>
      </c>
      <c r="BG13" s="151" t="e">
        <f t="shared" si="12"/>
        <v>#N/A</v>
      </c>
      <c r="BH13" s="151" t="e">
        <f t="shared" si="13"/>
        <v>#N/A</v>
      </c>
      <c r="BI13" s="151">
        <f>'Tables - Part 3'!$AD$4</f>
        <v>6.4</v>
      </c>
      <c r="BJ13" s="151">
        <f>MIN(O13,'Tables - Part 3'!$AD$5)</f>
        <v>25</v>
      </c>
      <c r="BK13" s="151">
        <f>MIN(O13,'Tables - Part 3'!$AD$6)</f>
        <v>102</v>
      </c>
      <c r="BL13" s="151">
        <f>MIN(O13,'Tables - Part 3'!$AD$7)</f>
        <v>406</v>
      </c>
      <c r="BM13" s="151">
        <f t="shared" si="136"/>
        <v>32.169908772759484</v>
      </c>
      <c r="BN13" s="151">
        <f t="shared" si="137"/>
        <v>490.87385212340519</v>
      </c>
      <c r="BO13" s="151">
        <f t="shared" si="138"/>
        <v>8171.2824919870518</v>
      </c>
      <c r="BP13" s="151">
        <f t="shared" si="139"/>
        <v>129461.89166178179</v>
      </c>
      <c r="BQ13" s="151" t="e">
        <f>INDEX('Tables - Part 2'!$D$5:$G$30,MATCH(COF!$E13,'Tables - Part 2'!$C$5:$C$30,0),1)</f>
        <v>#N/A</v>
      </c>
      <c r="BR13" s="571" t="e">
        <f>INDEX('Tables - Part 2'!$D$5:$G$30,MATCH(COF!$E13,'Tables - Part 2'!$C$5:$C$30,0),2)</f>
        <v>#N/A</v>
      </c>
      <c r="BS13" s="571" t="e">
        <f>INDEX('Tables - Part 2'!$D$5:$G$30,MATCH(COF!$E13,'Tables - Part 2'!$C$5:$C$30,0),3)</f>
        <v>#N/A</v>
      </c>
      <c r="BT13" s="151" t="e">
        <f>INDEX('Tables - Part 2'!$D$5:$G$30,MATCH(COF!$E13,'Tables - Part 2'!$C$5:$C$30,0),4)</f>
        <v>#N/A</v>
      </c>
      <c r="BU13" s="151" t="e">
        <f t="shared" si="140"/>
        <v>#N/A</v>
      </c>
      <c r="BV13" s="151" t="e">
        <f t="shared" si="141"/>
        <v>#N/A</v>
      </c>
      <c r="BW13" s="151" t="e">
        <f t="shared" si="142"/>
        <v>#N/A</v>
      </c>
      <c r="BX13" s="151" t="e">
        <f t="shared" si="143"/>
        <v>#N/A</v>
      </c>
      <c r="BY13" s="502" t="e">
        <f t="shared" si="144"/>
        <v>#N/A</v>
      </c>
      <c r="BZ13" s="502" t="e">
        <f t="shared" si="145"/>
        <v>#N/A</v>
      </c>
      <c r="CA13" s="151" t="e">
        <f>IF(OR(BI13&lt;='Tables - Part 3'!$AD$4,BE13&lt;='Tables - Part 3.B'!$C$6,BV13&lt;=25.22),COF!$TK$6,COF!$TK$5)</f>
        <v>#N/A</v>
      </c>
      <c r="CB13" s="151" t="e">
        <f>IF(OR(BJ13&lt;='Tables - Part 3'!$AD$4,BF13&lt;='Tables - Part 3.B'!$C$6,BW13&lt;=25.22),COF!$TK$6,COF!$TK$5)</f>
        <v>#N/A</v>
      </c>
      <c r="CC13" s="151" t="e">
        <f>IF(OR(BK13&lt;='Tables - Part 3'!$AD$4,BG13&lt;='Tables - Part 3.B'!$C$6,BX13&lt;=25.22),COF!$TK$6,COF!$TK$5)</f>
        <v>#N/A</v>
      </c>
      <c r="CD13" s="151" t="e">
        <f>IF(OR(BL13&lt;='Tables - Part 3'!$AD$4,BH13&lt;='Tables - Part 3.B'!$C$6,BY13&lt;=25.22),COF!$TK$6,COF!$TK$5)</f>
        <v>#N/A</v>
      </c>
      <c r="CE13" s="151" t="str">
        <f t="shared" si="146"/>
        <v/>
      </c>
      <c r="CF13" s="151" t="e">
        <f>INDEX('Tables - Part 3'!$AR$4:$AR$12,MATCH(COF!$PC13,'Tables - Part 3'!$AP$4:$AP$12,0),1)</f>
        <v>#N/A</v>
      </c>
      <c r="CG13" s="151" t="e">
        <f>INDEX('Tables - Part 3'!$AR$13:$AR$21,MATCH(COF!$PC13,'Tables - Part 3'!$AP$13:$AP$21,0),1)</f>
        <v>#N/A</v>
      </c>
      <c r="CH13" s="151" t="e">
        <f>INDEX('Tables - Part 3'!$AR$22:$AR$30,MATCH(COF!$PC13,'Tables - Part 3'!$AP$22:$AP$30,0),1)</f>
        <v>#N/A</v>
      </c>
      <c r="CI13" s="151" t="e">
        <f>INDEX('Tables - Part 3'!$AR$22:$AR$30,MATCH(COF!$PC13,'Tables - Part 3'!$AP$22:$AP$30,0),1)</f>
        <v>#N/A</v>
      </c>
      <c r="CJ13" s="151" t="e">
        <f t="shared" si="147"/>
        <v>#N/A</v>
      </c>
      <c r="CK13" s="151" t="e">
        <f t="shared" si="148"/>
        <v>#N/A</v>
      </c>
      <c r="CL13" s="151" t="e">
        <f t="shared" si="149"/>
        <v>#N/A</v>
      </c>
      <c r="CM13" s="151" t="e">
        <f t="shared" si="150"/>
        <v>#N/A</v>
      </c>
      <c r="CN13" s="151" t="e">
        <f t="shared" si="151"/>
        <v>#N/A</v>
      </c>
      <c r="CO13" s="151" t="e">
        <f t="shared" si="152"/>
        <v>#N/A</v>
      </c>
      <c r="CP13" s="151" t="e">
        <f t="shared" si="153"/>
        <v>#N/A</v>
      </c>
      <c r="CQ13" s="151" t="e">
        <f t="shared" si="154"/>
        <v>#N/A</v>
      </c>
      <c r="CR13" s="151" t="e">
        <f t="shared" si="155"/>
        <v>#N/A</v>
      </c>
      <c r="CS13" s="151" t="e">
        <f t="shared" si="156"/>
        <v>#N/A</v>
      </c>
      <c r="CT13" s="151" t="e">
        <f t="shared" si="157"/>
        <v>#N/A</v>
      </c>
      <c r="CU13" s="151" t="e">
        <f t="shared" si="158"/>
        <v>#N/A</v>
      </c>
      <c r="CV13" s="151" t="e">
        <f>INDEX('Tables - Part 3'!$CI$4:$CI$8,MATCH(COF!V13,'Tables - Part 3'!$CG$4:$CG$8,0),1)</f>
        <v>#N/A</v>
      </c>
      <c r="CW13" s="502" t="e">
        <f>IF(CR13&gt;'Tables - Part 3.B'!$C$6,4*LOG10('Tables - Part 3.B'!$C$7*CR13)-15,1)</f>
        <v>#N/A</v>
      </c>
      <c r="CX13" s="502" t="e">
        <f>IF(CS13&gt;'Tables - Part 3.B'!$C$6,4*LOG10('Tables - Part 3.B'!$C$7*CS13)-15,1)</f>
        <v>#N/A</v>
      </c>
      <c r="CY13" s="502" t="e">
        <f>IF(CT13&gt;'Tables - Part 3.B'!$C$6,4*LOG10('Tables - Part 3.B'!$C$7*CT13)-15,1)</f>
        <v>#N/A</v>
      </c>
      <c r="CZ13" s="502" t="e">
        <f>IF(CU13&gt;'Tables - Part 3.B'!$C$6,4*LOG10('Tables - Part 3.B'!$C$7*CU13)-15,1)</f>
        <v>#N/A</v>
      </c>
      <c r="DA13" s="151" t="e">
        <f>INDEX('Tables - Part 3'!$C$4:$C$37,MATCH(COF!$F13,'Tables - Part 3'!$B$4:$B$37,0),1)</f>
        <v>#N/A</v>
      </c>
      <c r="DB13" s="151" t="e">
        <f t="shared" si="159"/>
        <v>#N/A</v>
      </c>
      <c r="DC13" s="151" t="e">
        <f t="shared" si="160"/>
        <v>#N/A</v>
      </c>
      <c r="DD13" s="151" t="e">
        <f t="shared" si="161"/>
        <v>#N/A</v>
      </c>
      <c r="DE13" s="151" t="e">
        <f t="shared" si="162"/>
        <v>#N/A</v>
      </c>
      <c r="DF13" s="151" t="e">
        <f t="shared" si="163"/>
        <v>#N/A</v>
      </c>
      <c r="DG13" s="151" t="e">
        <f t="shared" si="164"/>
        <v>#N/A</v>
      </c>
      <c r="DH13" s="151" t="e">
        <f t="shared" si="165"/>
        <v>#N/A</v>
      </c>
      <c r="DI13" s="151" t="e">
        <f t="shared" si="166"/>
        <v>#N/A</v>
      </c>
      <c r="DJ13" s="151" t="e">
        <f t="shared" si="167"/>
        <v>#N/A</v>
      </c>
      <c r="DK13" s="151" t="e">
        <f t="shared" si="168"/>
        <v>#N/A</v>
      </c>
      <c r="DL13" s="151" t="e">
        <f t="shared" si="169"/>
        <v>#N/A</v>
      </c>
      <c r="DM13" s="151" t="e">
        <f t="shared" si="170"/>
        <v>#N/A</v>
      </c>
      <c r="DN13" s="151" t="e">
        <f t="shared" si="171"/>
        <v>#N/A</v>
      </c>
      <c r="DO13" s="151" t="e">
        <f t="shared" si="172"/>
        <v>#N/A</v>
      </c>
      <c r="DP13" s="151" t="e">
        <f t="shared" si="173"/>
        <v>#N/A</v>
      </c>
      <c r="DQ13" s="151" t="e">
        <f t="shared" si="174"/>
        <v>#N/A</v>
      </c>
      <c r="DR13" s="151" t="e">
        <f t="shared" si="175"/>
        <v>#N/A</v>
      </c>
      <c r="DS13" s="151" t="e">
        <f t="shared" si="176"/>
        <v>#N/A</v>
      </c>
      <c r="DT13" s="151" t="e">
        <f t="shared" si="177"/>
        <v>#N/A</v>
      </c>
      <c r="DU13" s="151" t="e">
        <f t="shared" si="178"/>
        <v>#N/A</v>
      </c>
      <c r="DV13" s="151" t="e">
        <f t="shared" si="179"/>
        <v>#N/A</v>
      </c>
      <c r="DW13" s="151" t="e">
        <f t="shared" si="180"/>
        <v>#N/A</v>
      </c>
      <c r="DX13" s="151" t="e">
        <f t="shared" si="181"/>
        <v>#N/A</v>
      </c>
      <c r="DY13" s="151" t="e">
        <f t="shared" si="182"/>
        <v>#N/A</v>
      </c>
      <c r="DZ13" s="151" t="e">
        <f t="shared" si="183"/>
        <v>#N/A</v>
      </c>
      <c r="EA13" s="151" t="e">
        <f t="shared" si="184"/>
        <v>#N/A</v>
      </c>
      <c r="EB13" s="151" t="e">
        <f t="shared" si="185"/>
        <v>#N/A</v>
      </c>
      <c r="EC13" s="151" t="e">
        <f t="shared" si="186"/>
        <v>#N/A</v>
      </c>
      <c r="ED13" s="151" t="e">
        <f t="shared" si="187"/>
        <v>#N/A</v>
      </c>
      <c r="EE13" s="151" t="e">
        <f t="shared" si="188"/>
        <v>#N/A</v>
      </c>
      <c r="EF13" s="151" t="e">
        <f t="shared" si="189"/>
        <v>#N/A</v>
      </c>
      <c r="EG13" s="151" t="e">
        <f t="shared" si="190"/>
        <v>#N/A</v>
      </c>
      <c r="EH13" s="151" t="e">
        <f>IF(CA13=$TK$5,1,MIN(CJ13/'Tables - Part 3.B'!$C$8,1))</f>
        <v>#N/A</v>
      </c>
      <c r="EI13" s="151" t="e">
        <f>IF(CB13=$TK$5,1,MIN(CK13/'Tables - Part 3.B'!$C$8,1))</f>
        <v>#N/A</v>
      </c>
      <c r="EJ13" s="151" t="e">
        <f>IF(CC13=$TK$5,1,MIN(CL13/'Tables - Part 3.B'!$C$8,1))</f>
        <v>#N/A</v>
      </c>
      <c r="EK13" s="151" t="e">
        <f>IF(CD13=$TK$5,1,MIN(CM13/'Tables - Part 3.B'!$C$8,1))</f>
        <v>#N/A</v>
      </c>
      <c r="EL13" s="151" t="e">
        <f t="shared" si="191"/>
        <v>#VALUE!</v>
      </c>
      <c r="EM13" s="151" t="e">
        <f t="shared" si="48"/>
        <v>#VALUE!</v>
      </c>
      <c r="EN13" s="151" t="e">
        <f t="shared" si="48"/>
        <v>#VALUE!</v>
      </c>
      <c r="EO13" s="151" t="e">
        <f t="shared" si="48"/>
        <v>#VALUE!</v>
      </c>
      <c r="EP13" s="151" t="e">
        <f t="shared" si="192"/>
        <v>#N/A</v>
      </c>
      <c r="EQ13" s="151" t="e">
        <f t="shared" si="49"/>
        <v>#N/A</v>
      </c>
      <c r="ER13" s="151" t="e">
        <f t="shared" si="49"/>
        <v>#N/A</v>
      </c>
      <c r="ES13" s="151" t="e">
        <f t="shared" si="49"/>
        <v>#N/A</v>
      </c>
      <c r="ET13" s="151" t="e">
        <f t="shared" si="193"/>
        <v>#N/A</v>
      </c>
      <c r="EU13" s="151" t="e">
        <f t="shared" si="50"/>
        <v>#N/A</v>
      </c>
      <c r="EV13" s="151" t="e">
        <f t="shared" si="50"/>
        <v>#N/A</v>
      </c>
      <c r="EW13" s="151" t="e">
        <f t="shared" si="50"/>
        <v>#N/A</v>
      </c>
      <c r="EX13" s="151" t="e">
        <f t="shared" si="194"/>
        <v>#N/A</v>
      </c>
      <c r="EY13" s="151" t="e">
        <f t="shared" si="51"/>
        <v>#N/A</v>
      </c>
      <c r="EZ13" s="151" t="e">
        <f t="shared" si="51"/>
        <v>#N/A</v>
      </c>
      <c r="FA13" s="151" t="e">
        <f t="shared" si="51"/>
        <v>#N/A</v>
      </c>
      <c r="FB13" s="151" t="e">
        <f t="shared" si="195"/>
        <v>#N/A</v>
      </c>
      <c r="FC13" s="151" t="e">
        <f t="shared" si="52"/>
        <v>#N/A</v>
      </c>
      <c r="FD13" s="151" t="e">
        <f t="shared" si="52"/>
        <v>#N/A</v>
      </c>
      <c r="FE13" s="151" t="e">
        <f t="shared" si="52"/>
        <v>#N/A</v>
      </c>
      <c r="FF13" s="151" t="e">
        <f t="shared" si="196"/>
        <v>#N/A</v>
      </c>
      <c r="FG13" s="151" t="e">
        <f t="shared" si="53"/>
        <v>#N/A</v>
      </c>
      <c r="FH13" s="151" t="e">
        <f t="shared" si="53"/>
        <v>#N/A</v>
      </c>
      <c r="FI13" s="151" t="e">
        <f t="shared" si="53"/>
        <v>#N/A</v>
      </c>
      <c r="FJ13" s="151" t="e">
        <f t="shared" si="197"/>
        <v>#N/A</v>
      </c>
      <c r="FK13" s="151" t="e">
        <f t="shared" si="54"/>
        <v>#N/A</v>
      </c>
      <c r="FL13" s="151" t="e">
        <f t="shared" si="54"/>
        <v>#N/A</v>
      </c>
      <c r="FM13" s="288" t="e">
        <f t="shared" si="54"/>
        <v>#N/A</v>
      </c>
      <c r="FN13" s="299">
        <f t="shared" si="198"/>
        <v>0</v>
      </c>
      <c r="FO13" s="511">
        <f t="shared" si="199"/>
        <v>0</v>
      </c>
      <c r="FP13" s="150" t="e">
        <f t="shared" si="200"/>
        <v>#N/A</v>
      </c>
      <c r="FQ13" s="151" t="e">
        <f t="shared" si="201"/>
        <v>#N/A</v>
      </c>
      <c r="FR13" s="151" t="e">
        <f t="shared" si="202"/>
        <v>#N/A</v>
      </c>
      <c r="FS13" s="151" t="e">
        <f t="shared" si="203"/>
        <v>#N/A</v>
      </c>
      <c r="FT13" s="151">
        <f t="shared" si="270"/>
        <v>0</v>
      </c>
      <c r="FU13" s="151">
        <f t="shared" si="56"/>
        <v>0</v>
      </c>
      <c r="FV13" s="151">
        <f t="shared" si="57"/>
        <v>0</v>
      </c>
      <c r="FW13" s="151">
        <f t="shared" si="58"/>
        <v>0</v>
      </c>
      <c r="FX13" s="151">
        <f t="shared" si="271"/>
        <v>0</v>
      </c>
      <c r="FY13" s="151">
        <f t="shared" si="60"/>
        <v>0</v>
      </c>
      <c r="FZ13" s="151">
        <f t="shared" si="61"/>
        <v>0</v>
      </c>
      <c r="GA13" s="151">
        <f t="shared" si="62"/>
        <v>0</v>
      </c>
      <c r="GB13" s="151" t="e">
        <f>IF(CA13=$TK$6,'Tables - Part 3.B'!$C$10*(('Tables - Part 3.B'!$C$7*COF!FT13)^COF!GR13*10^COF!GV13),IF(CA13=$TK$5,'Tables - Part 3.B'!$C$10*(('Tables - Part 3.B'!$C$7*COF!FX13)^COF!GR13*10^COF!GV13),0))</f>
        <v>#N/A</v>
      </c>
      <c r="GC13" s="151" t="e">
        <f>IF(CB13=$TK$6,'Tables - Part 3.B'!$C$10*(('Tables - Part 3.B'!$C$7*COF!FU13)^COF!GS13*10^COF!GW13),IF(CB13=$TK$5,'Tables - Part 3.B'!$C$10*(('Tables - Part 3.B'!$C$7*COF!FY13)^COF!GS13*10^COF!GW13),0))</f>
        <v>#N/A</v>
      </c>
      <c r="GD13" s="151" t="e">
        <f>IF(CC13=$TK$6,'Tables - Part 3.B'!$C$10*(('Tables - Part 3.B'!$C$7*COF!FV13)^COF!GT13*10^COF!GX13),IF(CC13=$TK$5,'Tables - Part 3.B'!$C$10*(('Tables - Part 3.B'!$C$7*COF!FZ13)^COF!GT13*10^COF!GX13),0))</f>
        <v>#N/A</v>
      </c>
      <c r="GE13" s="151" t="e">
        <f>IF(CD13=$TK$6,'Tables - Part 3.B'!$C$10*(('Tables - Part 3.B'!$C$7*COF!FW13)^COF!GU13*10^COF!GY13),IF(CD13=$TK$5,'Tables - Part 3.B'!$C$10*(('Tables - Part 3.B'!$C$7*COF!GA13)^COF!GU13*10^COF!GY13),0))</f>
        <v>#N/A</v>
      </c>
      <c r="GF13" s="152" t="e">
        <f t="shared" si="272"/>
        <v>#N/A</v>
      </c>
      <c r="GG13" s="152" t="e">
        <f t="shared" si="63"/>
        <v>#N/A</v>
      </c>
      <c r="GH13" s="152" t="e">
        <f t="shared" si="64"/>
        <v>#N/A</v>
      </c>
      <c r="GI13" s="152" t="e">
        <f t="shared" si="65"/>
        <v>#N/A</v>
      </c>
      <c r="GJ13" s="152" t="e">
        <f>IF(GF13&lt;'Tables - Part 3'!$CK$5,0,LOOKUP(GF13,'Tables - Part 3'!$CK$5:$CK$9))</f>
        <v>#N/A</v>
      </c>
      <c r="GK13" s="152" t="e">
        <f>IF(GG13&lt;'Tables - Part 3'!$CK$5,0,LOOKUP(GG13,'Tables - Part 3'!$CK$5:$CK$9))</f>
        <v>#N/A</v>
      </c>
      <c r="GL13" s="152" t="e">
        <f>IF(GH13&lt;'Tables - Part 3'!$CK$5,0,LOOKUP(GH13,'Tables - Part 3'!$CK$5:$CK$9))</f>
        <v>#N/A</v>
      </c>
      <c r="GM13" s="152" t="e">
        <f>IF(GI13&lt;'Tables - Part 3'!$CK$5,0,LOOKUP(GI13,'Tables - Part 3'!$CK$5:$CK$9))</f>
        <v>#N/A</v>
      </c>
      <c r="GN13" s="152" t="e">
        <f>IF(GF13&lt;'Tables - Part 3'!$CK$5,'Tables - Part 3'!$CK$5,IF(COF!GF13&lt;'Tables - Part 3'!$CK$6,'Tables - Part 3'!$CK$6,IF(COF!GF13&lt;'Tables - Part 3'!$CK$7,'Tables - Part 3'!$CK$7,IF(COF!GF13&lt;'Tables - Part 3'!$CK$8,'Tables - Part 3'!$CK$8,IF(COF!GF13&lt;'Tables - Part 3'!$CK$9,'Tables - Part 3'!$CK$9)))))</f>
        <v>#N/A</v>
      </c>
      <c r="GO13" s="152" t="e">
        <f>IF(GG13&lt;'Tables - Part 3'!$CK$5,'Tables - Part 3'!$CK$5,IF(COF!GG13&lt;'Tables - Part 3'!$CK$6,'Tables - Part 3'!$CK$6,IF(COF!GG13&lt;'Tables - Part 3'!$CK$7,'Tables - Part 3'!$CK$7,IF(COF!GG13&lt;'Tables - Part 3'!$CK$8,'Tables - Part 3'!$CK$8,IF(COF!GG13&lt;'Tables - Part 3'!$CK$9,'Tables - Part 3'!$CK$9)))))</f>
        <v>#N/A</v>
      </c>
      <c r="GP13" s="152" t="e">
        <f>IF(GH13&lt;'Tables - Part 3'!$CK$5,'Tables - Part 3'!$CK$5,IF(COF!GH13&lt;'Tables - Part 3'!$CK$6,'Tables - Part 3'!$CK$6,IF(COF!GH13&lt;'Tables - Part 3'!$CK$7,'Tables - Part 3'!$CK$7,IF(COF!GH13&lt;'Tables - Part 3'!$CK$8,'Tables - Part 3'!$CK$8,IF(COF!GH13&lt;'Tables - Part 3'!$CK$9,'Tables - Part 3'!$CK$9)))))</f>
        <v>#N/A</v>
      </c>
      <c r="GQ13" s="152" t="e">
        <f>IF(GI13&lt;'Tables - Part 3'!$CK$5,'Tables - Part 3'!$CK$5,IF(COF!GI13&lt;'Tables - Part 3'!$CK$6,'Tables - Part 3'!$CK$6,IF(COF!GI13&lt;'Tables - Part 3'!$CK$7,'Tables - Part 3'!$CK$7,IF(COF!GI13&lt;'Tables - Part 3'!$CK$8,'Tables - Part 3'!$CK$8,IF(COF!GI13&lt;'Tables - Part 3'!$CK$9,'Tables - Part 3'!$CK$9)))))</f>
        <v>#N/A</v>
      </c>
      <c r="GR13" s="151" t="e">
        <f>IF(CA13=$TK$5,'Tables - Part 3'!$CL$10,IF(COF!CA13=COF!$TK$6,IF(COF!GF13&lt;'Tables - Part 3'!$CK$5,'Tables - Part 3'!$CL$5,IF(GF13&gt;='Tables - Part 3'!$CK$9,'Tables - Part 3'!$CL$9,((COF!GF13-COF!GJ13)*(INDEX('Tables - Part 3'!$CL$5:$CL$9,MATCH(COF!GN13,'Tables - Part 3'!$CK$5:$CK$9,0))-INDEX('Tables - Part 3'!$CL$5:$CL$9,MATCH(COF!GJ13,'Tables - Part 3'!$CK$5:$CK$9,0)))/(GN13-GJ13)+INDEX('Tables - Part 3'!$CL$5:$CL$9,MATCH(COF!GJ13,'Tables - Part 3'!$CK$5:$CK$9,0)))))))</f>
        <v>#N/A</v>
      </c>
      <c r="GS13" s="151" t="e">
        <f>IF(CB13=$TK$5,'Tables - Part 3'!$CL$10,IF(COF!CB13=COF!$TK$6,IF(COF!GG13&lt;'Tables - Part 3'!$CK$5,'Tables - Part 3'!$CL$5,IF(GG13&gt;='Tables - Part 3'!$CK$9,'Tables - Part 3'!$CL$9,((COF!GG13-COF!GK13)*(INDEX('Tables - Part 3'!$CL$5:$CL$9,MATCH(COF!GO13,'Tables - Part 3'!$CK$5:$CK$9,0))-INDEX('Tables - Part 3'!$CL$5:$CL$9,MATCH(COF!GK13,'Tables - Part 3'!$CK$5:$CK$9,0)))/(GO13-GK13)+INDEX('Tables - Part 3'!$CL$5:$CL$9,MATCH(COF!GK13,'Tables - Part 3'!$CK$5:$CK$9,0)))))))</f>
        <v>#N/A</v>
      </c>
      <c r="GT13" s="151" t="e">
        <f>IF(CC13=$TK$5,'Tables - Part 3'!$CL$10,IF(COF!CC13=COF!$TK$6,IF(COF!GH13&lt;'Tables - Part 3'!$CK$5,'Tables - Part 3'!$CL$5,IF(GH13&gt;='Tables - Part 3'!$CK$9,'Tables - Part 3'!$CL$9,((COF!GH13-COF!GL13)*(INDEX('Tables - Part 3'!$CL$5:$CL$9,MATCH(COF!GP13,'Tables - Part 3'!$CK$5:$CK$9,0))-INDEX('Tables - Part 3'!$CL$5:$CL$9,MATCH(COF!GL13,'Tables - Part 3'!$CK$5:$CK$9,0)))/(GP13-GL13)+INDEX('Tables - Part 3'!$CL$5:$CL$9,MATCH(COF!GL13,'Tables - Part 3'!$CK$5:$CK$9,0)))))))</f>
        <v>#N/A</v>
      </c>
      <c r="GU13" s="151" t="e">
        <f>IF(CD13=$TK$5,'Tables - Part 3'!$CL$10,IF(COF!CD13=COF!$TK$6,IF(COF!GI13&lt;'Tables - Part 3'!$CK$5,'Tables - Part 3'!$CL$5,IF(GI13&gt;='Tables - Part 3'!$CK$9,'Tables - Part 3'!$CL$9,((COF!GI13-COF!GM13)*(INDEX('Tables - Part 3'!$CL$5:$CL$9,MATCH(COF!GQ13,'Tables - Part 3'!$CK$5:$CK$9,0))-INDEX('Tables - Part 3'!$CL$5:$CL$9,MATCH(COF!GM13,'Tables - Part 3'!$CK$5:$CK$9,0)))/(GQ13-GM13)+INDEX('Tables - Part 3'!$CL$5:$CL$9,MATCH(COF!GM13,'Tables - Part 3'!$CK$5:$CK$9,0)))))))</f>
        <v>#N/A</v>
      </c>
      <c r="GV13" s="151" t="e">
        <f>IF(CA13=$TK$5,'Tables - Part 3'!$CM$10,IF(COF!CA13=COF!$TK$6,IF(GF13&lt;'Tables - Part 3'!$CK$5,'Tables - Part 3'!$CM$5,IF(GF13&gt;='Tables - Part 3'!$CK$9,'Tables - Part 3'!$CM$9,((COF!GF13-COF!GJ13)*(INDEX('Tables - Part 3'!$CM$5:$CM$9,MATCH(COF!GN13,'Tables - Part 3'!$CK$5:$CK$9,0))-INDEX('Tables - Part 3'!$CM$5:$CM$9,MATCH(COF!GJ13,'Tables - Part 3'!$CK$5:$CK$9,0)))/(GN13-GJ13)+INDEX('Tables - Part 3'!$CM$5:$CM$9,MATCH(COF!GJ13,'Tables - Part 3'!$CK$5:$CK$9,0)))))))</f>
        <v>#N/A</v>
      </c>
      <c r="GW13" s="151" t="e">
        <f>IF(CB13=$TK$5,'Tables - Part 3'!$CM$10,IF(COF!CB13=COF!$TK$6,IF(GG13&lt;'Tables - Part 3'!$CK$5,'Tables - Part 3'!$CM$5,IF(GG13&gt;='Tables - Part 3'!$CK$9,'Tables - Part 3'!$CM$9,((COF!GG13-COF!GK13)*(INDEX('Tables - Part 3'!$CM$5:$CM$9,MATCH(COF!GO13,'Tables - Part 3'!$CK$5:$CK$9,0))-INDEX('Tables - Part 3'!$CM$5:$CM$9,MATCH(COF!GK13,'Tables - Part 3'!$CK$5:$CK$9,0)))/(GO13-GK13)+INDEX('Tables - Part 3'!$CM$5:$CM$9,MATCH(COF!GK13,'Tables - Part 3'!$CK$5:$CK$9,0)))))))</f>
        <v>#N/A</v>
      </c>
      <c r="GX13" s="151" t="e">
        <f>IF(CC13=$TK$5,'Tables - Part 3'!$CM$10,IF(COF!CC13=COF!$TK$6,IF(GH13&lt;'Tables - Part 3'!$CK$5,'Tables - Part 3'!$CM$5,IF(GH13&gt;='Tables - Part 3'!$CK$9,'Tables - Part 3'!$CM$9,((COF!GH13-COF!GL13)*(INDEX('Tables - Part 3'!$CM$5:$CM$9,MATCH(COF!GP13,'Tables - Part 3'!$CK$5:$CK$9,0))-INDEX('Tables - Part 3'!$CM$5:$CM$9,MATCH(COF!GL13,'Tables - Part 3'!$CK$5:$CK$9,0)))/(GP13-GL13)+INDEX('Tables - Part 3'!$CM$5:$CM$9,MATCH(COF!GL13,'Tables - Part 3'!$CK$5:$CK$9,0)))))))</f>
        <v>#N/A</v>
      </c>
      <c r="GY13" s="151" t="e">
        <f>IF(CD13=$TK$5,'Tables - Part 3'!$CM$10,IF(COF!CD13=COF!$TK$6,IF(GI13&lt;'Tables - Part 3'!$CK$5,'Tables - Part 3'!$CM$5,IF(GI13&gt;='Tables - Part 3'!$CK$9,'Tables - Part 3'!$CM$9,((COF!GI13-COF!GM13)*(INDEX('Tables - Part 3'!$CM$5:$CM$9,MATCH(COF!GQ13,'Tables - Part 3'!$CK$5:$CK$9,0))-INDEX('Tables - Part 3'!$CM$5:$CM$9,MATCH(COF!GM13,'Tables - Part 3'!$CK$5:$CK$9,0)))/(GQ13-GM13)+INDEX('Tables - Part 3'!$CM$5:$CM$9,MATCH(COF!GM13,'Tables - Part 3'!$CK$5:$CK$9,0)))))))</f>
        <v>#N/A</v>
      </c>
      <c r="GZ13" s="151">
        <f t="shared" si="273"/>
        <v>0</v>
      </c>
      <c r="HA13" s="151">
        <f t="shared" si="67"/>
        <v>0</v>
      </c>
      <c r="HB13" s="151">
        <f t="shared" si="68"/>
        <v>0</v>
      </c>
      <c r="HC13" s="151">
        <f t="shared" si="69"/>
        <v>0</v>
      </c>
      <c r="HD13" s="151">
        <f t="shared" si="274"/>
        <v>0</v>
      </c>
      <c r="HE13" s="151">
        <f t="shared" si="71"/>
        <v>0</v>
      </c>
      <c r="HF13" s="151">
        <f t="shared" si="72"/>
        <v>0</v>
      </c>
      <c r="HG13" s="151">
        <f t="shared" si="73"/>
        <v>0</v>
      </c>
      <c r="HH13" s="151" t="e">
        <f>IF(CA13=$TK$6,'Tables - Part 3.B'!$C$10*(('Tables - Part 3.B'!$C$7*COF!GZ13)^COF!HL13*10^COF!HP13),IF(CA13=$TK$5,'Tables - Part 3.B'!$C$10*(('Tables - Part 3.B'!$C$7*COF!HD13)^COF!HL13*10^COF!HP13),0))</f>
        <v>#N/A</v>
      </c>
      <c r="HI13" s="151" t="e">
        <f>IF(CB13=$TK$6,'Tables - Part 3.B'!$C$10*(('Tables - Part 3.B'!$C$7*COF!HA13)^COF!HM13*10^COF!HQ13),IF(CB13=$TK$5,'Tables - Part 3.B'!$C$10*(('Tables - Part 3.B'!$C$7*COF!HE13)^COF!HM13*10^COF!HQ13),0))</f>
        <v>#N/A</v>
      </c>
      <c r="HJ13" s="151" t="e">
        <f>IF(CC13=$TK$6,'Tables - Part 3.B'!$C$10*(('Tables - Part 3.B'!$C$7*COF!HB13)^COF!HN13*10^COF!HR13),IF(CC13=$TK$5,'Tables - Part 3.B'!$C$10*(('Tables - Part 3.B'!$C$7*COF!HF13)^COF!HN13*10^COF!HR13),0))</f>
        <v>#N/A</v>
      </c>
      <c r="HK13" s="151" t="e">
        <f>IF(CD13=$TK$6,'Tables - Part 3.B'!$C$10*(('Tables - Part 3.B'!$C$7*COF!HC13)^COF!HO13*10^COF!HS13),IF(CD13=$TK$5,'Tables - Part 3.B'!$C$10*(('Tables - Part 3.B'!$C$7*COF!HG13)^COF!HO13*10^COF!HS13),0))</f>
        <v>#N/A</v>
      </c>
      <c r="HL13" s="151" t="e">
        <f>IF(CA13=$TK$5,'Tables - Part 3'!$CN$10,IF(COF!CA13=COF!$TK$6,IF(COF!GF13&lt;'Tables - Part 3'!$CK$5,'Tables - Part 3'!$CN$5,IF(GF13&gt;='Tables - Part 3'!$CK$9,'Tables - Part 3'!$CN$9,((COF!GF13-COF!GJ13)*(INDEX('Tables - Part 3'!$CN$5:$CN$9,MATCH(COF!GN13,'Tables - Part 3'!$CK$5:$CK$9,0))-INDEX('Tables - Part 3'!$CN$5:$CN$9,MATCH(COF!GJ13,'Tables - Part 3'!$CK$5:$CK$9,0)))/(GN13-GJ13)+INDEX('Tables - Part 3'!$CN$5:$CN$9,MATCH(COF!GJ13,'Tables - Part 3'!$CK$5:$CK$9,0)))))))</f>
        <v>#N/A</v>
      </c>
      <c r="HM13" s="151" t="e">
        <f>IF(CB13=$TK$5,'Tables - Part 3'!$CN$10,IF(COF!CB13=COF!$TK$6,IF(COF!GG13&lt;'Tables - Part 3'!$CK$5,'Tables - Part 3'!$CN$5,IF(GG13&gt;='Tables - Part 3'!$CK$9,'Tables - Part 3'!$CN$9,((COF!GG13-COF!GK13)*(INDEX('Tables - Part 3'!$CN$5:$CN$9,MATCH(COF!GO13,'Tables - Part 3'!$CK$5:$CK$9,0))-INDEX('Tables - Part 3'!$CN$5:$CN$9,MATCH(COF!GK13,'Tables - Part 3'!$CK$5:$CK$9,0)))/(GO13-GK13)+INDEX('Tables - Part 3'!$CN$5:$CN$9,MATCH(COF!GK13,'Tables - Part 3'!$CK$5:$CK$9,0)))))))</f>
        <v>#N/A</v>
      </c>
      <c r="HN13" s="151" t="e">
        <f>IF(CC13=$TK$5,'Tables - Part 3'!$CN$10,IF(COF!CC13=COF!$TK$6,IF(COF!GH13&lt;'Tables - Part 3'!$CK$5,'Tables - Part 3'!$CN$5,IF(GH13&gt;='Tables - Part 3'!$CK$9,'Tables - Part 3'!$CN$9,((COF!GH13-COF!GL13)*(INDEX('Tables - Part 3'!$CN$5:$CN$9,MATCH(COF!GP13,'Tables - Part 3'!$CK$5:$CK$9,0))-INDEX('Tables - Part 3'!$CN$5:$CN$9,MATCH(COF!GL13,'Tables - Part 3'!$CK$5:$CK$9,0)))/(GP13-GL13)+INDEX('Tables - Part 3'!$CN$5:$CN$9,MATCH(COF!GL13,'Tables - Part 3'!$CK$5:$CK$9,0)))))))</f>
        <v>#N/A</v>
      </c>
      <c r="HO13" s="151" t="e">
        <f>IF(CD13=$TK$5,'Tables - Part 3'!$CN$10,IF(COF!CD13=COF!$TK$6,IF(COF!GI13&lt;'Tables - Part 3'!$CK$5,'Tables - Part 3'!$CN$5,IF(GI13&gt;='Tables - Part 3'!$CK$9,'Tables - Part 3'!$CN$9,((COF!GI13-COF!GM13)*(INDEX('Tables - Part 3'!$CN$5:$CN$9,MATCH(COF!GQ13,'Tables - Part 3'!$CK$5:$CK$9,0))-INDEX('Tables - Part 3'!$CN$5:$CN$9,MATCH(COF!GM13,'Tables - Part 3'!$CK$5:$CK$9,0)))/(GQ13-GM13)+INDEX('Tables - Part 3'!$CN$5:$CN$9,MATCH(COF!GM13,'Tables - Part 3'!$CK$5:$CK$9,0)))))))</f>
        <v>#N/A</v>
      </c>
      <c r="HP13" s="151" t="e">
        <f>IF(CA13=$TK$5,'Tables - Part 3'!$CO$10,IF(COF!CA13=COF!$TK$6,IF(GF13&lt;'Tables - Part 3'!$CK$5,'Tables - Part 3'!$CO$5,IF(GF13&gt;='Tables - Part 3'!$CK$9,'Tables - Part 3'!$CO$9,((COF!GF13-COF!GJ13)*(INDEX('Tables - Part 3'!$CO$5:$CO$9,MATCH(COF!GN13,'Tables - Part 3'!$CK$5:$CK$9,0))-INDEX('Tables - Part 3'!$CO$5:$CO$9,MATCH(COF!GJ13,'Tables - Part 3'!$CK$5:$CK$9,0)))/(GN13-GJ13)+INDEX('Tables - Part 3'!$CO$5:$CO$9,MATCH(COF!GJ13,'Tables - Part 3'!$CK$5:$CK$9,0)))))))</f>
        <v>#N/A</v>
      </c>
      <c r="HQ13" s="151" t="e">
        <f>IF(CB13=$TK$5,'Tables - Part 3'!$CO$10,IF(COF!CB13=COF!$TK$6,IF(GG13&lt;'Tables - Part 3'!$CK$5,'Tables - Part 3'!$CO$5,IF(GG13&gt;='Tables - Part 3'!$CK$9,'Tables - Part 3'!$CO$9,((COF!GG13-COF!GK13)*(INDEX('Tables - Part 3'!$CO$5:$CO$9,MATCH(COF!GO13,'Tables - Part 3'!$CK$5:$CK$9,0))-INDEX('Tables - Part 3'!$CO$5:$CO$9,MATCH(COF!GK13,'Tables - Part 3'!$CK$5:$CK$9,0)))/(GO13-GK13)+INDEX('Tables - Part 3'!$CO$5:$CO$9,MATCH(COF!GK13,'Tables - Part 3'!$CK$5:$CK$9,0)))))))</f>
        <v>#N/A</v>
      </c>
      <c r="HR13" s="151" t="e">
        <f>IF(CC13=$TK$5,'Tables - Part 3'!$CO$10,IF(COF!CC13=COF!$TK$6,IF(GH13&lt;'Tables - Part 3'!$CK$5,'Tables - Part 3'!$CO$5,IF(GH13&gt;='Tables - Part 3'!$CK$9,'Tables - Part 3'!$CO$9,((COF!GH13-COF!GL13)*(INDEX('Tables - Part 3'!$CO$5:$CO$9,MATCH(COF!GP13,'Tables - Part 3'!$CK$5:$CK$9,0))-INDEX('Tables - Part 3'!$CO$5:$CO$9,MATCH(COF!GL13,'Tables - Part 3'!$CK$5:$CK$9,0)))/(GP13-GL13)+INDEX('Tables - Part 3'!$CO$5:$CO$9,MATCH(COF!GL13,'Tables - Part 3'!$CK$5:$CK$9,0)))))))</f>
        <v>#N/A</v>
      </c>
      <c r="HS13" s="151" t="e">
        <f>IF(CD13=$TK$5,'Tables - Part 3'!$CO$10,IF(COF!CD13=COF!$TK$6,IF(GI13&lt;'Tables - Part 3'!$CK$5,'Tables - Part 3'!$CO$5,IF(GI13&gt;='Tables - Part 3'!$CK$9,'Tables - Part 3'!$CO$9,((COF!GI13-COF!GM13)*(INDEX('Tables - Part 3'!$CO$5:$CO$9,MATCH(COF!GQ13,'Tables - Part 3'!$CK$5:$CK$9,0))-INDEX('Tables - Part 3'!$CO$5:$CO$9,MATCH(COF!GM13,'Tables - Part 3'!$CK$5:$CK$9,0)))/(GQ13-GM13)+INDEX('Tables - Part 3'!$CO$5:$CO$9,MATCH(COF!GM13,'Tables - Part 3'!$CK$5:$CK$9,0)))))))</f>
        <v>#N/A</v>
      </c>
      <c r="HT13" s="151">
        <f t="shared" si="275"/>
        <v>0</v>
      </c>
      <c r="HU13" s="151">
        <f t="shared" si="75"/>
        <v>0</v>
      </c>
      <c r="HV13" s="151">
        <f t="shared" si="76"/>
        <v>0</v>
      </c>
      <c r="HW13" s="151">
        <f t="shared" si="77"/>
        <v>0</v>
      </c>
      <c r="HX13" s="151">
        <f t="shared" si="276"/>
        <v>0</v>
      </c>
      <c r="HY13" s="151">
        <f t="shared" si="79"/>
        <v>0</v>
      </c>
      <c r="HZ13" s="151">
        <f t="shared" si="80"/>
        <v>0</v>
      </c>
      <c r="IA13" s="151">
        <f t="shared" si="81"/>
        <v>0</v>
      </c>
      <c r="IB13" s="153" t="e">
        <f t="shared" si="82"/>
        <v>#N/A</v>
      </c>
      <c r="IC13" s="153" t="e">
        <f t="shared" si="83"/>
        <v>#N/A</v>
      </c>
      <c r="ID13" s="153" t="e">
        <f t="shared" si="84"/>
        <v>#N/A</v>
      </c>
      <c r="IE13" s="153" t="e">
        <f t="shared" si="85"/>
        <v>#N/A</v>
      </c>
      <c r="IF13" s="152" t="e">
        <f>IF(GF13&lt;'Tables - Part 3'!$CQ$5,0,LOOKUP(GF13,'Tables - Part 3'!$CQ$5:$CQ$16))</f>
        <v>#N/A</v>
      </c>
      <c r="IG13" s="152" t="e">
        <f>IF(GG13&lt;'Tables - Part 3'!$CQ$5,0,LOOKUP(GG13,'Tables - Part 3'!$CQ$5:$CQ$16))</f>
        <v>#N/A</v>
      </c>
      <c r="IH13" s="152" t="e">
        <f>IF(GH13&lt;'Tables - Part 3'!$CQ$5,0,LOOKUP(GH13,'Tables - Part 3'!$CQ$5:$CQ$16))</f>
        <v>#N/A</v>
      </c>
      <c r="II13" s="152" t="e">
        <f>IF(GI13&lt;'Tables - Part 3'!$CQ$5,0,LOOKUP(GI13,'Tables - Part 3'!$CQ$5:$CQ$16))</f>
        <v>#N/A</v>
      </c>
      <c r="IJ13" s="152" t="e">
        <f>IF(GF13&lt;'Tables - Part 3'!$CQ$5,'Tables - Part 3'!$CQ$5,IF(COF!GF13&lt;'Tables - Part 3'!$CQ$6,'Tables - Part 3'!$CQ$6,IF(COF!GF13&lt;'Tables - Part 3'!$CQ$7,'Tables - Part 3'!$CQ$7,IF(COF!GF13&lt;'Tables - Part 3'!$CQ$8,'Tables - Part 3'!$CQ$8,IF(COF!GF13&lt;'Tables - Part 3'!$CQ$9,'Tables - Part 3'!$CQ$9,IF(COF!GF13&lt;'Tables - Part 3'!$CQ$10,'Tables - Part 3'!$CQ$10,IF(COF!GF13&lt;'Tables - Part 3'!$CQ$11,'Tables - Part 3'!$CQ$11,IF(COF!GF13&lt;'Tables - Part 3'!$CQ$12,'Tables - Part 3'!$CQ$12,IF(COF!GF13&lt;'Tables - Part 3'!$CQ$13,'Tables - Part 3'!$CQ$13,IF(COF!GF13&lt;'Tables - Part 3'!$CQ$14,'Tables - Part 3'!$CQ$14,IF(COF!GF13&lt;'Tables - Part 3'!$CQ$15,'Tables - Part 3'!$CQ$15,IF(COF!GF13&lt;'Tables - Part 3'!$CQ$16,'Tables - Part 3'!$CQ$16))))))))))))</f>
        <v>#N/A</v>
      </c>
      <c r="IK13" s="152" t="e">
        <f>IF(GG13&lt;'Tables - Part 3'!$CQ$5,'Tables - Part 3'!$CQ$5,IF(COF!GG13&lt;'Tables - Part 3'!$CQ$6,'Tables - Part 3'!$CQ$6,IF(COF!GG13&lt;'Tables - Part 3'!$CQ$7,'Tables - Part 3'!$CQ$7,IF(COF!GG13&lt;'Tables - Part 3'!$CQ$8,'Tables - Part 3'!$CQ$8,IF(COF!GG13&lt;'Tables - Part 3'!$CQ$9,'Tables - Part 3'!$CQ$9,IF(COF!GG13&lt;'Tables - Part 3'!$CQ$10,'Tables - Part 3'!$CQ$10,IF(COF!GG13&lt;'Tables - Part 3'!$CQ$11,'Tables - Part 3'!$CQ$11,IF(COF!GG13&lt;'Tables - Part 3'!$CQ$12,'Tables - Part 3'!$CQ$12,IF(COF!GG13&lt;'Tables - Part 3'!$CQ$13,'Tables - Part 3'!$CQ$13,IF(COF!GG13&lt;'Tables - Part 3'!$CQ$14,'Tables - Part 3'!$CQ$14,IF(COF!GG13&lt;'Tables - Part 3'!$CQ$15,'Tables - Part 3'!$CQ$15,IF(COF!GG13&lt;'Tables - Part 3'!$CQ$16,'Tables - Part 3'!$CQ$16))))))))))))</f>
        <v>#N/A</v>
      </c>
      <c r="IL13" s="152" t="e">
        <f>IF(GH13&lt;'Tables - Part 3'!$CQ$5,'Tables - Part 3'!$CQ$5,IF(COF!GH13&lt;'Tables - Part 3'!$CQ$6,'Tables - Part 3'!$CQ$6,IF(COF!GH13&lt;'Tables - Part 3'!$CQ$7,'Tables - Part 3'!$CQ$7,IF(COF!GH13&lt;'Tables - Part 3'!$CQ$8,'Tables - Part 3'!$CQ$8,IF(COF!GH13&lt;'Tables - Part 3'!$CQ$9,'Tables - Part 3'!$CQ$9,IF(COF!GH13&lt;'Tables - Part 3'!$CQ$10,'Tables - Part 3'!$CQ$10,IF(COF!GH13&lt;'Tables - Part 3'!$CQ$11,'Tables - Part 3'!$CQ$11,IF(COF!GH13&lt;'Tables - Part 3'!$CQ$12,'Tables - Part 3'!$CQ$12,IF(COF!GH13&lt;'Tables - Part 3'!$CQ$13,'Tables - Part 3'!$CQ$13,IF(COF!GH13&lt;'Tables - Part 3'!$CQ$14,'Tables - Part 3'!$CQ$14,IF(COF!GH13&lt;'Tables - Part 3'!$CQ$15,'Tables - Part 3'!$CQ$15,IF(COF!GH13&lt;'Tables - Part 3'!$CQ$16,'Tables - Part 3'!$CQ$16))))))))))))</f>
        <v>#N/A</v>
      </c>
      <c r="IM13" s="152" t="e">
        <f>IF(GI13&lt;'Tables - Part 3'!$CQ$5,'Tables - Part 3'!$CQ$5,IF(COF!GI13&lt;'Tables - Part 3'!$CQ$6,'Tables - Part 3'!$CQ$6,IF(COF!GI13&lt;'Tables - Part 3'!$CQ$7,'Tables - Part 3'!$CQ$7,IF(COF!GI13&lt;'Tables - Part 3'!$CQ$8,'Tables - Part 3'!$CQ$8,IF(COF!GI13&lt;'Tables - Part 3'!$CQ$9,'Tables - Part 3'!$CQ$9,IF(COF!GI13&lt;'Tables - Part 3'!$CQ$10,'Tables - Part 3'!$CQ$10,IF(COF!GI13&lt;'Tables - Part 3'!$CQ$11,'Tables - Part 3'!$CQ$11,IF(COF!GI13&lt;'Tables - Part 3'!$CQ$12,'Tables - Part 3'!$CQ$12,IF(COF!GI13&lt;'Tables - Part 3'!$CQ$13,'Tables - Part 3'!$CQ$13,IF(COF!GI13&lt;'Tables - Part 3'!$CQ$14,'Tables - Part 3'!$CQ$14,IF(COF!GI13&lt;'Tables - Part 3'!$CQ$15,'Tables - Part 3'!$CQ$15,IF(COF!GI13&lt;'Tables - Part 3'!$CQ$16,'Tables - Part 3'!$CQ$16))))))))))))</f>
        <v>#N/A</v>
      </c>
      <c r="IN13" s="151" t="e">
        <f>IF(CA13=$TK$5,'Tables - Part 3'!$CR$17,IF(COF!CA13=COF!$TK$6,IF(COF!GF13&lt;'Tables - Part 3'!$CQ$5,'Tables - Part 3'!$CR$5,IF(GF13&gt;='Tables - Part 3'!$CQ$16,'Tables - Part 3'!$CR$16,((COF!GF13-COF!IF13)*(INDEX('Tables - Part 3'!$CR$5:$CR$16,MATCH(COF!IJ13,'Tables - Part 3'!$CQ$5:$CQ$16,0))-INDEX('Tables - Part 3'!$CR$5:$CR$16,MATCH(COF!IF13,'Tables - Part 3'!$CQ$5:$CQ$16,0)))/(IJ13-IF13)+INDEX('Tables - Part 3'!$CR$5:$CR$16,MATCH(COF!IF13,'Tables - Part 3'!$CQ$5:$CQ$16,0)))))))</f>
        <v>#N/A</v>
      </c>
      <c r="IO13" s="151" t="e">
        <f>IF(CB13=$TK$5,'Tables - Part 3'!$CR$17,IF(COF!CB13=COF!$TK$6,IF(COF!GG13&lt;'Tables - Part 3'!$CQ$5,'Tables - Part 3'!$CR$5,IF(GG13&gt;='Tables - Part 3'!$CQ$16,'Tables - Part 3'!$CR$16,((COF!GG13-COF!IG13)*(INDEX('Tables - Part 3'!$CR$5:$CR$16,MATCH(COF!IK13,'Tables - Part 3'!$CQ$5:$CQ$16,0))-INDEX('Tables - Part 3'!$CR$5:$CR$16,MATCH(COF!IG13,'Tables - Part 3'!$CQ$5:$CQ$16,0)))/(IK13-IG13)+INDEX('Tables - Part 3'!$CR$5:$CR$16,MATCH(COF!IG13,'Tables - Part 3'!$CQ$5:$CQ$16,0)))))))</f>
        <v>#N/A</v>
      </c>
      <c r="IP13" s="151" t="e">
        <f>IF(CC13=$TK$5,'Tables - Part 3'!$CR$17,IF(COF!CC13=COF!$TK$6,IF(COF!GH13&lt;'Tables - Part 3'!$CQ$5,'Tables - Part 3'!$CR$5,IF(GH13&gt;='Tables - Part 3'!$CQ$16,'Tables - Part 3'!$CR$16,((COF!GH13-COF!IH13)*(INDEX('Tables - Part 3'!$CR$5:$CR$16,MATCH(COF!IL13,'Tables - Part 3'!$CQ$5:$CQ$16,0))-INDEX('Tables - Part 3'!$CR$5:$CR$16,MATCH(COF!IH13,'Tables - Part 3'!$CQ$5:$CQ$16,0)))/(IL13-IH13)+INDEX('Tables - Part 3'!$CR$5:$CR$16,MATCH(COF!IH13,'Tables - Part 3'!$CQ$5:$CQ$16,0)))))))</f>
        <v>#N/A</v>
      </c>
      <c r="IQ13" s="151" t="e">
        <f>IF(CD13=$TK$5,'Tables - Part 3'!$CR$17,IF(COF!CD13=COF!$TK$6,IF(COF!GI13&lt;'Tables - Part 3'!$CQ$5,'Tables - Part 3'!$CR$5,IF(GI13&gt;='Tables - Part 3'!$CQ$16,'Tables - Part 3'!$CR$16,((COF!GI13-COF!II13)*(INDEX('Tables - Part 3'!$CR$5:$CR$16,MATCH(COF!IM13,'Tables - Part 3'!$CQ$5:$CQ$16,0))-INDEX('Tables - Part 3'!$CR$5:$CR$16,MATCH(COF!II13,'Tables - Part 3'!$CQ$5:$CQ$16,0)))/(IM13-II13)+INDEX('Tables - Part 3'!$CR$5:$CR$16,MATCH(COF!II13,'Tables - Part 3'!$CQ$5:$CQ$16,0)))))))</f>
        <v>#N/A</v>
      </c>
      <c r="IR13" s="151" t="e">
        <f>IF(CA13=$TK$5,'Tables - Part 3'!$CS$17,IF(COF!CA13=COF!$TK$6,IF(COF!GF13&lt;'Tables - Part 3'!$CQ$5,'Tables - Part 3'!$CS$5,IF(GF13&gt;='Tables - Part 3'!$CQ$16,'Tables - Part 3'!$CS$16,((COF!GF13-COF!IF13)*(INDEX('Tables - Part 3'!$CS$5:$CS$16,MATCH(COF!IJ13,'Tables - Part 3'!$CQ$5:$CQ$16,0))-INDEX('Tables - Part 3'!$CS$5:$CS$16,MATCH(COF!IF13,'Tables - Part 3'!$CQ$5:$CQ$16,0)))/(IJ13-IF13)+INDEX('Tables - Part 3'!$CS$5:$CS$16,MATCH(COF!IF13,'Tables - Part 3'!$CQ$5:$CQ$16,0)))))))</f>
        <v>#N/A</v>
      </c>
      <c r="IS13" s="151" t="e">
        <f>IF(CB13=$TK$5,'Tables - Part 3'!$CS$17,IF(COF!CB13=COF!$TK$6,IF(COF!GG13&lt;'Tables - Part 3'!$CQ$5,'Tables - Part 3'!$CS$5,IF(GG13&gt;='Tables - Part 3'!$CQ$16,'Tables - Part 3'!$CS$16,((COF!GG13-COF!IG13)*(INDEX('Tables - Part 3'!$CS$5:$CS$16,MATCH(COF!IK13,'Tables - Part 3'!$CQ$5:$CQ$16,0))-INDEX('Tables - Part 3'!$CS$5:$CS$16,MATCH(COF!IG13,'Tables - Part 3'!$CQ$5:$CQ$16,0)))/(IK13-IG13)+INDEX('Tables - Part 3'!$CS$5:$CS$16,MATCH(COF!IG13,'Tables - Part 3'!$CQ$5:$CQ$16,0)))))))</f>
        <v>#N/A</v>
      </c>
      <c r="IT13" s="151" t="e">
        <f>IF(CC13=$TK$5,'Tables - Part 3'!$CS$17,IF(COF!CC13=COF!$TK$6,IF(COF!GH13&lt;'Tables - Part 3'!$CQ$5,'Tables - Part 3'!$CS$5,IF(GH13&gt;='Tables - Part 3'!$CQ$16,'Tables - Part 3'!$CS$16,((COF!GH13-COF!IH13)*(INDEX('Tables - Part 3'!$CS$5:$CS$16,MATCH(COF!IL13,'Tables - Part 3'!$CQ$5:$CQ$16,0))-INDEX('Tables - Part 3'!$CS$5:$CS$16,MATCH(COF!IH13,'Tables - Part 3'!$CQ$5:$CQ$16,0)))/(IL13-IH13)+INDEX('Tables - Part 3'!$CS$5:$CS$16,MATCH(COF!IH13,'Tables - Part 3'!$CQ$5:$CQ$16,0)))))))</f>
        <v>#N/A</v>
      </c>
      <c r="IU13" s="151" t="e">
        <f>IF(CD13=$TK$5,'Tables - Part 3'!$CS$17,IF(COF!CD13=COF!$TK$6,IF(COF!GI13&lt;'Tables - Part 3'!$CQ$5,'Tables - Part 3'!$CS$5,IF(GI13&gt;='Tables - Part 3'!$CQ$16,'Tables - Part 3'!$CS$16,((COF!GI13-COF!II13)*(INDEX('Tables - Part 3'!$CS$5:$CS$16,MATCH(COF!IM13,'Tables - Part 3'!$CQ$5:$CQ$16,0))-INDEX('Tables - Part 3'!$CS$5:$CS$16,MATCH(COF!II13,'Tables - Part 3'!$CQ$5:$CQ$16,0)))/(IM13-II13)+INDEX('Tables - Part 3'!$CS$5:$CS$16,MATCH(COF!II13,'Tables - Part 3'!$CQ$5:$CQ$16,0)))))))</f>
        <v>#N/A</v>
      </c>
      <c r="IV13" s="151">
        <f t="shared" si="277"/>
        <v>0</v>
      </c>
      <c r="IW13" s="151">
        <f t="shared" si="87"/>
        <v>0</v>
      </c>
      <c r="IX13" s="151">
        <f t="shared" si="88"/>
        <v>0</v>
      </c>
      <c r="IY13" s="151">
        <f t="shared" si="89"/>
        <v>0</v>
      </c>
      <c r="IZ13" s="151">
        <f t="shared" si="278"/>
        <v>0</v>
      </c>
      <c r="JA13" s="151">
        <f t="shared" si="91"/>
        <v>0</v>
      </c>
      <c r="JB13" s="151">
        <f t="shared" si="92"/>
        <v>0</v>
      </c>
      <c r="JC13" s="151">
        <f t="shared" si="93"/>
        <v>0</v>
      </c>
      <c r="JD13" s="151" t="e">
        <f t="shared" si="94"/>
        <v>#N/A</v>
      </c>
      <c r="JE13" s="151" t="e">
        <f t="shared" si="95"/>
        <v>#N/A</v>
      </c>
      <c r="JF13" s="151" t="e">
        <f t="shared" si="96"/>
        <v>#N/A</v>
      </c>
      <c r="JG13" s="151" t="e">
        <f t="shared" si="97"/>
        <v>#N/A</v>
      </c>
      <c r="JH13" s="151" t="e">
        <f>IF(CA13=$TK$5,'Tables - Part 3'!$CT$17,IF(COF!CA13=COF!$TK$6,IF(COF!GF13&lt;'Tables - Part 3'!$CQ$5,'Tables - Part 3'!$CT$5,IF(GF13&gt;='Tables - Part 3'!$CQ$16,'Tables - Part 3'!$CT$16,((COF!GF13-COF!IF13)*(INDEX('Tables - Part 3'!$CT$5:$CT$16,MATCH(COF!IJ13,'Tables - Part 3'!$CQ$5:$CQ$16,0))-INDEX('Tables - Part 3'!$CT$5:$CT$16,MATCH(COF!IF13,'Tables - Part 3'!$CQ$5:$CQ$16,0)))/(IJ13-IF13)+INDEX('Tables - Part 3'!$CT$5:$CT$16,MATCH(COF!IF13,'Tables - Part 3'!$CQ$5:$CQ$16,0)))))))</f>
        <v>#N/A</v>
      </c>
      <c r="JI13" s="151" t="e">
        <f>IF(CB13=$TK$5,'Tables - Part 3'!$CT$17,IF(COF!CB13=COF!$TK$6,IF(COF!GG13&lt;'Tables - Part 3'!$CQ$5,'Tables - Part 3'!$CT$5,IF(GG13&gt;='Tables - Part 3'!$CQ$16,'Tables - Part 3'!$CT$16,((COF!GG13-COF!IG13)*(INDEX('Tables - Part 3'!$CT$5:$CT$16,MATCH(COF!IK13,'Tables - Part 3'!$CQ$5:$CQ$16,0))-INDEX('Tables - Part 3'!$CT$5:$CT$16,MATCH(COF!IG13,'Tables - Part 3'!$CQ$5:$CQ$16,0)))/(IK13-IG13)+INDEX('Tables - Part 3'!$CT$5:$CT$16,MATCH(COF!IG13,'Tables - Part 3'!$CQ$5:$CQ$16,0)))))))</f>
        <v>#N/A</v>
      </c>
      <c r="JJ13" s="151" t="e">
        <f>IF(CC13=$TK$5,'Tables - Part 3'!$CT$17,IF(COF!CC13=COF!$TK$6,IF(COF!GH13&lt;'Tables - Part 3'!$CQ$5,'Tables - Part 3'!$CT$5,IF(GH13&gt;='Tables - Part 3'!$CQ$16,'Tables - Part 3'!$CT$16,((COF!GH13-COF!IH13)*(INDEX('Tables - Part 3'!$CT$5:$CT$16,MATCH(COF!IL13,'Tables - Part 3'!$CQ$5:$CQ$16,0))-INDEX('Tables - Part 3'!$CT$5:$CT$16,MATCH(COF!IH13,'Tables - Part 3'!$CQ$5:$CQ$16,0)))/(IL13-IH13)+INDEX('Tables - Part 3'!$CT$5:$CT$16,MATCH(COF!IH13,'Tables - Part 3'!$CQ$5:$CQ$16,0)))))))</f>
        <v>#N/A</v>
      </c>
      <c r="JK13" s="151" t="e">
        <f>IF(CD13=$TK$5,'Tables - Part 3'!$CT$17,IF(COF!CD13=COF!$TK$6,IF(COF!GI13&lt;'Tables - Part 3'!$CQ$5,'Tables - Part 3'!$CT$5,IF(GI13&gt;='Tables - Part 3'!$CQ$16,'Tables - Part 3'!$CT$16,((COF!GI13-COF!II13)*(INDEX('Tables - Part 3'!$CT$5:$CT$16,MATCH(COF!IM13,'Tables - Part 3'!$CQ$5:$CQ$16,0))-INDEX('Tables - Part 3'!$CT$5:$CT$16,MATCH(COF!II13,'Tables - Part 3'!$CQ$5:$CQ$16,0)))/(IM13-II13)+INDEX('Tables - Part 3'!$CT$5:$CT$16,MATCH(COF!II13,'Tables - Part 3'!$CQ$5:$CQ$16,0)))))))</f>
        <v>#N/A</v>
      </c>
      <c r="JL13" s="151" t="e">
        <f>IF(CA13=$TK$5,'Tables - Part 3'!$CU$17,IF(COF!CA13=COF!$TK$6,IF(COF!GF13&lt;'Tables - Part 3'!$CQ$5,'Tables - Part 3'!$CU$5,IF(GF13&gt;='Tables - Part 3'!$CQ$16,'Tables - Part 3'!$CU$16,((COF!GF13-COF!IF13)*(INDEX('Tables - Part 3'!$CU$5:$CU$16,MATCH(COF!IJ13,'Tables - Part 3'!$CQ$5:$CQ$16,0))-INDEX('Tables - Part 3'!$CU$5:$CU$16,MATCH(COF!IF13,'Tables - Part 3'!$CQ$5:$CQ$16,0)))/(IJ13-IF13)+INDEX('Tables - Part 3'!$CU$5:$CU$16,MATCH(COF!IF13,'Tables - Part 3'!$CQ$5:$CQ$16,0)))))))</f>
        <v>#N/A</v>
      </c>
      <c r="JM13" s="151" t="e">
        <f>IF(CB13=$TK$5,'Tables - Part 3'!$CU$17,IF(COF!CB13=COF!$TK$6,IF(COF!GG13&lt;'Tables - Part 3'!$CQ$5,'Tables - Part 3'!$CU$5,IF(GG13&gt;='Tables - Part 3'!$CQ$16,'Tables - Part 3'!$CU$16,((COF!GG13-COF!IG13)*(INDEX('Tables - Part 3'!$CU$5:$CU$16,MATCH(COF!IK13,'Tables - Part 3'!$CQ$5:$CQ$16,0))-INDEX('Tables - Part 3'!$CU$5:$CU$16,MATCH(COF!IG13,'Tables - Part 3'!$CQ$5:$CQ$16,0)))/(IK13-IG13)+INDEX('Tables - Part 3'!$CU$5:$CU$16,MATCH(COF!IG13,'Tables - Part 3'!$CQ$5:$CQ$16,0)))))))</f>
        <v>#N/A</v>
      </c>
      <c r="JN13" s="151" t="e">
        <f>IF(CC13=$TK$5,'Tables - Part 3'!$CU$17,IF(COF!CC13=COF!$TK$6,IF(COF!GH13&lt;'Tables - Part 3'!$CQ$5,'Tables - Part 3'!$CU$5,IF(GH13&gt;='Tables - Part 3'!$CQ$16,'Tables - Part 3'!$CU$16,((COF!GH13-COF!IH13)*(INDEX('Tables - Part 3'!$CU$5:$CU$16,MATCH(COF!IL13,'Tables - Part 3'!$CQ$5:$CQ$16,0))-INDEX('Tables - Part 3'!$CU$5:$CU$16,MATCH(COF!IH13,'Tables - Part 3'!$CQ$5:$CQ$16,0)))/(IL13-IH13)+INDEX('Tables - Part 3'!$CU$5:$CU$16,MATCH(COF!IH13,'Tables - Part 3'!$CQ$5:$CQ$16,0)))))))</f>
        <v>#N/A</v>
      </c>
      <c r="JO13" s="151" t="e">
        <f>IF(CD13=$TK$5,'Tables - Part 3'!$CU$17,IF(COF!CD13=COF!$TK$6,IF(COF!GI13&lt;'Tables - Part 3'!$CQ$5,'Tables - Part 3'!$CU$5,IF(GI13&gt;='Tables - Part 3'!$CQ$16,'Tables - Part 3'!$CU$16,((COF!GI13-COF!II13)*(INDEX('Tables - Part 3'!$CU$5:$CU$16,MATCH(COF!IM13,'Tables - Part 3'!$CQ$5:$CQ$16,0))-INDEX('Tables - Part 3'!$CU$5:$CU$16,MATCH(COF!II13,'Tables - Part 3'!$CQ$5:$CQ$16,0)))/(IM13-II13)+INDEX('Tables - Part 3'!$CU$5:$CU$16,MATCH(COF!II13,'Tables - Part 3'!$CQ$5:$CQ$16,0)))))))</f>
        <v>#N/A</v>
      </c>
      <c r="JP13" s="282"/>
      <c r="JQ13" s="151">
        <f t="shared" si="279"/>
        <v>0</v>
      </c>
      <c r="JR13" s="151">
        <f t="shared" si="99"/>
        <v>0</v>
      </c>
      <c r="JS13" s="151">
        <f t="shared" si="100"/>
        <v>0</v>
      </c>
      <c r="JT13" s="151">
        <f t="shared" si="101"/>
        <v>0</v>
      </c>
      <c r="JU13" s="151" t="e">
        <f t="shared" si="204"/>
        <v>#N/A</v>
      </c>
      <c r="JV13" s="151" t="e">
        <f t="shared" si="205"/>
        <v>#N/A</v>
      </c>
      <c r="JW13" s="151" t="e">
        <f t="shared" si="206"/>
        <v>#N/A</v>
      </c>
      <c r="JX13" s="151" t="e">
        <f t="shared" si="207"/>
        <v>#N/A</v>
      </c>
      <c r="JY13" s="152" t="e">
        <f>IF(GF13&lt;'Tables - Part 3'!$CY$6,0,LOOKUP(GF13,'Tables - Part 3'!$CY$6:$CY$11))</f>
        <v>#N/A</v>
      </c>
      <c r="JZ13" s="152" t="e">
        <f>IF(GG13&lt;'Tables - Part 3'!$CY$6,0,LOOKUP(GG13,'Tables - Part 3'!$CY$6:$CY$11))</f>
        <v>#N/A</v>
      </c>
      <c r="KA13" s="152" t="e">
        <f>IF(GH13&lt;'Tables - Part 3'!$CY$6,0,LOOKUP(GH13,'Tables - Part 3'!$CY$6:$CY$11))</f>
        <v>#N/A</v>
      </c>
      <c r="KB13" s="152" t="e">
        <f>IF(GI13&lt;'Tables - Part 3'!$CY$6,0,LOOKUP(GI13,'Tables - Part 3'!$CY$6:$CY$11))</f>
        <v>#N/A</v>
      </c>
      <c r="KC13" s="152" t="e">
        <f>IF(GF13&lt;'Tables - Part 3'!$CY$6,'Tables - Part 3'!$CY$6,IF(COF!GF13&lt;'Tables - Part 3'!$CY$7,'Tables - Part 3'!$CY$7,IF(COF!GF13&lt;'Tables - Part 3'!$CY$8,'Tables - Part 3'!$CY$8,IF(COF!GF13&lt;'Tables - Part 3'!$CY$9,'Tables - Part 3'!$CY$9,IF(COF!GF13&lt;'Tables - Part 3'!$CY$10,'Tables - Part 3'!$CY$10,IF(COF!GF13&lt;'Tables - Part 3'!$CY$11,'Tables - Part 3'!$CY$11))))))</f>
        <v>#N/A</v>
      </c>
      <c r="KD13" s="152" t="e">
        <f>IF(GG13&lt;'Tables - Part 3'!$CY$6,'Tables - Part 3'!$CY$6,IF(COF!GG13&lt;'Tables - Part 3'!$CY$7,'Tables - Part 3'!$CY$7,IF(COF!GG13&lt;'Tables - Part 3'!$CY$8,'Tables - Part 3'!$CY$8,IF(COF!GG13&lt;'Tables - Part 3'!$CY$9,'Tables - Part 3'!$CY$9,IF(COF!GG13&lt;'Tables - Part 3'!$CY$10,'Tables - Part 3'!$CY$10,IF(COF!GG13&lt;'Tables - Part 3'!$CY$11,'Tables - Part 3'!$CY$11))))))</f>
        <v>#N/A</v>
      </c>
      <c r="KE13" s="152" t="e">
        <f>IF(GH13&lt;'Tables - Part 3'!$CY$6,'Tables - Part 3'!$CY$6,IF(COF!GH13&lt;'Tables - Part 3'!$CY$7,'Tables - Part 3'!$CY$7,IF(COF!GH13&lt;'Tables - Part 3'!$CY$8,'Tables - Part 3'!$CY$8,IF(COF!GH13&lt;'Tables - Part 3'!$CY$9,'Tables - Part 3'!$CY$9,IF(COF!GH13&lt;'Tables - Part 3'!$CY$10,'Tables - Part 3'!$CY$10,IF(COF!GH13&lt;'Tables - Part 3'!$CY$11,'Tables - Part 3'!$CY$11))))))</f>
        <v>#N/A</v>
      </c>
      <c r="KF13" s="152" t="e">
        <f>IF(GI13&lt;'Tables - Part 3'!$CY$6,'Tables - Part 3'!$CY$6,IF(COF!GI13&lt;'Tables - Part 3'!$CY$7,'Tables - Part 3'!$CY$7,IF(COF!GI13&lt;'Tables - Part 3'!$CY$8,'Tables - Part 3'!$CY$8,IF(COF!GI13&lt;'Tables - Part 3'!$CY$9,'Tables - Part 3'!$CY$9,IF(COF!GI13&lt;'Tables - Part 3'!$CY$10,'Tables - Part 3'!$CY$10,IF(COF!GI13&lt;'Tables - Part 3'!$CY$11,'Tables - Part 3'!$CY$11))))))</f>
        <v>#N/A</v>
      </c>
      <c r="KG13" s="151" t="e">
        <f>IF(CA13=$TK$5,'Tables - Part 3'!$CZ$6,IF(COF!CA13=COF!$TK$6,IF(COF!GF13&lt;'Tables - Part 3'!$CY$6,'Tables - Part 3'!$CZ$6,IF(GF13&gt;='Tables - Part 3'!$CY$11,'Tables - Part 3'!$CZ$11,((COF!GF13-COF!JY13)*(INDEX('Tables - Part 3'!$CZ$6:$CZ$11,MATCH(COF!KC13,'Tables - Part 3'!$CY$6:$CY$11,0))-INDEX('Tables - Part 3'!$CZ$6:$CZ$11,MATCH(COF!JY13,'Tables - Part 3'!$CY$6:$CY$11,0)))/(KC13-JY13)+INDEX('Tables - Part 3'!$CZ$6:$CZ$11,MATCH(COF!JY13,'Tables - Part 3'!$CY$6:$CY$11,0)))))))</f>
        <v>#N/A</v>
      </c>
      <c r="KH13" s="151" t="e">
        <f>IF(CB13=$TK$5,'Tables - Part 3'!$CZ$6,IF(COF!CB13=COF!$TK$6,IF(COF!GG13&lt;'Tables - Part 3'!$CY$6,'Tables - Part 3'!$CZ$6,IF(GG13&gt;='Tables - Part 3'!$CY$11,'Tables - Part 3'!$CZ$11,((COF!GG13-COF!JZ13)*(INDEX('Tables - Part 3'!$CZ$6:$CZ$11,MATCH(COF!KD13,'Tables - Part 3'!$CY$6:$CY$11,0))-INDEX('Tables - Part 3'!$CZ$6:$CZ$11,MATCH(COF!JZ13,'Tables - Part 3'!$CY$6:$CY$11,0)))/(KD13-JZ13)+INDEX('Tables - Part 3'!$CZ$6:$CZ$11,MATCH(COF!JZ13,'Tables - Part 3'!$CY$6:$CY$11,0)))))))</f>
        <v>#N/A</v>
      </c>
      <c r="KI13" s="151" t="e">
        <f>IF(CC13=$TK$5,'Tables - Part 3'!$CZ$6,IF(COF!CC13=COF!$TK$6,IF(COF!GH13&lt;'Tables - Part 3'!$CY$6,'Tables - Part 3'!$CZ$6,IF(GH13&gt;='Tables - Part 3'!$CY$11,'Tables - Part 3'!$CZ$11,((COF!GH13-COF!KA13)*(INDEX('Tables - Part 3'!$CZ$6:$CZ$11,MATCH(COF!KE13,'Tables - Part 3'!$CY$6:$CY$11,0))-INDEX('Tables - Part 3'!$CZ$6:$CZ$11,MATCH(COF!KA13,'Tables - Part 3'!$CY$6:$CY$11,0)))/(KE13-KA13)+INDEX('Tables - Part 3'!$CZ$6:$CZ$11,MATCH(COF!KA13,'Tables - Part 3'!$CY$6:$CY$11,0)))))))</f>
        <v>#N/A</v>
      </c>
      <c r="KJ13" s="151" t="e">
        <f>IF(CD13=$TK$5,'Tables - Part 3'!$CZ$6,IF(COF!CD13=COF!$TK$6,IF(COF!GI13&lt;'Tables - Part 3'!$CY$6,'Tables - Part 3'!$CZ$6,IF(GI13&gt;='Tables - Part 3'!$CY$11,'Tables - Part 3'!$CZ$11,((COF!GI13-COF!KB13)*(INDEX('Tables - Part 3'!$CZ$6:$CZ$11,MATCH(COF!KF13,'Tables - Part 3'!$CY$6:$CY$11,0))-INDEX('Tables - Part 3'!$CZ$6:$CZ$11,MATCH(COF!KB13,'Tables - Part 3'!$CY$6:$CY$11,0)))/(KF13-KB13)+INDEX('Tables - Part 3'!$CZ$6:$CZ$11,MATCH(COF!KB13,'Tables - Part 3'!$CY$6:$CY$11,0)))))))</f>
        <v>#N/A</v>
      </c>
      <c r="KK13" s="153" t="e">
        <f>IF(CA13=$TK$5,'Tables - Part 3'!$DA$6,IF(COF!CA13=COF!$TK$6,IF(COF!GF13&lt;'Tables - Part 3'!$CY$6,'Tables - Part 3'!$DA$6,IF(GF13&gt;='Tables - Part 3'!$CY$11,'Tables - Part 3'!$DA$11,((COF!GF13-COF!JY13)*(INDEX('Tables - Part 3'!$DA$6:$DA$11,MATCH(COF!KC13,'Tables - Part 3'!$CY$6:$CY$11,0))-INDEX('Tables - Part 3'!$DA$6:$DA$11,MATCH(COF!JY13,'Tables - Part 3'!$CY$6:$CY$11,0)))/(KC13-JY13)+INDEX('Tables - Part 3'!$DA$6:$DA$16,MATCH(COF!JY13,'Tables - Part 3'!$CY$6:$CY$11,0)))))))</f>
        <v>#N/A</v>
      </c>
      <c r="KL13" s="153" t="e">
        <f>IF(CB13=$TK$5,'Tables - Part 3'!$DA$6,IF(COF!CB13=COF!$TK$6,IF(COF!GG13&lt;'Tables - Part 3'!$CY$6,'Tables - Part 3'!$DA$6,IF(GG13&gt;='Tables - Part 3'!$CY$11,'Tables - Part 3'!$DA$11,((COF!GG13-COF!JZ13)*(INDEX('Tables - Part 3'!$DA$6:$DA$11,MATCH(COF!KD13,'Tables - Part 3'!$CY$6:$CY$11,0))-INDEX('Tables - Part 3'!$DA$6:$DA$11,MATCH(COF!JZ13,'Tables - Part 3'!$CY$6:$CY$11,0)))/(KD13-JZ13)+INDEX('Tables - Part 3'!$DA$6:$DA$16,MATCH(COF!JZ13,'Tables - Part 3'!$CY$6:$CY$11,0)))))))</f>
        <v>#N/A</v>
      </c>
      <c r="KM13" s="153" t="e">
        <f>IF(CC13=$TK$5,'Tables - Part 3'!$DA$6,IF(COF!CC13=COF!$TK$6,IF(COF!GH13&lt;'Tables - Part 3'!$CY$6,'Tables - Part 3'!$DA$6,IF(GH13&gt;='Tables - Part 3'!$CY$11,'Tables - Part 3'!$DA$11,((COF!GH13-COF!KA13)*(INDEX('Tables - Part 3'!$DA$6:$DA$11,MATCH(COF!KE13,'Tables - Part 3'!$CY$6:$CY$11,0))-INDEX('Tables - Part 3'!$DA$6:$DA$11,MATCH(COF!KA13,'Tables - Part 3'!$CY$6:$CY$11,0)))/(KE13-KA13)+INDEX('Tables - Part 3'!$DA$6:$DA$16,MATCH(COF!KA13,'Tables - Part 3'!$CY$6:$CY$11,0)))))))</f>
        <v>#N/A</v>
      </c>
      <c r="KN13" s="153" t="e">
        <f>IF(CD13=$TK$5,'Tables - Part 3'!$DA$6,IF(COF!CD13=COF!$TK$6,IF(COF!GI13&lt;'Tables - Part 3'!$CY$6,'Tables - Part 3'!$DA$6,IF(GI13&gt;='Tables - Part 3'!$CY$11,'Tables - Part 3'!$DA$11,((COF!GI13-COF!KB13)*(INDEX('Tables - Part 3'!$DA$6:$DA$11,MATCH(COF!KF13,'Tables - Part 3'!$CY$6:$CY$11,0))-INDEX('Tables - Part 3'!$DA$6:$DA$11,MATCH(COF!KB13,'Tables - Part 3'!$CY$6:$CY$11,0)))/(KF13-KB13)+INDEX('Tables - Part 3'!$DA$6:$DA$16,MATCH(COF!KB13,'Tables - Part 3'!$CY$6:$CY$11,0)))))))</f>
        <v>#N/A</v>
      </c>
      <c r="KO13" s="153">
        <f t="shared" si="280"/>
        <v>0</v>
      </c>
      <c r="KP13" s="153">
        <f t="shared" si="103"/>
        <v>0</v>
      </c>
      <c r="KQ13" s="153">
        <f t="shared" si="104"/>
        <v>0</v>
      </c>
      <c r="KR13" s="153">
        <f t="shared" si="105"/>
        <v>0</v>
      </c>
      <c r="KS13" s="151" t="e">
        <f t="shared" si="208"/>
        <v>#N/A</v>
      </c>
      <c r="KT13" s="151" t="e">
        <f t="shared" si="209"/>
        <v>#N/A</v>
      </c>
      <c r="KU13" s="151" t="e">
        <f t="shared" si="210"/>
        <v>#N/A</v>
      </c>
      <c r="KV13" s="151" t="e">
        <f t="shared" si="211"/>
        <v>#N/A</v>
      </c>
      <c r="KW13" s="151" t="e">
        <f>IF(CA13=$TK$5,'Tables - Part 3'!$CZ$12,IF(COF!CA13=COF!$TK$6,IF(COF!GF13&lt;'Tables - Part 3'!$CY$12,'Tables - Part 3'!$CZ$12,IF(GF13&gt;='Tables - Part 3'!$CY$17,'Tables - Part 3'!$CZ$17,((COF!GF13-COF!JY13)*(INDEX('Tables - Part 3'!$CZ$12:$CZ$17,MATCH(COF!KC13,'Tables - Part 3'!$CY$12:$CY$17,0))-INDEX('Tables - Part 3'!$CZ$12:$CZ$17,MATCH(COF!JY13,'Tables - Part 3'!$CY$12:$CY$17,0)))/(KC13-JY13)+INDEX('Tables - Part 3'!$CZ$12:$CZ$17,MATCH(COF!JY13,'Tables - Part 3'!$CY$12:$CY$17,0)))))))</f>
        <v>#N/A</v>
      </c>
      <c r="KX13" s="151" t="e">
        <f>IF(CB13=$TK$5,'Tables - Part 3'!$CZ$12,IF(COF!CB13=COF!$TK$6,IF(COF!GG13&lt;'Tables - Part 3'!$CY$12,'Tables - Part 3'!$CZ$12,IF(GG13&gt;='Tables - Part 3'!$CY$17,'Tables - Part 3'!$CZ$17,((COF!GG13-COF!JZ13)*(INDEX('Tables - Part 3'!$CZ$12:$CZ$17,MATCH(COF!KD13,'Tables - Part 3'!$CY$12:$CY$17,0))-INDEX('Tables - Part 3'!$CZ$12:$CZ$17,MATCH(COF!JZ13,'Tables - Part 3'!$CY$12:$CY$17,0)))/(KD13-JZ13)+INDEX('Tables - Part 3'!$CZ$12:$CZ$17,MATCH(COF!JZ13,'Tables - Part 3'!$CY$12:$CY$17,0)))))))</f>
        <v>#N/A</v>
      </c>
      <c r="KY13" s="151" t="e">
        <f>IF(CC13=$TK$5,'Tables - Part 3'!$CZ$12,IF(COF!CC13=COF!$TK$6,IF(COF!GH13&lt;'Tables - Part 3'!$CY$12,'Tables - Part 3'!$CZ$12,IF(GH13&gt;='Tables - Part 3'!$CY$17,'Tables - Part 3'!$CZ$17,((COF!GH13-COF!KA13)*(INDEX('Tables - Part 3'!$CZ$12:$CZ$17,MATCH(COF!KE13,'Tables - Part 3'!$CY$12:$CY$17,0))-INDEX('Tables - Part 3'!$CZ$12:$CZ$17,MATCH(COF!KA13,'Tables - Part 3'!$CY$12:$CY$17,0)))/(KE13-KA13)+INDEX('Tables - Part 3'!$CZ$12:$CZ$17,MATCH(COF!KA13,'Tables - Part 3'!$CY$12:$CY$17,0)))))))</f>
        <v>#N/A</v>
      </c>
      <c r="KZ13" s="151" t="e">
        <f>IF(CD13=$TK$5,'Tables - Part 3'!$CZ$12,IF(COF!CD13=COF!$TK$6,IF(COF!GI13&lt;'Tables - Part 3'!$CY$12,'Tables - Part 3'!$CZ$12,IF(GI13&gt;='Tables - Part 3'!$CY$17,'Tables - Part 3'!$CZ$17,((COF!GI13-COF!KB13)*(INDEX('Tables - Part 3'!$CZ$12:$CZ$17,MATCH(COF!KF13,'Tables - Part 3'!$CY$12:$CY$17,0))-INDEX('Tables - Part 3'!$CZ$12:$CZ$17,MATCH(COF!KB13,'Tables - Part 3'!$CY$12:$CY$17,0)))/(KF13-KB13)+INDEX('Tables - Part 3'!$CZ$12:$CZ$17,MATCH(COF!KB13,'Tables - Part 3'!$CY$12:$CY$17,0)))))))</f>
        <v>#N/A</v>
      </c>
      <c r="LA13" s="151" t="e">
        <f>IF(CA13=$TK$5,'Tables - Part 3'!$DA$6,IF(COF!CA13=COF!$TK$6,IF(COF!GF13&lt;'Tables - Part 3'!$CY$6,'Tables - Part 3'!$DA$6,IF(GF13&gt;='Tables - Part 3'!$CY$11,'Tables - Part 3'!$DA$11,((COF!GF13-COF!JY13)*(INDEX('Tables - Part 3'!$DA$6:$DA$11,MATCH(COF!KC13,'Tables - Part 3'!$CY$6:$CY$11,0))-INDEX('Tables - Part 3'!$DA$6:$DA$11,MATCH(COF!JY13,'Tables - Part 3'!$CY$6:$CY$11,0)))/(KC13-JY13)+INDEX('Tables - Part 3'!$DA$5:$DA$16,MATCH(COF!JY13,'Tables - Part 3'!$CY$6:$CY$11,0)))))))</f>
        <v>#N/A</v>
      </c>
      <c r="LB13" s="151" t="e">
        <f>IF(CB13=$TK$5,'Tables - Part 3'!$DA$6,IF(COF!CB13=COF!$TK$6,IF(COF!GG13&lt;'Tables - Part 3'!$CY$6,'Tables - Part 3'!$DA$6,IF(GG13&gt;='Tables - Part 3'!$CY$11,'Tables - Part 3'!$DA$11,((COF!GG13-COF!JZ13)*(INDEX('Tables - Part 3'!$DA$6:$DA$11,MATCH(COF!KD13,'Tables - Part 3'!$CY$6:$CY$11,0))-INDEX('Tables - Part 3'!$DA$6:$DA$11,MATCH(COF!JZ13,'Tables - Part 3'!$CY$6:$CY$11,0)))/(KD13-JZ13)+INDEX('Tables - Part 3'!$DA$5:$DA$16,MATCH(COF!JZ13,'Tables - Part 3'!$CY$6:$CY$11,0)))))))</f>
        <v>#N/A</v>
      </c>
      <c r="LC13" s="151" t="e">
        <f>IF(CC13=$TK$5,'Tables - Part 3'!$DA$6,IF(COF!CC13=COF!$TK$6,IF(COF!GH13&lt;'Tables - Part 3'!$CY$6,'Tables - Part 3'!$DA$6,IF(GH13&gt;='Tables - Part 3'!$CY$11,'Tables - Part 3'!$DA$11,((COF!GH13-COF!KA13)*(INDEX('Tables - Part 3'!$DA$6:$DA$11,MATCH(COF!KE13,'Tables - Part 3'!$CY$6:$CY$11,0))-INDEX('Tables - Part 3'!$DA$6:$DA$11,MATCH(COF!KA13,'Tables - Part 3'!$CY$6:$CY$11,0)))/(KE13-KA13)+INDEX('Tables - Part 3'!$DA$5:$DA$16,MATCH(COF!KA13,'Tables - Part 3'!$CY$6:$CY$11,0)))))))</f>
        <v>#N/A</v>
      </c>
      <c r="LD13" s="151" t="e">
        <f>IF(CD13=$TK$5,'Tables - Part 3'!$DA$6,IF(COF!CD13=COF!$TK$6,IF(COF!GI13&lt;'Tables - Part 3'!$CY$6,'Tables - Part 3'!$DA$6,IF(GI13&gt;='Tables - Part 3'!$CY$11,'Tables - Part 3'!$DA$11,((COF!GI13-COF!KB13)*(INDEX('Tables - Part 3'!$DA$6:$DA$11,MATCH(COF!KF13,'Tables - Part 3'!$CY$6:$CY$11,0))-INDEX('Tables - Part 3'!$DA$6:$DA$11,MATCH(COF!KB13,'Tables - Part 3'!$CY$6:$CY$11,0)))/(KF13-KB13)+INDEX('Tables - Part 3'!$DA$5:$DA$16,MATCH(COF!KB13,'Tables - Part 3'!$CY$6:$CY$11,0)))))))</f>
        <v>#N/A</v>
      </c>
      <c r="LE13" s="154"/>
      <c r="LF13" s="154"/>
      <c r="LG13" s="154"/>
      <c r="LH13" s="154"/>
      <c r="LI13" s="154"/>
      <c r="LJ13" s="154"/>
      <c r="LK13" s="154"/>
      <c r="LL13" s="151" t="e">
        <f t="shared" si="212"/>
        <v>#N/A</v>
      </c>
      <c r="LM13" s="151" t="e">
        <f t="shared" si="213"/>
        <v>#N/A</v>
      </c>
      <c r="LN13" s="151" t="e">
        <f t="shared" si="214"/>
        <v>#N/A</v>
      </c>
      <c r="LO13" s="151" t="e">
        <f t="shared" si="215"/>
        <v>#N/A</v>
      </c>
      <c r="LP13" s="151">
        <f t="shared" si="106"/>
        <v>0</v>
      </c>
      <c r="LQ13" s="502">
        <f>IF($F13='Tables - Part 3'!$B$17,'Tables - Part 3.B'!$C$11*COF!CJ13,0)</f>
        <v>0</v>
      </c>
      <c r="LR13" s="502">
        <f>IF($F13='Tables - Part 3'!$B$17,'Tables - Part 3.B'!$C$11*COF!CK13,0)</f>
        <v>0</v>
      </c>
      <c r="LS13" s="502">
        <f>IF($F13='Tables - Part 3'!$B$17,'Tables - Part 3.B'!$C$11*COF!CL13,0)</f>
        <v>0</v>
      </c>
      <c r="LT13" s="502">
        <f>IF($F13='Tables - Part 3'!$B$17,'Tables - Part 3.B'!$C$11*COF!CM13,0)</f>
        <v>0</v>
      </c>
      <c r="LU13" s="502">
        <f>IF($F13='Tables - Part 3'!$B$17,'Tables - Part 3.B'!$C$12*POWER(COF!CR13,0.6384),0)</f>
        <v>0</v>
      </c>
      <c r="LV13" s="502">
        <f>IF($F13='Tables - Part 3'!$B$17,'Tables - Part 3.B'!$C$12*POWER(COF!CS13,0.6384),0)</f>
        <v>0</v>
      </c>
      <c r="LW13" s="502">
        <f>IF($F13='Tables - Part 3'!$B$17,'Tables - Part 3.B'!$C$12*POWER(COF!CT13,0.6384),0)</f>
        <v>0</v>
      </c>
      <c r="LX13" s="502">
        <f>IF($F13='Tables - Part 3'!$B$17,'Tables - Part 3.B'!$C$12*POWER(COF!CU13,0.6384),0)</f>
        <v>0</v>
      </c>
      <c r="LY13" s="151" t="e">
        <f>MIN(CJ13/'Tables - Part 3.B'!$C$8,1)</f>
        <v>#N/A</v>
      </c>
      <c r="LZ13" s="151" t="e">
        <f>MIN(CK13/'Tables - Part 3.B'!$C$8,1)</f>
        <v>#N/A</v>
      </c>
      <c r="MA13" s="151" t="e">
        <f>MIN(CL13/'Tables - Part 3.B'!$C$8,1)</f>
        <v>#N/A</v>
      </c>
      <c r="MB13" s="151" t="e">
        <f>MIN(CM13/'Tables - Part 3.B'!$C$8,1)</f>
        <v>#N/A</v>
      </c>
      <c r="MC13" s="151" t="e">
        <f t="shared" si="216"/>
        <v>#N/A</v>
      </c>
      <c r="MD13" s="151" t="e">
        <f t="shared" si="107"/>
        <v>#N/A</v>
      </c>
      <c r="ME13" s="151" t="e">
        <f t="shared" si="107"/>
        <v>#N/A</v>
      </c>
      <c r="MF13" s="151" t="e">
        <f t="shared" si="107"/>
        <v>#N/A</v>
      </c>
      <c r="MG13" s="502">
        <f>IF($F13='Tables - Part 3'!$B$18,0.2*'Tables - Part 3.B'!$C$10*$ML13*POWER('Tables - Part 3.B'!$C$7*CJ13,$MM13),0)</f>
        <v>0</v>
      </c>
      <c r="MH13" s="502">
        <f>IF($F13='Tables - Part 3'!$B$18,0.2*'Tables - Part 3.B'!$C$10*$ML13*POWER('Tables - Part 3.B'!$C$7*CK13,$MM13),0)</f>
        <v>0</v>
      </c>
      <c r="MI13" s="502">
        <f>IF($F13='Tables - Part 3'!$B$18,0.2*'Tables - Part 3.B'!$C$10*$ML13*POWER('Tables - Part 3.B'!$C$7*CL13,$MM13),0)</f>
        <v>0</v>
      </c>
      <c r="MJ13" s="502">
        <f>IF($F13='Tables - Part 3'!$B$18,0.2*'Tables - Part 3.B'!$C$10*$ML13*POWER('Tables - Part 3.B'!$C$7*CM13,$MM13),0)</f>
        <v>0</v>
      </c>
      <c r="MK13" s="151">
        <v>0</v>
      </c>
      <c r="ML13" s="151" t="e">
        <f>2696-21.9*'Tables - Part 3.B'!$C$13*(COF!OO13-COF!$TM$5)+1.474*POWER('Tables - Part 3.B'!$C$13*(COF!OO13-COF!$TM$5),2)</f>
        <v>#VALUE!</v>
      </c>
      <c r="MM13" s="151" t="e">
        <f>0.31-0.00032*POWER('Tables - Part 3.B'!$C$13*(COF!OO13-COF!$TM$5)-40,2)</f>
        <v>#VALUE!</v>
      </c>
      <c r="MN13" s="151">
        <v>0</v>
      </c>
      <c r="MO13" s="151">
        <f t="shared" si="217"/>
        <v>0</v>
      </c>
      <c r="MP13" s="151">
        <f t="shared" si="108"/>
        <v>0</v>
      </c>
      <c r="MQ13" s="151">
        <f t="shared" si="108"/>
        <v>0</v>
      </c>
      <c r="MR13" s="151">
        <f t="shared" si="108"/>
        <v>0</v>
      </c>
      <c r="MS13" s="151" t="e">
        <f t="shared" si="218"/>
        <v>#N/A</v>
      </c>
      <c r="MT13" s="151" t="e">
        <f t="shared" si="219"/>
        <v>#N/A</v>
      </c>
      <c r="MU13" s="151" t="e">
        <f t="shared" si="220"/>
        <v>#N/A</v>
      </c>
      <c r="MV13" s="151" t="e">
        <f t="shared" si="221"/>
        <v>#N/A</v>
      </c>
      <c r="MW13" s="151">
        <f t="shared" si="222"/>
        <v>0</v>
      </c>
      <c r="MX13" s="151">
        <f t="shared" si="223"/>
        <v>0</v>
      </c>
      <c r="MY13" s="151">
        <f t="shared" si="224"/>
        <v>0</v>
      </c>
      <c r="MZ13" s="526">
        <f t="shared" si="109"/>
        <v>0</v>
      </c>
      <c r="NA13" s="151" t="e">
        <f>INDEX('Tables - Part 3'!DQ$5:DQ$32,MATCH($E13,'Tables - Part 3'!$DP$5:$DP$32,0))</f>
        <v>#N/A</v>
      </c>
      <c r="NB13" s="151" t="e">
        <f>INDEX('Tables - Part 3'!DR$5:DR$32,MATCH($E13,'Tables - Part 3'!$DP$5:$DP$32,0))</f>
        <v>#N/A</v>
      </c>
      <c r="NC13" s="151" t="e">
        <f>INDEX('Tables - Part 3'!DS$5:DS$32,MATCH($E13,'Tables - Part 3'!$DP$5:$DP$32,0))</f>
        <v>#N/A</v>
      </c>
      <c r="ND13" s="151" t="e">
        <f>INDEX('Tables - Part 3'!DT$5:DT$32,MATCH($E13,'Tables - Part 3'!$DP$5:$DP$32,0))</f>
        <v>#N/A</v>
      </c>
      <c r="NE13" s="151" t="e">
        <f>IF(W13='Tables - Part 3'!$DV$44,COF!X13,IF(OR(COF!X13&lt;&gt;0,COF!X13&lt;&gt;""),COF!X13,INDEX('Tables - Part 3'!$DW$4:$DW$43,MATCH(COF!W13,'Tables - Part 3'!$DV$4:$DV$43,0))))</f>
        <v>#N/A</v>
      </c>
      <c r="NF13" s="151">
        <f t="shared" si="110"/>
        <v>1</v>
      </c>
      <c r="NG13" s="151" t="e">
        <f t="shared" si="225"/>
        <v>#N/A</v>
      </c>
      <c r="NH13" s="151">
        <f t="shared" si="111"/>
        <v>0</v>
      </c>
      <c r="NI13" s="151" t="e">
        <f>INDEX('Tables - Part 3'!EC$5:EC$31,MATCH(COF!$E13,'Tables - Part 3'!$EB$5:$EB$31,0))</f>
        <v>#N/A</v>
      </c>
      <c r="NJ13" s="151" t="e">
        <f>INDEX('Tables - Part 3'!ED$5:ED$31,MATCH(COF!$E13,'Tables - Part 3'!$EB$5:$EB$31,0))</f>
        <v>#N/A</v>
      </c>
      <c r="NK13" s="151" t="e">
        <f>INDEX('Tables - Part 3'!EE$5:EE$31,MATCH(COF!$E13,'Tables - Part 3'!$EB$5:$EB$31,0))</f>
        <v>#N/A</v>
      </c>
      <c r="NL13" s="151" t="e">
        <f>INDEX('Tables - Part 3'!EF$5:EF$31,MATCH(COF!$E13,'Tables - Part 3'!$EB$5:$EB$31,0))</f>
        <v>#N/A</v>
      </c>
      <c r="NM13" s="151">
        <f t="shared" si="112"/>
        <v>1</v>
      </c>
      <c r="NN13" s="151" t="e">
        <f t="shared" si="226"/>
        <v>#N/A</v>
      </c>
      <c r="NO13" s="151" t="e">
        <f t="shared" si="227"/>
        <v>#NUM!</v>
      </c>
      <c r="NP13" s="151" t="e">
        <f t="shared" si="113"/>
        <v>#N/A</v>
      </c>
      <c r="NQ13" s="151">
        <f t="shared" si="114"/>
        <v>0</v>
      </c>
      <c r="NR13" s="151" t="e">
        <f>INDEX('Tables - Part 3'!$EL$4:$EL$37,MATCH(COF!F13,'Tables - Part 3'!$EH$4:$EH$37,0))</f>
        <v>#N/A</v>
      </c>
      <c r="NS13" s="151" t="e">
        <f>CR13*(1-$NR13)*'Tables - Part 3.B'!$C$15/COF!$AS13</f>
        <v>#N/A</v>
      </c>
      <c r="NT13" s="151" t="e">
        <f>CS13*(1-$NR13)*'Tables - Part 3.B'!$C$15/COF!$AS13</f>
        <v>#N/A</v>
      </c>
      <c r="NU13" s="151" t="e">
        <f>CT13*(1-$NR13)*'Tables - Part 3.B'!$C$15/COF!$AS13</f>
        <v>#N/A</v>
      </c>
      <c r="NV13" s="151" t="e">
        <f>CU13*(1-$NR13)*'Tables - Part 3.B'!$C$15/COF!$AS13</f>
        <v>#N/A</v>
      </c>
      <c r="NW13" s="151" t="e">
        <f t="shared" si="115"/>
        <v>#N/A</v>
      </c>
      <c r="NX13" s="542">
        <f t="shared" si="116"/>
        <v>0</v>
      </c>
      <c r="NY13" s="156" t="e">
        <f>0.61*$ON13*$AS13*(BM13/'Tables - Part 3.B'!$C$4)*SQRT((2*$TM$13*($OO13-$TM$5)/$AS13))</f>
        <v>#N/A</v>
      </c>
      <c r="NZ13" s="155" t="e">
        <f>0.61*$ON13*$AS13*(BN13/'Tables - Part 3.B'!$C$4)*SQRT((2*$TM$13*($OO13-$TM$5)/$AS13))</f>
        <v>#N/A</v>
      </c>
      <c r="OA13" s="155" t="e">
        <f>0.61*$ON13*$AS13*(BO13/'Tables - Part 3.B'!$C$4)*SQRT((2*$TM$13*($OO13-$TM$5)/$AS13))</f>
        <v>#N/A</v>
      </c>
      <c r="OB13" s="155" t="e">
        <f>0.61*$ON13*$AS13*(BP13/'Tables - Part 3.B'!$C$4)*SQRT((2*$TM$13*($OO13-$TM$5)/$AS13))</f>
        <v>#N/A</v>
      </c>
      <c r="OC13" s="155" t="e">
        <f>0.61*$ON13*AS13*(32450/'Tables - Part 3.B'!$C$4)*SQRT((2*$TM$13*(OO13-$TM$5)/AS13))</f>
        <v>#N/A</v>
      </c>
      <c r="OD13" s="156" t="e">
        <f>(0.9/'Tables - Part 3.B'!$C$5)*BM13*$OO13*SQRT(($AV13*$AU13*$TM$13/(8.314*$OP13))*POWER(2/($AV13+1),(($AV13+1)/($AV13-1))))</f>
        <v>#VALUE!</v>
      </c>
      <c r="OE13" s="156" t="e">
        <f>(0.9/'Tables - Part 3.B'!$C$5)*BN13*$OO13*SQRT(($AV13*$AU13*$TM$13/(8.314*$OP13))*POWER(2/($AV13+1),(($AV13+1)/($AV13-1))))</f>
        <v>#VALUE!</v>
      </c>
      <c r="OF13" s="156" t="e">
        <f>(0.9/'Tables - Part 3.B'!$C$5)*BO13*$OO13*SQRT(($AV13*$AU13*$TM$13/(8.314*$OP13))*POWER(2/($AV13+1),(($AV13+1)/($AV13-1))))</f>
        <v>#VALUE!</v>
      </c>
      <c r="OG13" s="156" t="e">
        <f>(0.9/'Tables - Part 3.B'!$C$5)*BP13*$OO13*SQRT(($AV13*$AU13*$TM$13/(8.314*$OP13))*POWER(2/($AV13+1),(($AV13+1)/($AV13-1))))</f>
        <v>#VALUE!</v>
      </c>
      <c r="OH13" s="156" t="e">
        <f>(0.9/'Tables - Part 3.B'!$C$5)*32450*$OO13*SQRT(($AV13*$AU13*$TM$13/(8.314*$OP13))*POWER(2/($AV13+1),(($AV13+1)/($AV13-1))))</f>
        <v>#VALUE!</v>
      </c>
      <c r="OI13" s="156" t="e">
        <f>(0.9/'Tables - Part 3.B'!$C$5)*BM13*$OO13*SQRT((($AU13*$TM$13)/(8.314*$OP13))*((2*$AV13)/($AV13-1))*POWER(($TM$5/$OO13),(2/$AV13))*(1-POWER(($TM$5/$OO13),(($AV13-1)/$AV13))))</f>
        <v>#VALUE!</v>
      </c>
      <c r="OJ13" s="156" t="e">
        <f>(0.9/'Tables - Part 3.B'!$C$5)*BN13*$OO13*SQRT((($AU13*$TM$13)/(8.314*$OP13))*((2*$AV13)/($AV13-1))*POWER(($TM$5/$OO13),(2/$AV13))*(1-POWER(($TM$5/$OO13),(($AV13-1)/$AV13))))</f>
        <v>#VALUE!</v>
      </c>
      <c r="OK13" s="156" t="e">
        <f>(0.9/'Tables - Part 3.B'!$C$5)*BO13*$OO13*SQRT((($AU13*$TM$13)/(8.314*$OP13))*((2*$AV13)/($AV13-1))*POWER(($TM$5/$OO13),(2/$AV13))*(1-POWER(($TM$5/$OO13),(($AV13-1)/$AV13))))</f>
        <v>#VALUE!</v>
      </c>
      <c r="OL13" s="156" t="e">
        <f>(0.9/'Tables - Part 3.B'!$C$5)*BP13*$OO13*SQRT((($AU13*$TM$13)/(8.314*$OP13))*((2*$AV13)/($AV13-1))*POWER(($TM$5/$OO13),(2/$AV13))*(1-POWER(($TM$5/$OO13),(($AV13-1)/$AV13))))</f>
        <v>#VALUE!</v>
      </c>
      <c r="OM13" s="156" t="e">
        <f>(0.9/'Tables - Part 3.B'!$C$5)*32450*$OO13*SQRT((($AU13*$TM$13)/(8.314*$OP13))*((2*$AV13)/($AV13-1))*POWER(($TM$5/$OO13),(2/$AV13))*(1-POWER(($TM$5/$OO13),(($AV13-1)/$AV13))))</f>
        <v>#VALUE!</v>
      </c>
      <c r="ON13" s="156">
        <f t="shared" si="117"/>
        <v>1</v>
      </c>
      <c r="OO13" s="157" t="str">
        <f t="shared" si="118"/>
        <v/>
      </c>
      <c r="OP13" s="157" t="str">
        <f t="shared" si="119"/>
        <v/>
      </c>
      <c r="OQ13" s="158" t="e">
        <f t="shared" si="228"/>
        <v>#N/A</v>
      </c>
      <c r="OR13" s="158" t="e">
        <f>INDEX('Tables - Part 3'!$F$4:$R$35,MATCH(COF!$F13,'Tables - Part 3'!$F$4:$F$35,0),COUNTA('Tables - Part 3'!$F$3:$K$3))</f>
        <v>#N/A</v>
      </c>
      <c r="OS13" s="158" t="e">
        <f t="shared" si="229"/>
        <v>#N/A</v>
      </c>
      <c r="OT13" s="158" t="e">
        <f t="shared" si="230"/>
        <v>#N/A</v>
      </c>
      <c r="OU13" s="158" t="e">
        <f t="shared" si="231"/>
        <v>#N/A</v>
      </c>
      <c r="OV13" s="159" t="e">
        <f>INDEX('Tables - Part 3'!$M$4:$Q$35,MATCH(COF!$F13,'Tables - Part 3'!$F$4:$F$35,0),COUNTA('Tables - Part 3'!$M$3))</f>
        <v>#N/A</v>
      </c>
      <c r="OW13" s="159" t="e">
        <f>INDEX('Tables - Part 3'!$M$4:$Q$35,MATCH(COF!$F13,'Tables - Part 3'!$F$4:$F$35,0),COUNTA('Tables - Part 3'!$M$3:$N$3))</f>
        <v>#N/A</v>
      </c>
      <c r="OX13" s="159" t="e">
        <f>INDEX('Tables - Part 3'!$M$4:$Q$35,MATCH(COF!$F13,'Tables - Part 3'!$F$4:$F$35,0),COUNTA('Tables - Part 3'!$M$3:$O$3))</f>
        <v>#N/A</v>
      </c>
      <c r="OY13" s="159" t="e">
        <f>INDEX('Tables - Part 3'!$M$4:$Q$35,MATCH(COF!$F13,'Tables - Part 3'!$F$4:$F$35,0),COUNTA('Tables - Part 3'!$M$3:$P$3))</f>
        <v>#N/A</v>
      </c>
      <c r="OZ13" s="160" t="e">
        <f>INDEX('Tables - Part 3'!$M$4:$Q$35,MATCH(COF!$F13,'Tables - Part 3'!$F$4:$F$35,0),COUNTA('Tables - Part 3'!$M$3:$Q$3))</f>
        <v>#N/A</v>
      </c>
      <c r="PA13" s="162" t="e">
        <f>INDEX('Tables - Part 3'!$I$4:$I$35,MATCH(COF!$F13,'Tables - Part 3'!$F$4:$F$35,0))</f>
        <v>#N/A</v>
      </c>
      <c r="PB13" s="158" t="e">
        <f t="shared" si="120"/>
        <v>#N/A</v>
      </c>
      <c r="PC13" s="158" t="str">
        <f t="shared" si="121"/>
        <v/>
      </c>
      <c r="PD13" s="158" t="e">
        <f>INDEX('Tables - Part 3'!AW$7:AW$31,MATCH(COF!$F13,'Tables - Part 3'!$AU$7:$AU$31,0),1)</f>
        <v>#N/A</v>
      </c>
      <c r="PE13" s="158" t="e">
        <f>INDEX('Tables - Part 3'!AX$7:AX$31,MATCH(COF!$F13,'Tables - Part 3'!$AU$7:$AU$31,0),1)</f>
        <v>#N/A</v>
      </c>
      <c r="PF13" s="158" t="e">
        <f>INDEX('Tables - Part 3'!AY$7:AY$31,MATCH(COF!$F13,'Tables - Part 3'!$AU$7:$AU$31,0),1)</f>
        <v>#N/A</v>
      </c>
      <c r="PG13" s="158" t="e">
        <f>INDEX('Tables - Part 3'!AZ$7:AZ$31,MATCH(COF!$F13,'Tables - Part 3'!$AU$7:$AU$31,0),1)</f>
        <v>#N/A</v>
      </c>
      <c r="PH13" s="158" t="e">
        <f>INDEX('Tables - Part 3'!BA$7:BA$31,MATCH(COF!$F13,'Tables - Part 3'!$AU$7:$AU$31,0),1)</f>
        <v>#N/A</v>
      </c>
      <c r="PI13" s="158" t="e">
        <f>INDEX('Tables - Part 3'!BB$7:BB$31,MATCH(COF!$F13,'Tables - Part 3'!$AU$7:$AU$31,0),1)</f>
        <v>#N/A</v>
      </c>
      <c r="PJ13" s="158" t="e">
        <f>INDEX('Tables - Part 3'!BC$7:BC$31,MATCH(COF!$F13,'Tables - Part 3'!$AU$7:$AU$31,0),1)</f>
        <v>#N/A</v>
      </c>
      <c r="PK13" s="158" t="e">
        <f>INDEX('Tables - Part 3'!BD$7:BD$31,MATCH(COF!$F13,'Tables - Part 3'!$AU$7:$AU$31,0),1)</f>
        <v>#N/A</v>
      </c>
      <c r="PL13" s="158" t="e">
        <f>INDEX('Tables - Part 3'!BE$7:BE$31,MATCH(COF!$F13,'Tables - Part 3'!$AU$7:$AU$31,0),1)</f>
        <v>#N/A</v>
      </c>
      <c r="PM13" s="158" t="e">
        <f>INDEX('Tables - Part 3'!BF$7:BF$31,MATCH(COF!$F13,'Tables - Part 3'!$AU$7:$AU$31,0),1)</f>
        <v>#N/A</v>
      </c>
      <c r="PN13" s="158" t="e">
        <f>INDEX('Tables - Part 3'!BG$7:BG$31,MATCH(COF!$F13,'Tables - Part 3'!$AU$7:$AU$31,0),1)</f>
        <v>#N/A</v>
      </c>
      <c r="PO13" s="158" t="e">
        <f>INDEX('Tables - Part 3'!BH$7:BH$31,MATCH(COF!$F13,'Tables - Part 3'!$AU$7:$AU$31,0),1)</f>
        <v>#N/A</v>
      </c>
      <c r="PP13" s="158" t="e">
        <f>INDEX('Tables - Part 3'!BI$7:BI$31,MATCH(COF!$F13,'Tables - Part 3'!$AU$7:$AU$31,0),1)</f>
        <v>#N/A</v>
      </c>
      <c r="PQ13" s="158" t="e">
        <f>INDEX('Tables - Part 3'!BJ$7:BJ$31,MATCH(COF!$F13,'Tables - Part 3'!$AU$7:$AU$31,0),1)</f>
        <v>#N/A</v>
      </c>
      <c r="PR13" s="158" t="e">
        <f>INDEX('Tables - Part 3'!BK$7:BK$31,MATCH(COF!$F13,'Tables - Part 3'!$AU$7:$AU$31,0),1)</f>
        <v>#N/A</v>
      </c>
      <c r="PS13" s="158" t="e">
        <f>INDEX('Tables - Part 3'!BL$7:BL$31,MATCH(COF!$F13,'Tables - Part 3'!$AU$7:$AU$31,0),1)</f>
        <v>#N/A</v>
      </c>
      <c r="PT13" s="158" t="e">
        <f>INDEX('Tables - Part 3'!BP$7:BP$31,MATCH(COF!$F13,'Tables - Part 3'!$AU$7:$AU$31,0),1)</f>
        <v>#N/A</v>
      </c>
      <c r="PU13" s="158" t="e">
        <f>INDEX('Tables - Part 3'!BQ$7:BQ$31,MATCH(COF!$F13,'Tables - Part 3'!$AU$7:$AU$31,0),1)</f>
        <v>#N/A</v>
      </c>
      <c r="PV13" s="158" t="e">
        <f>INDEX('Tables - Part 3'!BR$7:BR$31,MATCH(COF!$F13,'Tables - Part 3'!$AU$7:$AU$31,0),1)</f>
        <v>#N/A</v>
      </c>
      <c r="PW13" s="158" t="e">
        <f>INDEX('Tables - Part 3'!BS$7:BS$31,MATCH(COF!$F13,'Tables - Part 3'!$AU$7:$AU$31,0),1)</f>
        <v>#N/A</v>
      </c>
      <c r="PX13" s="158" t="e">
        <f>INDEX('Tables - Part 3'!BT$7:BT$31,MATCH(COF!$F13,'Tables - Part 3'!$AU$7:$AU$31,0),1)</f>
        <v>#N/A</v>
      </c>
      <c r="PY13" s="158" t="e">
        <f>INDEX('Tables - Part 3'!BU$7:BU$31,MATCH(COF!$F13,'Tables - Part 3'!$AU$7:$AU$31,0),1)</f>
        <v>#N/A</v>
      </c>
      <c r="PZ13" s="158" t="e">
        <f>INDEX('Tables - Part 3'!BV$7:BV$31,MATCH(COF!$F13,'Tables - Part 3'!$AU$7:$AU$31,0),1)</f>
        <v>#N/A</v>
      </c>
      <c r="QA13" s="158" t="e">
        <f>INDEX('Tables - Part 3'!BW$7:BW$31,MATCH(COF!$F13,'Tables - Part 3'!$AU$7:$AU$31,0),1)</f>
        <v>#N/A</v>
      </c>
      <c r="QB13" s="158" t="e">
        <f>INDEX('Tables - Part 3'!BX$7:BX$31,MATCH(COF!$F13,'Tables - Part 3'!$AU$7:$AU$31,0),1)</f>
        <v>#N/A</v>
      </c>
      <c r="QC13" s="158" t="e">
        <f>INDEX('Tables - Part 3'!BY$7:BY$31,MATCH(COF!$F13,'Tables - Part 3'!$AU$7:$AU$31,0),1)</f>
        <v>#N/A</v>
      </c>
      <c r="QD13" s="158" t="e">
        <f>INDEX('Tables - Part 3'!BZ$7:BZ$31,MATCH(COF!$F13,'Tables - Part 3'!$AU$7:$AU$31,0),1)</f>
        <v>#N/A</v>
      </c>
      <c r="QE13" s="158" t="e">
        <f>INDEX('Tables - Part 3'!CA$7:CA$31,MATCH(COF!$F13,'Tables - Part 3'!$AU$7:$AU$31,0),1)</f>
        <v>#N/A</v>
      </c>
      <c r="QF13" s="158" t="e">
        <f>INDEX('Tables - Part 3'!CB$7:CB$31,MATCH(COF!$F13,'Tables - Part 3'!$AU$7:$AU$31,0),1)</f>
        <v>#N/A</v>
      </c>
      <c r="QG13" s="158" t="e">
        <f>INDEX('Tables - Part 3'!CC$7:CC$31,MATCH(COF!$F13,'Tables - Part 3'!$AU$7:$AU$31,0),1)</f>
        <v>#N/A</v>
      </c>
      <c r="QH13" s="158" t="e">
        <f>INDEX('Tables - Part 3'!CD$7:CD$31,MATCH(COF!$F13,'Tables - Part 3'!$AU$7:$AU$31,0),1)</f>
        <v>#N/A</v>
      </c>
      <c r="QI13" s="158" t="e">
        <f>INDEX('Tables - Part 3'!CE$7:CE$31,MATCH(COF!$F13,'Tables - Part 3'!$AU$7:$AU$31,0),1)</f>
        <v>#N/A</v>
      </c>
      <c r="QJ13" s="151">
        <f>'Tables - Part 5'!$R$4</f>
        <v>3.1749999999999998</v>
      </c>
      <c r="QK13" s="151">
        <f>'Tables - Part 5'!$R$5</f>
        <v>6.35</v>
      </c>
      <c r="QL13" s="151">
        <f>'Tables - Part 5'!$R$6</f>
        <v>50.8</v>
      </c>
      <c r="QM13" s="151">
        <f t="shared" si="122"/>
        <v>0</v>
      </c>
      <c r="QN13" s="151">
        <f t="shared" si="232"/>
        <v>7.9173043608984015</v>
      </c>
      <c r="QO13" s="151">
        <f t="shared" si="233"/>
        <v>31.669217443593606</v>
      </c>
      <c r="QP13" s="151">
        <f t="shared" si="234"/>
        <v>2026.8299163899908</v>
      </c>
      <c r="QQ13" s="151">
        <f t="shared" si="235"/>
        <v>0</v>
      </c>
      <c r="QR13" s="151">
        <f t="shared" si="236"/>
        <v>0</v>
      </c>
      <c r="QS13" s="151">
        <f>'Tables - Part 3.B'!$C$34*0.61*QN13*SQRT(2*$TM$15*QR13)</f>
        <v>0</v>
      </c>
      <c r="QT13" s="151">
        <f>'Tables - Part 3.B'!$C$34*0.61*QO13*SQRT(2*$TM$15*QS13)</f>
        <v>0</v>
      </c>
      <c r="QU13" s="151">
        <f>'Tables - Part 3.B'!$C$34*0.61*QP13*SQRT(2*$TM$15*QT13)</f>
        <v>0</v>
      </c>
      <c r="QV13" s="151">
        <f>'Tables - Part 3.B'!$C$34*0.61*QQ13*SQRT(2*$TM$15*QU13)</f>
        <v>0</v>
      </c>
      <c r="QW13" s="151">
        <f t="shared" si="237"/>
        <v>0</v>
      </c>
      <c r="QX13" s="151">
        <f t="shared" si="238"/>
        <v>0</v>
      </c>
      <c r="QY13" s="151">
        <f t="shared" si="239"/>
        <v>0</v>
      </c>
      <c r="QZ13" s="151">
        <f t="shared" si="240"/>
        <v>0</v>
      </c>
      <c r="RA13" s="151">
        <f t="shared" si="241"/>
        <v>0</v>
      </c>
      <c r="RB13" s="151">
        <f>QX13*'Tables - Part 3.B'!$C$15</f>
        <v>0</v>
      </c>
      <c r="RC13" s="151">
        <f>QY13*'Tables - Part 3.B'!$C$15</f>
        <v>0</v>
      </c>
      <c r="RD13" s="151">
        <f>QZ13*'Tables - Part 3.B'!$C$15</f>
        <v>0</v>
      </c>
      <c r="RE13" s="151">
        <f>RA13*'Tables - Part 3.B'!$C$15</f>
        <v>0</v>
      </c>
      <c r="RF13" s="151" t="e">
        <f t="shared" si="242"/>
        <v>#N/A</v>
      </c>
      <c r="RG13" s="151" t="e">
        <f t="shared" si="243"/>
        <v>#N/A</v>
      </c>
      <c r="RH13" s="151" t="e">
        <f t="shared" si="244"/>
        <v>#N/A</v>
      </c>
      <c r="RI13" s="151" t="e">
        <f t="shared" si="245"/>
        <v>#N/A</v>
      </c>
      <c r="RJ13" s="151">
        <f t="shared" si="246"/>
        <v>0</v>
      </c>
      <c r="RK13" s="151">
        <f t="shared" si="247"/>
        <v>0</v>
      </c>
      <c r="RL13" s="151">
        <f t="shared" si="248"/>
        <v>0</v>
      </c>
      <c r="RM13" s="151">
        <f t="shared" si="249"/>
        <v>0</v>
      </c>
      <c r="RN13" s="151">
        <v>7</v>
      </c>
      <c r="RO13" s="151">
        <v>1</v>
      </c>
      <c r="RP13" s="151">
        <v>1</v>
      </c>
      <c r="RQ13" s="151">
        <v>1</v>
      </c>
      <c r="RR13" s="151" t="e">
        <f t="shared" si="250"/>
        <v>#DIV/0!</v>
      </c>
      <c r="RS13" s="151" t="e">
        <f t="shared" si="251"/>
        <v>#DIV/0!</v>
      </c>
      <c r="RT13" s="151" t="e">
        <f t="shared" si="252"/>
        <v>#DIV/0!</v>
      </c>
      <c r="RU13" s="151" t="e">
        <f t="shared" si="253"/>
        <v>#DIV/0!</v>
      </c>
      <c r="RV13" s="151" t="e">
        <f t="shared" si="254"/>
        <v>#DIV/0!</v>
      </c>
      <c r="RW13" s="151" t="e">
        <f t="shared" si="255"/>
        <v>#DIV/0!</v>
      </c>
      <c r="RX13" s="151" t="e">
        <f t="shared" si="256"/>
        <v>#DIV/0!</v>
      </c>
      <c r="RY13" s="151" t="e">
        <f t="shared" si="257"/>
        <v>#DIV/0!</v>
      </c>
      <c r="RZ13" s="151" t="e">
        <f t="shared" si="258"/>
        <v>#DIV/0!</v>
      </c>
      <c r="SA13" s="151" t="e">
        <f t="shared" si="259"/>
        <v>#DIV/0!</v>
      </c>
      <c r="SB13" s="151" t="e">
        <f t="shared" si="260"/>
        <v>#DIV/0!</v>
      </c>
      <c r="SC13" s="151" t="e">
        <f t="shared" si="261"/>
        <v>#DIV/0!</v>
      </c>
      <c r="SD13" s="151">
        <f t="shared" si="262"/>
        <v>0</v>
      </c>
      <c r="SE13" s="151">
        <f t="shared" si="263"/>
        <v>0</v>
      </c>
      <c r="SF13" s="151">
        <f t="shared" si="264"/>
        <v>0</v>
      </c>
      <c r="SG13" s="151">
        <f t="shared" si="265"/>
        <v>0</v>
      </c>
      <c r="SH13" s="151">
        <f t="shared" si="266"/>
        <v>0</v>
      </c>
      <c r="SI13" s="151">
        <f t="shared" si="267"/>
        <v>0</v>
      </c>
      <c r="SJ13" s="151">
        <f t="shared" si="268"/>
        <v>0</v>
      </c>
      <c r="SK13" s="151">
        <f t="shared" si="269"/>
        <v>0</v>
      </c>
      <c r="SL13" s="542"/>
      <c r="SM13" s="542"/>
      <c r="SN13" s="542"/>
      <c r="SO13" s="151"/>
      <c r="SP13" s="151"/>
      <c r="SQ13" s="151"/>
      <c r="SR13" s="151"/>
      <c r="SS13" s="151"/>
      <c r="ST13" s="151"/>
      <c r="SU13" s="151"/>
      <c r="SV13" s="151"/>
      <c r="SW13" s="151"/>
      <c r="SX13" s="151"/>
      <c r="SY13" s="151"/>
      <c r="SZ13" s="151"/>
      <c r="TA13" s="151"/>
      <c r="TB13" s="151"/>
      <c r="TC13" s="151"/>
      <c r="TD13" s="151"/>
      <c r="TE13" s="542"/>
      <c r="TJ13" s="19" t="s">
        <v>28</v>
      </c>
      <c r="TK13" s="158"/>
      <c r="TL13" s="206" t="s">
        <v>277</v>
      </c>
      <c r="TM13" s="206">
        <v>1</v>
      </c>
      <c r="TN13" s="158"/>
      <c r="TO13" s="158"/>
      <c r="TQ13" s="155" t="s">
        <v>40</v>
      </c>
    </row>
    <row r="14" spans="2:537" x14ac:dyDescent="0.35">
      <c r="B14" s="161"/>
      <c r="C14" s="161"/>
      <c r="D14" s="161"/>
      <c r="E14" s="161"/>
      <c r="F14" s="666"/>
      <c r="G14" s="161"/>
      <c r="H14" s="537"/>
      <c r="I14" s="161"/>
      <c r="J14" s="161"/>
      <c r="K14" s="161"/>
      <c r="L14" s="161"/>
      <c r="M14" s="161"/>
      <c r="N14" s="161"/>
      <c r="O14" s="161"/>
      <c r="P14" s="161"/>
      <c r="Q14" s="161"/>
      <c r="R14" s="161"/>
      <c r="S14" s="667"/>
      <c r="T14" s="161"/>
      <c r="U14" s="161"/>
      <c r="V14" s="161"/>
      <c r="W14" s="161"/>
      <c r="X14" s="537"/>
      <c r="Y14" s="537"/>
      <c r="Z14" s="399"/>
      <c r="AA14" s="537"/>
      <c r="AB14" s="399"/>
      <c r="AC14" s="399"/>
      <c r="AD14" s="399"/>
      <c r="AE14" s="399"/>
      <c r="AF14" s="399"/>
      <c r="AG14" s="399"/>
      <c r="AH14" s="399"/>
      <c r="AI14" s="399"/>
      <c r="AJ14" s="399"/>
      <c r="AK14" s="399"/>
      <c r="AL14" s="399"/>
      <c r="AM14" s="399"/>
      <c r="AN14" s="399"/>
      <c r="AO14" s="399"/>
      <c r="AP14" s="399"/>
      <c r="AQ14" s="151" t="e">
        <f>INDEX('Tables - Part 3'!$J$4:$J$35,MATCH(COF!$F14,'Tables - Part 3'!$F$4:$F$35,0),1)</f>
        <v>#N/A</v>
      </c>
      <c r="AR14" s="151" t="e">
        <f>IF($G14=$TH$7,'Tables - Part 3'!$W$4,IF(AND($AQ14=$TH$7,COF!$PA14&lt;26.67),'Tables - Part 3'!$W$4,'Tables - Part 3'!$W$7))</f>
        <v>#N/A</v>
      </c>
      <c r="AS14" s="150" t="e">
        <f>INDEX('Tables - Part 3'!$F$4:$R$35,MATCH(COF!$F14,'Tables - Part 3'!$F$4:$F$35,0),COUNTA('Tables - Part 3'!$F$3:$H$3))</f>
        <v>#N/A</v>
      </c>
      <c r="AT14" s="279" t="e">
        <f t="shared" si="6"/>
        <v>#VALUE!</v>
      </c>
      <c r="AU14" s="151" t="e">
        <f>INDEX('Tables - Part 3'!$F$4:$R$35,MATCH(COF!$F14,'Tables - Part 3'!$F$4:$F$35,0),COUNTA('Tables - Part 3'!$F$3:$G$3))</f>
        <v>#N/A</v>
      </c>
      <c r="AV14" s="151" t="e">
        <f t="shared" si="131"/>
        <v>#N/A</v>
      </c>
      <c r="AW14" s="151" t="e">
        <f t="shared" si="7"/>
        <v>#N/A</v>
      </c>
      <c r="AX14" s="151" t="e">
        <f>INDEX('Tables - Part 3'!$F$4:$R$35,MATCH(COF!$F14,'Tables - Part 3'!$F$4:$F$35,0),COUNTA('Tables - Part 3'!$F$3:$R$3))+273.15</f>
        <v>#N/A</v>
      </c>
      <c r="AY14" s="151">
        <f t="shared" si="8"/>
        <v>0</v>
      </c>
      <c r="AZ14" s="151" t="e">
        <f t="shared" si="9"/>
        <v>#N/A</v>
      </c>
      <c r="BA14" s="151" t="e">
        <f t="shared" si="132"/>
        <v>#N/A</v>
      </c>
      <c r="BB14" s="151" t="e">
        <f t="shared" si="133"/>
        <v>#N/A</v>
      </c>
      <c r="BC14" s="151" t="e">
        <f t="shared" si="134"/>
        <v>#N/A</v>
      </c>
      <c r="BD14" s="151" t="e">
        <f t="shared" si="135"/>
        <v>#N/A</v>
      </c>
      <c r="BE14" s="151" t="e">
        <f t="shared" si="10"/>
        <v>#N/A</v>
      </c>
      <c r="BF14" s="151" t="e">
        <f t="shared" si="11"/>
        <v>#N/A</v>
      </c>
      <c r="BG14" s="151" t="e">
        <f t="shared" si="12"/>
        <v>#N/A</v>
      </c>
      <c r="BH14" s="151" t="e">
        <f t="shared" si="13"/>
        <v>#N/A</v>
      </c>
      <c r="BI14" s="151">
        <f>'Tables - Part 3'!$AD$4</f>
        <v>6.4</v>
      </c>
      <c r="BJ14" s="151">
        <f>MIN(O14,'Tables - Part 3'!$AD$5)</f>
        <v>25</v>
      </c>
      <c r="BK14" s="151">
        <f>MIN(O14,'Tables - Part 3'!$AD$6)</f>
        <v>102</v>
      </c>
      <c r="BL14" s="151">
        <f>MIN(O14,'Tables - Part 3'!$AD$7)</f>
        <v>406</v>
      </c>
      <c r="BM14" s="151">
        <f t="shared" si="136"/>
        <v>32.169908772759484</v>
      </c>
      <c r="BN14" s="151">
        <f t="shared" si="137"/>
        <v>490.87385212340519</v>
      </c>
      <c r="BO14" s="151">
        <f t="shared" si="138"/>
        <v>8171.2824919870518</v>
      </c>
      <c r="BP14" s="151">
        <f t="shared" si="139"/>
        <v>129461.89166178179</v>
      </c>
      <c r="BQ14" s="151" t="e">
        <f>INDEX('Tables - Part 2'!$D$5:$G$30,MATCH(COF!$E14,'Tables - Part 2'!$C$5:$C$30,0),1)</f>
        <v>#N/A</v>
      </c>
      <c r="BR14" s="571" t="e">
        <f>INDEX('Tables - Part 2'!$D$5:$G$30,MATCH(COF!$E14,'Tables - Part 2'!$C$5:$C$30,0),2)</f>
        <v>#N/A</v>
      </c>
      <c r="BS14" s="571" t="e">
        <f>INDEX('Tables - Part 2'!$D$5:$G$30,MATCH(COF!$E14,'Tables - Part 2'!$C$5:$C$30,0),3)</f>
        <v>#N/A</v>
      </c>
      <c r="BT14" s="151" t="e">
        <f>INDEX('Tables - Part 2'!$D$5:$G$30,MATCH(COF!$E14,'Tables - Part 2'!$C$5:$C$30,0),4)</f>
        <v>#N/A</v>
      </c>
      <c r="BU14" s="151" t="e">
        <f t="shared" si="140"/>
        <v>#N/A</v>
      </c>
      <c r="BV14" s="151" t="e">
        <f t="shared" si="141"/>
        <v>#N/A</v>
      </c>
      <c r="BW14" s="151" t="e">
        <f t="shared" si="142"/>
        <v>#N/A</v>
      </c>
      <c r="BX14" s="151" t="e">
        <f t="shared" si="143"/>
        <v>#N/A</v>
      </c>
      <c r="BY14" s="502" t="e">
        <f t="shared" si="144"/>
        <v>#N/A</v>
      </c>
      <c r="BZ14" s="502" t="e">
        <f t="shared" si="145"/>
        <v>#N/A</v>
      </c>
      <c r="CA14" s="151" t="e">
        <f>IF(OR(BI14&lt;='Tables - Part 3'!$AD$4,BE14&lt;='Tables - Part 3.B'!$C$6,BV14&lt;=25.22),COF!$TK$6,COF!$TK$5)</f>
        <v>#N/A</v>
      </c>
      <c r="CB14" s="151" t="e">
        <f>IF(OR(BJ14&lt;='Tables - Part 3'!$AD$4,BF14&lt;='Tables - Part 3.B'!$C$6,BW14&lt;=25.22),COF!$TK$6,COF!$TK$5)</f>
        <v>#N/A</v>
      </c>
      <c r="CC14" s="151" t="e">
        <f>IF(OR(BK14&lt;='Tables - Part 3'!$AD$4,BG14&lt;='Tables - Part 3.B'!$C$6,BX14&lt;=25.22),COF!$TK$6,COF!$TK$5)</f>
        <v>#N/A</v>
      </c>
      <c r="CD14" s="151" t="e">
        <f>IF(OR(BL14&lt;='Tables - Part 3'!$AD$4,BH14&lt;='Tables - Part 3.B'!$C$6,BY14&lt;=25.22),COF!$TK$6,COF!$TK$5)</f>
        <v>#N/A</v>
      </c>
      <c r="CE14" s="151" t="str">
        <f t="shared" si="146"/>
        <v/>
      </c>
      <c r="CF14" s="151" t="e">
        <f>INDEX('Tables - Part 3'!$AR$4:$AR$12,MATCH(COF!$PC14,'Tables - Part 3'!$AP$4:$AP$12,0),1)</f>
        <v>#N/A</v>
      </c>
      <c r="CG14" s="151" t="e">
        <f>INDEX('Tables - Part 3'!$AR$13:$AR$21,MATCH(COF!$PC14,'Tables - Part 3'!$AP$13:$AP$21,0),1)</f>
        <v>#N/A</v>
      </c>
      <c r="CH14" s="151" t="e">
        <f>INDEX('Tables - Part 3'!$AR$22:$AR$30,MATCH(COF!$PC14,'Tables - Part 3'!$AP$22:$AP$30,0),1)</f>
        <v>#N/A</v>
      </c>
      <c r="CI14" s="151" t="e">
        <f>INDEX('Tables - Part 3'!$AR$22:$AR$30,MATCH(COF!$PC14,'Tables - Part 3'!$AP$22:$AP$30,0),1)</f>
        <v>#N/A</v>
      </c>
      <c r="CJ14" s="151" t="e">
        <f t="shared" si="147"/>
        <v>#N/A</v>
      </c>
      <c r="CK14" s="151" t="e">
        <f t="shared" si="148"/>
        <v>#N/A</v>
      </c>
      <c r="CL14" s="151" t="e">
        <f t="shared" si="149"/>
        <v>#N/A</v>
      </c>
      <c r="CM14" s="151" t="e">
        <f t="shared" si="150"/>
        <v>#N/A</v>
      </c>
      <c r="CN14" s="151" t="e">
        <f t="shared" si="151"/>
        <v>#N/A</v>
      </c>
      <c r="CO14" s="151" t="e">
        <f t="shared" si="152"/>
        <v>#N/A</v>
      </c>
      <c r="CP14" s="151" t="e">
        <f t="shared" si="153"/>
        <v>#N/A</v>
      </c>
      <c r="CQ14" s="151" t="e">
        <f t="shared" si="154"/>
        <v>#N/A</v>
      </c>
      <c r="CR14" s="151" t="e">
        <f t="shared" si="155"/>
        <v>#N/A</v>
      </c>
      <c r="CS14" s="151" t="e">
        <f t="shared" si="156"/>
        <v>#N/A</v>
      </c>
      <c r="CT14" s="151" t="e">
        <f t="shared" si="157"/>
        <v>#N/A</v>
      </c>
      <c r="CU14" s="151" t="e">
        <f t="shared" si="158"/>
        <v>#N/A</v>
      </c>
      <c r="CV14" s="151" t="e">
        <f>INDEX('Tables - Part 3'!$CI$4:$CI$8,MATCH(COF!V14,'Tables - Part 3'!$CG$4:$CG$8,0),1)</f>
        <v>#N/A</v>
      </c>
      <c r="CW14" s="502" t="e">
        <f>IF(CR14&gt;'Tables - Part 3.B'!$C$6,4*LOG10('Tables - Part 3.B'!$C$7*CR14)-15,1)</f>
        <v>#N/A</v>
      </c>
      <c r="CX14" s="502" t="e">
        <f>IF(CS14&gt;'Tables - Part 3.B'!$C$6,4*LOG10('Tables - Part 3.B'!$C$7*CS14)-15,1)</f>
        <v>#N/A</v>
      </c>
      <c r="CY14" s="502" t="e">
        <f>IF(CT14&gt;'Tables - Part 3.B'!$C$6,4*LOG10('Tables - Part 3.B'!$C$7*CT14)-15,1)</f>
        <v>#N/A</v>
      </c>
      <c r="CZ14" s="502" t="e">
        <f>IF(CU14&gt;'Tables - Part 3.B'!$C$6,4*LOG10('Tables - Part 3.B'!$C$7*CU14)-15,1)</f>
        <v>#N/A</v>
      </c>
      <c r="DA14" s="151" t="e">
        <f>INDEX('Tables - Part 3'!$C$4:$C$37,MATCH(COF!$F14,'Tables - Part 3'!$B$4:$B$37,0),1)</f>
        <v>#N/A</v>
      </c>
      <c r="DB14" s="151" t="e">
        <f t="shared" si="159"/>
        <v>#N/A</v>
      </c>
      <c r="DC14" s="151" t="e">
        <f t="shared" si="160"/>
        <v>#N/A</v>
      </c>
      <c r="DD14" s="151" t="e">
        <f t="shared" si="161"/>
        <v>#N/A</v>
      </c>
      <c r="DE14" s="151" t="e">
        <f t="shared" si="162"/>
        <v>#N/A</v>
      </c>
      <c r="DF14" s="151" t="e">
        <f t="shared" si="163"/>
        <v>#N/A</v>
      </c>
      <c r="DG14" s="151" t="e">
        <f t="shared" si="164"/>
        <v>#N/A</v>
      </c>
      <c r="DH14" s="151" t="e">
        <f t="shared" si="165"/>
        <v>#N/A</v>
      </c>
      <c r="DI14" s="151" t="e">
        <f t="shared" si="166"/>
        <v>#N/A</v>
      </c>
      <c r="DJ14" s="151" t="e">
        <f t="shared" si="167"/>
        <v>#N/A</v>
      </c>
      <c r="DK14" s="151" t="e">
        <f t="shared" si="168"/>
        <v>#N/A</v>
      </c>
      <c r="DL14" s="151" t="e">
        <f t="shared" si="169"/>
        <v>#N/A</v>
      </c>
      <c r="DM14" s="151" t="e">
        <f t="shared" si="170"/>
        <v>#N/A</v>
      </c>
      <c r="DN14" s="151" t="e">
        <f t="shared" si="171"/>
        <v>#N/A</v>
      </c>
      <c r="DO14" s="151" t="e">
        <f t="shared" si="172"/>
        <v>#N/A</v>
      </c>
      <c r="DP14" s="151" t="e">
        <f t="shared" si="173"/>
        <v>#N/A</v>
      </c>
      <c r="DQ14" s="151" t="e">
        <f t="shared" si="174"/>
        <v>#N/A</v>
      </c>
      <c r="DR14" s="151" t="e">
        <f t="shared" si="175"/>
        <v>#N/A</v>
      </c>
      <c r="DS14" s="151" t="e">
        <f t="shared" si="176"/>
        <v>#N/A</v>
      </c>
      <c r="DT14" s="151" t="e">
        <f t="shared" si="177"/>
        <v>#N/A</v>
      </c>
      <c r="DU14" s="151" t="e">
        <f t="shared" si="178"/>
        <v>#N/A</v>
      </c>
      <c r="DV14" s="151" t="e">
        <f t="shared" si="179"/>
        <v>#N/A</v>
      </c>
      <c r="DW14" s="151" t="e">
        <f t="shared" si="180"/>
        <v>#N/A</v>
      </c>
      <c r="DX14" s="151" t="e">
        <f t="shared" si="181"/>
        <v>#N/A</v>
      </c>
      <c r="DY14" s="151" t="e">
        <f t="shared" si="182"/>
        <v>#N/A</v>
      </c>
      <c r="DZ14" s="151" t="e">
        <f t="shared" si="183"/>
        <v>#N/A</v>
      </c>
      <c r="EA14" s="151" t="e">
        <f t="shared" si="184"/>
        <v>#N/A</v>
      </c>
      <c r="EB14" s="151" t="e">
        <f t="shared" si="185"/>
        <v>#N/A</v>
      </c>
      <c r="EC14" s="151" t="e">
        <f t="shared" si="186"/>
        <v>#N/A</v>
      </c>
      <c r="ED14" s="151" t="e">
        <f t="shared" si="187"/>
        <v>#N/A</v>
      </c>
      <c r="EE14" s="151" t="e">
        <f t="shared" si="188"/>
        <v>#N/A</v>
      </c>
      <c r="EF14" s="151" t="e">
        <f t="shared" si="189"/>
        <v>#N/A</v>
      </c>
      <c r="EG14" s="151" t="e">
        <f t="shared" si="190"/>
        <v>#N/A</v>
      </c>
      <c r="EH14" s="151" t="e">
        <f>IF(CA14=$TK$5,1,MIN(CJ14/'Tables - Part 3.B'!$C$8,1))</f>
        <v>#N/A</v>
      </c>
      <c r="EI14" s="151" t="e">
        <f>IF(CB14=$TK$5,1,MIN(CK14/'Tables - Part 3.B'!$C$8,1))</f>
        <v>#N/A</v>
      </c>
      <c r="EJ14" s="151" t="e">
        <f>IF(CC14=$TK$5,1,MIN(CL14/'Tables - Part 3.B'!$C$8,1))</f>
        <v>#N/A</v>
      </c>
      <c r="EK14" s="151" t="e">
        <f>IF(CD14=$TK$5,1,MIN(CM14/'Tables - Part 3.B'!$C$8,1))</f>
        <v>#N/A</v>
      </c>
      <c r="EL14" s="151" t="e">
        <f t="shared" si="191"/>
        <v>#VALUE!</v>
      </c>
      <c r="EM14" s="151" t="e">
        <f t="shared" si="48"/>
        <v>#VALUE!</v>
      </c>
      <c r="EN14" s="151" t="e">
        <f t="shared" si="48"/>
        <v>#VALUE!</v>
      </c>
      <c r="EO14" s="151" t="e">
        <f t="shared" si="48"/>
        <v>#VALUE!</v>
      </c>
      <c r="EP14" s="151" t="e">
        <f t="shared" si="192"/>
        <v>#N/A</v>
      </c>
      <c r="EQ14" s="151" t="e">
        <f t="shared" si="49"/>
        <v>#N/A</v>
      </c>
      <c r="ER14" s="151" t="e">
        <f t="shared" si="49"/>
        <v>#N/A</v>
      </c>
      <c r="ES14" s="151" t="e">
        <f t="shared" si="49"/>
        <v>#N/A</v>
      </c>
      <c r="ET14" s="151" t="e">
        <f t="shared" si="193"/>
        <v>#N/A</v>
      </c>
      <c r="EU14" s="151" t="e">
        <f t="shared" si="50"/>
        <v>#N/A</v>
      </c>
      <c r="EV14" s="151" t="e">
        <f t="shared" si="50"/>
        <v>#N/A</v>
      </c>
      <c r="EW14" s="151" t="e">
        <f t="shared" si="50"/>
        <v>#N/A</v>
      </c>
      <c r="EX14" s="151" t="e">
        <f t="shared" si="194"/>
        <v>#N/A</v>
      </c>
      <c r="EY14" s="151" t="e">
        <f t="shared" si="51"/>
        <v>#N/A</v>
      </c>
      <c r="EZ14" s="151" t="e">
        <f t="shared" si="51"/>
        <v>#N/A</v>
      </c>
      <c r="FA14" s="151" t="e">
        <f t="shared" si="51"/>
        <v>#N/A</v>
      </c>
      <c r="FB14" s="151" t="e">
        <f t="shared" si="195"/>
        <v>#N/A</v>
      </c>
      <c r="FC14" s="151" t="e">
        <f t="shared" si="52"/>
        <v>#N/A</v>
      </c>
      <c r="FD14" s="151" t="e">
        <f t="shared" si="52"/>
        <v>#N/A</v>
      </c>
      <c r="FE14" s="151" t="e">
        <f t="shared" si="52"/>
        <v>#N/A</v>
      </c>
      <c r="FF14" s="151" t="e">
        <f t="shared" si="196"/>
        <v>#N/A</v>
      </c>
      <c r="FG14" s="151" t="e">
        <f t="shared" si="53"/>
        <v>#N/A</v>
      </c>
      <c r="FH14" s="151" t="e">
        <f t="shared" si="53"/>
        <v>#N/A</v>
      </c>
      <c r="FI14" s="151" t="e">
        <f t="shared" si="53"/>
        <v>#N/A</v>
      </c>
      <c r="FJ14" s="151" t="e">
        <f t="shared" si="197"/>
        <v>#N/A</v>
      </c>
      <c r="FK14" s="151" t="e">
        <f t="shared" si="54"/>
        <v>#N/A</v>
      </c>
      <c r="FL14" s="151" t="e">
        <f t="shared" si="54"/>
        <v>#N/A</v>
      </c>
      <c r="FM14" s="288" t="e">
        <f t="shared" si="54"/>
        <v>#N/A</v>
      </c>
      <c r="FN14" s="299">
        <f t="shared" si="198"/>
        <v>0</v>
      </c>
      <c r="FO14" s="511">
        <f t="shared" si="199"/>
        <v>0</v>
      </c>
      <c r="FP14" s="150" t="e">
        <f t="shared" si="200"/>
        <v>#N/A</v>
      </c>
      <c r="FQ14" s="151" t="e">
        <f t="shared" si="201"/>
        <v>#N/A</v>
      </c>
      <c r="FR14" s="151" t="e">
        <f t="shared" si="202"/>
        <v>#N/A</v>
      </c>
      <c r="FS14" s="151" t="e">
        <f t="shared" si="203"/>
        <v>#N/A</v>
      </c>
      <c r="FT14" s="151">
        <f t="shared" si="270"/>
        <v>0</v>
      </c>
      <c r="FU14" s="151">
        <f t="shared" si="56"/>
        <v>0</v>
      </c>
      <c r="FV14" s="151">
        <f t="shared" si="57"/>
        <v>0</v>
      </c>
      <c r="FW14" s="151">
        <f t="shared" si="58"/>
        <v>0</v>
      </c>
      <c r="FX14" s="151">
        <f t="shared" si="271"/>
        <v>0</v>
      </c>
      <c r="FY14" s="151">
        <f t="shared" si="60"/>
        <v>0</v>
      </c>
      <c r="FZ14" s="151">
        <f t="shared" si="61"/>
        <v>0</v>
      </c>
      <c r="GA14" s="151">
        <f t="shared" si="62"/>
        <v>0</v>
      </c>
      <c r="GB14" s="151" t="e">
        <f>IF(CA14=$TK$6,'Tables - Part 3.B'!$C$10*(('Tables - Part 3.B'!$C$7*COF!FT14)^COF!GR14*10^COF!GV14),IF(CA14=$TK$5,'Tables - Part 3.B'!$C$10*(('Tables - Part 3.B'!$C$7*COF!FX14)^COF!GR14*10^COF!GV14),0))</f>
        <v>#N/A</v>
      </c>
      <c r="GC14" s="151" t="e">
        <f>IF(CB14=$TK$6,'Tables - Part 3.B'!$C$10*(('Tables - Part 3.B'!$C$7*COF!FU14)^COF!GS14*10^COF!GW14),IF(CB14=$TK$5,'Tables - Part 3.B'!$C$10*(('Tables - Part 3.B'!$C$7*COF!FY14)^COF!GS14*10^COF!GW14),0))</f>
        <v>#N/A</v>
      </c>
      <c r="GD14" s="151" t="e">
        <f>IF(CC14=$TK$6,'Tables - Part 3.B'!$C$10*(('Tables - Part 3.B'!$C$7*COF!FV14)^COF!GT14*10^COF!GX14),IF(CC14=$TK$5,'Tables - Part 3.B'!$C$10*(('Tables - Part 3.B'!$C$7*COF!FZ14)^COF!GT14*10^COF!GX14),0))</f>
        <v>#N/A</v>
      </c>
      <c r="GE14" s="151" t="e">
        <f>IF(CD14=$TK$6,'Tables - Part 3.B'!$C$10*(('Tables - Part 3.B'!$C$7*COF!FW14)^COF!GU14*10^COF!GY14),IF(CD14=$TK$5,'Tables - Part 3.B'!$C$10*(('Tables - Part 3.B'!$C$7*COF!GA14)^COF!GU14*10^COF!GY14),0))</f>
        <v>#N/A</v>
      </c>
      <c r="GF14" s="152" t="e">
        <f t="shared" si="272"/>
        <v>#N/A</v>
      </c>
      <c r="GG14" s="152" t="e">
        <f t="shared" si="63"/>
        <v>#N/A</v>
      </c>
      <c r="GH14" s="152" t="e">
        <f t="shared" si="64"/>
        <v>#N/A</v>
      </c>
      <c r="GI14" s="152" t="e">
        <f t="shared" si="65"/>
        <v>#N/A</v>
      </c>
      <c r="GJ14" s="152" t="e">
        <f>IF(GF14&lt;'Tables - Part 3'!$CK$5,0,LOOKUP(GF14,'Tables - Part 3'!$CK$5:$CK$9))</f>
        <v>#N/A</v>
      </c>
      <c r="GK14" s="152" t="e">
        <f>IF(GG14&lt;'Tables - Part 3'!$CK$5,0,LOOKUP(GG14,'Tables - Part 3'!$CK$5:$CK$9))</f>
        <v>#N/A</v>
      </c>
      <c r="GL14" s="152" t="e">
        <f>IF(GH14&lt;'Tables - Part 3'!$CK$5,0,LOOKUP(GH14,'Tables - Part 3'!$CK$5:$CK$9))</f>
        <v>#N/A</v>
      </c>
      <c r="GM14" s="152" t="e">
        <f>IF(GI14&lt;'Tables - Part 3'!$CK$5,0,LOOKUP(GI14,'Tables - Part 3'!$CK$5:$CK$9))</f>
        <v>#N/A</v>
      </c>
      <c r="GN14" s="152" t="e">
        <f>IF(GF14&lt;'Tables - Part 3'!$CK$5,'Tables - Part 3'!$CK$5,IF(COF!GF14&lt;'Tables - Part 3'!$CK$6,'Tables - Part 3'!$CK$6,IF(COF!GF14&lt;'Tables - Part 3'!$CK$7,'Tables - Part 3'!$CK$7,IF(COF!GF14&lt;'Tables - Part 3'!$CK$8,'Tables - Part 3'!$CK$8,IF(COF!GF14&lt;'Tables - Part 3'!$CK$9,'Tables - Part 3'!$CK$9)))))</f>
        <v>#N/A</v>
      </c>
      <c r="GO14" s="152" t="e">
        <f>IF(GG14&lt;'Tables - Part 3'!$CK$5,'Tables - Part 3'!$CK$5,IF(COF!GG14&lt;'Tables - Part 3'!$CK$6,'Tables - Part 3'!$CK$6,IF(COF!GG14&lt;'Tables - Part 3'!$CK$7,'Tables - Part 3'!$CK$7,IF(COF!GG14&lt;'Tables - Part 3'!$CK$8,'Tables - Part 3'!$CK$8,IF(COF!GG14&lt;'Tables - Part 3'!$CK$9,'Tables - Part 3'!$CK$9)))))</f>
        <v>#N/A</v>
      </c>
      <c r="GP14" s="152" t="e">
        <f>IF(GH14&lt;'Tables - Part 3'!$CK$5,'Tables - Part 3'!$CK$5,IF(COF!GH14&lt;'Tables - Part 3'!$CK$6,'Tables - Part 3'!$CK$6,IF(COF!GH14&lt;'Tables - Part 3'!$CK$7,'Tables - Part 3'!$CK$7,IF(COF!GH14&lt;'Tables - Part 3'!$CK$8,'Tables - Part 3'!$CK$8,IF(COF!GH14&lt;'Tables - Part 3'!$CK$9,'Tables - Part 3'!$CK$9)))))</f>
        <v>#N/A</v>
      </c>
      <c r="GQ14" s="152" t="e">
        <f>IF(GI14&lt;'Tables - Part 3'!$CK$5,'Tables - Part 3'!$CK$5,IF(COF!GI14&lt;'Tables - Part 3'!$CK$6,'Tables - Part 3'!$CK$6,IF(COF!GI14&lt;'Tables - Part 3'!$CK$7,'Tables - Part 3'!$CK$7,IF(COF!GI14&lt;'Tables - Part 3'!$CK$8,'Tables - Part 3'!$CK$8,IF(COF!GI14&lt;'Tables - Part 3'!$CK$9,'Tables - Part 3'!$CK$9)))))</f>
        <v>#N/A</v>
      </c>
      <c r="GR14" s="151" t="e">
        <f>IF(CA14=$TK$5,'Tables - Part 3'!$CL$10,IF(COF!CA14=COF!$TK$6,IF(COF!GF14&lt;'Tables - Part 3'!$CK$5,'Tables - Part 3'!$CL$5,IF(GF14&gt;='Tables - Part 3'!$CK$9,'Tables - Part 3'!$CL$9,((COF!GF14-COF!GJ14)*(INDEX('Tables - Part 3'!$CL$5:$CL$9,MATCH(COF!GN14,'Tables - Part 3'!$CK$5:$CK$9,0))-INDEX('Tables - Part 3'!$CL$5:$CL$9,MATCH(COF!GJ14,'Tables - Part 3'!$CK$5:$CK$9,0)))/(GN14-GJ14)+INDEX('Tables - Part 3'!$CL$5:$CL$9,MATCH(COF!GJ14,'Tables - Part 3'!$CK$5:$CK$9,0)))))))</f>
        <v>#N/A</v>
      </c>
      <c r="GS14" s="151" t="e">
        <f>IF(CB14=$TK$5,'Tables - Part 3'!$CL$10,IF(COF!CB14=COF!$TK$6,IF(COF!GG14&lt;'Tables - Part 3'!$CK$5,'Tables - Part 3'!$CL$5,IF(GG14&gt;='Tables - Part 3'!$CK$9,'Tables - Part 3'!$CL$9,((COF!GG14-COF!GK14)*(INDEX('Tables - Part 3'!$CL$5:$CL$9,MATCH(COF!GO14,'Tables - Part 3'!$CK$5:$CK$9,0))-INDEX('Tables - Part 3'!$CL$5:$CL$9,MATCH(COF!GK14,'Tables - Part 3'!$CK$5:$CK$9,0)))/(GO14-GK14)+INDEX('Tables - Part 3'!$CL$5:$CL$9,MATCH(COF!GK14,'Tables - Part 3'!$CK$5:$CK$9,0)))))))</f>
        <v>#N/A</v>
      </c>
      <c r="GT14" s="151" t="e">
        <f>IF(CC14=$TK$5,'Tables - Part 3'!$CL$10,IF(COF!CC14=COF!$TK$6,IF(COF!GH14&lt;'Tables - Part 3'!$CK$5,'Tables - Part 3'!$CL$5,IF(GH14&gt;='Tables - Part 3'!$CK$9,'Tables - Part 3'!$CL$9,((COF!GH14-COF!GL14)*(INDEX('Tables - Part 3'!$CL$5:$CL$9,MATCH(COF!GP14,'Tables - Part 3'!$CK$5:$CK$9,0))-INDEX('Tables - Part 3'!$CL$5:$CL$9,MATCH(COF!GL14,'Tables - Part 3'!$CK$5:$CK$9,0)))/(GP14-GL14)+INDEX('Tables - Part 3'!$CL$5:$CL$9,MATCH(COF!GL14,'Tables - Part 3'!$CK$5:$CK$9,0)))))))</f>
        <v>#N/A</v>
      </c>
      <c r="GU14" s="151" t="e">
        <f>IF(CD14=$TK$5,'Tables - Part 3'!$CL$10,IF(COF!CD14=COF!$TK$6,IF(COF!GI14&lt;'Tables - Part 3'!$CK$5,'Tables - Part 3'!$CL$5,IF(GI14&gt;='Tables - Part 3'!$CK$9,'Tables - Part 3'!$CL$9,((COF!GI14-COF!GM14)*(INDEX('Tables - Part 3'!$CL$5:$CL$9,MATCH(COF!GQ14,'Tables - Part 3'!$CK$5:$CK$9,0))-INDEX('Tables - Part 3'!$CL$5:$CL$9,MATCH(COF!GM14,'Tables - Part 3'!$CK$5:$CK$9,0)))/(GQ14-GM14)+INDEX('Tables - Part 3'!$CL$5:$CL$9,MATCH(COF!GM14,'Tables - Part 3'!$CK$5:$CK$9,0)))))))</f>
        <v>#N/A</v>
      </c>
      <c r="GV14" s="151" t="e">
        <f>IF(CA14=$TK$5,'Tables - Part 3'!$CM$10,IF(COF!CA14=COF!$TK$6,IF(GF14&lt;'Tables - Part 3'!$CK$5,'Tables - Part 3'!$CM$5,IF(GF14&gt;='Tables - Part 3'!$CK$9,'Tables - Part 3'!$CM$9,((COF!GF14-COF!GJ14)*(INDEX('Tables - Part 3'!$CM$5:$CM$9,MATCH(COF!GN14,'Tables - Part 3'!$CK$5:$CK$9,0))-INDEX('Tables - Part 3'!$CM$5:$CM$9,MATCH(COF!GJ14,'Tables - Part 3'!$CK$5:$CK$9,0)))/(GN14-GJ14)+INDEX('Tables - Part 3'!$CM$5:$CM$9,MATCH(COF!GJ14,'Tables - Part 3'!$CK$5:$CK$9,0)))))))</f>
        <v>#N/A</v>
      </c>
      <c r="GW14" s="151" t="e">
        <f>IF(CB14=$TK$5,'Tables - Part 3'!$CM$10,IF(COF!CB14=COF!$TK$6,IF(GG14&lt;'Tables - Part 3'!$CK$5,'Tables - Part 3'!$CM$5,IF(GG14&gt;='Tables - Part 3'!$CK$9,'Tables - Part 3'!$CM$9,((COF!GG14-COF!GK14)*(INDEX('Tables - Part 3'!$CM$5:$CM$9,MATCH(COF!GO14,'Tables - Part 3'!$CK$5:$CK$9,0))-INDEX('Tables - Part 3'!$CM$5:$CM$9,MATCH(COF!GK14,'Tables - Part 3'!$CK$5:$CK$9,0)))/(GO14-GK14)+INDEX('Tables - Part 3'!$CM$5:$CM$9,MATCH(COF!GK14,'Tables - Part 3'!$CK$5:$CK$9,0)))))))</f>
        <v>#N/A</v>
      </c>
      <c r="GX14" s="151" t="e">
        <f>IF(CC14=$TK$5,'Tables - Part 3'!$CM$10,IF(COF!CC14=COF!$TK$6,IF(GH14&lt;'Tables - Part 3'!$CK$5,'Tables - Part 3'!$CM$5,IF(GH14&gt;='Tables - Part 3'!$CK$9,'Tables - Part 3'!$CM$9,((COF!GH14-COF!GL14)*(INDEX('Tables - Part 3'!$CM$5:$CM$9,MATCH(COF!GP14,'Tables - Part 3'!$CK$5:$CK$9,0))-INDEX('Tables - Part 3'!$CM$5:$CM$9,MATCH(COF!GL14,'Tables - Part 3'!$CK$5:$CK$9,0)))/(GP14-GL14)+INDEX('Tables - Part 3'!$CM$5:$CM$9,MATCH(COF!GL14,'Tables - Part 3'!$CK$5:$CK$9,0)))))))</f>
        <v>#N/A</v>
      </c>
      <c r="GY14" s="151" t="e">
        <f>IF(CD14=$TK$5,'Tables - Part 3'!$CM$10,IF(COF!CD14=COF!$TK$6,IF(GI14&lt;'Tables - Part 3'!$CK$5,'Tables - Part 3'!$CM$5,IF(GI14&gt;='Tables - Part 3'!$CK$9,'Tables - Part 3'!$CM$9,((COF!GI14-COF!GM14)*(INDEX('Tables - Part 3'!$CM$5:$CM$9,MATCH(COF!GQ14,'Tables - Part 3'!$CK$5:$CK$9,0))-INDEX('Tables - Part 3'!$CM$5:$CM$9,MATCH(COF!GM14,'Tables - Part 3'!$CK$5:$CK$9,0)))/(GQ14-GM14)+INDEX('Tables - Part 3'!$CM$5:$CM$9,MATCH(COF!GM14,'Tables - Part 3'!$CK$5:$CK$9,0)))))))</f>
        <v>#N/A</v>
      </c>
      <c r="GZ14" s="151">
        <f t="shared" si="273"/>
        <v>0</v>
      </c>
      <c r="HA14" s="151">
        <f t="shared" si="67"/>
        <v>0</v>
      </c>
      <c r="HB14" s="151">
        <f t="shared" si="68"/>
        <v>0</v>
      </c>
      <c r="HC14" s="151">
        <f t="shared" si="69"/>
        <v>0</v>
      </c>
      <c r="HD14" s="151">
        <f t="shared" si="274"/>
        <v>0</v>
      </c>
      <c r="HE14" s="151">
        <f t="shared" si="71"/>
        <v>0</v>
      </c>
      <c r="HF14" s="151">
        <f t="shared" si="72"/>
        <v>0</v>
      </c>
      <c r="HG14" s="151">
        <f t="shared" si="73"/>
        <v>0</v>
      </c>
      <c r="HH14" s="151" t="e">
        <f>IF(CA14=$TK$6,'Tables - Part 3.B'!$C$10*(('Tables - Part 3.B'!$C$7*COF!GZ14)^COF!HL14*10^COF!HP14),IF(CA14=$TK$5,'Tables - Part 3.B'!$C$10*(('Tables - Part 3.B'!$C$7*COF!HD14)^COF!HL14*10^COF!HP14),0))</f>
        <v>#N/A</v>
      </c>
      <c r="HI14" s="151" t="e">
        <f>IF(CB14=$TK$6,'Tables - Part 3.B'!$C$10*(('Tables - Part 3.B'!$C$7*COF!HA14)^COF!HM14*10^COF!HQ14),IF(CB14=$TK$5,'Tables - Part 3.B'!$C$10*(('Tables - Part 3.B'!$C$7*COF!HE14)^COF!HM14*10^COF!HQ14),0))</f>
        <v>#N/A</v>
      </c>
      <c r="HJ14" s="151" t="e">
        <f>IF(CC14=$TK$6,'Tables - Part 3.B'!$C$10*(('Tables - Part 3.B'!$C$7*COF!HB14)^COF!HN14*10^COF!HR14),IF(CC14=$TK$5,'Tables - Part 3.B'!$C$10*(('Tables - Part 3.B'!$C$7*COF!HF14)^COF!HN14*10^COF!HR14),0))</f>
        <v>#N/A</v>
      </c>
      <c r="HK14" s="151" t="e">
        <f>IF(CD14=$TK$6,'Tables - Part 3.B'!$C$10*(('Tables - Part 3.B'!$C$7*COF!HC14)^COF!HO14*10^COF!HS14),IF(CD14=$TK$5,'Tables - Part 3.B'!$C$10*(('Tables - Part 3.B'!$C$7*COF!HG14)^COF!HO14*10^COF!HS14),0))</f>
        <v>#N/A</v>
      </c>
      <c r="HL14" s="151" t="e">
        <f>IF(CA14=$TK$5,'Tables - Part 3'!$CN$10,IF(COF!CA14=COF!$TK$6,IF(COF!GF14&lt;'Tables - Part 3'!$CK$5,'Tables - Part 3'!$CN$5,IF(GF14&gt;='Tables - Part 3'!$CK$9,'Tables - Part 3'!$CN$9,((COF!GF14-COF!GJ14)*(INDEX('Tables - Part 3'!$CN$5:$CN$9,MATCH(COF!GN14,'Tables - Part 3'!$CK$5:$CK$9,0))-INDEX('Tables - Part 3'!$CN$5:$CN$9,MATCH(COF!GJ14,'Tables - Part 3'!$CK$5:$CK$9,0)))/(GN14-GJ14)+INDEX('Tables - Part 3'!$CN$5:$CN$9,MATCH(COF!GJ14,'Tables - Part 3'!$CK$5:$CK$9,0)))))))</f>
        <v>#N/A</v>
      </c>
      <c r="HM14" s="151" t="e">
        <f>IF(CB14=$TK$5,'Tables - Part 3'!$CN$10,IF(COF!CB14=COF!$TK$6,IF(COF!GG14&lt;'Tables - Part 3'!$CK$5,'Tables - Part 3'!$CN$5,IF(GG14&gt;='Tables - Part 3'!$CK$9,'Tables - Part 3'!$CN$9,((COF!GG14-COF!GK14)*(INDEX('Tables - Part 3'!$CN$5:$CN$9,MATCH(COF!GO14,'Tables - Part 3'!$CK$5:$CK$9,0))-INDEX('Tables - Part 3'!$CN$5:$CN$9,MATCH(COF!GK14,'Tables - Part 3'!$CK$5:$CK$9,0)))/(GO14-GK14)+INDEX('Tables - Part 3'!$CN$5:$CN$9,MATCH(COF!GK14,'Tables - Part 3'!$CK$5:$CK$9,0)))))))</f>
        <v>#N/A</v>
      </c>
      <c r="HN14" s="151" t="e">
        <f>IF(CC14=$TK$5,'Tables - Part 3'!$CN$10,IF(COF!CC14=COF!$TK$6,IF(COF!GH14&lt;'Tables - Part 3'!$CK$5,'Tables - Part 3'!$CN$5,IF(GH14&gt;='Tables - Part 3'!$CK$9,'Tables - Part 3'!$CN$9,((COF!GH14-COF!GL14)*(INDEX('Tables - Part 3'!$CN$5:$CN$9,MATCH(COF!GP14,'Tables - Part 3'!$CK$5:$CK$9,0))-INDEX('Tables - Part 3'!$CN$5:$CN$9,MATCH(COF!GL14,'Tables - Part 3'!$CK$5:$CK$9,0)))/(GP14-GL14)+INDEX('Tables - Part 3'!$CN$5:$CN$9,MATCH(COF!GL14,'Tables - Part 3'!$CK$5:$CK$9,0)))))))</f>
        <v>#N/A</v>
      </c>
      <c r="HO14" s="151" t="e">
        <f>IF(CD14=$TK$5,'Tables - Part 3'!$CN$10,IF(COF!CD14=COF!$TK$6,IF(COF!GI14&lt;'Tables - Part 3'!$CK$5,'Tables - Part 3'!$CN$5,IF(GI14&gt;='Tables - Part 3'!$CK$9,'Tables - Part 3'!$CN$9,((COF!GI14-COF!GM14)*(INDEX('Tables - Part 3'!$CN$5:$CN$9,MATCH(COF!GQ14,'Tables - Part 3'!$CK$5:$CK$9,0))-INDEX('Tables - Part 3'!$CN$5:$CN$9,MATCH(COF!GM14,'Tables - Part 3'!$CK$5:$CK$9,0)))/(GQ14-GM14)+INDEX('Tables - Part 3'!$CN$5:$CN$9,MATCH(COF!GM14,'Tables - Part 3'!$CK$5:$CK$9,0)))))))</f>
        <v>#N/A</v>
      </c>
      <c r="HP14" s="151" t="e">
        <f>IF(CA14=$TK$5,'Tables - Part 3'!$CO$10,IF(COF!CA14=COF!$TK$6,IF(GF14&lt;'Tables - Part 3'!$CK$5,'Tables - Part 3'!$CO$5,IF(GF14&gt;='Tables - Part 3'!$CK$9,'Tables - Part 3'!$CO$9,((COF!GF14-COF!GJ14)*(INDEX('Tables - Part 3'!$CO$5:$CO$9,MATCH(COF!GN14,'Tables - Part 3'!$CK$5:$CK$9,0))-INDEX('Tables - Part 3'!$CO$5:$CO$9,MATCH(COF!GJ14,'Tables - Part 3'!$CK$5:$CK$9,0)))/(GN14-GJ14)+INDEX('Tables - Part 3'!$CO$5:$CO$9,MATCH(COF!GJ14,'Tables - Part 3'!$CK$5:$CK$9,0)))))))</f>
        <v>#N/A</v>
      </c>
      <c r="HQ14" s="151" t="e">
        <f>IF(CB14=$TK$5,'Tables - Part 3'!$CO$10,IF(COF!CB14=COF!$TK$6,IF(GG14&lt;'Tables - Part 3'!$CK$5,'Tables - Part 3'!$CO$5,IF(GG14&gt;='Tables - Part 3'!$CK$9,'Tables - Part 3'!$CO$9,((COF!GG14-COF!GK14)*(INDEX('Tables - Part 3'!$CO$5:$CO$9,MATCH(COF!GO14,'Tables - Part 3'!$CK$5:$CK$9,0))-INDEX('Tables - Part 3'!$CO$5:$CO$9,MATCH(COF!GK14,'Tables - Part 3'!$CK$5:$CK$9,0)))/(GO14-GK14)+INDEX('Tables - Part 3'!$CO$5:$CO$9,MATCH(COF!GK14,'Tables - Part 3'!$CK$5:$CK$9,0)))))))</f>
        <v>#N/A</v>
      </c>
      <c r="HR14" s="151" t="e">
        <f>IF(CC14=$TK$5,'Tables - Part 3'!$CO$10,IF(COF!CC14=COF!$TK$6,IF(GH14&lt;'Tables - Part 3'!$CK$5,'Tables - Part 3'!$CO$5,IF(GH14&gt;='Tables - Part 3'!$CK$9,'Tables - Part 3'!$CO$9,((COF!GH14-COF!GL14)*(INDEX('Tables - Part 3'!$CO$5:$CO$9,MATCH(COF!GP14,'Tables - Part 3'!$CK$5:$CK$9,0))-INDEX('Tables - Part 3'!$CO$5:$CO$9,MATCH(COF!GL14,'Tables - Part 3'!$CK$5:$CK$9,0)))/(GP14-GL14)+INDEX('Tables - Part 3'!$CO$5:$CO$9,MATCH(COF!GL14,'Tables - Part 3'!$CK$5:$CK$9,0)))))))</f>
        <v>#N/A</v>
      </c>
      <c r="HS14" s="151" t="e">
        <f>IF(CD14=$TK$5,'Tables - Part 3'!$CO$10,IF(COF!CD14=COF!$TK$6,IF(GI14&lt;'Tables - Part 3'!$CK$5,'Tables - Part 3'!$CO$5,IF(GI14&gt;='Tables - Part 3'!$CK$9,'Tables - Part 3'!$CO$9,((COF!GI14-COF!GM14)*(INDEX('Tables - Part 3'!$CO$5:$CO$9,MATCH(COF!GQ14,'Tables - Part 3'!$CK$5:$CK$9,0))-INDEX('Tables - Part 3'!$CO$5:$CO$9,MATCH(COF!GM14,'Tables - Part 3'!$CK$5:$CK$9,0)))/(GQ14-GM14)+INDEX('Tables - Part 3'!$CO$5:$CO$9,MATCH(COF!GM14,'Tables - Part 3'!$CK$5:$CK$9,0)))))))</f>
        <v>#N/A</v>
      </c>
      <c r="HT14" s="151">
        <f t="shared" si="275"/>
        <v>0</v>
      </c>
      <c r="HU14" s="151">
        <f t="shared" si="75"/>
        <v>0</v>
      </c>
      <c r="HV14" s="151">
        <f t="shared" si="76"/>
        <v>0</v>
      </c>
      <c r="HW14" s="151">
        <f t="shared" si="77"/>
        <v>0</v>
      </c>
      <c r="HX14" s="151">
        <f t="shared" si="276"/>
        <v>0</v>
      </c>
      <c r="HY14" s="151">
        <f t="shared" si="79"/>
        <v>0</v>
      </c>
      <c r="HZ14" s="151">
        <f t="shared" si="80"/>
        <v>0</v>
      </c>
      <c r="IA14" s="151">
        <f t="shared" si="81"/>
        <v>0</v>
      </c>
      <c r="IB14" s="153" t="e">
        <f t="shared" si="82"/>
        <v>#N/A</v>
      </c>
      <c r="IC14" s="153" t="e">
        <f t="shared" si="83"/>
        <v>#N/A</v>
      </c>
      <c r="ID14" s="153" t="e">
        <f t="shared" si="84"/>
        <v>#N/A</v>
      </c>
      <c r="IE14" s="153" t="e">
        <f t="shared" si="85"/>
        <v>#N/A</v>
      </c>
      <c r="IF14" s="152" t="e">
        <f>IF(GF14&lt;'Tables - Part 3'!$CQ$5,0,LOOKUP(GF14,'Tables - Part 3'!$CQ$5:$CQ$16))</f>
        <v>#N/A</v>
      </c>
      <c r="IG14" s="152" t="e">
        <f>IF(GG14&lt;'Tables - Part 3'!$CQ$5,0,LOOKUP(GG14,'Tables - Part 3'!$CQ$5:$CQ$16))</f>
        <v>#N/A</v>
      </c>
      <c r="IH14" s="152" t="e">
        <f>IF(GH14&lt;'Tables - Part 3'!$CQ$5,0,LOOKUP(GH14,'Tables - Part 3'!$CQ$5:$CQ$16))</f>
        <v>#N/A</v>
      </c>
      <c r="II14" s="152" t="e">
        <f>IF(GI14&lt;'Tables - Part 3'!$CQ$5,0,LOOKUP(GI14,'Tables - Part 3'!$CQ$5:$CQ$16))</f>
        <v>#N/A</v>
      </c>
      <c r="IJ14" s="152" t="e">
        <f>IF(GF14&lt;'Tables - Part 3'!$CQ$5,'Tables - Part 3'!$CQ$5,IF(COF!GF14&lt;'Tables - Part 3'!$CQ$6,'Tables - Part 3'!$CQ$6,IF(COF!GF14&lt;'Tables - Part 3'!$CQ$7,'Tables - Part 3'!$CQ$7,IF(COF!GF14&lt;'Tables - Part 3'!$CQ$8,'Tables - Part 3'!$CQ$8,IF(COF!GF14&lt;'Tables - Part 3'!$CQ$9,'Tables - Part 3'!$CQ$9,IF(COF!GF14&lt;'Tables - Part 3'!$CQ$10,'Tables - Part 3'!$CQ$10,IF(COF!GF14&lt;'Tables - Part 3'!$CQ$11,'Tables - Part 3'!$CQ$11,IF(COF!GF14&lt;'Tables - Part 3'!$CQ$12,'Tables - Part 3'!$CQ$12,IF(COF!GF14&lt;'Tables - Part 3'!$CQ$13,'Tables - Part 3'!$CQ$13,IF(COF!GF14&lt;'Tables - Part 3'!$CQ$14,'Tables - Part 3'!$CQ$14,IF(COF!GF14&lt;'Tables - Part 3'!$CQ$15,'Tables - Part 3'!$CQ$15,IF(COF!GF14&lt;'Tables - Part 3'!$CQ$16,'Tables - Part 3'!$CQ$16))))))))))))</f>
        <v>#N/A</v>
      </c>
      <c r="IK14" s="152" t="e">
        <f>IF(GG14&lt;'Tables - Part 3'!$CQ$5,'Tables - Part 3'!$CQ$5,IF(COF!GG14&lt;'Tables - Part 3'!$CQ$6,'Tables - Part 3'!$CQ$6,IF(COF!GG14&lt;'Tables - Part 3'!$CQ$7,'Tables - Part 3'!$CQ$7,IF(COF!GG14&lt;'Tables - Part 3'!$CQ$8,'Tables - Part 3'!$CQ$8,IF(COF!GG14&lt;'Tables - Part 3'!$CQ$9,'Tables - Part 3'!$CQ$9,IF(COF!GG14&lt;'Tables - Part 3'!$CQ$10,'Tables - Part 3'!$CQ$10,IF(COF!GG14&lt;'Tables - Part 3'!$CQ$11,'Tables - Part 3'!$CQ$11,IF(COF!GG14&lt;'Tables - Part 3'!$CQ$12,'Tables - Part 3'!$CQ$12,IF(COF!GG14&lt;'Tables - Part 3'!$CQ$13,'Tables - Part 3'!$CQ$13,IF(COF!GG14&lt;'Tables - Part 3'!$CQ$14,'Tables - Part 3'!$CQ$14,IF(COF!GG14&lt;'Tables - Part 3'!$CQ$15,'Tables - Part 3'!$CQ$15,IF(COF!GG14&lt;'Tables - Part 3'!$CQ$16,'Tables - Part 3'!$CQ$16))))))))))))</f>
        <v>#N/A</v>
      </c>
      <c r="IL14" s="152" t="e">
        <f>IF(GH14&lt;'Tables - Part 3'!$CQ$5,'Tables - Part 3'!$CQ$5,IF(COF!GH14&lt;'Tables - Part 3'!$CQ$6,'Tables - Part 3'!$CQ$6,IF(COF!GH14&lt;'Tables - Part 3'!$CQ$7,'Tables - Part 3'!$CQ$7,IF(COF!GH14&lt;'Tables - Part 3'!$CQ$8,'Tables - Part 3'!$CQ$8,IF(COF!GH14&lt;'Tables - Part 3'!$CQ$9,'Tables - Part 3'!$CQ$9,IF(COF!GH14&lt;'Tables - Part 3'!$CQ$10,'Tables - Part 3'!$CQ$10,IF(COF!GH14&lt;'Tables - Part 3'!$CQ$11,'Tables - Part 3'!$CQ$11,IF(COF!GH14&lt;'Tables - Part 3'!$CQ$12,'Tables - Part 3'!$CQ$12,IF(COF!GH14&lt;'Tables - Part 3'!$CQ$13,'Tables - Part 3'!$CQ$13,IF(COF!GH14&lt;'Tables - Part 3'!$CQ$14,'Tables - Part 3'!$CQ$14,IF(COF!GH14&lt;'Tables - Part 3'!$CQ$15,'Tables - Part 3'!$CQ$15,IF(COF!GH14&lt;'Tables - Part 3'!$CQ$16,'Tables - Part 3'!$CQ$16))))))))))))</f>
        <v>#N/A</v>
      </c>
      <c r="IM14" s="152" t="e">
        <f>IF(GI14&lt;'Tables - Part 3'!$CQ$5,'Tables - Part 3'!$CQ$5,IF(COF!GI14&lt;'Tables - Part 3'!$CQ$6,'Tables - Part 3'!$CQ$6,IF(COF!GI14&lt;'Tables - Part 3'!$CQ$7,'Tables - Part 3'!$CQ$7,IF(COF!GI14&lt;'Tables - Part 3'!$CQ$8,'Tables - Part 3'!$CQ$8,IF(COF!GI14&lt;'Tables - Part 3'!$CQ$9,'Tables - Part 3'!$CQ$9,IF(COF!GI14&lt;'Tables - Part 3'!$CQ$10,'Tables - Part 3'!$CQ$10,IF(COF!GI14&lt;'Tables - Part 3'!$CQ$11,'Tables - Part 3'!$CQ$11,IF(COF!GI14&lt;'Tables - Part 3'!$CQ$12,'Tables - Part 3'!$CQ$12,IF(COF!GI14&lt;'Tables - Part 3'!$CQ$13,'Tables - Part 3'!$CQ$13,IF(COF!GI14&lt;'Tables - Part 3'!$CQ$14,'Tables - Part 3'!$CQ$14,IF(COF!GI14&lt;'Tables - Part 3'!$CQ$15,'Tables - Part 3'!$CQ$15,IF(COF!GI14&lt;'Tables - Part 3'!$CQ$16,'Tables - Part 3'!$CQ$16))))))))))))</f>
        <v>#N/A</v>
      </c>
      <c r="IN14" s="151" t="e">
        <f>IF(CA14=$TK$5,'Tables - Part 3'!$CR$17,IF(COF!CA14=COF!$TK$6,IF(COF!GF14&lt;'Tables - Part 3'!$CQ$5,'Tables - Part 3'!$CR$5,IF(GF14&gt;='Tables - Part 3'!$CQ$16,'Tables - Part 3'!$CR$16,((COF!GF14-COF!IF14)*(INDEX('Tables - Part 3'!$CR$5:$CR$16,MATCH(COF!IJ14,'Tables - Part 3'!$CQ$5:$CQ$16,0))-INDEX('Tables - Part 3'!$CR$5:$CR$16,MATCH(COF!IF14,'Tables - Part 3'!$CQ$5:$CQ$16,0)))/(IJ14-IF14)+INDEX('Tables - Part 3'!$CR$5:$CR$16,MATCH(COF!IF14,'Tables - Part 3'!$CQ$5:$CQ$16,0)))))))</f>
        <v>#N/A</v>
      </c>
      <c r="IO14" s="151" t="e">
        <f>IF(CB14=$TK$5,'Tables - Part 3'!$CR$17,IF(COF!CB14=COF!$TK$6,IF(COF!GG14&lt;'Tables - Part 3'!$CQ$5,'Tables - Part 3'!$CR$5,IF(GG14&gt;='Tables - Part 3'!$CQ$16,'Tables - Part 3'!$CR$16,((COF!GG14-COF!IG14)*(INDEX('Tables - Part 3'!$CR$5:$CR$16,MATCH(COF!IK14,'Tables - Part 3'!$CQ$5:$CQ$16,0))-INDEX('Tables - Part 3'!$CR$5:$CR$16,MATCH(COF!IG14,'Tables - Part 3'!$CQ$5:$CQ$16,0)))/(IK14-IG14)+INDEX('Tables - Part 3'!$CR$5:$CR$16,MATCH(COF!IG14,'Tables - Part 3'!$CQ$5:$CQ$16,0)))))))</f>
        <v>#N/A</v>
      </c>
      <c r="IP14" s="151" t="e">
        <f>IF(CC14=$TK$5,'Tables - Part 3'!$CR$17,IF(COF!CC14=COF!$TK$6,IF(COF!GH14&lt;'Tables - Part 3'!$CQ$5,'Tables - Part 3'!$CR$5,IF(GH14&gt;='Tables - Part 3'!$CQ$16,'Tables - Part 3'!$CR$16,((COF!GH14-COF!IH14)*(INDEX('Tables - Part 3'!$CR$5:$CR$16,MATCH(COF!IL14,'Tables - Part 3'!$CQ$5:$CQ$16,0))-INDEX('Tables - Part 3'!$CR$5:$CR$16,MATCH(COF!IH14,'Tables - Part 3'!$CQ$5:$CQ$16,0)))/(IL14-IH14)+INDEX('Tables - Part 3'!$CR$5:$CR$16,MATCH(COF!IH14,'Tables - Part 3'!$CQ$5:$CQ$16,0)))))))</f>
        <v>#N/A</v>
      </c>
      <c r="IQ14" s="151" t="e">
        <f>IF(CD14=$TK$5,'Tables - Part 3'!$CR$17,IF(COF!CD14=COF!$TK$6,IF(COF!GI14&lt;'Tables - Part 3'!$CQ$5,'Tables - Part 3'!$CR$5,IF(GI14&gt;='Tables - Part 3'!$CQ$16,'Tables - Part 3'!$CR$16,((COF!GI14-COF!II14)*(INDEX('Tables - Part 3'!$CR$5:$CR$16,MATCH(COF!IM14,'Tables - Part 3'!$CQ$5:$CQ$16,0))-INDEX('Tables - Part 3'!$CR$5:$CR$16,MATCH(COF!II14,'Tables - Part 3'!$CQ$5:$CQ$16,0)))/(IM14-II14)+INDEX('Tables - Part 3'!$CR$5:$CR$16,MATCH(COF!II14,'Tables - Part 3'!$CQ$5:$CQ$16,0)))))))</f>
        <v>#N/A</v>
      </c>
      <c r="IR14" s="151" t="e">
        <f>IF(CA14=$TK$5,'Tables - Part 3'!$CS$17,IF(COF!CA14=COF!$TK$6,IF(COF!GF14&lt;'Tables - Part 3'!$CQ$5,'Tables - Part 3'!$CS$5,IF(GF14&gt;='Tables - Part 3'!$CQ$16,'Tables - Part 3'!$CS$16,((COF!GF14-COF!IF14)*(INDEX('Tables - Part 3'!$CS$5:$CS$16,MATCH(COF!IJ14,'Tables - Part 3'!$CQ$5:$CQ$16,0))-INDEX('Tables - Part 3'!$CS$5:$CS$16,MATCH(COF!IF14,'Tables - Part 3'!$CQ$5:$CQ$16,0)))/(IJ14-IF14)+INDEX('Tables - Part 3'!$CS$5:$CS$16,MATCH(COF!IF14,'Tables - Part 3'!$CQ$5:$CQ$16,0)))))))</f>
        <v>#N/A</v>
      </c>
      <c r="IS14" s="151" t="e">
        <f>IF(CB14=$TK$5,'Tables - Part 3'!$CS$17,IF(COF!CB14=COF!$TK$6,IF(COF!GG14&lt;'Tables - Part 3'!$CQ$5,'Tables - Part 3'!$CS$5,IF(GG14&gt;='Tables - Part 3'!$CQ$16,'Tables - Part 3'!$CS$16,((COF!GG14-COF!IG14)*(INDEX('Tables - Part 3'!$CS$5:$CS$16,MATCH(COF!IK14,'Tables - Part 3'!$CQ$5:$CQ$16,0))-INDEX('Tables - Part 3'!$CS$5:$CS$16,MATCH(COF!IG14,'Tables - Part 3'!$CQ$5:$CQ$16,0)))/(IK14-IG14)+INDEX('Tables - Part 3'!$CS$5:$CS$16,MATCH(COF!IG14,'Tables - Part 3'!$CQ$5:$CQ$16,0)))))))</f>
        <v>#N/A</v>
      </c>
      <c r="IT14" s="151" t="e">
        <f>IF(CC14=$TK$5,'Tables - Part 3'!$CS$17,IF(COF!CC14=COF!$TK$6,IF(COF!GH14&lt;'Tables - Part 3'!$CQ$5,'Tables - Part 3'!$CS$5,IF(GH14&gt;='Tables - Part 3'!$CQ$16,'Tables - Part 3'!$CS$16,((COF!GH14-COF!IH14)*(INDEX('Tables - Part 3'!$CS$5:$CS$16,MATCH(COF!IL14,'Tables - Part 3'!$CQ$5:$CQ$16,0))-INDEX('Tables - Part 3'!$CS$5:$CS$16,MATCH(COF!IH14,'Tables - Part 3'!$CQ$5:$CQ$16,0)))/(IL14-IH14)+INDEX('Tables - Part 3'!$CS$5:$CS$16,MATCH(COF!IH14,'Tables - Part 3'!$CQ$5:$CQ$16,0)))))))</f>
        <v>#N/A</v>
      </c>
      <c r="IU14" s="151" t="e">
        <f>IF(CD14=$TK$5,'Tables - Part 3'!$CS$17,IF(COF!CD14=COF!$TK$6,IF(COF!GI14&lt;'Tables - Part 3'!$CQ$5,'Tables - Part 3'!$CS$5,IF(GI14&gt;='Tables - Part 3'!$CQ$16,'Tables - Part 3'!$CS$16,((COF!GI14-COF!II14)*(INDEX('Tables - Part 3'!$CS$5:$CS$16,MATCH(COF!IM14,'Tables - Part 3'!$CQ$5:$CQ$16,0))-INDEX('Tables - Part 3'!$CS$5:$CS$16,MATCH(COF!II14,'Tables - Part 3'!$CQ$5:$CQ$16,0)))/(IM14-II14)+INDEX('Tables - Part 3'!$CS$5:$CS$16,MATCH(COF!II14,'Tables - Part 3'!$CQ$5:$CQ$16,0)))))))</f>
        <v>#N/A</v>
      </c>
      <c r="IV14" s="151">
        <f t="shared" si="277"/>
        <v>0</v>
      </c>
      <c r="IW14" s="151">
        <f t="shared" si="87"/>
        <v>0</v>
      </c>
      <c r="IX14" s="151">
        <f t="shared" si="88"/>
        <v>0</v>
      </c>
      <c r="IY14" s="151">
        <f t="shared" si="89"/>
        <v>0</v>
      </c>
      <c r="IZ14" s="151">
        <f t="shared" si="278"/>
        <v>0</v>
      </c>
      <c r="JA14" s="151">
        <f t="shared" si="91"/>
        <v>0</v>
      </c>
      <c r="JB14" s="151">
        <f t="shared" si="92"/>
        <v>0</v>
      </c>
      <c r="JC14" s="151">
        <f t="shared" si="93"/>
        <v>0</v>
      </c>
      <c r="JD14" s="151" t="e">
        <f t="shared" si="94"/>
        <v>#N/A</v>
      </c>
      <c r="JE14" s="151" t="e">
        <f t="shared" si="95"/>
        <v>#N/A</v>
      </c>
      <c r="JF14" s="151" t="e">
        <f t="shared" si="96"/>
        <v>#N/A</v>
      </c>
      <c r="JG14" s="151" t="e">
        <f t="shared" si="97"/>
        <v>#N/A</v>
      </c>
      <c r="JH14" s="151" t="e">
        <f>IF(CA14=$TK$5,'Tables - Part 3'!$CT$17,IF(COF!CA14=COF!$TK$6,IF(COF!GF14&lt;'Tables - Part 3'!$CQ$5,'Tables - Part 3'!$CT$5,IF(GF14&gt;='Tables - Part 3'!$CQ$16,'Tables - Part 3'!$CT$16,((COF!GF14-COF!IF14)*(INDEX('Tables - Part 3'!$CT$5:$CT$16,MATCH(COF!IJ14,'Tables - Part 3'!$CQ$5:$CQ$16,0))-INDEX('Tables - Part 3'!$CT$5:$CT$16,MATCH(COF!IF14,'Tables - Part 3'!$CQ$5:$CQ$16,0)))/(IJ14-IF14)+INDEX('Tables - Part 3'!$CT$5:$CT$16,MATCH(COF!IF14,'Tables - Part 3'!$CQ$5:$CQ$16,0)))))))</f>
        <v>#N/A</v>
      </c>
      <c r="JI14" s="151" t="e">
        <f>IF(CB14=$TK$5,'Tables - Part 3'!$CT$17,IF(COF!CB14=COF!$TK$6,IF(COF!GG14&lt;'Tables - Part 3'!$CQ$5,'Tables - Part 3'!$CT$5,IF(GG14&gt;='Tables - Part 3'!$CQ$16,'Tables - Part 3'!$CT$16,((COF!GG14-COF!IG14)*(INDEX('Tables - Part 3'!$CT$5:$CT$16,MATCH(COF!IK14,'Tables - Part 3'!$CQ$5:$CQ$16,0))-INDEX('Tables - Part 3'!$CT$5:$CT$16,MATCH(COF!IG14,'Tables - Part 3'!$CQ$5:$CQ$16,0)))/(IK14-IG14)+INDEX('Tables - Part 3'!$CT$5:$CT$16,MATCH(COF!IG14,'Tables - Part 3'!$CQ$5:$CQ$16,0)))))))</f>
        <v>#N/A</v>
      </c>
      <c r="JJ14" s="151" t="e">
        <f>IF(CC14=$TK$5,'Tables - Part 3'!$CT$17,IF(COF!CC14=COF!$TK$6,IF(COF!GH14&lt;'Tables - Part 3'!$CQ$5,'Tables - Part 3'!$CT$5,IF(GH14&gt;='Tables - Part 3'!$CQ$16,'Tables - Part 3'!$CT$16,((COF!GH14-COF!IH14)*(INDEX('Tables - Part 3'!$CT$5:$CT$16,MATCH(COF!IL14,'Tables - Part 3'!$CQ$5:$CQ$16,0))-INDEX('Tables - Part 3'!$CT$5:$CT$16,MATCH(COF!IH14,'Tables - Part 3'!$CQ$5:$CQ$16,0)))/(IL14-IH14)+INDEX('Tables - Part 3'!$CT$5:$CT$16,MATCH(COF!IH14,'Tables - Part 3'!$CQ$5:$CQ$16,0)))))))</f>
        <v>#N/A</v>
      </c>
      <c r="JK14" s="151" t="e">
        <f>IF(CD14=$TK$5,'Tables - Part 3'!$CT$17,IF(COF!CD14=COF!$TK$6,IF(COF!GI14&lt;'Tables - Part 3'!$CQ$5,'Tables - Part 3'!$CT$5,IF(GI14&gt;='Tables - Part 3'!$CQ$16,'Tables - Part 3'!$CT$16,((COF!GI14-COF!II14)*(INDEX('Tables - Part 3'!$CT$5:$CT$16,MATCH(COF!IM14,'Tables - Part 3'!$CQ$5:$CQ$16,0))-INDEX('Tables - Part 3'!$CT$5:$CT$16,MATCH(COF!II14,'Tables - Part 3'!$CQ$5:$CQ$16,0)))/(IM14-II14)+INDEX('Tables - Part 3'!$CT$5:$CT$16,MATCH(COF!II14,'Tables - Part 3'!$CQ$5:$CQ$16,0)))))))</f>
        <v>#N/A</v>
      </c>
      <c r="JL14" s="151" t="e">
        <f>IF(CA14=$TK$5,'Tables - Part 3'!$CU$17,IF(COF!CA14=COF!$TK$6,IF(COF!GF14&lt;'Tables - Part 3'!$CQ$5,'Tables - Part 3'!$CU$5,IF(GF14&gt;='Tables - Part 3'!$CQ$16,'Tables - Part 3'!$CU$16,((COF!GF14-COF!IF14)*(INDEX('Tables - Part 3'!$CU$5:$CU$16,MATCH(COF!IJ14,'Tables - Part 3'!$CQ$5:$CQ$16,0))-INDEX('Tables - Part 3'!$CU$5:$CU$16,MATCH(COF!IF14,'Tables - Part 3'!$CQ$5:$CQ$16,0)))/(IJ14-IF14)+INDEX('Tables - Part 3'!$CU$5:$CU$16,MATCH(COF!IF14,'Tables - Part 3'!$CQ$5:$CQ$16,0)))))))</f>
        <v>#N/A</v>
      </c>
      <c r="JM14" s="151" t="e">
        <f>IF(CB14=$TK$5,'Tables - Part 3'!$CU$17,IF(COF!CB14=COF!$TK$6,IF(COF!GG14&lt;'Tables - Part 3'!$CQ$5,'Tables - Part 3'!$CU$5,IF(GG14&gt;='Tables - Part 3'!$CQ$16,'Tables - Part 3'!$CU$16,((COF!GG14-COF!IG14)*(INDEX('Tables - Part 3'!$CU$5:$CU$16,MATCH(COF!IK14,'Tables - Part 3'!$CQ$5:$CQ$16,0))-INDEX('Tables - Part 3'!$CU$5:$CU$16,MATCH(COF!IG14,'Tables - Part 3'!$CQ$5:$CQ$16,0)))/(IK14-IG14)+INDEX('Tables - Part 3'!$CU$5:$CU$16,MATCH(COF!IG14,'Tables - Part 3'!$CQ$5:$CQ$16,0)))))))</f>
        <v>#N/A</v>
      </c>
      <c r="JN14" s="151" t="e">
        <f>IF(CC14=$TK$5,'Tables - Part 3'!$CU$17,IF(COF!CC14=COF!$TK$6,IF(COF!GH14&lt;'Tables - Part 3'!$CQ$5,'Tables - Part 3'!$CU$5,IF(GH14&gt;='Tables - Part 3'!$CQ$16,'Tables - Part 3'!$CU$16,((COF!GH14-COF!IH14)*(INDEX('Tables - Part 3'!$CU$5:$CU$16,MATCH(COF!IL14,'Tables - Part 3'!$CQ$5:$CQ$16,0))-INDEX('Tables - Part 3'!$CU$5:$CU$16,MATCH(COF!IH14,'Tables - Part 3'!$CQ$5:$CQ$16,0)))/(IL14-IH14)+INDEX('Tables - Part 3'!$CU$5:$CU$16,MATCH(COF!IH14,'Tables - Part 3'!$CQ$5:$CQ$16,0)))))))</f>
        <v>#N/A</v>
      </c>
      <c r="JO14" s="151" t="e">
        <f>IF(CD14=$TK$5,'Tables - Part 3'!$CU$17,IF(COF!CD14=COF!$TK$6,IF(COF!GI14&lt;'Tables - Part 3'!$CQ$5,'Tables - Part 3'!$CU$5,IF(GI14&gt;='Tables - Part 3'!$CQ$16,'Tables - Part 3'!$CU$16,((COF!GI14-COF!II14)*(INDEX('Tables - Part 3'!$CU$5:$CU$16,MATCH(COF!IM14,'Tables - Part 3'!$CQ$5:$CQ$16,0))-INDEX('Tables - Part 3'!$CU$5:$CU$16,MATCH(COF!II14,'Tables - Part 3'!$CQ$5:$CQ$16,0)))/(IM14-II14)+INDEX('Tables - Part 3'!$CU$5:$CU$16,MATCH(COF!II14,'Tables - Part 3'!$CQ$5:$CQ$16,0)))))))</f>
        <v>#N/A</v>
      </c>
      <c r="JP14" s="282"/>
      <c r="JQ14" s="151">
        <f t="shared" si="279"/>
        <v>0</v>
      </c>
      <c r="JR14" s="151">
        <f t="shared" si="99"/>
        <v>0</v>
      </c>
      <c r="JS14" s="151">
        <f t="shared" si="100"/>
        <v>0</v>
      </c>
      <c r="JT14" s="151">
        <f t="shared" si="101"/>
        <v>0</v>
      </c>
      <c r="JU14" s="151" t="e">
        <f t="shared" si="204"/>
        <v>#N/A</v>
      </c>
      <c r="JV14" s="151" t="e">
        <f t="shared" si="205"/>
        <v>#N/A</v>
      </c>
      <c r="JW14" s="151" t="e">
        <f t="shared" si="206"/>
        <v>#N/A</v>
      </c>
      <c r="JX14" s="151" t="e">
        <f t="shared" si="207"/>
        <v>#N/A</v>
      </c>
      <c r="JY14" s="152" t="e">
        <f>IF(GF14&lt;'Tables - Part 3'!$CY$6,0,LOOKUP(GF14,'Tables - Part 3'!$CY$6:$CY$11))</f>
        <v>#N/A</v>
      </c>
      <c r="JZ14" s="152" t="e">
        <f>IF(GG14&lt;'Tables - Part 3'!$CY$6,0,LOOKUP(GG14,'Tables - Part 3'!$CY$6:$CY$11))</f>
        <v>#N/A</v>
      </c>
      <c r="KA14" s="152" t="e">
        <f>IF(GH14&lt;'Tables - Part 3'!$CY$6,0,LOOKUP(GH14,'Tables - Part 3'!$CY$6:$CY$11))</f>
        <v>#N/A</v>
      </c>
      <c r="KB14" s="152" t="e">
        <f>IF(GI14&lt;'Tables - Part 3'!$CY$6,0,LOOKUP(GI14,'Tables - Part 3'!$CY$6:$CY$11))</f>
        <v>#N/A</v>
      </c>
      <c r="KC14" s="152" t="e">
        <f>IF(GF14&lt;'Tables - Part 3'!$CY$6,'Tables - Part 3'!$CY$6,IF(COF!GF14&lt;'Tables - Part 3'!$CY$7,'Tables - Part 3'!$CY$7,IF(COF!GF14&lt;'Tables - Part 3'!$CY$8,'Tables - Part 3'!$CY$8,IF(COF!GF14&lt;'Tables - Part 3'!$CY$9,'Tables - Part 3'!$CY$9,IF(COF!GF14&lt;'Tables - Part 3'!$CY$10,'Tables - Part 3'!$CY$10,IF(COF!GF14&lt;'Tables - Part 3'!$CY$11,'Tables - Part 3'!$CY$11))))))</f>
        <v>#N/A</v>
      </c>
      <c r="KD14" s="152" t="e">
        <f>IF(GG14&lt;'Tables - Part 3'!$CY$6,'Tables - Part 3'!$CY$6,IF(COF!GG14&lt;'Tables - Part 3'!$CY$7,'Tables - Part 3'!$CY$7,IF(COF!GG14&lt;'Tables - Part 3'!$CY$8,'Tables - Part 3'!$CY$8,IF(COF!GG14&lt;'Tables - Part 3'!$CY$9,'Tables - Part 3'!$CY$9,IF(COF!GG14&lt;'Tables - Part 3'!$CY$10,'Tables - Part 3'!$CY$10,IF(COF!GG14&lt;'Tables - Part 3'!$CY$11,'Tables - Part 3'!$CY$11))))))</f>
        <v>#N/A</v>
      </c>
      <c r="KE14" s="152" t="e">
        <f>IF(GH14&lt;'Tables - Part 3'!$CY$6,'Tables - Part 3'!$CY$6,IF(COF!GH14&lt;'Tables - Part 3'!$CY$7,'Tables - Part 3'!$CY$7,IF(COF!GH14&lt;'Tables - Part 3'!$CY$8,'Tables - Part 3'!$CY$8,IF(COF!GH14&lt;'Tables - Part 3'!$CY$9,'Tables - Part 3'!$CY$9,IF(COF!GH14&lt;'Tables - Part 3'!$CY$10,'Tables - Part 3'!$CY$10,IF(COF!GH14&lt;'Tables - Part 3'!$CY$11,'Tables - Part 3'!$CY$11))))))</f>
        <v>#N/A</v>
      </c>
      <c r="KF14" s="152" t="e">
        <f>IF(GI14&lt;'Tables - Part 3'!$CY$6,'Tables - Part 3'!$CY$6,IF(COF!GI14&lt;'Tables - Part 3'!$CY$7,'Tables - Part 3'!$CY$7,IF(COF!GI14&lt;'Tables - Part 3'!$CY$8,'Tables - Part 3'!$CY$8,IF(COF!GI14&lt;'Tables - Part 3'!$CY$9,'Tables - Part 3'!$CY$9,IF(COF!GI14&lt;'Tables - Part 3'!$CY$10,'Tables - Part 3'!$CY$10,IF(COF!GI14&lt;'Tables - Part 3'!$CY$11,'Tables - Part 3'!$CY$11))))))</f>
        <v>#N/A</v>
      </c>
      <c r="KG14" s="151" t="e">
        <f>IF(CA14=$TK$5,'Tables - Part 3'!$CZ$6,IF(COF!CA14=COF!$TK$6,IF(COF!GF14&lt;'Tables - Part 3'!$CY$6,'Tables - Part 3'!$CZ$6,IF(GF14&gt;='Tables - Part 3'!$CY$11,'Tables - Part 3'!$CZ$11,((COF!GF14-COF!JY14)*(INDEX('Tables - Part 3'!$CZ$6:$CZ$11,MATCH(COF!KC14,'Tables - Part 3'!$CY$6:$CY$11,0))-INDEX('Tables - Part 3'!$CZ$6:$CZ$11,MATCH(COF!JY14,'Tables - Part 3'!$CY$6:$CY$11,0)))/(KC14-JY14)+INDEX('Tables - Part 3'!$CZ$6:$CZ$11,MATCH(COF!JY14,'Tables - Part 3'!$CY$6:$CY$11,0)))))))</f>
        <v>#N/A</v>
      </c>
      <c r="KH14" s="151" t="e">
        <f>IF(CB14=$TK$5,'Tables - Part 3'!$CZ$6,IF(COF!CB14=COF!$TK$6,IF(COF!GG14&lt;'Tables - Part 3'!$CY$6,'Tables - Part 3'!$CZ$6,IF(GG14&gt;='Tables - Part 3'!$CY$11,'Tables - Part 3'!$CZ$11,((COF!GG14-COF!JZ14)*(INDEX('Tables - Part 3'!$CZ$6:$CZ$11,MATCH(COF!KD14,'Tables - Part 3'!$CY$6:$CY$11,0))-INDEX('Tables - Part 3'!$CZ$6:$CZ$11,MATCH(COF!JZ14,'Tables - Part 3'!$CY$6:$CY$11,0)))/(KD14-JZ14)+INDEX('Tables - Part 3'!$CZ$6:$CZ$11,MATCH(COF!JZ14,'Tables - Part 3'!$CY$6:$CY$11,0)))))))</f>
        <v>#N/A</v>
      </c>
      <c r="KI14" s="151" t="e">
        <f>IF(CC14=$TK$5,'Tables - Part 3'!$CZ$6,IF(COF!CC14=COF!$TK$6,IF(COF!GH14&lt;'Tables - Part 3'!$CY$6,'Tables - Part 3'!$CZ$6,IF(GH14&gt;='Tables - Part 3'!$CY$11,'Tables - Part 3'!$CZ$11,((COF!GH14-COF!KA14)*(INDEX('Tables - Part 3'!$CZ$6:$CZ$11,MATCH(COF!KE14,'Tables - Part 3'!$CY$6:$CY$11,0))-INDEX('Tables - Part 3'!$CZ$6:$CZ$11,MATCH(COF!KA14,'Tables - Part 3'!$CY$6:$CY$11,0)))/(KE14-KA14)+INDEX('Tables - Part 3'!$CZ$6:$CZ$11,MATCH(COF!KA14,'Tables - Part 3'!$CY$6:$CY$11,0)))))))</f>
        <v>#N/A</v>
      </c>
      <c r="KJ14" s="151" t="e">
        <f>IF(CD14=$TK$5,'Tables - Part 3'!$CZ$6,IF(COF!CD14=COF!$TK$6,IF(COF!GI14&lt;'Tables - Part 3'!$CY$6,'Tables - Part 3'!$CZ$6,IF(GI14&gt;='Tables - Part 3'!$CY$11,'Tables - Part 3'!$CZ$11,((COF!GI14-COF!KB14)*(INDEX('Tables - Part 3'!$CZ$6:$CZ$11,MATCH(COF!KF14,'Tables - Part 3'!$CY$6:$CY$11,0))-INDEX('Tables - Part 3'!$CZ$6:$CZ$11,MATCH(COF!KB14,'Tables - Part 3'!$CY$6:$CY$11,0)))/(KF14-KB14)+INDEX('Tables - Part 3'!$CZ$6:$CZ$11,MATCH(COF!KB14,'Tables - Part 3'!$CY$6:$CY$11,0)))))))</f>
        <v>#N/A</v>
      </c>
      <c r="KK14" s="153" t="e">
        <f>IF(CA14=$TK$5,'Tables - Part 3'!$DA$6,IF(COF!CA14=COF!$TK$6,IF(COF!GF14&lt;'Tables - Part 3'!$CY$6,'Tables - Part 3'!$DA$6,IF(GF14&gt;='Tables - Part 3'!$CY$11,'Tables - Part 3'!$DA$11,((COF!GF14-COF!JY14)*(INDEX('Tables - Part 3'!$DA$6:$DA$11,MATCH(COF!KC14,'Tables - Part 3'!$CY$6:$CY$11,0))-INDEX('Tables - Part 3'!$DA$6:$DA$11,MATCH(COF!JY14,'Tables - Part 3'!$CY$6:$CY$11,0)))/(KC14-JY14)+INDEX('Tables - Part 3'!$DA$6:$DA$16,MATCH(COF!JY14,'Tables - Part 3'!$CY$6:$CY$11,0)))))))</f>
        <v>#N/A</v>
      </c>
      <c r="KL14" s="153" t="e">
        <f>IF(CB14=$TK$5,'Tables - Part 3'!$DA$6,IF(COF!CB14=COF!$TK$6,IF(COF!GG14&lt;'Tables - Part 3'!$CY$6,'Tables - Part 3'!$DA$6,IF(GG14&gt;='Tables - Part 3'!$CY$11,'Tables - Part 3'!$DA$11,((COF!GG14-COF!JZ14)*(INDEX('Tables - Part 3'!$DA$6:$DA$11,MATCH(COF!KD14,'Tables - Part 3'!$CY$6:$CY$11,0))-INDEX('Tables - Part 3'!$DA$6:$DA$11,MATCH(COF!JZ14,'Tables - Part 3'!$CY$6:$CY$11,0)))/(KD14-JZ14)+INDEX('Tables - Part 3'!$DA$6:$DA$16,MATCH(COF!JZ14,'Tables - Part 3'!$CY$6:$CY$11,0)))))))</f>
        <v>#N/A</v>
      </c>
      <c r="KM14" s="153" t="e">
        <f>IF(CC14=$TK$5,'Tables - Part 3'!$DA$6,IF(COF!CC14=COF!$TK$6,IF(COF!GH14&lt;'Tables - Part 3'!$CY$6,'Tables - Part 3'!$DA$6,IF(GH14&gt;='Tables - Part 3'!$CY$11,'Tables - Part 3'!$DA$11,((COF!GH14-COF!KA14)*(INDEX('Tables - Part 3'!$DA$6:$DA$11,MATCH(COF!KE14,'Tables - Part 3'!$CY$6:$CY$11,0))-INDEX('Tables - Part 3'!$DA$6:$DA$11,MATCH(COF!KA14,'Tables - Part 3'!$CY$6:$CY$11,0)))/(KE14-KA14)+INDEX('Tables - Part 3'!$DA$6:$DA$16,MATCH(COF!KA14,'Tables - Part 3'!$CY$6:$CY$11,0)))))))</f>
        <v>#N/A</v>
      </c>
      <c r="KN14" s="153" t="e">
        <f>IF(CD14=$TK$5,'Tables - Part 3'!$DA$6,IF(COF!CD14=COF!$TK$6,IF(COF!GI14&lt;'Tables - Part 3'!$CY$6,'Tables - Part 3'!$DA$6,IF(GI14&gt;='Tables - Part 3'!$CY$11,'Tables - Part 3'!$DA$11,((COF!GI14-COF!KB14)*(INDEX('Tables - Part 3'!$DA$6:$DA$11,MATCH(COF!KF14,'Tables - Part 3'!$CY$6:$CY$11,0))-INDEX('Tables - Part 3'!$DA$6:$DA$11,MATCH(COF!KB14,'Tables - Part 3'!$CY$6:$CY$11,0)))/(KF14-KB14)+INDEX('Tables - Part 3'!$DA$6:$DA$16,MATCH(COF!KB14,'Tables - Part 3'!$CY$6:$CY$11,0)))))))</f>
        <v>#N/A</v>
      </c>
      <c r="KO14" s="153">
        <f t="shared" si="280"/>
        <v>0</v>
      </c>
      <c r="KP14" s="153">
        <f t="shared" si="103"/>
        <v>0</v>
      </c>
      <c r="KQ14" s="153">
        <f t="shared" si="104"/>
        <v>0</v>
      </c>
      <c r="KR14" s="153">
        <f t="shared" si="105"/>
        <v>0</v>
      </c>
      <c r="KS14" s="151" t="e">
        <f t="shared" si="208"/>
        <v>#N/A</v>
      </c>
      <c r="KT14" s="151" t="e">
        <f t="shared" si="209"/>
        <v>#N/A</v>
      </c>
      <c r="KU14" s="151" t="e">
        <f t="shared" si="210"/>
        <v>#N/A</v>
      </c>
      <c r="KV14" s="151" t="e">
        <f t="shared" si="211"/>
        <v>#N/A</v>
      </c>
      <c r="KW14" s="151" t="e">
        <f>IF(CA14=$TK$5,'Tables - Part 3'!$CZ$12,IF(COF!CA14=COF!$TK$6,IF(COF!GF14&lt;'Tables - Part 3'!$CY$12,'Tables - Part 3'!$CZ$12,IF(GF14&gt;='Tables - Part 3'!$CY$17,'Tables - Part 3'!$CZ$17,((COF!GF14-COF!JY14)*(INDEX('Tables - Part 3'!$CZ$12:$CZ$17,MATCH(COF!KC14,'Tables - Part 3'!$CY$12:$CY$17,0))-INDEX('Tables - Part 3'!$CZ$12:$CZ$17,MATCH(COF!JY14,'Tables - Part 3'!$CY$12:$CY$17,0)))/(KC14-JY14)+INDEX('Tables - Part 3'!$CZ$12:$CZ$17,MATCH(COF!JY14,'Tables - Part 3'!$CY$12:$CY$17,0)))))))</f>
        <v>#N/A</v>
      </c>
      <c r="KX14" s="151" t="e">
        <f>IF(CB14=$TK$5,'Tables - Part 3'!$CZ$12,IF(COF!CB14=COF!$TK$6,IF(COF!GG14&lt;'Tables - Part 3'!$CY$12,'Tables - Part 3'!$CZ$12,IF(GG14&gt;='Tables - Part 3'!$CY$17,'Tables - Part 3'!$CZ$17,((COF!GG14-COF!JZ14)*(INDEX('Tables - Part 3'!$CZ$12:$CZ$17,MATCH(COF!KD14,'Tables - Part 3'!$CY$12:$CY$17,0))-INDEX('Tables - Part 3'!$CZ$12:$CZ$17,MATCH(COF!JZ14,'Tables - Part 3'!$CY$12:$CY$17,0)))/(KD14-JZ14)+INDEX('Tables - Part 3'!$CZ$12:$CZ$17,MATCH(COF!JZ14,'Tables - Part 3'!$CY$12:$CY$17,0)))))))</f>
        <v>#N/A</v>
      </c>
      <c r="KY14" s="151" t="e">
        <f>IF(CC14=$TK$5,'Tables - Part 3'!$CZ$12,IF(COF!CC14=COF!$TK$6,IF(COF!GH14&lt;'Tables - Part 3'!$CY$12,'Tables - Part 3'!$CZ$12,IF(GH14&gt;='Tables - Part 3'!$CY$17,'Tables - Part 3'!$CZ$17,((COF!GH14-COF!KA14)*(INDEX('Tables - Part 3'!$CZ$12:$CZ$17,MATCH(COF!KE14,'Tables - Part 3'!$CY$12:$CY$17,0))-INDEX('Tables - Part 3'!$CZ$12:$CZ$17,MATCH(COF!KA14,'Tables - Part 3'!$CY$12:$CY$17,0)))/(KE14-KA14)+INDEX('Tables - Part 3'!$CZ$12:$CZ$17,MATCH(COF!KA14,'Tables - Part 3'!$CY$12:$CY$17,0)))))))</f>
        <v>#N/A</v>
      </c>
      <c r="KZ14" s="151" t="e">
        <f>IF(CD14=$TK$5,'Tables - Part 3'!$CZ$12,IF(COF!CD14=COF!$TK$6,IF(COF!GI14&lt;'Tables - Part 3'!$CY$12,'Tables - Part 3'!$CZ$12,IF(GI14&gt;='Tables - Part 3'!$CY$17,'Tables - Part 3'!$CZ$17,((COF!GI14-COF!KB14)*(INDEX('Tables - Part 3'!$CZ$12:$CZ$17,MATCH(COF!KF14,'Tables - Part 3'!$CY$12:$CY$17,0))-INDEX('Tables - Part 3'!$CZ$12:$CZ$17,MATCH(COF!KB14,'Tables - Part 3'!$CY$12:$CY$17,0)))/(KF14-KB14)+INDEX('Tables - Part 3'!$CZ$12:$CZ$17,MATCH(COF!KB14,'Tables - Part 3'!$CY$12:$CY$17,0)))))))</f>
        <v>#N/A</v>
      </c>
      <c r="LA14" s="151" t="e">
        <f>IF(CA14=$TK$5,'Tables - Part 3'!$DA$6,IF(COF!CA14=COF!$TK$6,IF(COF!GF14&lt;'Tables - Part 3'!$CY$6,'Tables - Part 3'!$DA$6,IF(GF14&gt;='Tables - Part 3'!$CY$11,'Tables - Part 3'!$DA$11,((COF!GF14-COF!JY14)*(INDEX('Tables - Part 3'!$DA$6:$DA$11,MATCH(COF!KC14,'Tables - Part 3'!$CY$6:$CY$11,0))-INDEX('Tables - Part 3'!$DA$6:$DA$11,MATCH(COF!JY14,'Tables - Part 3'!$CY$6:$CY$11,0)))/(KC14-JY14)+INDEX('Tables - Part 3'!$DA$5:$DA$16,MATCH(COF!JY14,'Tables - Part 3'!$CY$6:$CY$11,0)))))))</f>
        <v>#N/A</v>
      </c>
      <c r="LB14" s="151" t="e">
        <f>IF(CB14=$TK$5,'Tables - Part 3'!$DA$6,IF(COF!CB14=COF!$TK$6,IF(COF!GG14&lt;'Tables - Part 3'!$CY$6,'Tables - Part 3'!$DA$6,IF(GG14&gt;='Tables - Part 3'!$CY$11,'Tables - Part 3'!$DA$11,((COF!GG14-COF!JZ14)*(INDEX('Tables - Part 3'!$DA$6:$DA$11,MATCH(COF!KD14,'Tables - Part 3'!$CY$6:$CY$11,0))-INDEX('Tables - Part 3'!$DA$6:$DA$11,MATCH(COF!JZ14,'Tables - Part 3'!$CY$6:$CY$11,0)))/(KD14-JZ14)+INDEX('Tables - Part 3'!$DA$5:$DA$16,MATCH(COF!JZ14,'Tables - Part 3'!$CY$6:$CY$11,0)))))))</f>
        <v>#N/A</v>
      </c>
      <c r="LC14" s="151" t="e">
        <f>IF(CC14=$TK$5,'Tables - Part 3'!$DA$6,IF(COF!CC14=COF!$TK$6,IF(COF!GH14&lt;'Tables - Part 3'!$CY$6,'Tables - Part 3'!$DA$6,IF(GH14&gt;='Tables - Part 3'!$CY$11,'Tables - Part 3'!$DA$11,((COF!GH14-COF!KA14)*(INDEX('Tables - Part 3'!$DA$6:$DA$11,MATCH(COF!KE14,'Tables - Part 3'!$CY$6:$CY$11,0))-INDEX('Tables - Part 3'!$DA$6:$DA$11,MATCH(COF!KA14,'Tables - Part 3'!$CY$6:$CY$11,0)))/(KE14-KA14)+INDEX('Tables - Part 3'!$DA$5:$DA$16,MATCH(COF!KA14,'Tables - Part 3'!$CY$6:$CY$11,0)))))))</f>
        <v>#N/A</v>
      </c>
      <c r="LD14" s="151" t="e">
        <f>IF(CD14=$TK$5,'Tables - Part 3'!$DA$6,IF(COF!CD14=COF!$TK$6,IF(COF!GI14&lt;'Tables - Part 3'!$CY$6,'Tables - Part 3'!$DA$6,IF(GI14&gt;='Tables - Part 3'!$CY$11,'Tables - Part 3'!$DA$11,((COF!GI14-COF!KB14)*(INDEX('Tables - Part 3'!$DA$6:$DA$11,MATCH(COF!KF14,'Tables - Part 3'!$CY$6:$CY$11,0))-INDEX('Tables - Part 3'!$DA$6:$DA$11,MATCH(COF!KB14,'Tables - Part 3'!$CY$6:$CY$11,0)))/(KF14-KB14)+INDEX('Tables - Part 3'!$DA$5:$DA$16,MATCH(COF!KB14,'Tables - Part 3'!$CY$6:$CY$11,0)))))))</f>
        <v>#N/A</v>
      </c>
      <c r="LE14" s="154"/>
      <c r="LF14" s="154"/>
      <c r="LG14" s="154"/>
      <c r="LH14" s="154"/>
      <c r="LI14" s="154"/>
      <c r="LJ14" s="154"/>
      <c r="LK14" s="154"/>
      <c r="LL14" s="151" t="e">
        <f t="shared" si="212"/>
        <v>#N/A</v>
      </c>
      <c r="LM14" s="151" t="e">
        <f t="shared" si="213"/>
        <v>#N/A</v>
      </c>
      <c r="LN14" s="151" t="e">
        <f t="shared" si="214"/>
        <v>#N/A</v>
      </c>
      <c r="LO14" s="151" t="e">
        <f t="shared" si="215"/>
        <v>#N/A</v>
      </c>
      <c r="LP14" s="151">
        <f t="shared" si="106"/>
        <v>0</v>
      </c>
      <c r="LQ14" s="502">
        <f>IF($F14='Tables - Part 3'!$B$17,'Tables - Part 3.B'!$C$11*COF!CJ14,0)</f>
        <v>0</v>
      </c>
      <c r="LR14" s="502">
        <f>IF($F14='Tables - Part 3'!$B$17,'Tables - Part 3.B'!$C$11*COF!CK14,0)</f>
        <v>0</v>
      </c>
      <c r="LS14" s="502">
        <f>IF($F14='Tables - Part 3'!$B$17,'Tables - Part 3.B'!$C$11*COF!CL14,0)</f>
        <v>0</v>
      </c>
      <c r="LT14" s="502">
        <f>IF($F14='Tables - Part 3'!$B$17,'Tables - Part 3.B'!$C$11*COF!CM14,0)</f>
        <v>0</v>
      </c>
      <c r="LU14" s="502">
        <f>IF($F14='Tables - Part 3'!$B$17,'Tables - Part 3.B'!$C$12*POWER(COF!CR14,0.6384),0)</f>
        <v>0</v>
      </c>
      <c r="LV14" s="502">
        <f>IF($F14='Tables - Part 3'!$B$17,'Tables - Part 3.B'!$C$12*POWER(COF!CS14,0.6384),0)</f>
        <v>0</v>
      </c>
      <c r="LW14" s="502">
        <f>IF($F14='Tables - Part 3'!$B$17,'Tables - Part 3.B'!$C$12*POWER(COF!CT14,0.6384),0)</f>
        <v>0</v>
      </c>
      <c r="LX14" s="502">
        <f>IF($F14='Tables - Part 3'!$B$17,'Tables - Part 3.B'!$C$12*POWER(COF!CU14,0.6384),0)</f>
        <v>0</v>
      </c>
      <c r="LY14" s="151" t="e">
        <f>MIN(CJ14/'Tables - Part 3.B'!$C$8,1)</f>
        <v>#N/A</v>
      </c>
      <c r="LZ14" s="151" t="e">
        <f>MIN(CK14/'Tables - Part 3.B'!$C$8,1)</f>
        <v>#N/A</v>
      </c>
      <c r="MA14" s="151" t="e">
        <f>MIN(CL14/'Tables - Part 3.B'!$C$8,1)</f>
        <v>#N/A</v>
      </c>
      <c r="MB14" s="151" t="e">
        <f>MIN(CM14/'Tables - Part 3.B'!$C$8,1)</f>
        <v>#N/A</v>
      </c>
      <c r="MC14" s="151" t="e">
        <f t="shared" si="216"/>
        <v>#N/A</v>
      </c>
      <c r="MD14" s="151" t="e">
        <f t="shared" si="107"/>
        <v>#N/A</v>
      </c>
      <c r="ME14" s="151" t="e">
        <f t="shared" si="107"/>
        <v>#N/A</v>
      </c>
      <c r="MF14" s="151" t="e">
        <f t="shared" si="107"/>
        <v>#N/A</v>
      </c>
      <c r="MG14" s="502">
        <f>IF($F14='Tables - Part 3'!$B$18,0.2*'Tables - Part 3.B'!$C$10*$ML14*POWER('Tables - Part 3.B'!$C$7*CJ14,$MM14),0)</f>
        <v>0</v>
      </c>
      <c r="MH14" s="502">
        <f>IF($F14='Tables - Part 3'!$B$18,0.2*'Tables - Part 3.B'!$C$10*$ML14*POWER('Tables - Part 3.B'!$C$7*CK14,$MM14),0)</f>
        <v>0</v>
      </c>
      <c r="MI14" s="502">
        <f>IF($F14='Tables - Part 3'!$B$18,0.2*'Tables - Part 3.B'!$C$10*$ML14*POWER('Tables - Part 3.B'!$C$7*CL14,$MM14),0)</f>
        <v>0</v>
      </c>
      <c r="MJ14" s="502">
        <f>IF($F14='Tables - Part 3'!$B$18,0.2*'Tables - Part 3.B'!$C$10*$ML14*POWER('Tables - Part 3.B'!$C$7*CM14,$MM14),0)</f>
        <v>0</v>
      </c>
      <c r="MK14" s="151">
        <v>0</v>
      </c>
      <c r="ML14" s="151" t="e">
        <f>2696-21.9*'Tables - Part 3.B'!$C$13*(COF!OO14-COF!$TM$5)+1.474*POWER('Tables - Part 3.B'!$C$13*(COF!OO14-COF!$TM$5),2)</f>
        <v>#VALUE!</v>
      </c>
      <c r="MM14" s="151" t="e">
        <f>0.31-0.00032*POWER('Tables - Part 3.B'!$C$13*(COF!OO14-COF!$TM$5)-40,2)</f>
        <v>#VALUE!</v>
      </c>
      <c r="MN14" s="151">
        <v>0</v>
      </c>
      <c r="MO14" s="151">
        <f t="shared" si="217"/>
        <v>0</v>
      </c>
      <c r="MP14" s="151">
        <f t="shared" si="108"/>
        <v>0</v>
      </c>
      <c r="MQ14" s="151">
        <f t="shared" si="108"/>
        <v>0</v>
      </c>
      <c r="MR14" s="151">
        <f t="shared" si="108"/>
        <v>0</v>
      </c>
      <c r="MS14" s="151" t="e">
        <f t="shared" si="218"/>
        <v>#N/A</v>
      </c>
      <c r="MT14" s="151" t="e">
        <f t="shared" si="219"/>
        <v>#N/A</v>
      </c>
      <c r="MU14" s="151" t="e">
        <f t="shared" si="220"/>
        <v>#N/A</v>
      </c>
      <c r="MV14" s="151" t="e">
        <f t="shared" si="221"/>
        <v>#N/A</v>
      </c>
      <c r="MW14" s="151">
        <f t="shared" si="222"/>
        <v>0</v>
      </c>
      <c r="MX14" s="151">
        <f t="shared" si="223"/>
        <v>0</v>
      </c>
      <c r="MY14" s="151">
        <f t="shared" si="224"/>
        <v>0</v>
      </c>
      <c r="MZ14" s="526">
        <f t="shared" si="109"/>
        <v>0</v>
      </c>
      <c r="NA14" s="151" t="e">
        <f>INDEX('Tables - Part 3'!DQ$5:DQ$32,MATCH($E14,'Tables - Part 3'!$DP$5:$DP$32,0))</f>
        <v>#N/A</v>
      </c>
      <c r="NB14" s="151" t="e">
        <f>INDEX('Tables - Part 3'!DR$5:DR$32,MATCH($E14,'Tables - Part 3'!$DP$5:$DP$32,0))</f>
        <v>#N/A</v>
      </c>
      <c r="NC14" s="151" t="e">
        <f>INDEX('Tables - Part 3'!DS$5:DS$32,MATCH($E14,'Tables - Part 3'!$DP$5:$DP$32,0))</f>
        <v>#N/A</v>
      </c>
      <c r="ND14" s="151" t="e">
        <f>INDEX('Tables - Part 3'!DT$5:DT$32,MATCH($E14,'Tables - Part 3'!$DP$5:$DP$32,0))</f>
        <v>#N/A</v>
      </c>
      <c r="NE14" s="151" t="e">
        <f>IF(W14='Tables - Part 3'!$DV$44,COF!X14,IF(OR(COF!X14&lt;&gt;0,COF!X14&lt;&gt;""),COF!X14,INDEX('Tables - Part 3'!$DW$4:$DW$43,MATCH(COF!W14,'Tables - Part 3'!$DV$4:$DV$43,0))))</f>
        <v>#N/A</v>
      </c>
      <c r="NF14" s="151">
        <f t="shared" si="110"/>
        <v>1</v>
      </c>
      <c r="NG14" s="151" t="e">
        <f t="shared" si="225"/>
        <v>#N/A</v>
      </c>
      <c r="NH14" s="151">
        <f t="shared" si="111"/>
        <v>0</v>
      </c>
      <c r="NI14" s="151" t="e">
        <f>INDEX('Tables - Part 3'!EC$5:EC$31,MATCH(COF!$E14,'Tables - Part 3'!$EB$5:$EB$31,0))</f>
        <v>#N/A</v>
      </c>
      <c r="NJ14" s="151" t="e">
        <f>INDEX('Tables - Part 3'!ED$5:ED$31,MATCH(COF!$E14,'Tables - Part 3'!$EB$5:$EB$31,0))</f>
        <v>#N/A</v>
      </c>
      <c r="NK14" s="151" t="e">
        <f>INDEX('Tables - Part 3'!EE$5:EE$31,MATCH(COF!$E14,'Tables - Part 3'!$EB$5:$EB$31,0))</f>
        <v>#N/A</v>
      </c>
      <c r="NL14" s="151" t="e">
        <f>INDEX('Tables - Part 3'!EF$5:EF$31,MATCH(COF!$E14,'Tables - Part 3'!$EB$5:$EB$31,0))</f>
        <v>#N/A</v>
      </c>
      <c r="NM14" s="151">
        <f t="shared" si="112"/>
        <v>1</v>
      </c>
      <c r="NN14" s="151" t="e">
        <f t="shared" si="226"/>
        <v>#N/A</v>
      </c>
      <c r="NO14" s="151" t="e">
        <f t="shared" si="227"/>
        <v>#NUM!</v>
      </c>
      <c r="NP14" s="151" t="e">
        <f t="shared" si="113"/>
        <v>#N/A</v>
      </c>
      <c r="NQ14" s="151">
        <f t="shared" si="114"/>
        <v>0</v>
      </c>
      <c r="NR14" s="151" t="e">
        <f>INDEX('Tables - Part 3'!$EL$4:$EL$37,MATCH(COF!F14,'Tables - Part 3'!$EH$4:$EH$37,0))</f>
        <v>#N/A</v>
      </c>
      <c r="NS14" s="151" t="e">
        <f>CR14*(1-$NR14)*'Tables - Part 3.B'!$C$15/COF!$AS14</f>
        <v>#N/A</v>
      </c>
      <c r="NT14" s="151" t="e">
        <f>CS14*(1-$NR14)*'Tables - Part 3.B'!$C$15/COF!$AS14</f>
        <v>#N/A</v>
      </c>
      <c r="NU14" s="151" t="e">
        <f>CT14*(1-$NR14)*'Tables - Part 3.B'!$C$15/COF!$AS14</f>
        <v>#N/A</v>
      </c>
      <c r="NV14" s="151" t="e">
        <f>CU14*(1-$NR14)*'Tables - Part 3.B'!$C$15/COF!$AS14</f>
        <v>#N/A</v>
      </c>
      <c r="NW14" s="151" t="e">
        <f t="shared" si="115"/>
        <v>#N/A</v>
      </c>
      <c r="NX14" s="542">
        <f t="shared" si="116"/>
        <v>0</v>
      </c>
      <c r="NY14" s="156" t="e">
        <f>0.61*$ON14*$AS14*(BM14/'Tables - Part 3.B'!$C$4)*SQRT((2*$TM$13*($OO14-$TM$5)/$AS14))</f>
        <v>#N/A</v>
      </c>
      <c r="NZ14" s="155" t="e">
        <f>0.61*$ON14*$AS14*(BN14/'Tables - Part 3.B'!$C$4)*SQRT((2*$TM$13*($OO14-$TM$5)/$AS14))</f>
        <v>#N/A</v>
      </c>
      <c r="OA14" s="155" t="e">
        <f>0.61*$ON14*$AS14*(BO14/'Tables - Part 3.B'!$C$4)*SQRT((2*$TM$13*($OO14-$TM$5)/$AS14))</f>
        <v>#N/A</v>
      </c>
      <c r="OB14" s="155" t="e">
        <f>0.61*$ON14*$AS14*(BP14/'Tables - Part 3.B'!$C$4)*SQRT((2*$TM$13*($OO14-$TM$5)/$AS14))</f>
        <v>#N/A</v>
      </c>
      <c r="OC14" s="155" t="e">
        <f>0.61*$ON14*AS14*(32450/'Tables - Part 3.B'!$C$4)*SQRT((2*$TM$13*(OO14-$TM$5)/AS14))</f>
        <v>#N/A</v>
      </c>
      <c r="OD14" s="156" t="e">
        <f>(0.9/'Tables - Part 3.B'!$C$5)*BM14*$OO14*SQRT(($AV14*$AU14*$TM$13/(8.314*$OP14))*POWER(2/($AV14+1),(($AV14+1)/($AV14-1))))</f>
        <v>#VALUE!</v>
      </c>
      <c r="OE14" s="156" t="e">
        <f>(0.9/'Tables - Part 3.B'!$C$5)*BN14*$OO14*SQRT(($AV14*$AU14*$TM$13/(8.314*$OP14))*POWER(2/($AV14+1),(($AV14+1)/($AV14-1))))</f>
        <v>#VALUE!</v>
      </c>
      <c r="OF14" s="156" t="e">
        <f>(0.9/'Tables - Part 3.B'!$C$5)*BO14*$OO14*SQRT(($AV14*$AU14*$TM$13/(8.314*$OP14))*POWER(2/($AV14+1),(($AV14+1)/($AV14-1))))</f>
        <v>#VALUE!</v>
      </c>
      <c r="OG14" s="156" t="e">
        <f>(0.9/'Tables - Part 3.B'!$C$5)*BP14*$OO14*SQRT(($AV14*$AU14*$TM$13/(8.314*$OP14))*POWER(2/($AV14+1),(($AV14+1)/($AV14-1))))</f>
        <v>#VALUE!</v>
      </c>
      <c r="OH14" s="156" t="e">
        <f>(0.9/'Tables - Part 3.B'!$C$5)*32450*$OO14*SQRT(($AV14*$AU14*$TM$13/(8.314*$OP14))*POWER(2/($AV14+1),(($AV14+1)/($AV14-1))))</f>
        <v>#VALUE!</v>
      </c>
      <c r="OI14" s="156" t="e">
        <f>(0.9/'Tables - Part 3.B'!$C$5)*BM14*$OO14*SQRT((($AU14*$TM$13)/(8.314*$OP14))*((2*$AV14)/($AV14-1))*POWER(($TM$5/$OO14),(2/$AV14))*(1-POWER(($TM$5/$OO14),(($AV14-1)/$AV14))))</f>
        <v>#VALUE!</v>
      </c>
      <c r="OJ14" s="156" t="e">
        <f>(0.9/'Tables - Part 3.B'!$C$5)*BN14*$OO14*SQRT((($AU14*$TM$13)/(8.314*$OP14))*((2*$AV14)/($AV14-1))*POWER(($TM$5/$OO14),(2/$AV14))*(1-POWER(($TM$5/$OO14),(($AV14-1)/$AV14))))</f>
        <v>#VALUE!</v>
      </c>
      <c r="OK14" s="156" t="e">
        <f>(0.9/'Tables - Part 3.B'!$C$5)*BO14*$OO14*SQRT((($AU14*$TM$13)/(8.314*$OP14))*((2*$AV14)/($AV14-1))*POWER(($TM$5/$OO14),(2/$AV14))*(1-POWER(($TM$5/$OO14),(($AV14-1)/$AV14))))</f>
        <v>#VALUE!</v>
      </c>
      <c r="OL14" s="156" t="e">
        <f>(0.9/'Tables - Part 3.B'!$C$5)*BP14*$OO14*SQRT((($AU14*$TM$13)/(8.314*$OP14))*((2*$AV14)/($AV14-1))*POWER(($TM$5/$OO14),(2/$AV14))*(1-POWER(($TM$5/$OO14),(($AV14-1)/$AV14))))</f>
        <v>#VALUE!</v>
      </c>
      <c r="OM14" s="156" t="e">
        <f>(0.9/'Tables - Part 3.B'!$C$5)*32450*$OO14*SQRT((($AU14*$TM$13)/(8.314*$OP14))*((2*$AV14)/($AV14-1))*POWER(($TM$5/$OO14),(2/$AV14))*(1-POWER(($TM$5/$OO14),(($AV14-1)/$AV14))))</f>
        <v>#VALUE!</v>
      </c>
      <c r="ON14" s="156">
        <f t="shared" si="117"/>
        <v>1</v>
      </c>
      <c r="OO14" s="157" t="str">
        <f t="shared" si="118"/>
        <v/>
      </c>
      <c r="OP14" s="157" t="str">
        <f t="shared" si="119"/>
        <v/>
      </c>
      <c r="OQ14" s="158" t="e">
        <f t="shared" si="228"/>
        <v>#N/A</v>
      </c>
      <c r="OR14" s="158" t="e">
        <f>INDEX('Tables - Part 3'!$F$4:$R$35,MATCH(COF!$F14,'Tables - Part 3'!$F$4:$F$35,0),COUNTA('Tables - Part 3'!$F$3:$K$3))</f>
        <v>#N/A</v>
      </c>
      <c r="OS14" s="158" t="e">
        <f t="shared" si="229"/>
        <v>#N/A</v>
      </c>
      <c r="OT14" s="158" t="e">
        <f t="shared" si="230"/>
        <v>#N/A</v>
      </c>
      <c r="OU14" s="158" t="e">
        <f t="shared" si="231"/>
        <v>#N/A</v>
      </c>
      <c r="OV14" s="159" t="e">
        <f>INDEX('Tables - Part 3'!$M$4:$Q$35,MATCH(COF!$F14,'Tables - Part 3'!$F$4:$F$35,0),COUNTA('Tables - Part 3'!$M$3))</f>
        <v>#N/A</v>
      </c>
      <c r="OW14" s="159" t="e">
        <f>INDEX('Tables - Part 3'!$M$4:$Q$35,MATCH(COF!$F14,'Tables - Part 3'!$F$4:$F$35,0),COUNTA('Tables - Part 3'!$M$3:$N$3))</f>
        <v>#N/A</v>
      </c>
      <c r="OX14" s="159" t="e">
        <f>INDEX('Tables - Part 3'!$M$4:$Q$35,MATCH(COF!$F14,'Tables - Part 3'!$F$4:$F$35,0),COUNTA('Tables - Part 3'!$M$3:$O$3))</f>
        <v>#N/A</v>
      </c>
      <c r="OY14" s="159" t="e">
        <f>INDEX('Tables - Part 3'!$M$4:$Q$35,MATCH(COF!$F14,'Tables - Part 3'!$F$4:$F$35,0),COUNTA('Tables - Part 3'!$M$3:$P$3))</f>
        <v>#N/A</v>
      </c>
      <c r="OZ14" s="160" t="e">
        <f>INDEX('Tables - Part 3'!$M$4:$Q$35,MATCH(COF!$F14,'Tables - Part 3'!$F$4:$F$35,0),COUNTA('Tables - Part 3'!$M$3:$Q$3))</f>
        <v>#N/A</v>
      </c>
      <c r="PA14" s="162" t="e">
        <f>INDEX('Tables - Part 3'!$I$4:$I$35,MATCH(COF!$F14,'Tables - Part 3'!$F$4:$F$35,0))</f>
        <v>#N/A</v>
      </c>
      <c r="PB14" s="158" t="e">
        <f t="shared" si="120"/>
        <v>#N/A</v>
      </c>
      <c r="PC14" s="158" t="str">
        <f t="shared" si="121"/>
        <v/>
      </c>
      <c r="PD14" s="158" t="e">
        <f>INDEX('Tables - Part 3'!AW$7:AW$31,MATCH(COF!$F14,'Tables - Part 3'!$AU$7:$AU$31,0),1)</f>
        <v>#N/A</v>
      </c>
      <c r="PE14" s="158" t="e">
        <f>INDEX('Tables - Part 3'!AX$7:AX$31,MATCH(COF!$F14,'Tables - Part 3'!$AU$7:$AU$31,0),1)</f>
        <v>#N/A</v>
      </c>
      <c r="PF14" s="158" t="e">
        <f>INDEX('Tables - Part 3'!AY$7:AY$31,MATCH(COF!$F14,'Tables - Part 3'!$AU$7:$AU$31,0),1)</f>
        <v>#N/A</v>
      </c>
      <c r="PG14" s="158" t="e">
        <f>INDEX('Tables - Part 3'!AZ$7:AZ$31,MATCH(COF!$F14,'Tables - Part 3'!$AU$7:$AU$31,0),1)</f>
        <v>#N/A</v>
      </c>
      <c r="PH14" s="158" t="e">
        <f>INDEX('Tables - Part 3'!BA$7:BA$31,MATCH(COF!$F14,'Tables - Part 3'!$AU$7:$AU$31,0),1)</f>
        <v>#N/A</v>
      </c>
      <c r="PI14" s="158" t="e">
        <f>INDEX('Tables - Part 3'!BB$7:BB$31,MATCH(COF!$F14,'Tables - Part 3'!$AU$7:$AU$31,0),1)</f>
        <v>#N/A</v>
      </c>
      <c r="PJ14" s="158" t="e">
        <f>INDEX('Tables - Part 3'!BC$7:BC$31,MATCH(COF!$F14,'Tables - Part 3'!$AU$7:$AU$31,0),1)</f>
        <v>#N/A</v>
      </c>
      <c r="PK14" s="158" t="e">
        <f>INDEX('Tables - Part 3'!BD$7:BD$31,MATCH(COF!$F14,'Tables - Part 3'!$AU$7:$AU$31,0),1)</f>
        <v>#N/A</v>
      </c>
      <c r="PL14" s="158" t="e">
        <f>INDEX('Tables - Part 3'!BE$7:BE$31,MATCH(COF!$F14,'Tables - Part 3'!$AU$7:$AU$31,0),1)</f>
        <v>#N/A</v>
      </c>
      <c r="PM14" s="158" t="e">
        <f>INDEX('Tables - Part 3'!BF$7:BF$31,MATCH(COF!$F14,'Tables - Part 3'!$AU$7:$AU$31,0),1)</f>
        <v>#N/A</v>
      </c>
      <c r="PN14" s="158" t="e">
        <f>INDEX('Tables - Part 3'!BG$7:BG$31,MATCH(COF!$F14,'Tables - Part 3'!$AU$7:$AU$31,0),1)</f>
        <v>#N/A</v>
      </c>
      <c r="PO14" s="158" t="e">
        <f>INDEX('Tables - Part 3'!BH$7:BH$31,MATCH(COF!$F14,'Tables - Part 3'!$AU$7:$AU$31,0),1)</f>
        <v>#N/A</v>
      </c>
      <c r="PP14" s="158" t="e">
        <f>INDEX('Tables - Part 3'!BI$7:BI$31,MATCH(COF!$F14,'Tables - Part 3'!$AU$7:$AU$31,0),1)</f>
        <v>#N/A</v>
      </c>
      <c r="PQ14" s="158" t="e">
        <f>INDEX('Tables - Part 3'!BJ$7:BJ$31,MATCH(COF!$F14,'Tables - Part 3'!$AU$7:$AU$31,0),1)</f>
        <v>#N/A</v>
      </c>
      <c r="PR14" s="158" t="e">
        <f>INDEX('Tables - Part 3'!BK$7:BK$31,MATCH(COF!$F14,'Tables - Part 3'!$AU$7:$AU$31,0),1)</f>
        <v>#N/A</v>
      </c>
      <c r="PS14" s="158" t="e">
        <f>INDEX('Tables - Part 3'!BL$7:BL$31,MATCH(COF!$F14,'Tables - Part 3'!$AU$7:$AU$31,0),1)</f>
        <v>#N/A</v>
      </c>
      <c r="PT14" s="158" t="e">
        <f>INDEX('Tables - Part 3'!BP$7:BP$31,MATCH(COF!$F14,'Tables - Part 3'!$AU$7:$AU$31,0),1)</f>
        <v>#N/A</v>
      </c>
      <c r="PU14" s="158" t="e">
        <f>INDEX('Tables - Part 3'!BQ$7:BQ$31,MATCH(COF!$F14,'Tables - Part 3'!$AU$7:$AU$31,0),1)</f>
        <v>#N/A</v>
      </c>
      <c r="PV14" s="158" t="e">
        <f>INDEX('Tables - Part 3'!BR$7:BR$31,MATCH(COF!$F14,'Tables - Part 3'!$AU$7:$AU$31,0),1)</f>
        <v>#N/A</v>
      </c>
      <c r="PW14" s="158" t="e">
        <f>INDEX('Tables - Part 3'!BS$7:BS$31,MATCH(COF!$F14,'Tables - Part 3'!$AU$7:$AU$31,0),1)</f>
        <v>#N/A</v>
      </c>
      <c r="PX14" s="158" t="e">
        <f>INDEX('Tables - Part 3'!BT$7:BT$31,MATCH(COF!$F14,'Tables - Part 3'!$AU$7:$AU$31,0),1)</f>
        <v>#N/A</v>
      </c>
      <c r="PY14" s="158" t="e">
        <f>INDEX('Tables - Part 3'!BU$7:BU$31,MATCH(COF!$F14,'Tables - Part 3'!$AU$7:$AU$31,0),1)</f>
        <v>#N/A</v>
      </c>
      <c r="PZ14" s="158" t="e">
        <f>INDEX('Tables - Part 3'!BV$7:BV$31,MATCH(COF!$F14,'Tables - Part 3'!$AU$7:$AU$31,0),1)</f>
        <v>#N/A</v>
      </c>
      <c r="QA14" s="158" t="e">
        <f>INDEX('Tables - Part 3'!BW$7:BW$31,MATCH(COF!$F14,'Tables - Part 3'!$AU$7:$AU$31,0),1)</f>
        <v>#N/A</v>
      </c>
      <c r="QB14" s="158" t="e">
        <f>INDEX('Tables - Part 3'!BX$7:BX$31,MATCH(COF!$F14,'Tables - Part 3'!$AU$7:$AU$31,0),1)</f>
        <v>#N/A</v>
      </c>
      <c r="QC14" s="158" t="e">
        <f>INDEX('Tables - Part 3'!BY$7:BY$31,MATCH(COF!$F14,'Tables - Part 3'!$AU$7:$AU$31,0),1)</f>
        <v>#N/A</v>
      </c>
      <c r="QD14" s="158" t="e">
        <f>INDEX('Tables - Part 3'!BZ$7:BZ$31,MATCH(COF!$F14,'Tables - Part 3'!$AU$7:$AU$31,0),1)</f>
        <v>#N/A</v>
      </c>
      <c r="QE14" s="158" t="e">
        <f>INDEX('Tables - Part 3'!CA$7:CA$31,MATCH(COF!$F14,'Tables - Part 3'!$AU$7:$AU$31,0),1)</f>
        <v>#N/A</v>
      </c>
      <c r="QF14" s="158" t="e">
        <f>INDEX('Tables - Part 3'!CB$7:CB$31,MATCH(COF!$F14,'Tables - Part 3'!$AU$7:$AU$31,0),1)</f>
        <v>#N/A</v>
      </c>
      <c r="QG14" s="158" t="e">
        <f>INDEX('Tables - Part 3'!CC$7:CC$31,MATCH(COF!$F14,'Tables - Part 3'!$AU$7:$AU$31,0),1)</f>
        <v>#N/A</v>
      </c>
      <c r="QH14" s="158" t="e">
        <f>INDEX('Tables - Part 3'!CD$7:CD$31,MATCH(COF!$F14,'Tables - Part 3'!$AU$7:$AU$31,0),1)</f>
        <v>#N/A</v>
      </c>
      <c r="QI14" s="158" t="e">
        <f>INDEX('Tables - Part 3'!CE$7:CE$31,MATCH(COF!$F14,'Tables - Part 3'!$AU$7:$AU$31,0),1)</f>
        <v>#N/A</v>
      </c>
      <c r="QJ14" s="151">
        <f>'Tables - Part 5'!$R$4</f>
        <v>3.1749999999999998</v>
      </c>
      <c r="QK14" s="151">
        <f>'Tables - Part 5'!$R$5</f>
        <v>6.35</v>
      </c>
      <c r="QL14" s="151">
        <f>'Tables - Part 5'!$R$6</f>
        <v>50.8</v>
      </c>
      <c r="QM14" s="151">
        <f t="shared" si="122"/>
        <v>0</v>
      </c>
      <c r="QN14" s="151">
        <f t="shared" si="232"/>
        <v>7.9173043608984015</v>
      </c>
      <c r="QO14" s="151">
        <f t="shared" si="233"/>
        <v>31.669217443593606</v>
      </c>
      <c r="QP14" s="151">
        <f t="shared" si="234"/>
        <v>2026.8299163899908</v>
      </c>
      <c r="QQ14" s="151">
        <f t="shared" si="235"/>
        <v>0</v>
      </c>
      <c r="QR14" s="151">
        <f t="shared" si="236"/>
        <v>0</v>
      </c>
      <c r="QS14" s="151">
        <f>'Tables - Part 3.B'!$C$34*0.61*QN14*SQRT(2*$TM$15*QR14)</f>
        <v>0</v>
      </c>
      <c r="QT14" s="151">
        <f>'Tables - Part 3.B'!$C$34*0.61*QO14*SQRT(2*$TM$15*QS14)</f>
        <v>0</v>
      </c>
      <c r="QU14" s="151">
        <f>'Tables - Part 3.B'!$C$34*0.61*QP14*SQRT(2*$TM$15*QT14)</f>
        <v>0</v>
      </c>
      <c r="QV14" s="151">
        <f>'Tables - Part 3.B'!$C$34*0.61*QQ14*SQRT(2*$TM$15*QU14)</f>
        <v>0</v>
      </c>
      <c r="QW14" s="151">
        <f t="shared" si="237"/>
        <v>0</v>
      </c>
      <c r="QX14" s="151">
        <f t="shared" si="238"/>
        <v>0</v>
      </c>
      <c r="QY14" s="151">
        <f t="shared" si="239"/>
        <v>0</v>
      </c>
      <c r="QZ14" s="151">
        <f t="shared" si="240"/>
        <v>0</v>
      </c>
      <c r="RA14" s="151">
        <f t="shared" si="241"/>
        <v>0</v>
      </c>
      <c r="RB14" s="151">
        <f>QX14*'Tables - Part 3.B'!$C$15</f>
        <v>0</v>
      </c>
      <c r="RC14" s="151">
        <f>QY14*'Tables - Part 3.B'!$C$15</f>
        <v>0</v>
      </c>
      <c r="RD14" s="151">
        <f>QZ14*'Tables - Part 3.B'!$C$15</f>
        <v>0</v>
      </c>
      <c r="RE14" s="151">
        <f>RA14*'Tables - Part 3.B'!$C$15</f>
        <v>0</v>
      </c>
      <c r="RF14" s="151" t="e">
        <f t="shared" si="242"/>
        <v>#N/A</v>
      </c>
      <c r="RG14" s="151" t="e">
        <f t="shared" si="243"/>
        <v>#N/A</v>
      </c>
      <c r="RH14" s="151" t="e">
        <f t="shared" si="244"/>
        <v>#N/A</v>
      </c>
      <c r="RI14" s="151" t="e">
        <f t="shared" si="245"/>
        <v>#N/A</v>
      </c>
      <c r="RJ14" s="151">
        <f t="shared" si="246"/>
        <v>0</v>
      </c>
      <c r="RK14" s="151">
        <f t="shared" si="247"/>
        <v>0</v>
      </c>
      <c r="RL14" s="151">
        <f t="shared" si="248"/>
        <v>0</v>
      </c>
      <c r="RM14" s="151">
        <f t="shared" si="249"/>
        <v>0</v>
      </c>
      <c r="RN14" s="151">
        <v>7</v>
      </c>
      <c r="RO14" s="151">
        <v>1</v>
      </c>
      <c r="RP14" s="151">
        <v>1</v>
      </c>
      <c r="RQ14" s="151">
        <v>1</v>
      </c>
      <c r="RR14" s="151" t="e">
        <f t="shared" si="250"/>
        <v>#DIV/0!</v>
      </c>
      <c r="RS14" s="151" t="e">
        <f t="shared" si="251"/>
        <v>#DIV/0!</v>
      </c>
      <c r="RT14" s="151" t="e">
        <f t="shared" si="252"/>
        <v>#DIV/0!</v>
      </c>
      <c r="RU14" s="151" t="e">
        <f t="shared" si="253"/>
        <v>#DIV/0!</v>
      </c>
      <c r="RV14" s="151" t="e">
        <f t="shared" si="254"/>
        <v>#DIV/0!</v>
      </c>
      <c r="RW14" s="151" t="e">
        <f t="shared" si="255"/>
        <v>#DIV/0!</v>
      </c>
      <c r="RX14" s="151" t="e">
        <f t="shared" si="256"/>
        <v>#DIV/0!</v>
      </c>
      <c r="RY14" s="151" t="e">
        <f t="shared" si="257"/>
        <v>#DIV/0!</v>
      </c>
      <c r="RZ14" s="151" t="e">
        <f t="shared" si="258"/>
        <v>#DIV/0!</v>
      </c>
      <c r="SA14" s="151" t="e">
        <f t="shared" si="259"/>
        <v>#DIV/0!</v>
      </c>
      <c r="SB14" s="151" t="e">
        <f t="shared" si="260"/>
        <v>#DIV/0!</v>
      </c>
      <c r="SC14" s="151" t="e">
        <f t="shared" si="261"/>
        <v>#DIV/0!</v>
      </c>
      <c r="SD14" s="151">
        <f t="shared" si="262"/>
        <v>0</v>
      </c>
      <c r="SE14" s="151">
        <f t="shared" si="263"/>
        <v>0</v>
      </c>
      <c r="SF14" s="151">
        <f t="shared" si="264"/>
        <v>0</v>
      </c>
      <c r="SG14" s="151">
        <f t="shared" si="265"/>
        <v>0</v>
      </c>
      <c r="SH14" s="151">
        <f t="shared" si="266"/>
        <v>0</v>
      </c>
      <c r="SI14" s="151">
        <f t="shared" si="267"/>
        <v>0</v>
      </c>
      <c r="SJ14" s="151">
        <f t="shared" si="268"/>
        <v>0</v>
      </c>
      <c r="SK14" s="151">
        <f t="shared" si="269"/>
        <v>0</v>
      </c>
      <c r="SL14" s="542"/>
      <c r="SM14" s="542"/>
      <c r="SN14" s="542"/>
      <c r="SO14" s="151"/>
      <c r="SP14" s="151"/>
      <c r="SQ14" s="151"/>
      <c r="SR14" s="151"/>
      <c r="SS14" s="151"/>
      <c r="ST14" s="151"/>
      <c r="SU14" s="151"/>
      <c r="SV14" s="151"/>
      <c r="SW14" s="151"/>
      <c r="SX14" s="151"/>
      <c r="SY14" s="151"/>
      <c r="SZ14" s="151"/>
      <c r="TA14" s="151"/>
      <c r="TB14" s="151"/>
      <c r="TC14" s="151"/>
      <c r="TD14" s="151"/>
      <c r="TE14" s="542"/>
      <c r="TG14" s="143" t="s">
        <v>278</v>
      </c>
      <c r="TH14" s="187">
        <v>0.25</v>
      </c>
      <c r="TJ14" s="19" t="s">
        <v>29</v>
      </c>
      <c r="TK14" s="158"/>
      <c r="TL14" s="158"/>
      <c r="TM14" s="158"/>
      <c r="TN14" s="158"/>
      <c r="TO14" s="158"/>
      <c r="TQ14" s="155" t="s">
        <v>70</v>
      </c>
    </row>
    <row r="15" spans="2:537" x14ac:dyDescent="0.35">
      <c r="B15" s="161"/>
      <c r="C15" s="161"/>
      <c r="D15" s="161"/>
      <c r="E15" s="161"/>
      <c r="F15" s="666"/>
      <c r="G15" s="161"/>
      <c r="H15" s="537"/>
      <c r="I15" s="161"/>
      <c r="J15" s="161"/>
      <c r="K15" s="161"/>
      <c r="L15" s="161"/>
      <c r="M15" s="161"/>
      <c r="N15" s="161"/>
      <c r="O15" s="161"/>
      <c r="P15" s="161"/>
      <c r="Q15" s="161"/>
      <c r="R15" s="161"/>
      <c r="S15" s="667"/>
      <c r="T15" s="161"/>
      <c r="U15" s="161"/>
      <c r="V15" s="161"/>
      <c r="W15" s="161"/>
      <c r="X15" s="537"/>
      <c r="Y15" s="537"/>
      <c r="Z15" s="399"/>
      <c r="AA15" s="537"/>
      <c r="AB15" s="399"/>
      <c r="AC15" s="399"/>
      <c r="AD15" s="399"/>
      <c r="AE15" s="399"/>
      <c r="AF15" s="399"/>
      <c r="AG15" s="399"/>
      <c r="AH15" s="399"/>
      <c r="AI15" s="399"/>
      <c r="AJ15" s="399"/>
      <c r="AK15" s="399"/>
      <c r="AL15" s="399"/>
      <c r="AM15" s="399"/>
      <c r="AN15" s="399"/>
      <c r="AO15" s="399"/>
      <c r="AP15" s="399"/>
      <c r="AQ15" s="151" t="e">
        <f>INDEX('Tables - Part 3'!$J$4:$J$35,MATCH(COF!$F15,'Tables - Part 3'!$F$4:$F$35,0),1)</f>
        <v>#N/A</v>
      </c>
      <c r="AR15" s="151" t="e">
        <f>IF($G15=$TH$7,'Tables - Part 3'!$W$4,IF(AND($AQ15=$TH$7,COF!$PA15&lt;26.67),'Tables - Part 3'!$W$4,'Tables - Part 3'!$W$7))</f>
        <v>#N/A</v>
      </c>
      <c r="AS15" s="150" t="e">
        <f>INDEX('Tables - Part 3'!$F$4:$R$35,MATCH(COF!$F15,'Tables - Part 3'!$F$4:$F$35,0),COUNTA('Tables - Part 3'!$F$3:$H$3))</f>
        <v>#N/A</v>
      </c>
      <c r="AT15" s="279" t="e">
        <f t="shared" si="6"/>
        <v>#VALUE!</v>
      </c>
      <c r="AU15" s="151" t="e">
        <f>INDEX('Tables - Part 3'!$F$4:$R$35,MATCH(COF!$F15,'Tables - Part 3'!$F$4:$F$35,0),COUNTA('Tables - Part 3'!$F$3:$G$3))</f>
        <v>#N/A</v>
      </c>
      <c r="AV15" s="151" t="e">
        <f t="shared" si="131"/>
        <v>#N/A</v>
      </c>
      <c r="AW15" s="151" t="e">
        <f t="shared" si="7"/>
        <v>#N/A</v>
      </c>
      <c r="AX15" s="151" t="e">
        <f>INDEX('Tables - Part 3'!$F$4:$R$35,MATCH(COF!$F15,'Tables - Part 3'!$F$4:$F$35,0),COUNTA('Tables - Part 3'!$F$3:$R$3))+273.15</f>
        <v>#N/A</v>
      </c>
      <c r="AY15" s="151">
        <f t="shared" si="8"/>
        <v>0</v>
      </c>
      <c r="AZ15" s="151" t="e">
        <f t="shared" si="9"/>
        <v>#N/A</v>
      </c>
      <c r="BA15" s="151" t="e">
        <f t="shared" si="132"/>
        <v>#N/A</v>
      </c>
      <c r="BB15" s="151" t="e">
        <f t="shared" si="133"/>
        <v>#N/A</v>
      </c>
      <c r="BC15" s="151" t="e">
        <f t="shared" si="134"/>
        <v>#N/A</v>
      </c>
      <c r="BD15" s="151" t="e">
        <f t="shared" si="135"/>
        <v>#N/A</v>
      </c>
      <c r="BE15" s="151" t="e">
        <f t="shared" si="10"/>
        <v>#N/A</v>
      </c>
      <c r="BF15" s="151" t="e">
        <f t="shared" si="11"/>
        <v>#N/A</v>
      </c>
      <c r="BG15" s="151" t="e">
        <f t="shared" si="12"/>
        <v>#N/A</v>
      </c>
      <c r="BH15" s="151" t="e">
        <f t="shared" si="13"/>
        <v>#N/A</v>
      </c>
      <c r="BI15" s="151">
        <f>'Tables - Part 3'!$AD$4</f>
        <v>6.4</v>
      </c>
      <c r="BJ15" s="151">
        <f>MIN(O15,'Tables - Part 3'!$AD$5)</f>
        <v>25</v>
      </c>
      <c r="BK15" s="151">
        <f>MIN(O15,'Tables - Part 3'!$AD$6)</f>
        <v>102</v>
      </c>
      <c r="BL15" s="151">
        <f>MIN(O15,'Tables - Part 3'!$AD$7)</f>
        <v>406</v>
      </c>
      <c r="BM15" s="151">
        <f t="shared" si="136"/>
        <v>32.169908772759484</v>
      </c>
      <c r="BN15" s="151">
        <f t="shared" si="137"/>
        <v>490.87385212340519</v>
      </c>
      <c r="BO15" s="151">
        <f t="shared" si="138"/>
        <v>8171.2824919870518</v>
      </c>
      <c r="BP15" s="151">
        <f t="shared" si="139"/>
        <v>129461.89166178179</v>
      </c>
      <c r="BQ15" s="151" t="e">
        <f>INDEX('Tables - Part 2'!$D$5:$G$30,MATCH(COF!$E15,'Tables - Part 2'!$C$5:$C$30,0),1)</f>
        <v>#N/A</v>
      </c>
      <c r="BR15" s="571" t="e">
        <f>INDEX('Tables - Part 2'!$D$5:$G$30,MATCH(COF!$E15,'Tables - Part 2'!$C$5:$C$30,0),2)</f>
        <v>#N/A</v>
      </c>
      <c r="BS15" s="571" t="e">
        <f>INDEX('Tables - Part 2'!$D$5:$G$30,MATCH(COF!$E15,'Tables - Part 2'!$C$5:$C$30,0),3)</f>
        <v>#N/A</v>
      </c>
      <c r="BT15" s="151" t="e">
        <f>INDEX('Tables - Part 2'!$D$5:$G$30,MATCH(COF!$E15,'Tables - Part 2'!$C$5:$C$30,0),4)</f>
        <v>#N/A</v>
      </c>
      <c r="BU15" s="151" t="e">
        <f t="shared" si="140"/>
        <v>#N/A</v>
      </c>
      <c r="BV15" s="151" t="e">
        <f t="shared" si="141"/>
        <v>#N/A</v>
      </c>
      <c r="BW15" s="151" t="e">
        <f t="shared" si="142"/>
        <v>#N/A</v>
      </c>
      <c r="BX15" s="151" t="e">
        <f t="shared" si="143"/>
        <v>#N/A</v>
      </c>
      <c r="BY15" s="502" t="e">
        <f t="shared" si="144"/>
        <v>#N/A</v>
      </c>
      <c r="BZ15" s="502" t="e">
        <f t="shared" si="145"/>
        <v>#N/A</v>
      </c>
      <c r="CA15" s="151" t="e">
        <f>IF(OR(BI15&lt;='Tables - Part 3'!$AD$4,BE15&lt;='Tables - Part 3.B'!$C$6,BV15&lt;=25.22),COF!$TK$6,COF!$TK$5)</f>
        <v>#N/A</v>
      </c>
      <c r="CB15" s="151" t="e">
        <f>IF(OR(BJ15&lt;='Tables - Part 3'!$AD$4,BF15&lt;='Tables - Part 3.B'!$C$6,BW15&lt;=25.22),COF!$TK$6,COF!$TK$5)</f>
        <v>#N/A</v>
      </c>
      <c r="CC15" s="151" t="e">
        <f>IF(OR(BK15&lt;='Tables - Part 3'!$AD$4,BG15&lt;='Tables - Part 3.B'!$C$6,BX15&lt;=25.22),COF!$TK$6,COF!$TK$5)</f>
        <v>#N/A</v>
      </c>
      <c r="CD15" s="151" t="e">
        <f>IF(OR(BL15&lt;='Tables - Part 3'!$AD$4,BH15&lt;='Tables - Part 3.B'!$C$6,BY15&lt;=25.22),COF!$TK$6,COF!$TK$5)</f>
        <v>#N/A</v>
      </c>
      <c r="CE15" s="151" t="str">
        <f t="shared" si="146"/>
        <v/>
      </c>
      <c r="CF15" s="151" t="e">
        <f>INDEX('Tables - Part 3'!$AR$4:$AR$12,MATCH(COF!$PC15,'Tables - Part 3'!$AP$4:$AP$12,0),1)</f>
        <v>#N/A</v>
      </c>
      <c r="CG15" s="151" t="e">
        <f>INDEX('Tables - Part 3'!$AR$13:$AR$21,MATCH(COF!$PC15,'Tables - Part 3'!$AP$13:$AP$21,0),1)</f>
        <v>#N/A</v>
      </c>
      <c r="CH15" s="151" t="e">
        <f>INDEX('Tables - Part 3'!$AR$22:$AR$30,MATCH(COF!$PC15,'Tables - Part 3'!$AP$22:$AP$30,0),1)</f>
        <v>#N/A</v>
      </c>
      <c r="CI15" s="151" t="e">
        <f>INDEX('Tables - Part 3'!$AR$22:$AR$30,MATCH(COF!$PC15,'Tables - Part 3'!$AP$22:$AP$30,0),1)</f>
        <v>#N/A</v>
      </c>
      <c r="CJ15" s="151" t="e">
        <f t="shared" si="147"/>
        <v>#N/A</v>
      </c>
      <c r="CK15" s="151" t="e">
        <f t="shared" si="148"/>
        <v>#N/A</v>
      </c>
      <c r="CL15" s="151" t="e">
        <f t="shared" si="149"/>
        <v>#N/A</v>
      </c>
      <c r="CM15" s="151" t="e">
        <f t="shared" si="150"/>
        <v>#N/A</v>
      </c>
      <c r="CN15" s="151" t="e">
        <f t="shared" si="151"/>
        <v>#N/A</v>
      </c>
      <c r="CO15" s="151" t="e">
        <f t="shared" si="152"/>
        <v>#N/A</v>
      </c>
      <c r="CP15" s="151" t="e">
        <f t="shared" si="153"/>
        <v>#N/A</v>
      </c>
      <c r="CQ15" s="151" t="e">
        <f t="shared" si="154"/>
        <v>#N/A</v>
      </c>
      <c r="CR15" s="151" t="e">
        <f t="shared" si="155"/>
        <v>#N/A</v>
      </c>
      <c r="CS15" s="151" t="e">
        <f t="shared" si="156"/>
        <v>#N/A</v>
      </c>
      <c r="CT15" s="151" t="e">
        <f t="shared" si="157"/>
        <v>#N/A</v>
      </c>
      <c r="CU15" s="151" t="e">
        <f t="shared" si="158"/>
        <v>#N/A</v>
      </c>
      <c r="CV15" s="151" t="e">
        <f>INDEX('Tables - Part 3'!$CI$4:$CI$8,MATCH(COF!V15,'Tables - Part 3'!$CG$4:$CG$8,0),1)</f>
        <v>#N/A</v>
      </c>
      <c r="CW15" s="502" t="e">
        <f>IF(CR15&gt;'Tables - Part 3.B'!$C$6,4*LOG10('Tables - Part 3.B'!$C$7*CR15)-15,1)</f>
        <v>#N/A</v>
      </c>
      <c r="CX15" s="502" t="e">
        <f>IF(CS15&gt;'Tables - Part 3.B'!$C$6,4*LOG10('Tables - Part 3.B'!$C$7*CS15)-15,1)</f>
        <v>#N/A</v>
      </c>
      <c r="CY15" s="502" t="e">
        <f>IF(CT15&gt;'Tables - Part 3.B'!$C$6,4*LOG10('Tables - Part 3.B'!$C$7*CT15)-15,1)</f>
        <v>#N/A</v>
      </c>
      <c r="CZ15" s="502" t="e">
        <f>IF(CU15&gt;'Tables - Part 3.B'!$C$6,4*LOG10('Tables - Part 3.B'!$C$7*CU15)-15,1)</f>
        <v>#N/A</v>
      </c>
      <c r="DA15" s="151" t="e">
        <f>INDEX('Tables - Part 3'!$C$4:$C$37,MATCH(COF!$F15,'Tables - Part 3'!$B$4:$B$37,0),1)</f>
        <v>#N/A</v>
      </c>
      <c r="DB15" s="151" t="e">
        <f t="shared" si="159"/>
        <v>#N/A</v>
      </c>
      <c r="DC15" s="151" t="e">
        <f t="shared" si="160"/>
        <v>#N/A</v>
      </c>
      <c r="DD15" s="151" t="e">
        <f t="shared" si="161"/>
        <v>#N/A</v>
      </c>
      <c r="DE15" s="151" t="e">
        <f t="shared" si="162"/>
        <v>#N/A</v>
      </c>
      <c r="DF15" s="151" t="e">
        <f t="shared" si="163"/>
        <v>#N/A</v>
      </c>
      <c r="DG15" s="151" t="e">
        <f t="shared" si="164"/>
        <v>#N/A</v>
      </c>
      <c r="DH15" s="151" t="e">
        <f t="shared" si="165"/>
        <v>#N/A</v>
      </c>
      <c r="DI15" s="151" t="e">
        <f t="shared" si="166"/>
        <v>#N/A</v>
      </c>
      <c r="DJ15" s="151" t="e">
        <f t="shared" si="167"/>
        <v>#N/A</v>
      </c>
      <c r="DK15" s="151" t="e">
        <f t="shared" si="168"/>
        <v>#N/A</v>
      </c>
      <c r="DL15" s="151" t="e">
        <f t="shared" si="169"/>
        <v>#N/A</v>
      </c>
      <c r="DM15" s="151" t="e">
        <f t="shared" si="170"/>
        <v>#N/A</v>
      </c>
      <c r="DN15" s="151" t="e">
        <f t="shared" si="171"/>
        <v>#N/A</v>
      </c>
      <c r="DO15" s="151" t="e">
        <f t="shared" si="172"/>
        <v>#N/A</v>
      </c>
      <c r="DP15" s="151" t="e">
        <f t="shared" si="173"/>
        <v>#N/A</v>
      </c>
      <c r="DQ15" s="151" t="e">
        <f t="shared" si="174"/>
        <v>#N/A</v>
      </c>
      <c r="DR15" s="151" t="e">
        <f t="shared" si="175"/>
        <v>#N/A</v>
      </c>
      <c r="DS15" s="151" t="e">
        <f t="shared" si="176"/>
        <v>#N/A</v>
      </c>
      <c r="DT15" s="151" t="e">
        <f t="shared" si="177"/>
        <v>#N/A</v>
      </c>
      <c r="DU15" s="151" t="e">
        <f t="shared" si="178"/>
        <v>#N/A</v>
      </c>
      <c r="DV15" s="151" t="e">
        <f t="shared" si="179"/>
        <v>#N/A</v>
      </c>
      <c r="DW15" s="151" t="e">
        <f t="shared" si="180"/>
        <v>#N/A</v>
      </c>
      <c r="DX15" s="151" t="e">
        <f t="shared" si="181"/>
        <v>#N/A</v>
      </c>
      <c r="DY15" s="151" t="e">
        <f t="shared" si="182"/>
        <v>#N/A</v>
      </c>
      <c r="DZ15" s="151" t="e">
        <f t="shared" si="183"/>
        <v>#N/A</v>
      </c>
      <c r="EA15" s="151" t="e">
        <f t="shared" si="184"/>
        <v>#N/A</v>
      </c>
      <c r="EB15" s="151" t="e">
        <f t="shared" si="185"/>
        <v>#N/A</v>
      </c>
      <c r="EC15" s="151" t="e">
        <f t="shared" si="186"/>
        <v>#N/A</v>
      </c>
      <c r="ED15" s="151" t="e">
        <f t="shared" si="187"/>
        <v>#N/A</v>
      </c>
      <c r="EE15" s="151" t="e">
        <f t="shared" si="188"/>
        <v>#N/A</v>
      </c>
      <c r="EF15" s="151" t="e">
        <f t="shared" si="189"/>
        <v>#N/A</v>
      </c>
      <c r="EG15" s="151" t="e">
        <f t="shared" si="190"/>
        <v>#N/A</v>
      </c>
      <c r="EH15" s="151" t="e">
        <f>IF(CA15=$TK$5,1,MIN(CJ15/'Tables - Part 3.B'!$C$8,1))</f>
        <v>#N/A</v>
      </c>
      <c r="EI15" s="151" t="e">
        <f>IF(CB15=$TK$5,1,MIN(CK15/'Tables - Part 3.B'!$C$8,1))</f>
        <v>#N/A</v>
      </c>
      <c r="EJ15" s="151" t="e">
        <f>IF(CC15=$TK$5,1,MIN(CL15/'Tables - Part 3.B'!$C$8,1))</f>
        <v>#N/A</v>
      </c>
      <c r="EK15" s="151" t="e">
        <f>IF(CD15=$TK$5,1,MIN(CM15/'Tables - Part 3.B'!$C$8,1))</f>
        <v>#N/A</v>
      </c>
      <c r="EL15" s="151" t="e">
        <f t="shared" si="191"/>
        <v>#VALUE!</v>
      </c>
      <c r="EM15" s="151" t="e">
        <f t="shared" si="48"/>
        <v>#VALUE!</v>
      </c>
      <c r="EN15" s="151" t="e">
        <f t="shared" si="48"/>
        <v>#VALUE!</v>
      </c>
      <c r="EO15" s="151" t="e">
        <f t="shared" si="48"/>
        <v>#VALUE!</v>
      </c>
      <c r="EP15" s="151" t="e">
        <f t="shared" si="192"/>
        <v>#N/A</v>
      </c>
      <c r="EQ15" s="151" t="e">
        <f t="shared" si="49"/>
        <v>#N/A</v>
      </c>
      <c r="ER15" s="151" t="e">
        <f t="shared" si="49"/>
        <v>#N/A</v>
      </c>
      <c r="ES15" s="151" t="e">
        <f t="shared" si="49"/>
        <v>#N/A</v>
      </c>
      <c r="ET15" s="151" t="e">
        <f t="shared" si="193"/>
        <v>#N/A</v>
      </c>
      <c r="EU15" s="151" t="e">
        <f t="shared" si="50"/>
        <v>#N/A</v>
      </c>
      <c r="EV15" s="151" t="e">
        <f t="shared" si="50"/>
        <v>#N/A</v>
      </c>
      <c r="EW15" s="151" t="e">
        <f t="shared" si="50"/>
        <v>#N/A</v>
      </c>
      <c r="EX15" s="151" t="e">
        <f t="shared" si="194"/>
        <v>#N/A</v>
      </c>
      <c r="EY15" s="151" t="e">
        <f t="shared" si="51"/>
        <v>#N/A</v>
      </c>
      <c r="EZ15" s="151" t="e">
        <f t="shared" si="51"/>
        <v>#N/A</v>
      </c>
      <c r="FA15" s="151" t="e">
        <f t="shared" si="51"/>
        <v>#N/A</v>
      </c>
      <c r="FB15" s="151" t="e">
        <f t="shared" si="195"/>
        <v>#N/A</v>
      </c>
      <c r="FC15" s="151" t="e">
        <f t="shared" si="52"/>
        <v>#N/A</v>
      </c>
      <c r="FD15" s="151" t="e">
        <f t="shared" si="52"/>
        <v>#N/A</v>
      </c>
      <c r="FE15" s="151" t="e">
        <f t="shared" si="52"/>
        <v>#N/A</v>
      </c>
      <c r="FF15" s="151" t="e">
        <f t="shared" si="196"/>
        <v>#N/A</v>
      </c>
      <c r="FG15" s="151" t="e">
        <f t="shared" si="53"/>
        <v>#N/A</v>
      </c>
      <c r="FH15" s="151" t="e">
        <f t="shared" si="53"/>
        <v>#N/A</v>
      </c>
      <c r="FI15" s="151" t="e">
        <f t="shared" si="53"/>
        <v>#N/A</v>
      </c>
      <c r="FJ15" s="151" t="e">
        <f t="shared" si="197"/>
        <v>#N/A</v>
      </c>
      <c r="FK15" s="151" t="e">
        <f t="shared" si="54"/>
        <v>#N/A</v>
      </c>
      <c r="FL15" s="151" t="e">
        <f t="shared" si="54"/>
        <v>#N/A</v>
      </c>
      <c r="FM15" s="288" t="e">
        <f t="shared" si="54"/>
        <v>#N/A</v>
      </c>
      <c r="FN15" s="299">
        <f t="shared" si="198"/>
        <v>0</v>
      </c>
      <c r="FO15" s="511">
        <f t="shared" si="199"/>
        <v>0</v>
      </c>
      <c r="FP15" s="150" t="e">
        <f t="shared" si="200"/>
        <v>#N/A</v>
      </c>
      <c r="FQ15" s="151" t="e">
        <f t="shared" si="201"/>
        <v>#N/A</v>
      </c>
      <c r="FR15" s="151" t="e">
        <f t="shared" si="202"/>
        <v>#N/A</v>
      </c>
      <c r="FS15" s="151" t="e">
        <f t="shared" si="203"/>
        <v>#N/A</v>
      </c>
      <c r="FT15" s="151">
        <f t="shared" si="270"/>
        <v>0</v>
      </c>
      <c r="FU15" s="151">
        <f t="shared" si="56"/>
        <v>0</v>
      </c>
      <c r="FV15" s="151">
        <f t="shared" si="57"/>
        <v>0</v>
      </c>
      <c r="FW15" s="151">
        <f t="shared" si="58"/>
        <v>0</v>
      </c>
      <c r="FX15" s="151">
        <f t="shared" si="271"/>
        <v>0</v>
      </c>
      <c r="FY15" s="151">
        <f t="shared" si="60"/>
        <v>0</v>
      </c>
      <c r="FZ15" s="151">
        <f t="shared" si="61"/>
        <v>0</v>
      </c>
      <c r="GA15" s="151">
        <f t="shared" si="62"/>
        <v>0</v>
      </c>
      <c r="GB15" s="151" t="e">
        <f>IF(CA15=$TK$6,'Tables - Part 3.B'!$C$10*(('Tables - Part 3.B'!$C$7*COF!FT15)^COF!GR15*10^COF!GV15),IF(CA15=$TK$5,'Tables - Part 3.B'!$C$10*(('Tables - Part 3.B'!$C$7*COF!FX15)^COF!GR15*10^COF!GV15),0))</f>
        <v>#N/A</v>
      </c>
      <c r="GC15" s="151" t="e">
        <f>IF(CB15=$TK$6,'Tables - Part 3.B'!$C$10*(('Tables - Part 3.B'!$C$7*COF!FU15)^COF!GS15*10^COF!GW15),IF(CB15=$TK$5,'Tables - Part 3.B'!$C$10*(('Tables - Part 3.B'!$C$7*COF!FY15)^COF!GS15*10^COF!GW15),0))</f>
        <v>#N/A</v>
      </c>
      <c r="GD15" s="151" t="e">
        <f>IF(CC15=$TK$6,'Tables - Part 3.B'!$C$10*(('Tables - Part 3.B'!$C$7*COF!FV15)^COF!GT15*10^COF!GX15),IF(CC15=$TK$5,'Tables - Part 3.B'!$C$10*(('Tables - Part 3.B'!$C$7*COF!FZ15)^COF!GT15*10^COF!GX15),0))</f>
        <v>#N/A</v>
      </c>
      <c r="GE15" s="151" t="e">
        <f>IF(CD15=$TK$6,'Tables - Part 3.B'!$C$10*(('Tables - Part 3.B'!$C$7*COF!FW15)^COF!GU15*10^COF!GY15),IF(CD15=$TK$5,'Tables - Part 3.B'!$C$10*(('Tables - Part 3.B'!$C$7*COF!GA15)^COF!GU15*10^COF!GY15),0))</f>
        <v>#N/A</v>
      </c>
      <c r="GF15" s="152" t="e">
        <f t="shared" si="272"/>
        <v>#N/A</v>
      </c>
      <c r="GG15" s="152" t="e">
        <f t="shared" si="63"/>
        <v>#N/A</v>
      </c>
      <c r="GH15" s="152" t="e">
        <f t="shared" si="64"/>
        <v>#N/A</v>
      </c>
      <c r="GI15" s="152" t="e">
        <f t="shared" si="65"/>
        <v>#N/A</v>
      </c>
      <c r="GJ15" s="152" t="e">
        <f>IF(GF15&lt;'Tables - Part 3'!$CK$5,0,LOOKUP(GF15,'Tables - Part 3'!$CK$5:$CK$9))</f>
        <v>#N/A</v>
      </c>
      <c r="GK15" s="152" t="e">
        <f>IF(GG15&lt;'Tables - Part 3'!$CK$5,0,LOOKUP(GG15,'Tables - Part 3'!$CK$5:$CK$9))</f>
        <v>#N/A</v>
      </c>
      <c r="GL15" s="152" t="e">
        <f>IF(GH15&lt;'Tables - Part 3'!$CK$5,0,LOOKUP(GH15,'Tables - Part 3'!$CK$5:$CK$9))</f>
        <v>#N/A</v>
      </c>
      <c r="GM15" s="152" t="e">
        <f>IF(GI15&lt;'Tables - Part 3'!$CK$5,0,LOOKUP(GI15,'Tables - Part 3'!$CK$5:$CK$9))</f>
        <v>#N/A</v>
      </c>
      <c r="GN15" s="152" t="e">
        <f>IF(GF15&lt;'Tables - Part 3'!$CK$5,'Tables - Part 3'!$CK$5,IF(COF!GF15&lt;'Tables - Part 3'!$CK$6,'Tables - Part 3'!$CK$6,IF(COF!GF15&lt;'Tables - Part 3'!$CK$7,'Tables - Part 3'!$CK$7,IF(COF!GF15&lt;'Tables - Part 3'!$CK$8,'Tables - Part 3'!$CK$8,IF(COF!GF15&lt;'Tables - Part 3'!$CK$9,'Tables - Part 3'!$CK$9)))))</f>
        <v>#N/A</v>
      </c>
      <c r="GO15" s="152" t="e">
        <f>IF(GG15&lt;'Tables - Part 3'!$CK$5,'Tables - Part 3'!$CK$5,IF(COF!GG15&lt;'Tables - Part 3'!$CK$6,'Tables - Part 3'!$CK$6,IF(COF!GG15&lt;'Tables - Part 3'!$CK$7,'Tables - Part 3'!$CK$7,IF(COF!GG15&lt;'Tables - Part 3'!$CK$8,'Tables - Part 3'!$CK$8,IF(COF!GG15&lt;'Tables - Part 3'!$CK$9,'Tables - Part 3'!$CK$9)))))</f>
        <v>#N/A</v>
      </c>
      <c r="GP15" s="152" t="e">
        <f>IF(GH15&lt;'Tables - Part 3'!$CK$5,'Tables - Part 3'!$CK$5,IF(COF!GH15&lt;'Tables - Part 3'!$CK$6,'Tables - Part 3'!$CK$6,IF(COF!GH15&lt;'Tables - Part 3'!$CK$7,'Tables - Part 3'!$CK$7,IF(COF!GH15&lt;'Tables - Part 3'!$CK$8,'Tables - Part 3'!$CK$8,IF(COF!GH15&lt;'Tables - Part 3'!$CK$9,'Tables - Part 3'!$CK$9)))))</f>
        <v>#N/A</v>
      </c>
      <c r="GQ15" s="152" t="e">
        <f>IF(GI15&lt;'Tables - Part 3'!$CK$5,'Tables - Part 3'!$CK$5,IF(COF!GI15&lt;'Tables - Part 3'!$CK$6,'Tables - Part 3'!$CK$6,IF(COF!GI15&lt;'Tables - Part 3'!$CK$7,'Tables - Part 3'!$CK$7,IF(COF!GI15&lt;'Tables - Part 3'!$CK$8,'Tables - Part 3'!$CK$8,IF(COF!GI15&lt;'Tables - Part 3'!$CK$9,'Tables - Part 3'!$CK$9)))))</f>
        <v>#N/A</v>
      </c>
      <c r="GR15" s="151" t="e">
        <f>IF(CA15=$TK$5,'Tables - Part 3'!$CL$10,IF(COF!CA15=COF!$TK$6,IF(COF!GF15&lt;'Tables - Part 3'!$CK$5,'Tables - Part 3'!$CL$5,IF(GF15&gt;='Tables - Part 3'!$CK$9,'Tables - Part 3'!$CL$9,((COF!GF15-COF!GJ15)*(INDEX('Tables - Part 3'!$CL$5:$CL$9,MATCH(COF!GN15,'Tables - Part 3'!$CK$5:$CK$9,0))-INDEX('Tables - Part 3'!$CL$5:$CL$9,MATCH(COF!GJ15,'Tables - Part 3'!$CK$5:$CK$9,0)))/(GN15-GJ15)+INDEX('Tables - Part 3'!$CL$5:$CL$9,MATCH(COF!GJ15,'Tables - Part 3'!$CK$5:$CK$9,0)))))))</f>
        <v>#N/A</v>
      </c>
      <c r="GS15" s="151" t="e">
        <f>IF(CB15=$TK$5,'Tables - Part 3'!$CL$10,IF(COF!CB15=COF!$TK$6,IF(COF!GG15&lt;'Tables - Part 3'!$CK$5,'Tables - Part 3'!$CL$5,IF(GG15&gt;='Tables - Part 3'!$CK$9,'Tables - Part 3'!$CL$9,((COF!GG15-COF!GK15)*(INDEX('Tables - Part 3'!$CL$5:$CL$9,MATCH(COF!GO15,'Tables - Part 3'!$CK$5:$CK$9,0))-INDEX('Tables - Part 3'!$CL$5:$CL$9,MATCH(COF!GK15,'Tables - Part 3'!$CK$5:$CK$9,0)))/(GO15-GK15)+INDEX('Tables - Part 3'!$CL$5:$CL$9,MATCH(COF!GK15,'Tables - Part 3'!$CK$5:$CK$9,0)))))))</f>
        <v>#N/A</v>
      </c>
      <c r="GT15" s="151" t="e">
        <f>IF(CC15=$TK$5,'Tables - Part 3'!$CL$10,IF(COF!CC15=COF!$TK$6,IF(COF!GH15&lt;'Tables - Part 3'!$CK$5,'Tables - Part 3'!$CL$5,IF(GH15&gt;='Tables - Part 3'!$CK$9,'Tables - Part 3'!$CL$9,((COF!GH15-COF!GL15)*(INDEX('Tables - Part 3'!$CL$5:$CL$9,MATCH(COF!GP15,'Tables - Part 3'!$CK$5:$CK$9,0))-INDEX('Tables - Part 3'!$CL$5:$CL$9,MATCH(COF!GL15,'Tables - Part 3'!$CK$5:$CK$9,0)))/(GP15-GL15)+INDEX('Tables - Part 3'!$CL$5:$CL$9,MATCH(COF!GL15,'Tables - Part 3'!$CK$5:$CK$9,0)))))))</f>
        <v>#N/A</v>
      </c>
      <c r="GU15" s="151" t="e">
        <f>IF(CD15=$TK$5,'Tables - Part 3'!$CL$10,IF(COF!CD15=COF!$TK$6,IF(COF!GI15&lt;'Tables - Part 3'!$CK$5,'Tables - Part 3'!$CL$5,IF(GI15&gt;='Tables - Part 3'!$CK$9,'Tables - Part 3'!$CL$9,((COF!GI15-COF!GM15)*(INDEX('Tables - Part 3'!$CL$5:$CL$9,MATCH(COF!GQ15,'Tables - Part 3'!$CK$5:$CK$9,0))-INDEX('Tables - Part 3'!$CL$5:$CL$9,MATCH(COF!GM15,'Tables - Part 3'!$CK$5:$CK$9,0)))/(GQ15-GM15)+INDEX('Tables - Part 3'!$CL$5:$CL$9,MATCH(COF!GM15,'Tables - Part 3'!$CK$5:$CK$9,0)))))))</f>
        <v>#N/A</v>
      </c>
      <c r="GV15" s="151" t="e">
        <f>IF(CA15=$TK$5,'Tables - Part 3'!$CM$10,IF(COF!CA15=COF!$TK$6,IF(GF15&lt;'Tables - Part 3'!$CK$5,'Tables - Part 3'!$CM$5,IF(GF15&gt;='Tables - Part 3'!$CK$9,'Tables - Part 3'!$CM$9,((COF!GF15-COF!GJ15)*(INDEX('Tables - Part 3'!$CM$5:$CM$9,MATCH(COF!GN15,'Tables - Part 3'!$CK$5:$CK$9,0))-INDEX('Tables - Part 3'!$CM$5:$CM$9,MATCH(COF!GJ15,'Tables - Part 3'!$CK$5:$CK$9,0)))/(GN15-GJ15)+INDEX('Tables - Part 3'!$CM$5:$CM$9,MATCH(COF!GJ15,'Tables - Part 3'!$CK$5:$CK$9,0)))))))</f>
        <v>#N/A</v>
      </c>
      <c r="GW15" s="151" t="e">
        <f>IF(CB15=$TK$5,'Tables - Part 3'!$CM$10,IF(COF!CB15=COF!$TK$6,IF(GG15&lt;'Tables - Part 3'!$CK$5,'Tables - Part 3'!$CM$5,IF(GG15&gt;='Tables - Part 3'!$CK$9,'Tables - Part 3'!$CM$9,((COF!GG15-COF!GK15)*(INDEX('Tables - Part 3'!$CM$5:$CM$9,MATCH(COF!GO15,'Tables - Part 3'!$CK$5:$CK$9,0))-INDEX('Tables - Part 3'!$CM$5:$CM$9,MATCH(COF!GK15,'Tables - Part 3'!$CK$5:$CK$9,0)))/(GO15-GK15)+INDEX('Tables - Part 3'!$CM$5:$CM$9,MATCH(COF!GK15,'Tables - Part 3'!$CK$5:$CK$9,0)))))))</f>
        <v>#N/A</v>
      </c>
      <c r="GX15" s="151" t="e">
        <f>IF(CC15=$TK$5,'Tables - Part 3'!$CM$10,IF(COF!CC15=COF!$TK$6,IF(GH15&lt;'Tables - Part 3'!$CK$5,'Tables - Part 3'!$CM$5,IF(GH15&gt;='Tables - Part 3'!$CK$9,'Tables - Part 3'!$CM$9,((COF!GH15-COF!GL15)*(INDEX('Tables - Part 3'!$CM$5:$CM$9,MATCH(COF!GP15,'Tables - Part 3'!$CK$5:$CK$9,0))-INDEX('Tables - Part 3'!$CM$5:$CM$9,MATCH(COF!GL15,'Tables - Part 3'!$CK$5:$CK$9,0)))/(GP15-GL15)+INDEX('Tables - Part 3'!$CM$5:$CM$9,MATCH(COF!GL15,'Tables - Part 3'!$CK$5:$CK$9,0)))))))</f>
        <v>#N/A</v>
      </c>
      <c r="GY15" s="151" t="e">
        <f>IF(CD15=$TK$5,'Tables - Part 3'!$CM$10,IF(COF!CD15=COF!$TK$6,IF(GI15&lt;'Tables - Part 3'!$CK$5,'Tables - Part 3'!$CM$5,IF(GI15&gt;='Tables - Part 3'!$CK$9,'Tables - Part 3'!$CM$9,((COF!GI15-COF!GM15)*(INDEX('Tables - Part 3'!$CM$5:$CM$9,MATCH(COF!GQ15,'Tables - Part 3'!$CK$5:$CK$9,0))-INDEX('Tables - Part 3'!$CM$5:$CM$9,MATCH(COF!GM15,'Tables - Part 3'!$CK$5:$CK$9,0)))/(GQ15-GM15)+INDEX('Tables - Part 3'!$CM$5:$CM$9,MATCH(COF!GM15,'Tables - Part 3'!$CK$5:$CK$9,0)))))))</f>
        <v>#N/A</v>
      </c>
      <c r="GZ15" s="151">
        <f t="shared" si="273"/>
        <v>0</v>
      </c>
      <c r="HA15" s="151">
        <f t="shared" si="67"/>
        <v>0</v>
      </c>
      <c r="HB15" s="151">
        <f t="shared" si="68"/>
        <v>0</v>
      </c>
      <c r="HC15" s="151">
        <f t="shared" si="69"/>
        <v>0</v>
      </c>
      <c r="HD15" s="151">
        <f t="shared" si="274"/>
        <v>0</v>
      </c>
      <c r="HE15" s="151">
        <f t="shared" si="71"/>
        <v>0</v>
      </c>
      <c r="HF15" s="151">
        <f t="shared" si="72"/>
        <v>0</v>
      </c>
      <c r="HG15" s="151">
        <f t="shared" si="73"/>
        <v>0</v>
      </c>
      <c r="HH15" s="151" t="e">
        <f>IF(CA15=$TK$6,'Tables - Part 3.B'!$C$10*(('Tables - Part 3.B'!$C$7*COF!GZ15)^COF!HL15*10^COF!HP15),IF(CA15=$TK$5,'Tables - Part 3.B'!$C$10*(('Tables - Part 3.B'!$C$7*COF!HD15)^COF!HL15*10^COF!HP15),0))</f>
        <v>#N/A</v>
      </c>
      <c r="HI15" s="151" t="e">
        <f>IF(CB15=$TK$6,'Tables - Part 3.B'!$C$10*(('Tables - Part 3.B'!$C$7*COF!HA15)^COF!HM15*10^COF!HQ15),IF(CB15=$TK$5,'Tables - Part 3.B'!$C$10*(('Tables - Part 3.B'!$C$7*COF!HE15)^COF!HM15*10^COF!HQ15),0))</f>
        <v>#N/A</v>
      </c>
      <c r="HJ15" s="151" t="e">
        <f>IF(CC15=$TK$6,'Tables - Part 3.B'!$C$10*(('Tables - Part 3.B'!$C$7*COF!HB15)^COF!HN15*10^COF!HR15),IF(CC15=$TK$5,'Tables - Part 3.B'!$C$10*(('Tables - Part 3.B'!$C$7*COF!HF15)^COF!HN15*10^COF!HR15),0))</f>
        <v>#N/A</v>
      </c>
      <c r="HK15" s="151" t="e">
        <f>IF(CD15=$TK$6,'Tables - Part 3.B'!$C$10*(('Tables - Part 3.B'!$C$7*COF!HC15)^COF!HO15*10^COF!HS15),IF(CD15=$TK$5,'Tables - Part 3.B'!$C$10*(('Tables - Part 3.B'!$C$7*COF!HG15)^COF!HO15*10^COF!HS15),0))</f>
        <v>#N/A</v>
      </c>
      <c r="HL15" s="151" t="e">
        <f>IF(CA15=$TK$5,'Tables - Part 3'!$CN$10,IF(COF!CA15=COF!$TK$6,IF(COF!GF15&lt;'Tables - Part 3'!$CK$5,'Tables - Part 3'!$CN$5,IF(GF15&gt;='Tables - Part 3'!$CK$9,'Tables - Part 3'!$CN$9,((COF!GF15-COF!GJ15)*(INDEX('Tables - Part 3'!$CN$5:$CN$9,MATCH(COF!GN15,'Tables - Part 3'!$CK$5:$CK$9,0))-INDEX('Tables - Part 3'!$CN$5:$CN$9,MATCH(COF!GJ15,'Tables - Part 3'!$CK$5:$CK$9,0)))/(GN15-GJ15)+INDEX('Tables - Part 3'!$CN$5:$CN$9,MATCH(COF!GJ15,'Tables - Part 3'!$CK$5:$CK$9,0)))))))</f>
        <v>#N/A</v>
      </c>
      <c r="HM15" s="151" t="e">
        <f>IF(CB15=$TK$5,'Tables - Part 3'!$CN$10,IF(COF!CB15=COF!$TK$6,IF(COF!GG15&lt;'Tables - Part 3'!$CK$5,'Tables - Part 3'!$CN$5,IF(GG15&gt;='Tables - Part 3'!$CK$9,'Tables - Part 3'!$CN$9,((COF!GG15-COF!GK15)*(INDEX('Tables - Part 3'!$CN$5:$CN$9,MATCH(COF!GO15,'Tables - Part 3'!$CK$5:$CK$9,0))-INDEX('Tables - Part 3'!$CN$5:$CN$9,MATCH(COF!GK15,'Tables - Part 3'!$CK$5:$CK$9,0)))/(GO15-GK15)+INDEX('Tables - Part 3'!$CN$5:$CN$9,MATCH(COF!GK15,'Tables - Part 3'!$CK$5:$CK$9,0)))))))</f>
        <v>#N/A</v>
      </c>
      <c r="HN15" s="151" t="e">
        <f>IF(CC15=$TK$5,'Tables - Part 3'!$CN$10,IF(COF!CC15=COF!$TK$6,IF(COF!GH15&lt;'Tables - Part 3'!$CK$5,'Tables - Part 3'!$CN$5,IF(GH15&gt;='Tables - Part 3'!$CK$9,'Tables - Part 3'!$CN$9,((COF!GH15-COF!GL15)*(INDEX('Tables - Part 3'!$CN$5:$CN$9,MATCH(COF!GP15,'Tables - Part 3'!$CK$5:$CK$9,0))-INDEX('Tables - Part 3'!$CN$5:$CN$9,MATCH(COF!GL15,'Tables - Part 3'!$CK$5:$CK$9,0)))/(GP15-GL15)+INDEX('Tables - Part 3'!$CN$5:$CN$9,MATCH(COF!GL15,'Tables - Part 3'!$CK$5:$CK$9,0)))))))</f>
        <v>#N/A</v>
      </c>
      <c r="HO15" s="151" t="e">
        <f>IF(CD15=$TK$5,'Tables - Part 3'!$CN$10,IF(COF!CD15=COF!$TK$6,IF(COF!GI15&lt;'Tables - Part 3'!$CK$5,'Tables - Part 3'!$CN$5,IF(GI15&gt;='Tables - Part 3'!$CK$9,'Tables - Part 3'!$CN$9,((COF!GI15-COF!GM15)*(INDEX('Tables - Part 3'!$CN$5:$CN$9,MATCH(COF!GQ15,'Tables - Part 3'!$CK$5:$CK$9,0))-INDEX('Tables - Part 3'!$CN$5:$CN$9,MATCH(COF!GM15,'Tables - Part 3'!$CK$5:$CK$9,0)))/(GQ15-GM15)+INDEX('Tables - Part 3'!$CN$5:$CN$9,MATCH(COF!GM15,'Tables - Part 3'!$CK$5:$CK$9,0)))))))</f>
        <v>#N/A</v>
      </c>
      <c r="HP15" s="151" t="e">
        <f>IF(CA15=$TK$5,'Tables - Part 3'!$CO$10,IF(COF!CA15=COF!$TK$6,IF(GF15&lt;'Tables - Part 3'!$CK$5,'Tables - Part 3'!$CO$5,IF(GF15&gt;='Tables - Part 3'!$CK$9,'Tables - Part 3'!$CO$9,((COF!GF15-COF!GJ15)*(INDEX('Tables - Part 3'!$CO$5:$CO$9,MATCH(COF!GN15,'Tables - Part 3'!$CK$5:$CK$9,0))-INDEX('Tables - Part 3'!$CO$5:$CO$9,MATCH(COF!GJ15,'Tables - Part 3'!$CK$5:$CK$9,0)))/(GN15-GJ15)+INDEX('Tables - Part 3'!$CO$5:$CO$9,MATCH(COF!GJ15,'Tables - Part 3'!$CK$5:$CK$9,0)))))))</f>
        <v>#N/A</v>
      </c>
      <c r="HQ15" s="151" t="e">
        <f>IF(CB15=$TK$5,'Tables - Part 3'!$CO$10,IF(COF!CB15=COF!$TK$6,IF(GG15&lt;'Tables - Part 3'!$CK$5,'Tables - Part 3'!$CO$5,IF(GG15&gt;='Tables - Part 3'!$CK$9,'Tables - Part 3'!$CO$9,((COF!GG15-COF!GK15)*(INDEX('Tables - Part 3'!$CO$5:$CO$9,MATCH(COF!GO15,'Tables - Part 3'!$CK$5:$CK$9,0))-INDEX('Tables - Part 3'!$CO$5:$CO$9,MATCH(COF!GK15,'Tables - Part 3'!$CK$5:$CK$9,0)))/(GO15-GK15)+INDEX('Tables - Part 3'!$CO$5:$CO$9,MATCH(COF!GK15,'Tables - Part 3'!$CK$5:$CK$9,0)))))))</f>
        <v>#N/A</v>
      </c>
      <c r="HR15" s="151" t="e">
        <f>IF(CC15=$TK$5,'Tables - Part 3'!$CO$10,IF(COF!CC15=COF!$TK$6,IF(GH15&lt;'Tables - Part 3'!$CK$5,'Tables - Part 3'!$CO$5,IF(GH15&gt;='Tables - Part 3'!$CK$9,'Tables - Part 3'!$CO$9,((COF!GH15-COF!GL15)*(INDEX('Tables - Part 3'!$CO$5:$CO$9,MATCH(COF!GP15,'Tables - Part 3'!$CK$5:$CK$9,0))-INDEX('Tables - Part 3'!$CO$5:$CO$9,MATCH(COF!GL15,'Tables - Part 3'!$CK$5:$CK$9,0)))/(GP15-GL15)+INDEX('Tables - Part 3'!$CO$5:$CO$9,MATCH(COF!GL15,'Tables - Part 3'!$CK$5:$CK$9,0)))))))</f>
        <v>#N/A</v>
      </c>
      <c r="HS15" s="151" t="e">
        <f>IF(CD15=$TK$5,'Tables - Part 3'!$CO$10,IF(COF!CD15=COF!$TK$6,IF(GI15&lt;'Tables - Part 3'!$CK$5,'Tables - Part 3'!$CO$5,IF(GI15&gt;='Tables - Part 3'!$CK$9,'Tables - Part 3'!$CO$9,((COF!GI15-COF!GM15)*(INDEX('Tables - Part 3'!$CO$5:$CO$9,MATCH(COF!GQ15,'Tables - Part 3'!$CK$5:$CK$9,0))-INDEX('Tables - Part 3'!$CO$5:$CO$9,MATCH(COF!GM15,'Tables - Part 3'!$CK$5:$CK$9,0)))/(GQ15-GM15)+INDEX('Tables - Part 3'!$CO$5:$CO$9,MATCH(COF!GM15,'Tables - Part 3'!$CK$5:$CK$9,0)))))))</f>
        <v>#N/A</v>
      </c>
      <c r="HT15" s="151">
        <f t="shared" si="275"/>
        <v>0</v>
      </c>
      <c r="HU15" s="151">
        <f t="shared" si="75"/>
        <v>0</v>
      </c>
      <c r="HV15" s="151">
        <f t="shared" si="76"/>
        <v>0</v>
      </c>
      <c r="HW15" s="151">
        <f t="shared" si="77"/>
        <v>0</v>
      </c>
      <c r="HX15" s="151">
        <f t="shared" si="276"/>
        <v>0</v>
      </c>
      <c r="HY15" s="151">
        <f t="shared" si="79"/>
        <v>0</v>
      </c>
      <c r="HZ15" s="151">
        <f t="shared" si="80"/>
        <v>0</v>
      </c>
      <c r="IA15" s="151">
        <f t="shared" si="81"/>
        <v>0</v>
      </c>
      <c r="IB15" s="153" t="e">
        <f t="shared" si="82"/>
        <v>#N/A</v>
      </c>
      <c r="IC15" s="153" t="e">
        <f t="shared" si="83"/>
        <v>#N/A</v>
      </c>
      <c r="ID15" s="153" t="e">
        <f t="shared" si="84"/>
        <v>#N/A</v>
      </c>
      <c r="IE15" s="153" t="e">
        <f t="shared" si="85"/>
        <v>#N/A</v>
      </c>
      <c r="IF15" s="152" t="e">
        <f>IF(GF15&lt;'Tables - Part 3'!$CQ$5,0,LOOKUP(GF15,'Tables - Part 3'!$CQ$5:$CQ$16))</f>
        <v>#N/A</v>
      </c>
      <c r="IG15" s="152" t="e">
        <f>IF(GG15&lt;'Tables - Part 3'!$CQ$5,0,LOOKUP(GG15,'Tables - Part 3'!$CQ$5:$CQ$16))</f>
        <v>#N/A</v>
      </c>
      <c r="IH15" s="152" t="e">
        <f>IF(GH15&lt;'Tables - Part 3'!$CQ$5,0,LOOKUP(GH15,'Tables - Part 3'!$CQ$5:$CQ$16))</f>
        <v>#N/A</v>
      </c>
      <c r="II15" s="152" t="e">
        <f>IF(GI15&lt;'Tables - Part 3'!$CQ$5,0,LOOKUP(GI15,'Tables - Part 3'!$CQ$5:$CQ$16))</f>
        <v>#N/A</v>
      </c>
      <c r="IJ15" s="152" t="e">
        <f>IF(GF15&lt;'Tables - Part 3'!$CQ$5,'Tables - Part 3'!$CQ$5,IF(COF!GF15&lt;'Tables - Part 3'!$CQ$6,'Tables - Part 3'!$CQ$6,IF(COF!GF15&lt;'Tables - Part 3'!$CQ$7,'Tables - Part 3'!$CQ$7,IF(COF!GF15&lt;'Tables - Part 3'!$CQ$8,'Tables - Part 3'!$CQ$8,IF(COF!GF15&lt;'Tables - Part 3'!$CQ$9,'Tables - Part 3'!$CQ$9,IF(COF!GF15&lt;'Tables - Part 3'!$CQ$10,'Tables - Part 3'!$CQ$10,IF(COF!GF15&lt;'Tables - Part 3'!$CQ$11,'Tables - Part 3'!$CQ$11,IF(COF!GF15&lt;'Tables - Part 3'!$CQ$12,'Tables - Part 3'!$CQ$12,IF(COF!GF15&lt;'Tables - Part 3'!$CQ$13,'Tables - Part 3'!$CQ$13,IF(COF!GF15&lt;'Tables - Part 3'!$CQ$14,'Tables - Part 3'!$CQ$14,IF(COF!GF15&lt;'Tables - Part 3'!$CQ$15,'Tables - Part 3'!$CQ$15,IF(COF!GF15&lt;'Tables - Part 3'!$CQ$16,'Tables - Part 3'!$CQ$16))))))))))))</f>
        <v>#N/A</v>
      </c>
      <c r="IK15" s="152" t="e">
        <f>IF(GG15&lt;'Tables - Part 3'!$CQ$5,'Tables - Part 3'!$CQ$5,IF(COF!GG15&lt;'Tables - Part 3'!$CQ$6,'Tables - Part 3'!$CQ$6,IF(COF!GG15&lt;'Tables - Part 3'!$CQ$7,'Tables - Part 3'!$CQ$7,IF(COF!GG15&lt;'Tables - Part 3'!$CQ$8,'Tables - Part 3'!$CQ$8,IF(COF!GG15&lt;'Tables - Part 3'!$CQ$9,'Tables - Part 3'!$CQ$9,IF(COF!GG15&lt;'Tables - Part 3'!$CQ$10,'Tables - Part 3'!$CQ$10,IF(COF!GG15&lt;'Tables - Part 3'!$CQ$11,'Tables - Part 3'!$CQ$11,IF(COF!GG15&lt;'Tables - Part 3'!$CQ$12,'Tables - Part 3'!$CQ$12,IF(COF!GG15&lt;'Tables - Part 3'!$CQ$13,'Tables - Part 3'!$CQ$13,IF(COF!GG15&lt;'Tables - Part 3'!$CQ$14,'Tables - Part 3'!$CQ$14,IF(COF!GG15&lt;'Tables - Part 3'!$CQ$15,'Tables - Part 3'!$CQ$15,IF(COF!GG15&lt;'Tables - Part 3'!$CQ$16,'Tables - Part 3'!$CQ$16))))))))))))</f>
        <v>#N/A</v>
      </c>
      <c r="IL15" s="152" t="e">
        <f>IF(GH15&lt;'Tables - Part 3'!$CQ$5,'Tables - Part 3'!$CQ$5,IF(COF!GH15&lt;'Tables - Part 3'!$CQ$6,'Tables - Part 3'!$CQ$6,IF(COF!GH15&lt;'Tables - Part 3'!$CQ$7,'Tables - Part 3'!$CQ$7,IF(COF!GH15&lt;'Tables - Part 3'!$CQ$8,'Tables - Part 3'!$CQ$8,IF(COF!GH15&lt;'Tables - Part 3'!$CQ$9,'Tables - Part 3'!$CQ$9,IF(COF!GH15&lt;'Tables - Part 3'!$CQ$10,'Tables - Part 3'!$CQ$10,IF(COF!GH15&lt;'Tables - Part 3'!$CQ$11,'Tables - Part 3'!$CQ$11,IF(COF!GH15&lt;'Tables - Part 3'!$CQ$12,'Tables - Part 3'!$CQ$12,IF(COF!GH15&lt;'Tables - Part 3'!$CQ$13,'Tables - Part 3'!$CQ$13,IF(COF!GH15&lt;'Tables - Part 3'!$CQ$14,'Tables - Part 3'!$CQ$14,IF(COF!GH15&lt;'Tables - Part 3'!$CQ$15,'Tables - Part 3'!$CQ$15,IF(COF!GH15&lt;'Tables - Part 3'!$CQ$16,'Tables - Part 3'!$CQ$16))))))))))))</f>
        <v>#N/A</v>
      </c>
      <c r="IM15" s="152" t="e">
        <f>IF(GI15&lt;'Tables - Part 3'!$CQ$5,'Tables - Part 3'!$CQ$5,IF(COF!GI15&lt;'Tables - Part 3'!$CQ$6,'Tables - Part 3'!$CQ$6,IF(COF!GI15&lt;'Tables - Part 3'!$CQ$7,'Tables - Part 3'!$CQ$7,IF(COF!GI15&lt;'Tables - Part 3'!$CQ$8,'Tables - Part 3'!$CQ$8,IF(COF!GI15&lt;'Tables - Part 3'!$CQ$9,'Tables - Part 3'!$CQ$9,IF(COF!GI15&lt;'Tables - Part 3'!$CQ$10,'Tables - Part 3'!$CQ$10,IF(COF!GI15&lt;'Tables - Part 3'!$CQ$11,'Tables - Part 3'!$CQ$11,IF(COF!GI15&lt;'Tables - Part 3'!$CQ$12,'Tables - Part 3'!$CQ$12,IF(COF!GI15&lt;'Tables - Part 3'!$CQ$13,'Tables - Part 3'!$CQ$13,IF(COF!GI15&lt;'Tables - Part 3'!$CQ$14,'Tables - Part 3'!$CQ$14,IF(COF!GI15&lt;'Tables - Part 3'!$CQ$15,'Tables - Part 3'!$CQ$15,IF(COF!GI15&lt;'Tables - Part 3'!$CQ$16,'Tables - Part 3'!$CQ$16))))))))))))</f>
        <v>#N/A</v>
      </c>
      <c r="IN15" s="151" t="e">
        <f>IF(CA15=$TK$5,'Tables - Part 3'!$CR$17,IF(COF!CA15=COF!$TK$6,IF(COF!GF15&lt;'Tables - Part 3'!$CQ$5,'Tables - Part 3'!$CR$5,IF(GF15&gt;='Tables - Part 3'!$CQ$16,'Tables - Part 3'!$CR$16,((COF!GF15-COF!IF15)*(INDEX('Tables - Part 3'!$CR$5:$CR$16,MATCH(COF!IJ15,'Tables - Part 3'!$CQ$5:$CQ$16,0))-INDEX('Tables - Part 3'!$CR$5:$CR$16,MATCH(COF!IF15,'Tables - Part 3'!$CQ$5:$CQ$16,0)))/(IJ15-IF15)+INDEX('Tables - Part 3'!$CR$5:$CR$16,MATCH(COF!IF15,'Tables - Part 3'!$CQ$5:$CQ$16,0)))))))</f>
        <v>#N/A</v>
      </c>
      <c r="IO15" s="151" t="e">
        <f>IF(CB15=$TK$5,'Tables - Part 3'!$CR$17,IF(COF!CB15=COF!$TK$6,IF(COF!GG15&lt;'Tables - Part 3'!$CQ$5,'Tables - Part 3'!$CR$5,IF(GG15&gt;='Tables - Part 3'!$CQ$16,'Tables - Part 3'!$CR$16,((COF!GG15-COF!IG15)*(INDEX('Tables - Part 3'!$CR$5:$CR$16,MATCH(COF!IK15,'Tables - Part 3'!$CQ$5:$CQ$16,0))-INDEX('Tables - Part 3'!$CR$5:$CR$16,MATCH(COF!IG15,'Tables - Part 3'!$CQ$5:$CQ$16,0)))/(IK15-IG15)+INDEX('Tables - Part 3'!$CR$5:$CR$16,MATCH(COF!IG15,'Tables - Part 3'!$CQ$5:$CQ$16,0)))))))</f>
        <v>#N/A</v>
      </c>
      <c r="IP15" s="151" t="e">
        <f>IF(CC15=$TK$5,'Tables - Part 3'!$CR$17,IF(COF!CC15=COF!$TK$6,IF(COF!GH15&lt;'Tables - Part 3'!$CQ$5,'Tables - Part 3'!$CR$5,IF(GH15&gt;='Tables - Part 3'!$CQ$16,'Tables - Part 3'!$CR$16,((COF!GH15-COF!IH15)*(INDEX('Tables - Part 3'!$CR$5:$CR$16,MATCH(COF!IL15,'Tables - Part 3'!$CQ$5:$CQ$16,0))-INDEX('Tables - Part 3'!$CR$5:$CR$16,MATCH(COF!IH15,'Tables - Part 3'!$CQ$5:$CQ$16,0)))/(IL15-IH15)+INDEX('Tables - Part 3'!$CR$5:$CR$16,MATCH(COF!IH15,'Tables - Part 3'!$CQ$5:$CQ$16,0)))))))</f>
        <v>#N/A</v>
      </c>
      <c r="IQ15" s="151" t="e">
        <f>IF(CD15=$TK$5,'Tables - Part 3'!$CR$17,IF(COF!CD15=COF!$TK$6,IF(COF!GI15&lt;'Tables - Part 3'!$CQ$5,'Tables - Part 3'!$CR$5,IF(GI15&gt;='Tables - Part 3'!$CQ$16,'Tables - Part 3'!$CR$16,((COF!GI15-COF!II15)*(INDEX('Tables - Part 3'!$CR$5:$CR$16,MATCH(COF!IM15,'Tables - Part 3'!$CQ$5:$CQ$16,0))-INDEX('Tables - Part 3'!$CR$5:$CR$16,MATCH(COF!II15,'Tables - Part 3'!$CQ$5:$CQ$16,0)))/(IM15-II15)+INDEX('Tables - Part 3'!$CR$5:$CR$16,MATCH(COF!II15,'Tables - Part 3'!$CQ$5:$CQ$16,0)))))))</f>
        <v>#N/A</v>
      </c>
      <c r="IR15" s="151" t="e">
        <f>IF(CA15=$TK$5,'Tables - Part 3'!$CS$17,IF(COF!CA15=COF!$TK$6,IF(COF!GF15&lt;'Tables - Part 3'!$CQ$5,'Tables - Part 3'!$CS$5,IF(GF15&gt;='Tables - Part 3'!$CQ$16,'Tables - Part 3'!$CS$16,((COF!GF15-COF!IF15)*(INDEX('Tables - Part 3'!$CS$5:$CS$16,MATCH(COF!IJ15,'Tables - Part 3'!$CQ$5:$CQ$16,0))-INDEX('Tables - Part 3'!$CS$5:$CS$16,MATCH(COF!IF15,'Tables - Part 3'!$CQ$5:$CQ$16,0)))/(IJ15-IF15)+INDEX('Tables - Part 3'!$CS$5:$CS$16,MATCH(COF!IF15,'Tables - Part 3'!$CQ$5:$CQ$16,0)))))))</f>
        <v>#N/A</v>
      </c>
      <c r="IS15" s="151" t="e">
        <f>IF(CB15=$TK$5,'Tables - Part 3'!$CS$17,IF(COF!CB15=COF!$TK$6,IF(COF!GG15&lt;'Tables - Part 3'!$CQ$5,'Tables - Part 3'!$CS$5,IF(GG15&gt;='Tables - Part 3'!$CQ$16,'Tables - Part 3'!$CS$16,((COF!GG15-COF!IG15)*(INDEX('Tables - Part 3'!$CS$5:$CS$16,MATCH(COF!IK15,'Tables - Part 3'!$CQ$5:$CQ$16,0))-INDEX('Tables - Part 3'!$CS$5:$CS$16,MATCH(COF!IG15,'Tables - Part 3'!$CQ$5:$CQ$16,0)))/(IK15-IG15)+INDEX('Tables - Part 3'!$CS$5:$CS$16,MATCH(COF!IG15,'Tables - Part 3'!$CQ$5:$CQ$16,0)))))))</f>
        <v>#N/A</v>
      </c>
      <c r="IT15" s="151" t="e">
        <f>IF(CC15=$TK$5,'Tables - Part 3'!$CS$17,IF(COF!CC15=COF!$TK$6,IF(COF!GH15&lt;'Tables - Part 3'!$CQ$5,'Tables - Part 3'!$CS$5,IF(GH15&gt;='Tables - Part 3'!$CQ$16,'Tables - Part 3'!$CS$16,((COF!GH15-COF!IH15)*(INDEX('Tables - Part 3'!$CS$5:$CS$16,MATCH(COF!IL15,'Tables - Part 3'!$CQ$5:$CQ$16,0))-INDEX('Tables - Part 3'!$CS$5:$CS$16,MATCH(COF!IH15,'Tables - Part 3'!$CQ$5:$CQ$16,0)))/(IL15-IH15)+INDEX('Tables - Part 3'!$CS$5:$CS$16,MATCH(COF!IH15,'Tables - Part 3'!$CQ$5:$CQ$16,0)))))))</f>
        <v>#N/A</v>
      </c>
      <c r="IU15" s="151" t="e">
        <f>IF(CD15=$TK$5,'Tables - Part 3'!$CS$17,IF(COF!CD15=COF!$TK$6,IF(COF!GI15&lt;'Tables - Part 3'!$CQ$5,'Tables - Part 3'!$CS$5,IF(GI15&gt;='Tables - Part 3'!$CQ$16,'Tables - Part 3'!$CS$16,((COF!GI15-COF!II15)*(INDEX('Tables - Part 3'!$CS$5:$CS$16,MATCH(COF!IM15,'Tables - Part 3'!$CQ$5:$CQ$16,0))-INDEX('Tables - Part 3'!$CS$5:$CS$16,MATCH(COF!II15,'Tables - Part 3'!$CQ$5:$CQ$16,0)))/(IM15-II15)+INDEX('Tables - Part 3'!$CS$5:$CS$16,MATCH(COF!II15,'Tables - Part 3'!$CQ$5:$CQ$16,0)))))))</f>
        <v>#N/A</v>
      </c>
      <c r="IV15" s="151">
        <f t="shared" si="277"/>
        <v>0</v>
      </c>
      <c r="IW15" s="151">
        <f t="shared" si="87"/>
        <v>0</v>
      </c>
      <c r="IX15" s="151">
        <f t="shared" si="88"/>
        <v>0</v>
      </c>
      <c r="IY15" s="151">
        <f t="shared" si="89"/>
        <v>0</v>
      </c>
      <c r="IZ15" s="151">
        <f t="shared" si="278"/>
        <v>0</v>
      </c>
      <c r="JA15" s="151">
        <f t="shared" si="91"/>
        <v>0</v>
      </c>
      <c r="JB15" s="151">
        <f t="shared" si="92"/>
        <v>0</v>
      </c>
      <c r="JC15" s="151">
        <f t="shared" si="93"/>
        <v>0</v>
      </c>
      <c r="JD15" s="151" t="e">
        <f t="shared" si="94"/>
        <v>#N/A</v>
      </c>
      <c r="JE15" s="151" t="e">
        <f t="shared" si="95"/>
        <v>#N/A</v>
      </c>
      <c r="JF15" s="151" t="e">
        <f t="shared" si="96"/>
        <v>#N/A</v>
      </c>
      <c r="JG15" s="151" t="e">
        <f t="shared" si="97"/>
        <v>#N/A</v>
      </c>
      <c r="JH15" s="151" t="e">
        <f>IF(CA15=$TK$5,'Tables - Part 3'!$CT$17,IF(COF!CA15=COF!$TK$6,IF(COF!GF15&lt;'Tables - Part 3'!$CQ$5,'Tables - Part 3'!$CT$5,IF(GF15&gt;='Tables - Part 3'!$CQ$16,'Tables - Part 3'!$CT$16,((COF!GF15-COF!IF15)*(INDEX('Tables - Part 3'!$CT$5:$CT$16,MATCH(COF!IJ15,'Tables - Part 3'!$CQ$5:$CQ$16,0))-INDEX('Tables - Part 3'!$CT$5:$CT$16,MATCH(COF!IF15,'Tables - Part 3'!$CQ$5:$CQ$16,0)))/(IJ15-IF15)+INDEX('Tables - Part 3'!$CT$5:$CT$16,MATCH(COF!IF15,'Tables - Part 3'!$CQ$5:$CQ$16,0)))))))</f>
        <v>#N/A</v>
      </c>
      <c r="JI15" s="151" t="e">
        <f>IF(CB15=$TK$5,'Tables - Part 3'!$CT$17,IF(COF!CB15=COF!$TK$6,IF(COF!GG15&lt;'Tables - Part 3'!$CQ$5,'Tables - Part 3'!$CT$5,IF(GG15&gt;='Tables - Part 3'!$CQ$16,'Tables - Part 3'!$CT$16,((COF!GG15-COF!IG15)*(INDEX('Tables - Part 3'!$CT$5:$CT$16,MATCH(COF!IK15,'Tables - Part 3'!$CQ$5:$CQ$16,0))-INDEX('Tables - Part 3'!$CT$5:$CT$16,MATCH(COF!IG15,'Tables - Part 3'!$CQ$5:$CQ$16,0)))/(IK15-IG15)+INDEX('Tables - Part 3'!$CT$5:$CT$16,MATCH(COF!IG15,'Tables - Part 3'!$CQ$5:$CQ$16,0)))))))</f>
        <v>#N/A</v>
      </c>
      <c r="JJ15" s="151" t="e">
        <f>IF(CC15=$TK$5,'Tables - Part 3'!$CT$17,IF(COF!CC15=COF!$TK$6,IF(COF!GH15&lt;'Tables - Part 3'!$CQ$5,'Tables - Part 3'!$CT$5,IF(GH15&gt;='Tables - Part 3'!$CQ$16,'Tables - Part 3'!$CT$16,((COF!GH15-COF!IH15)*(INDEX('Tables - Part 3'!$CT$5:$CT$16,MATCH(COF!IL15,'Tables - Part 3'!$CQ$5:$CQ$16,0))-INDEX('Tables - Part 3'!$CT$5:$CT$16,MATCH(COF!IH15,'Tables - Part 3'!$CQ$5:$CQ$16,0)))/(IL15-IH15)+INDEX('Tables - Part 3'!$CT$5:$CT$16,MATCH(COF!IH15,'Tables - Part 3'!$CQ$5:$CQ$16,0)))))))</f>
        <v>#N/A</v>
      </c>
      <c r="JK15" s="151" t="e">
        <f>IF(CD15=$TK$5,'Tables - Part 3'!$CT$17,IF(COF!CD15=COF!$TK$6,IF(COF!GI15&lt;'Tables - Part 3'!$CQ$5,'Tables - Part 3'!$CT$5,IF(GI15&gt;='Tables - Part 3'!$CQ$16,'Tables - Part 3'!$CT$16,((COF!GI15-COF!II15)*(INDEX('Tables - Part 3'!$CT$5:$CT$16,MATCH(COF!IM15,'Tables - Part 3'!$CQ$5:$CQ$16,0))-INDEX('Tables - Part 3'!$CT$5:$CT$16,MATCH(COF!II15,'Tables - Part 3'!$CQ$5:$CQ$16,0)))/(IM15-II15)+INDEX('Tables - Part 3'!$CT$5:$CT$16,MATCH(COF!II15,'Tables - Part 3'!$CQ$5:$CQ$16,0)))))))</f>
        <v>#N/A</v>
      </c>
      <c r="JL15" s="151" t="e">
        <f>IF(CA15=$TK$5,'Tables - Part 3'!$CU$17,IF(COF!CA15=COF!$TK$6,IF(COF!GF15&lt;'Tables - Part 3'!$CQ$5,'Tables - Part 3'!$CU$5,IF(GF15&gt;='Tables - Part 3'!$CQ$16,'Tables - Part 3'!$CU$16,((COF!GF15-COF!IF15)*(INDEX('Tables - Part 3'!$CU$5:$CU$16,MATCH(COF!IJ15,'Tables - Part 3'!$CQ$5:$CQ$16,0))-INDEX('Tables - Part 3'!$CU$5:$CU$16,MATCH(COF!IF15,'Tables - Part 3'!$CQ$5:$CQ$16,0)))/(IJ15-IF15)+INDEX('Tables - Part 3'!$CU$5:$CU$16,MATCH(COF!IF15,'Tables - Part 3'!$CQ$5:$CQ$16,0)))))))</f>
        <v>#N/A</v>
      </c>
      <c r="JM15" s="151" t="e">
        <f>IF(CB15=$TK$5,'Tables - Part 3'!$CU$17,IF(COF!CB15=COF!$TK$6,IF(COF!GG15&lt;'Tables - Part 3'!$CQ$5,'Tables - Part 3'!$CU$5,IF(GG15&gt;='Tables - Part 3'!$CQ$16,'Tables - Part 3'!$CU$16,((COF!GG15-COF!IG15)*(INDEX('Tables - Part 3'!$CU$5:$CU$16,MATCH(COF!IK15,'Tables - Part 3'!$CQ$5:$CQ$16,0))-INDEX('Tables - Part 3'!$CU$5:$CU$16,MATCH(COF!IG15,'Tables - Part 3'!$CQ$5:$CQ$16,0)))/(IK15-IG15)+INDEX('Tables - Part 3'!$CU$5:$CU$16,MATCH(COF!IG15,'Tables - Part 3'!$CQ$5:$CQ$16,0)))))))</f>
        <v>#N/A</v>
      </c>
      <c r="JN15" s="151" t="e">
        <f>IF(CC15=$TK$5,'Tables - Part 3'!$CU$17,IF(COF!CC15=COF!$TK$6,IF(COF!GH15&lt;'Tables - Part 3'!$CQ$5,'Tables - Part 3'!$CU$5,IF(GH15&gt;='Tables - Part 3'!$CQ$16,'Tables - Part 3'!$CU$16,((COF!GH15-COF!IH15)*(INDEX('Tables - Part 3'!$CU$5:$CU$16,MATCH(COF!IL15,'Tables - Part 3'!$CQ$5:$CQ$16,0))-INDEX('Tables - Part 3'!$CU$5:$CU$16,MATCH(COF!IH15,'Tables - Part 3'!$CQ$5:$CQ$16,0)))/(IL15-IH15)+INDEX('Tables - Part 3'!$CU$5:$CU$16,MATCH(COF!IH15,'Tables - Part 3'!$CQ$5:$CQ$16,0)))))))</f>
        <v>#N/A</v>
      </c>
      <c r="JO15" s="151" t="e">
        <f>IF(CD15=$TK$5,'Tables - Part 3'!$CU$17,IF(COF!CD15=COF!$TK$6,IF(COF!GI15&lt;'Tables - Part 3'!$CQ$5,'Tables - Part 3'!$CU$5,IF(GI15&gt;='Tables - Part 3'!$CQ$16,'Tables - Part 3'!$CU$16,((COF!GI15-COF!II15)*(INDEX('Tables - Part 3'!$CU$5:$CU$16,MATCH(COF!IM15,'Tables - Part 3'!$CQ$5:$CQ$16,0))-INDEX('Tables - Part 3'!$CU$5:$CU$16,MATCH(COF!II15,'Tables - Part 3'!$CQ$5:$CQ$16,0)))/(IM15-II15)+INDEX('Tables - Part 3'!$CU$5:$CU$16,MATCH(COF!II15,'Tables - Part 3'!$CQ$5:$CQ$16,0)))))))</f>
        <v>#N/A</v>
      </c>
      <c r="JP15" s="282"/>
      <c r="JQ15" s="151">
        <f t="shared" si="279"/>
        <v>0</v>
      </c>
      <c r="JR15" s="151">
        <f t="shared" si="99"/>
        <v>0</v>
      </c>
      <c r="JS15" s="151">
        <f t="shared" si="100"/>
        <v>0</v>
      </c>
      <c r="JT15" s="151">
        <f t="shared" si="101"/>
        <v>0</v>
      </c>
      <c r="JU15" s="151" t="e">
        <f t="shared" si="204"/>
        <v>#N/A</v>
      </c>
      <c r="JV15" s="151" t="e">
        <f t="shared" si="205"/>
        <v>#N/A</v>
      </c>
      <c r="JW15" s="151" t="e">
        <f t="shared" si="206"/>
        <v>#N/A</v>
      </c>
      <c r="JX15" s="151" t="e">
        <f t="shared" si="207"/>
        <v>#N/A</v>
      </c>
      <c r="JY15" s="152" t="e">
        <f>IF(GF15&lt;'Tables - Part 3'!$CY$6,0,LOOKUP(GF15,'Tables - Part 3'!$CY$6:$CY$11))</f>
        <v>#N/A</v>
      </c>
      <c r="JZ15" s="152" t="e">
        <f>IF(GG15&lt;'Tables - Part 3'!$CY$6,0,LOOKUP(GG15,'Tables - Part 3'!$CY$6:$CY$11))</f>
        <v>#N/A</v>
      </c>
      <c r="KA15" s="152" t="e">
        <f>IF(GH15&lt;'Tables - Part 3'!$CY$6,0,LOOKUP(GH15,'Tables - Part 3'!$CY$6:$CY$11))</f>
        <v>#N/A</v>
      </c>
      <c r="KB15" s="152" t="e">
        <f>IF(GI15&lt;'Tables - Part 3'!$CY$6,0,LOOKUP(GI15,'Tables - Part 3'!$CY$6:$CY$11))</f>
        <v>#N/A</v>
      </c>
      <c r="KC15" s="152" t="e">
        <f>IF(GF15&lt;'Tables - Part 3'!$CY$6,'Tables - Part 3'!$CY$6,IF(COF!GF15&lt;'Tables - Part 3'!$CY$7,'Tables - Part 3'!$CY$7,IF(COF!GF15&lt;'Tables - Part 3'!$CY$8,'Tables - Part 3'!$CY$8,IF(COF!GF15&lt;'Tables - Part 3'!$CY$9,'Tables - Part 3'!$CY$9,IF(COF!GF15&lt;'Tables - Part 3'!$CY$10,'Tables - Part 3'!$CY$10,IF(COF!GF15&lt;'Tables - Part 3'!$CY$11,'Tables - Part 3'!$CY$11))))))</f>
        <v>#N/A</v>
      </c>
      <c r="KD15" s="152" t="e">
        <f>IF(GG15&lt;'Tables - Part 3'!$CY$6,'Tables - Part 3'!$CY$6,IF(COF!GG15&lt;'Tables - Part 3'!$CY$7,'Tables - Part 3'!$CY$7,IF(COF!GG15&lt;'Tables - Part 3'!$CY$8,'Tables - Part 3'!$CY$8,IF(COF!GG15&lt;'Tables - Part 3'!$CY$9,'Tables - Part 3'!$CY$9,IF(COF!GG15&lt;'Tables - Part 3'!$CY$10,'Tables - Part 3'!$CY$10,IF(COF!GG15&lt;'Tables - Part 3'!$CY$11,'Tables - Part 3'!$CY$11))))))</f>
        <v>#N/A</v>
      </c>
      <c r="KE15" s="152" t="e">
        <f>IF(GH15&lt;'Tables - Part 3'!$CY$6,'Tables - Part 3'!$CY$6,IF(COF!GH15&lt;'Tables - Part 3'!$CY$7,'Tables - Part 3'!$CY$7,IF(COF!GH15&lt;'Tables - Part 3'!$CY$8,'Tables - Part 3'!$CY$8,IF(COF!GH15&lt;'Tables - Part 3'!$CY$9,'Tables - Part 3'!$CY$9,IF(COF!GH15&lt;'Tables - Part 3'!$CY$10,'Tables - Part 3'!$CY$10,IF(COF!GH15&lt;'Tables - Part 3'!$CY$11,'Tables - Part 3'!$CY$11))))))</f>
        <v>#N/A</v>
      </c>
      <c r="KF15" s="152" t="e">
        <f>IF(GI15&lt;'Tables - Part 3'!$CY$6,'Tables - Part 3'!$CY$6,IF(COF!GI15&lt;'Tables - Part 3'!$CY$7,'Tables - Part 3'!$CY$7,IF(COF!GI15&lt;'Tables - Part 3'!$CY$8,'Tables - Part 3'!$CY$8,IF(COF!GI15&lt;'Tables - Part 3'!$CY$9,'Tables - Part 3'!$CY$9,IF(COF!GI15&lt;'Tables - Part 3'!$CY$10,'Tables - Part 3'!$CY$10,IF(COF!GI15&lt;'Tables - Part 3'!$CY$11,'Tables - Part 3'!$CY$11))))))</f>
        <v>#N/A</v>
      </c>
      <c r="KG15" s="151" t="e">
        <f>IF(CA15=$TK$5,'Tables - Part 3'!$CZ$6,IF(COF!CA15=COF!$TK$6,IF(COF!GF15&lt;'Tables - Part 3'!$CY$6,'Tables - Part 3'!$CZ$6,IF(GF15&gt;='Tables - Part 3'!$CY$11,'Tables - Part 3'!$CZ$11,((COF!GF15-COF!JY15)*(INDEX('Tables - Part 3'!$CZ$6:$CZ$11,MATCH(COF!KC15,'Tables - Part 3'!$CY$6:$CY$11,0))-INDEX('Tables - Part 3'!$CZ$6:$CZ$11,MATCH(COF!JY15,'Tables - Part 3'!$CY$6:$CY$11,0)))/(KC15-JY15)+INDEX('Tables - Part 3'!$CZ$6:$CZ$11,MATCH(COF!JY15,'Tables - Part 3'!$CY$6:$CY$11,0)))))))</f>
        <v>#N/A</v>
      </c>
      <c r="KH15" s="151" t="e">
        <f>IF(CB15=$TK$5,'Tables - Part 3'!$CZ$6,IF(COF!CB15=COF!$TK$6,IF(COF!GG15&lt;'Tables - Part 3'!$CY$6,'Tables - Part 3'!$CZ$6,IF(GG15&gt;='Tables - Part 3'!$CY$11,'Tables - Part 3'!$CZ$11,((COF!GG15-COF!JZ15)*(INDEX('Tables - Part 3'!$CZ$6:$CZ$11,MATCH(COF!KD15,'Tables - Part 3'!$CY$6:$CY$11,0))-INDEX('Tables - Part 3'!$CZ$6:$CZ$11,MATCH(COF!JZ15,'Tables - Part 3'!$CY$6:$CY$11,0)))/(KD15-JZ15)+INDEX('Tables - Part 3'!$CZ$6:$CZ$11,MATCH(COF!JZ15,'Tables - Part 3'!$CY$6:$CY$11,0)))))))</f>
        <v>#N/A</v>
      </c>
      <c r="KI15" s="151" t="e">
        <f>IF(CC15=$TK$5,'Tables - Part 3'!$CZ$6,IF(COF!CC15=COF!$TK$6,IF(COF!GH15&lt;'Tables - Part 3'!$CY$6,'Tables - Part 3'!$CZ$6,IF(GH15&gt;='Tables - Part 3'!$CY$11,'Tables - Part 3'!$CZ$11,((COF!GH15-COF!KA15)*(INDEX('Tables - Part 3'!$CZ$6:$CZ$11,MATCH(COF!KE15,'Tables - Part 3'!$CY$6:$CY$11,0))-INDEX('Tables - Part 3'!$CZ$6:$CZ$11,MATCH(COF!KA15,'Tables - Part 3'!$CY$6:$CY$11,0)))/(KE15-KA15)+INDEX('Tables - Part 3'!$CZ$6:$CZ$11,MATCH(COF!KA15,'Tables - Part 3'!$CY$6:$CY$11,0)))))))</f>
        <v>#N/A</v>
      </c>
      <c r="KJ15" s="151" t="e">
        <f>IF(CD15=$TK$5,'Tables - Part 3'!$CZ$6,IF(COF!CD15=COF!$TK$6,IF(COF!GI15&lt;'Tables - Part 3'!$CY$6,'Tables - Part 3'!$CZ$6,IF(GI15&gt;='Tables - Part 3'!$CY$11,'Tables - Part 3'!$CZ$11,((COF!GI15-COF!KB15)*(INDEX('Tables - Part 3'!$CZ$6:$CZ$11,MATCH(COF!KF15,'Tables - Part 3'!$CY$6:$CY$11,0))-INDEX('Tables - Part 3'!$CZ$6:$CZ$11,MATCH(COF!KB15,'Tables - Part 3'!$CY$6:$CY$11,0)))/(KF15-KB15)+INDEX('Tables - Part 3'!$CZ$6:$CZ$11,MATCH(COF!KB15,'Tables - Part 3'!$CY$6:$CY$11,0)))))))</f>
        <v>#N/A</v>
      </c>
      <c r="KK15" s="153" t="e">
        <f>IF(CA15=$TK$5,'Tables - Part 3'!$DA$6,IF(COF!CA15=COF!$TK$6,IF(COF!GF15&lt;'Tables - Part 3'!$CY$6,'Tables - Part 3'!$DA$6,IF(GF15&gt;='Tables - Part 3'!$CY$11,'Tables - Part 3'!$DA$11,((COF!GF15-COF!JY15)*(INDEX('Tables - Part 3'!$DA$6:$DA$11,MATCH(COF!KC15,'Tables - Part 3'!$CY$6:$CY$11,0))-INDEX('Tables - Part 3'!$DA$6:$DA$11,MATCH(COF!JY15,'Tables - Part 3'!$CY$6:$CY$11,0)))/(KC15-JY15)+INDEX('Tables - Part 3'!$DA$6:$DA$16,MATCH(COF!JY15,'Tables - Part 3'!$CY$6:$CY$11,0)))))))</f>
        <v>#N/A</v>
      </c>
      <c r="KL15" s="153" t="e">
        <f>IF(CB15=$TK$5,'Tables - Part 3'!$DA$6,IF(COF!CB15=COF!$TK$6,IF(COF!GG15&lt;'Tables - Part 3'!$CY$6,'Tables - Part 3'!$DA$6,IF(GG15&gt;='Tables - Part 3'!$CY$11,'Tables - Part 3'!$DA$11,((COF!GG15-COF!JZ15)*(INDEX('Tables - Part 3'!$DA$6:$DA$11,MATCH(COF!KD15,'Tables - Part 3'!$CY$6:$CY$11,0))-INDEX('Tables - Part 3'!$DA$6:$DA$11,MATCH(COF!JZ15,'Tables - Part 3'!$CY$6:$CY$11,0)))/(KD15-JZ15)+INDEX('Tables - Part 3'!$DA$6:$DA$16,MATCH(COF!JZ15,'Tables - Part 3'!$CY$6:$CY$11,0)))))))</f>
        <v>#N/A</v>
      </c>
      <c r="KM15" s="153" t="e">
        <f>IF(CC15=$TK$5,'Tables - Part 3'!$DA$6,IF(COF!CC15=COF!$TK$6,IF(COF!GH15&lt;'Tables - Part 3'!$CY$6,'Tables - Part 3'!$DA$6,IF(GH15&gt;='Tables - Part 3'!$CY$11,'Tables - Part 3'!$DA$11,((COF!GH15-COF!KA15)*(INDEX('Tables - Part 3'!$DA$6:$DA$11,MATCH(COF!KE15,'Tables - Part 3'!$CY$6:$CY$11,0))-INDEX('Tables - Part 3'!$DA$6:$DA$11,MATCH(COF!KA15,'Tables - Part 3'!$CY$6:$CY$11,0)))/(KE15-KA15)+INDEX('Tables - Part 3'!$DA$6:$DA$16,MATCH(COF!KA15,'Tables - Part 3'!$CY$6:$CY$11,0)))))))</f>
        <v>#N/A</v>
      </c>
      <c r="KN15" s="153" t="e">
        <f>IF(CD15=$TK$5,'Tables - Part 3'!$DA$6,IF(COF!CD15=COF!$TK$6,IF(COF!GI15&lt;'Tables - Part 3'!$CY$6,'Tables - Part 3'!$DA$6,IF(GI15&gt;='Tables - Part 3'!$CY$11,'Tables - Part 3'!$DA$11,((COF!GI15-COF!KB15)*(INDEX('Tables - Part 3'!$DA$6:$DA$11,MATCH(COF!KF15,'Tables - Part 3'!$CY$6:$CY$11,0))-INDEX('Tables - Part 3'!$DA$6:$DA$11,MATCH(COF!KB15,'Tables - Part 3'!$CY$6:$CY$11,0)))/(KF15-KB15)+INDEX('Tables - Part 3'!$DA$6:$DA$16,MATCH(COF!KB15,'Tables - Part 3'!$CY$6:$CY$11,0)))))))</f>
        <v>#N/A</v>
      </c>
      <c r="KO15" s="153">
        <f t="shared" si="280"/>
        <v>0</v>
      </c>
      <c r="KP15" s="153">
        <f t="shared" si="103"/>
        <v>0</v>
      </c>
      <c r="KQ15" s="153">
        <f t="shared" si="104"/>
        <v>0</v>
      </c>
      <c r="KR15" s="153">
        <f t="shared" si="105"/>
        <v>0</v>
      </c>
      <c r="KS15" s="151" t="e">
        <f t="shared" si="208"/>
        <v>#N/A</v>
      </c>
      <c r="KT15" s="151" t="e">
        <f t="shared" si="209"/>
        <v>#N/A</v>
      </c>
      <c r="KU15" s="151" t="e">
        <f t="shared" si="210"/>
        <v>#N/A</v>
      </c>
      <c r="KV15" s="151" t="e">
        <f t="shared" si="211"/>
        <v>#N/A</v>
      </c>
      <c r="KW15" s="151" t="e">
        <f>IF(CA15=$TK$5,'Tables - Part 3'!$CZ$12,IF(COF!CA15=COF!$TK$6,IF(COF!GF15&lt;'Tables - Part 3'!$CY$12,'Tables - Part 3'!$CZ$12,IF(GF15&gt;='Tables - Part 3'!$CY$17,'Tables - Part 3'!$CZ$17,((COF!GF15-COF!JY15)*(INDEX('Tables - Part 3'!$CZ$12:$CZ$17,MATCH(COF!KC15,'Tables - Part 3'!$CY$12:$CY$17,0))-INDEX('Tables - Part 3'!$CZ$12:$CZ$17,MATCH(COF!JY15,'Tables - Part 3'!$CY$12:$CY$17,0)))/(KC15-JY15)+INDEX('Tables - Part 3'!$CZ$12:$CZ$17,MATCH(COF!JY15,'Tables - Part 3'!$CY$12:$CY$17,0)))))))</f>
        <v>#N/A</v>
      </c>
      <c r="KX15" s="151" t="e">
        <f>IF(CB15=$TK$5,'Tables - Part 3'!$CZ$12,IF(COF!CB15=COF!$TK$6,IF(COF!GG15&lt;'Tables - Part 3'!$CY$12,'Tables - Part 3'!$CZ$12,IF(GG15&gt;='Tables - Part 3'!$CY$17,'Tables - Part 3'!$CZ$17,((COF!GG15-COF!JZ15)*(INDEX('Tables - Part 3'!$CZ$12:$CZ$17,MATCH(COF!KD15,'Tables - Part 3'!$CY$12:$CY$17,0))-INDEX('Tables - Part 3'!$CZ$12:$CZ$17,MATCH(COF!JZ15,'Tables - Part 3'!$CY$12:$CY$17,0)))/(KD15-JZ15)+INDEX('Tables - Part 3'!$CZ$12:$CZ$17,MATCH(COF!JZ15,'Tables - Part 3'!$CY$12:$CY$17,0)))))))</f>
        <v>#N/A</v>
      </c>
      <c r="KY15" s="151" t="e">
        <f>IF(CC15=$TK$5,'Tables - Part 3'!$CZ$12,IF(COF!CC15=COF!$TK$6,IF(COF!GH15&lt;'Tables - Part 3'!$CY$12,'Tables - Part 3'!$CZ$12,IF(GH15&gt;='Tables - Part 3'!$CY$17,'Tables - Part 3'!$CZ$17,((COF!GH15-COF!KA15)*(INDEX('Tables - Part 3'!$CZ$12:$CZ$17,MATCH(COF!KE15,'Tables - Part 3'!$CY$12:$CY$17,0))-INDEX('Tables - Part 3'!$CZ$12:$CZ$17,MATCH(COF!KA15,'Tables - Part 3'!$CY$12:$CY$17,0)))/(KE15-KA15)+INDEX('Tables - Part 3'!$CZ$12:$CZ$17,MATCH(COF!KA15,'Tables - Part 3'!$CY$12:$CY$17,0)))))))</f>
        <v>#N/A</v>
      </c>
      <c r="KZ15" s="151" t="e">
        <f>IF(CD15=$TK$5,'Tables - Part 3'!$CZ$12,IF(COF!CD15=COF!$TK$6,IF(COF!GI15&lt;'Tables - Part 3'!$CY$12,'Tables - Part 3'!$CZ$12,IF(GI15&gt;='Tables - Part 3'!$CY$17,'Tables - Part 3'!$CZ$17,((COF!GI15-COF!KB15)*(INDEX('Tables - Part 3'!$CZ$12:$CZ$17,MATCH(COF!KF15,'Tables - Part 3'!$CY$12:$CY$17,0))-INDEX('Tables - Part 3'!$CZ$12:$CZ$17,MATCH(COF!KB15,'Tables - Part 3'!$CY$12:$CY$17,0)))/(KF15-KB15)+INDEX('Tables - Part 3'!$CZ$12:$CZ$17,MATCH(COF!KB15,'Tables - Part 3'!$CY$12:$CY$17,0)))))))</f>
        <v>#N/A</v>
      </c>
      <c r="LA15" s="151" t="e">
        <f>IF(CA15=$TK$5,'Tables - Part 3'!$DA$6,IF(COF!CA15=COF!$TK$6,IF(COF!GF15&lt;'Tables - Part 3'!$CY$6,'Tables - Part 3'!$DA$6,IF(GF15&gt;='Tables - Part 3'!$CY$11,'Tables - Part 3'!$DA$11,((COF!GF15-COF!JY15)*(INDEX('Tables - Part 3'!$DA$6:$DA$11,MATCH(COF!KC15,'Tables - Part 3'!$CY$6:$CY$11,0))-INDEX('Tables - Part 3'!$DA$6:$DA$11,MATCH(COF!JY15,'Tables - Part 3'!$CY$6:$CY$11,0)))/(KC15-JY15)+INDEX('Tables - Part 3'!$DA$5:$DA$16,MATCH(COF!JY15,'Tables - Part 3'!$CY$6:$CY$11,0)))))))</f>
        <v>#N/A</v>
      </c>
      <c r="LB15" s="151" t="e">
        <f>IF(CB15=$TK$5,'Tables - Part 3'!$DA$6,IF(COF!CB15=COF!$TK$6,IF(COF!GG15&lt;'Tables - Part 3'!$CY$6,'Tables - Part 3'!$DA$6,IF(GG15&gt;='Tables - Part 3'!$CY$11,'Tables - Part 3'!$DA$11,((COF!GG15-COF!JZ15)*(INDEX('Tables - Part 3'!$DA$6:$DA$11,MATCH(COF!KD15,'Tables - Part 3'!$CY$6:$CY$11,0))-INDEX('Tables - Part 3'!$DA$6:$DA$11,MATCH(COF!JZ15,'Tables - Part 3'!$CY$6:$CY$11,0)))/(KD15-JZ15)+INDEX('Tables - Part 3'!$DA$5:$DA$16,MATCH(COF!JZ15,'Tables - Part 3'!$CY$6:$CY$11,0)))))))</f>
        <v>#N/A</v>
      </c>
      <c r="LC15" s="151" t="e">
        <f>IF(CC15=$TK$5,'Tables - Part 3'!$DA$6,IF(COF!CC15=COF!$TK$6,IF(COF!GH15&lt;'Tables - Part 3'!$CY$6,'Tables - Part 3'!$DA$6,IF(GH15&gt;='Tables - Part 3'!$CY$11,'Tables - Part 3'!$DA$11,((COF!GH15-COF!KA15)*(INDEX('Tables - Part 3'!$DA$6:$DA$11,MATCH(COF!KE15,'Tables - Part 3'!$CY$6:$CY$11,0))-INDEX('Tables - Part 3'!$DA$6:$DA$11,MATCH(COF!KA15,'Tables - Part 3'!$CY$6:$CY$11,0)))/(KE15-KA15)+INDEX('Tables - Part 3'!$DA$5:$DA$16,MATCH(COF!KA15,'Tables - Part 3'!$CY$6:$CY$11,0)))))))</f>
        <v>#N/A</v>
      </c>
      <c r="LD15" s="151" t="e">
        <f>IF(CD15=$TK$5,'Tables - Part 3'!$DA$6,IF(COF!CD15=COF!$TK$6,IF(COF!GI15&lt;'Tables - Part 3'!$CY$6,'Tables - Part 3'!$DA$6,IF(GI15&gt;='Tables - Part 3'!$CY$11,'Tables - Part 3'!$DA$11,((COF!GI15-COF!KB15)*(INDEX('Tables - Part 3'!$DA$6:$DA$11,MATCH(COF!KF15,'Tables - Part 3'!$CY$6:$CY$11,0))-INDEX('Tables - Part 3'!$DA$6:$DA$11,MATCH(COF!KB15,'Tables - Part 3'!$CY$6:$CY$11,0)))/(KF15-KB15)+INDEX('Tables - Part 3'!$DA$5:$DA$16,MATCH(COF!KB15,'Tables - Part 3'!$CY$6:$CY$11,0)))))))</f>
        <v>#N/A</v>
      </c>
      <c r="LE15" s="154"/>
      <c r="LF15" s="154"/>
      <c r="LG15" s="154"/>
      <c r="LH15" s="154"/>
      <c r="LI15" s="154"/>
      <c r="LJ15" s="154"/>
      <c r="LK15" s="154"/>
      <c r="LL15" s="151" t="e">
        <f t="shared" si="212"/>
        <v>#N/A</v>
      </c>
      <c r="LM15" s="151" t="e">
        <f t="shared" si="213"/>
        <v>#N/A</v>
      </c>
      <c r="LN15" s="151" t="e">
        <f t="shared" si="214"/>
        <v>#N/A</v>
      </c>
      <c r="LO15" s="151" t="e">
        <f t="shared" si="215"/>
        <v>#N/A</v>
      </c>
      <c r="LP15" s="151">
        <f t="shared" si="106"/>
        <v>0</v>
      </c>
      <c r="LQ15" s="502">
        <f>IF($F15='Tables - Part 3'!$B$17,'Tables - Part 3.B'!$C$11*COF!CJ15,0)</f>
        <v>0</v>
      </c>
      <c r="LR15" s="502">
        <f>IF($F15='Tables - Part 3'!$B$17,'Tables - Part 3.B'!$C$11*COF!CK15,0)</f>
        <v>0</v>
      </c>
      <c r="LS15" s="502">
        <f>IF($F15='Tables - Part 3'!$B$17,'Tables - Part 3.B'!$C$11*COF!CL15,0)</f>
        <v>0</v>
      </c>
      <c r="LT15" s="502">
        <f>IF($F15='Tables - Part 3'!$B$17,'Tables - Part 3.B'!$C$11*COF!CM15,0)</f>
        <v>0</v>
      </c>
      <c r="LU15" s="502">
        <f>IF($F15='Tables - Part 3'!$B$17,'Tables - Part 3.B'!$C$12*POWER(COF!CR15,0.6384),0)</f>
        <v>0</v>
      </c>
      <c r="LV15" s="502">
        <f>IF($F15='Tables - Part 3'!$B$17,'Tables - Part 3.B'!$C$12*POWER(COF!CS15,0.6384),0)</f>
        <v>0</v>
      </c>
      <c r="LW15" s="502">
        <f>IF($F15='Tables - Part 3'!$B$17,'Tables - Part 3.B'!$C$12*POWER(COF!CT15,0.6384),0)</f>
        <v>0</v>
      </c>
      <c r="LX15" s="502">
        <f>IF($F15='Tables - Part 3'!$B$17,'Tables - Part 3.B'!$C$12*POWER(COF!CU15,0.6384),0)</f>
        <v>0</v>
      </c>
      <c r="LY15" s="151" t="e">
        <f>MIN(CJ15/'Tables - Part 3.B'!$C$8,1)</f>
        <v>#N/A</v>
      </c>
      <c r="LZ15" s="151" t="e">
        <f>MIN(CK15/'Tables - Part 3.B'!$C$8,1)</f>
        <v>#N/A</v>
      </c>
      <c r="MA15" s="151" t="e">
        <f>MIN(CL15/'Tables - Part 3.B'!$C$8,1)</f>
        <v>#N/A</v>
      </c>
      <c r="MB15" s="151" t="e">
        <f>MIN(CM15/'Tables - Part 3.B'!$C$8,1)</f>
        <v>#N/A</v>
      </c>
      <c r="MC15" s="151" t="e">
        <f t="shared" si="216"/>
        <v>#N/A</v>
      </c>
      <c r="MD15" s="151" t="e">
        <f t="shared" si="107"/>
        <v>#N/A</v>
      </c>
      <c r="ME15" s="151" t="e">
        <f t="shared" si="107"/>
        <v>#N/A</v>
      </c>
      <c r="MF15" s="151" t="e">
        <f t="shared" si="107"/>
        <v>#N/A</v>
      </c>
      <c r="MG15" s="502">
        <f>IF($F15='Tables - Part 3'!$B$18,0.2*'Tables - Part 3.B'!$C$10*$ML15*POWER('Tables - Part 3.B'!$C$7*CJ15,$MM15),0)</f>
        <v>0</v>
      </c>
      <c r="MH15" s="502">
        <f>IF($F15='Tables - Part 3'!$B$18,0.2*'Tables - Part 3.B'!$C$10*$ML15*POWER('Tables - Part 3.B'!$C$7*CK15,$MM15),0)</f>
        <v>0</v>
      </c>
      <c r="MI15" s="502">
        <f>IF($F15='Tables - Part 3'!$B$18,0.2*'Tables - Part 3.B'!$C$10*$ML15*POWER('Tables - Part 3.B'!$C$7*CL15,$MM15),0)</f>
        <v>0</v>
      </c>
      <c r="MJ15" s="502">
        <f>IF($F15='Tables - Part 3'!$B$18,0.2*'Tables - Part 3.B'!$C$10*$ML15*POWER('Tables - Part 3.B'!$C$7*CM15,$MM15),0)</f>
        <v>0</v>
      </c>
      <c r="MK15" s="151">
        <v>0</v>
      </c>
      <c r="ML15" s="151" t="e">
        <f>2696-21.9*'Tables - Part 3.B'!$C$13*(COF!OO15-COF!$TM$5)+1.474*POWER('Tables - Part 3.B'!$C$13*(COF!OO15-COF!$TM$5),2)</f>
        <v>#VALUE!</v>
      </c>
      <c r="MM15" s="151" t="e">
        <f>0.31-0.00032*POWER('Tables - Part 3.B'!$C$13*(COF!OO15-COF!$TM$5)-40,2)</f>
        <v>#VALUE!</v>
      </c>
      <c r="MN15" s="151">
        <v>0</v>
      </c>
      <c r="MO15" s="151">
        <f t="shared" si="217"/>
        <v>0</v>
      </c>
      <c r="MP15" s="151">
        <f t="shared" si="108"/>
        <v>0</v>
      </c>
      <c r="MQ15" s="151">
        <f t="shared" si="108"/>
        <v>0</v>
      </c>
      <c r="MR15" s="151">
        <f t="shared" si="108"/>
        <v>0</v>
      </c>
      <c r="MS15" s="151" t="e">
        <f t="shared" si="218"/>
        <v>#N/A</v>
      </c>
      <c r="MT15" s="151" t="e">
        <f t="shared" si="219"/>
        <v>#N/A</v>
      </c>
      <c r="MU15" s="151" t="e">
        <f t="shared" si="220"/>
        <v>#N/A</v>
      </c>
      <c r="MV15" s="151" t="e">
        <f t="shared" si="221"/>
        <v>#N/A</v>
      </c>
      <c r="MW15" s="151">
        <f t="shared" si="222"/>
        <v>0</v>
      </c>
      <c r="MX15" s="151">
        <f t="shared" si="223"/>
        <v>0</v>
      </c>
      <c r="MY15" s="151">
        <f t="shared" si="224"/>
        <v>0</v>
      </c>
      <c r="MZ15" s="526">
        <f t="shared" si="109"/>
        <v>0</v>
      </c>
      <c r="NA15" s="151" t="e">
        <f>INDEX('Tables - Part 3'!DQ$5:DQ$32,MATCH($E15,'Tables - Part 3'!$DP$5:$DP$32,0))</f>
        <v>#N/A</v>
      </c>
      <c r="NB15" s="151" t="e">
        <f>INDEX('Tables - Part 3'!DR$5:DR$32,MATCH($E15,'Tables - Part 3'!$DP$5:$DP$32,0))</f>
        <v>#N/A</v>
      </c>
      <c r="NC15" s="151" t="e">
        <f>INDEX('Tables - Part 3'!DS$5:DS$32,MATCH($E15,'Tables - Part 3'!$DP$5:$DP$32,0))</f>
        <v>#N/A</v>
      </c>
      <c r="ND15" s="151" t="e">
        <f>INDEX('Tables - Part 3'!DT$5:DT$32,MATCH($E15,'Tables - Part 3'!$DP$5:$DP$32,0))</f>
        <v>#N/A</v>
      </c>
      <c r="NE15" s="151" t="e">
        <f>IF(W15='Tables - Part 3'!$DV$44,COF!X15,IF(OR(COF!X15&lt;&gt;0,COF!X15&lt;&gt;""),COF!X15,INDEX('Tables - Part 3'!$DW$4:$DW$43,MATCH(COF!W15,'Tables - Part 3'!$DV$4:$DV$43,0))))</f>
        <v>#N/A</v>
      </c>
      <c r="NF15" s="151">
        <f t="shared" si="110"/>
        <v>1</v>
      </c>
      <c r="NG15" s="151" t="e">
        <f t="shared" si="225"/>
        <v>#N/A</v>
      </c>
      <c r="NH15" s="151">
        <f t="shared" si="111"/>
        <v>0</v>
      </c>
      <c r="NI15" s="151" t="e">
        <f>INDEX('Tables - Part 3'!EC$5:EC$31,MATCH(COF!$E15,'Tables - Part 3'!$EB$5:$EB$31,0))</f>
        <v>#N/A</v>
      </c>
      <c r="NJ15" s="151" t="e">
        <f>INDEX('Tables - Part 3'!ED$5:ED$31,MATCH(COF!$E15,'Tables - Part 3'!$EB$5:$EB$31,0))</f>
        <v>#N/A</v>
      </c>
      <c r="NK15" s="151" t="e">
        <f>INDEX('Tables - Part 3'!EE$5:EE$31,MATCH(COF!$E15,'Tables - Part 3'!$EB$5:$EB$31,0))</f>
        <v>#N/A</v>
      </c>
      <c r="NL15" s="151" t="e">
        <f>INDEX('Tables - Part 3'!EF$5:EF$31,MATCH(COF!$E15,'Tables - Part 3'!$EB$5:$EB$31,0))</f>
        <v>#N/A</v>
      </c>
      <c r="NM15" s="151">
        <f t="shared" si="112"/>
        <v>1</v>
      </c>
      <c r="NN15" s="151" t="e">
        <f t="shared" si="226"/>
        <v>#N/A</v>
      </c>
      <c r="NO15" s="151" t="e">
        <f t="shared" si="227"/>
        <v>#NUM!</v>
      </c>
      <c r="NP15" s="151" t="e">
        <f t="shared" si="113"/>
        <v>#N/A</v>
      </c>
      <c r="NQ15" s="151">
        <f t="shared" si="114"/>
        <v>0</v>
      </c>
      <c r="NR15" s="151" t="e">
        <f>INDEX('Tables - Part 3'!$EL$4:$EL$37,MATCH(COF!F15,'Tables - Part 3'!$EH$4:$EH$37,0))</f>
        <v>#N/A</v>
      </c>
      <c r="NS15" s="151" t="e">
        <f>CR15*(1-$NR15)*'Tables - Part 3.B'!$C$15/COF!$AS15</f>
        <v>#N/A</v>
      </c>
      <c r="NT15" s="151" t="e">
        <f>CS15*(1-$NR15)*'Tables - Part 3.B'!$C$15/COF!$AS15</f>
        <v>#N/A</v>
      </c>
      <c r="NU15" s="151" t="e">
        <f>CT15*(1-$NR15)*'Tables - Part 3.B'!$C$15/COF!$AS15</f>
        <v>#N/A</v>
      </c>
      <c r="NV15" s="151" t="e">
        <f>CU15*(1-$NR15)*'Tables - Part 3.B'!$C$15/COF!$AS15</f>
        <v>#N/A</v>
      </c>
      <c r="NW15" s="151" t="e">
        <f t="shared" si="115"/>
        <v>#N/A</v>
      </c>
      <c r="NX15" s="542">
        <f t="shared" si="116"/>
        <v>0</v>
      </c>
      <c r="NY15" s="156" t="e">
        <f>0.61*$ON15*$AS15*(BM15/'Tables - Part 3.B'!$C$4)*SQRT((2*$TM$13*($OO15-$TM$5)/$AS15))</f>
        <v>#N/A</v>
      </c>
      <c r="NZ15" s="155" t="e">
        <f>0.61*$ON15*$AS15*(BN15/'Tables - Part 3.B'!$C$4)*SQRT((2*$TM$13*($OO15-$TM$5)/$AS15))</f>
        <v>#N/A</v>
      </c>
      <c r="OA15" s="155" t="e">
        <f>0.61*$ON15*$AS15*(BO15/'Tables - Part 3.B'!$C$4)*SQRT((2*$TM$13*($OO15-$TM$5)/$AS15))</f>
        <v>#N/A</v>
      </c>
      <c r="OB15" s="155" t="e">
        <f>0.61*$ON15*$AS15*(BP15/'Tables - Part 3.B'!$C$4)*SQRT((2*$TM$13*($OO15-$TM$5)/$AS15))</f>
        <v>#N/A</v>
      </c>
      <c r="OC15" s="155" t="e">
        <f>0.61*$ON15*AS15*(32450/'Tables - Part 3.B'!$C$4)*SQRT((2*$TM$13*(OO15-$TM$5)/AS15))</f>
        <v>#N/A</v>
      </c>
      <c r="OD15" s="156" t="e">
        <f>(0.9/'Tables - Part 3.B'!$C$5)*BM15*$OO15*SQRT(($AV15*$AU15*$TM$13/(8.314*$OP15))*POWER(2/($AV15+1),(($AV15+1)/($AV15-1))))</f>
        <v>#VALUE!</v>
      </c>
      <c r="OE15" s="156" t="e">
        <f>(0.9/'Tables - Part 3.B'!$C$5)*BN15*$OO15*SQRT(($AV15*$AU15*$TM$13/(8.314*$OP15))*POWER(2/($AV15+1),(($AV15+1)/($AV15-1))))</f>
        <v>#VALUE!</v>
      </c>
      <c r="OF15" s="156" t="e">
        <f>(0.9/'Tables - Part 3.B'!$C$5)*BO15*$OO15*SQRT(($AV15*$AU15*$TM$13/(8.314*$OP15))*POWER(2/($AV15+1),(($AV15+1)/($AV15-1))))</f>
        <v>#VALUE!</v>
      </c>
      <c r="OG15" s="156" t="e">
        <f>(0.9/'Tables - Part 3.B'!$C$5)*BP15*$OO15*SQRT(($AV15*$AU15*$TM$13/(8.314*$OP15))*POWER(2/($AV15+1),(($AV15+1)/($AV15-1))))</f>
        <v>#VALUE!</v>
      </c>
      <c r="OH15" s="156" t="e">
        <f>(0.9/'Tables - Part 3.B'!$C$5)*32450*$OO15*SQRT(($AV15*$AU15*$TM$13/(8.314*$OP15))*POWER(2/($AV15+1),(($AV15+1)/($AV15-1))))</f>
        <v>#VALUE!</v>
      </c>
      <c r="OI15" s="156" t="e">
        <f>(0.9/'Tables - Part 3.B'!$C$5)*BM15*$OO15*SQRT((($AU15*$TM$13)/(8.314*$OP15))*((2*$AV15)/($AV15-1))*POWER(($TM$5/$OO15),(2/$AV15))*(1-POWER(($TM$5/$OO15),(($AV15-1)/$AV15))))</f>
        <v>#VALUE!</v>
      </c>
      <c r="OJ15" s="156" t="e">
        <f>(0.9/'Tables - Part 3.B'!$C$5)*BN15*$OO15*SQRT((($AU15*$TM$13)/(8.314*$OP15))*((2*$AV15)/($AV15-1))*POWER(($TM$5/$OO15),(2/$AV15))*(1-POWER(($TM$5/$OO15),(($AV15-1)/$AV15))))</f>
        <v>#VALUE!</v>
      </c>
      <c r="OK15" s="156" t="e">
        <f>(0.9/'Tables - Part 3.B'!$C$5)*BO15*$OO15*SQRT((($AU15*$TM$13)/(8.314*$OP15))*((2*$AV15)/($AV15-1))*POWER(($TM$5/$OO15),(2/$AV15))*(1-POWER(($TM$5/$OO15),(($AV15-1)/$AV15))))</f>
        <v>#VALUE!</v>
      </c>
      <c r="OL15" s="156" t="e">
        <f>(0.9/'Tables - Part 3.B'!$C$5)*BP15*$OO15*SQRT((($AU15*$TM$13)/(8.314*$OP15))*((2*$AV15)/($AV15-1))*POWER(($TM$5/$OO15),(2/$AV15))*(1-POWER(($TM$5/$OO15),(($AV15-1)/$AV15))))</f>
        <v>#VALUE!</v>
      </c>
      <c r="OM15" s="156" t="e">
        <f>(0.9/'Tables - Part 3.B'!$C$5)*32450*$OO15*SQRT((($AU15*$TM$13)/(8.314*$OP15))*((2*$AV15)/($AV15-1))*POWER(($TM$5/$OO15),(2/$AV15))*(1-POWER(($TM$5/$OO15),(($AV15-1)/$AV15))))</f>
        <v>#VALUE!</v>
      </c>
      <c r="ON15" s="156">
        <f t="shared" si="117"/>
        <v>1</v>
      </c>
      <c r="OO15" s="157" t="str">
        <f t="shared" si="118"/>
        <v/>
      </c>
      <c r="OP15" s="157" t="str">
        <f t="shared" si="119"/>
        <v/>
      </c>
      <c r="OQ15" s="158" t="e">
        <f t="shared" si="228"/>
        <v>#N/A</v>
      </c>
      <c r="OR15" s="158" t="e">
        <f>INDEX('Tables - Part 3'!$F$4:$R$35,MATCH(COF!$F15,'Tables - Part 3'!$F$4:$F$35,0),COUNTA('Tables - Part 3'!$F$3:$K$3))</f>
        <v>#N/A</v>
      </c>
      <c r="OS15" s="158" t="e">
        <f t="shared" si="229"/>
        <v>#N/A</v>
      </c>
      <c r="OT15" s="158" t="e">
        <f t="shared" si="230"/>
        <v>#N/A</v>
      </c>
      <c r="OU15" s="158" t="e">
        <f t="shared" si="231"/>
        <v>#N/A</v>
      </c>
      <c r="OV15" s="159" t="e">
        <f>INDEX('Tables - Part 3'!$M$4:$Q$35,MATCH(COF!$F15,'Tables - Part 3'!$F$4:$F$35,0),COUNTA('Tables - Part 3'!$M$3))</f>
        <v>#N/A</v>
      </c>
      <c r="OW15" s="159" t="e">
        <f>INDEX('Tables - Part 3'!$M$4:$Q$35,MATCH(COF!$F15,'Tables - Part 3'!$F$4:$F$35,0),COUNTA('Tables - Part 3'!$M$3:$N$3))</f>
        <v>#N/A</v>
      </c>
      <c r="OX15" s="159" t="e">
        <f>INDEX('Tables - Part 3'!$M$4:$Q$35,MATCH(COF!$F15,'Tables - Part 3'!$F$4:$F$35,0),COUNTA('Tables - Part 3'!$M$3:$O$3))</f>
        <v>#N/A</v>
      </c>
      <c r="OY15" s="159" t="e">
        <f>INDEX('Tables - Part 3'!$M$4:$Q$35,MATCH(COF!$F15,'Tables - Part 3'!$F$4:$F$35,0),COUNTA('Tables - Part 3'!$M$3:$P$3))</f>
        <v>#N/A</v>
      </c>
      <c r="OZ15" s="160" t="e">
        <f>INDEX('Tables - Part 3'!$M$4:$Q$35,MATCH(COF!$F15,'Tables - Part 3'!$F$4:$F$35,0),COUNTA('Tables - Part 3'!$M$3:$Q$3))</f>
        <v>#N/A</v>
      </c>
      <c r="PA15" s="162" t="e">
        <f>INDEX('Tables - Part 3'!$I$4:$I$35,MATCH(COF!$F15,'Tables - Part 3'!$F$4:$F$35,0))</f>
        <v>#N/A</v>
      </c>
      <c r="PB15" s="158" t="e">
        <f t="shared" si="120"/>
        <v>#N/A</v>
      </c>
      <c r="PC15" s="158" t="str">
        <f t="shared" si="121"/>
        <v/>
      </c>
      <c r="PD15" s="158" t="e">
        <f>INDEX('Tables - Part 3'!AW$7:AW$31,MATCH(COF!$F15,'Tables - Part 3'!$AU$7:$AU$31,0),1)</f>
        <v>#N/A</v>
      </c>
      <c r="PE15" s="158" t="e">
        <f>INDEX('Tables - Part 3'!AX$7:AX$31,MATCH(COF!$F15,'Tables - Part 3'!$AU$7:$AU$31,0),1)</f>
        <v>#N/A</v>
      </c>
      <c r="PF15" s="158" t="e">
        <f>INDEX('Tables - Part 3'!AY$7:AY$31,MATCH(COF!$F15,'Tables - Part 3'!$AU$7:$AU$31,0),1)</f>
        <v>#N/A</v>
      </c>
      <c r="PG15" s="158" t="e">
        <f>INDEX('Tables - Part 3'!AZ$7:AZ$31,MATCH(COF!$F15,'Tables - Part 3'!$AU$7:$AU$31,0),1)</f>
        <v>#N/A</v>
      </c>
      <c r="PH15" s="158" t="e">
        <f>INDEX('Tables - Part 3'!BA$7:BA$31,MATCH(COF!$F15,'Tables - Part 3'!$AU$7:$AU$31,0),1)</f>
        <v>#N/A</v>
      </c>
      <c r="PI15" s="158" t="e">
        <f>INDEX('Tables - Part 3'!BB$7:BB$31,MATCH(COF!$F15,'Tables - Part 3'!$AU$7:$AU$31,0),1)</f>
        <v>#N/A</v>
      </c>
      <c r="PJ15" s="158" t="e">
        <f>INDEX('Tables - Part 3'!BC$7:BC$31,MATCH(COF!$F15,'Tables - Part 3'!$AU$7:$AU$31,0),1)</f>
        <v>#N/A</v>
      </c>
      <c r="PK15" s="158" t="e">
        <f>INDEX('Tables - Part 3'!BD$7:BD$31,MATCH(COF!$F15,'Tables - Part 3'!$AU$7:$AU$31,0),1)</f>
        <v>#N/A</v>
      </c>
      <c r="PL15" s="158" t="e">
        <f>INDEX('Tables - Part 3'!BE$7:BE$31,MATCH(COF!$F15,'Tables - Part 3'!$AU$7:$AU$31,0),1)</f>
        <v>#N/A</v>
      </c>
      <c r="PM15" s="158" t="e">
        <f>INDEX('Tables - Part 3'!BF$7:BF$31,MATCH(COF!$F15,'Tables - Part 3'!$AU$7:$AU$31,0),1)</f>
        <v>#N/A</v>
      </c>
      <c r="PN15" s="158" t="e">
        <f>INDEX('Tables - Part 3'!BG$7:BG$31,MATCH(COF!$F15,'Tables - Part 3'!$AU$7:$AU$31,0),1)</f>
        <v>#N/A</v>
      </c>
      <c r="PO15" s="158" t="e">
        <f>INDEX('Tables - Part 3'!BH$7:BH$31,MATCH(COF!$F15,'Tables - Part 3'!$AU$7:$AU$31,0),1)</f>
        <v>#N/A</v>
      </c>
      <c r="PP15" s="158" t="e">
        <f>INDEX('Tables - Part 3'!BI$7:BI$31,MATCH(COF!$F15,'Tables - Part 3'!$AU$7:$AU$31,0),1)</f>
        <v>#N/A</v>
      </c>
      <c r="PQ15" s="158" t="e">
        <f>INDEX('Tables - Part 3'!BJ$7:BJ$31,MATCH(COF!$F15,'Tables - Part 3'!$AU$7:$AU$31,0),1)</f>
        <v>#N/A</v>
      </c>
      <c r="PR15" s="158" t="e">
        <f>INDEX('Tables - Part 3'!BK$7:BK$31,MATCH(COF!$F15,'Tables - Part 3'!$AU$7:$AU$31,0),1)</f>
        <v>#N/A</v>
      </c>
      <c r="PS15" s="158" t="e">
        <f>INDEX('Tables - Part 3'!BL$7:BL$31,MATCH(COF!$F15,'Tables - Part 3'!$AU$7:$AU$31,0),1)</f>
        <v>#N/A</v>
      </c>
      <c r="PT15" s="158" t="e">
        <f>INDEX('Tables - Part 3'!BP$7:BP$31,MATCH(COF!$F15,'Tables - Part 3'!$AU$7:$AU$31,0),1)</f>
        <v>#N/A</v>
      </c>
      <c r="PU15" s="158" t="e">
        <f>INDEX('Tables - Part 3'!BQ$7:BQ$31,MATCH(COF!$F15,'Tables - Part 3'!$AU$7:$AU$31,0),1)</f>
        <v>#N/A</v>
      </c>
      <c r="PV15" s="158" t="e">
        <f>INDEX('Tables - Part 3'!BR$7:BR$31,MATCH(COF!$F15,'Tables - Part 3'!$AU$7:$AU$31,0),1)</f>
        <v>#N/A</v>
      </c>
      <c r="PW15" s="158" t="e">
        <f>INDEX('Tables - Part 3'!BS$7:BS$31,MATCH(COF!$F15,'Tables - Part 3'!$AU$7:$AU$31,0),1)</f>
        <v>#N/A</v>
      </c>
      <c r="PX15" s="158" t="e">
        <f>INDEX('Tables - Part 3'!BT$7:BT$31,MATCH(COF!$F15,'Tables - Part 3'!$AU$7:$AU$31,0),1)</f>
        <v>#N/A</v>
      </c>
      <c r="PY15" s="158" t="e">
        <f>INDEX('Tables - Part 3'!BU$7:BU$31,MATCH(COF!$F15,'Tables - Part 3'!$AU$7:$AU$31,0),1)</f>
        <v>#N/A</v>
      </c>
      <c r="PZ15" s="158" t="e">
        <f>INDEX('Tables - Part 3'!BV$7:BV$31,MATCH(COF!$F15,'Tables - Part 3'!$AU$7:$AU$31,0),1)</f>
        <v>#N/A</v>
      </c>
      <c r="QA15" s="158" t="e">
        <f>INDEX('Tables - Part 3'!BW$7:BW$31,MATCH(COF!$F15,'Tables - Part 3'!$AU$7:$AU$31,0),1)</f>
        <v>#N/A</v>
      </c>
      <c r="QB15" s="158" t="e">
        <f>INDEX('Tables - Part 3'!BX$7:BX$31,MATCH(COF!$F15,'Tables - Part 3'!$AU$7:$AU$31,0),1)</f>
        <v>#N/A</v>
      </c>
      <c r="QC15" s="158" t="e">
        <f>INDEX('Tables - Part 3'!BY$7:BY$31,MATCH(COF!$F15,'Tables - Part 3'!$AU$7:$AU$31,0),1)</f>
        <v>#N/A</v>
      </c>
      <c r="QD15" s="158" t="e">
        <f>INDEX('Tables - Part 3'!BZ$7:BZ$31,MATCH(COF!$F15,'Tables - Part 3'!$AU$7:$AU$31,0),1)</f>
        <v>#N/A</v>
      </c>
      <c r="QE15" s="158" t="e">
        <f>INDEX('Tables - Part 3'!CA$7:CA$31,MATCH(COF!$F15,'Tables - Part 3'!$AU$7:$AU$31,0),1)</f>
        <v>#N/A</v>
      </c>
      <c r="QF15" s="158" t="e">
        <f>INDEX('Tables - Part 3'!CB$7:CB$31,MATCH(COF!$F15,'Tables - Part 3'!$AU$7:$AU$31,0),1)</f>
        <v>#N/A</v>
      </c>
      <c r="QG15" s="158" t="e">
        <f>INDEX('Tables - Part 3'!CC$7:CC$31,MATCH(COF!$F15,'Tables - Part 3'!$AU$7:$AU$31,0),1)</f>
        <v>#N/A</v>
      </c>
      <c r="QH15" s="158" t="e">
        <f>INDEX('Tables - Part 3'!CD$7:CD$31,MATCH(COF!$F15,'Tables - Part 3'!$AU$7:$AU$31,0),1)</f>
        <v>#N/A</v>
      </c>
      <c r="QI15" s="158" t="e">
        <f>INDEX('Tables - Part 3'!CE$7:CE$31,MATCH(COF!$F15,'Tables - Part 3'!$AU$7:$AU$31,0),1)</f>
        <v>#N/A</v>
      </c>
      <c r="QJ15" s="151">
        <f>'Tables - Part 5'!$R$4</f>
        <v>3.1749999999999998</v>
      </c>
      <c r="QK15" s="151">
        <f>'Tables - Part 5'!$R$5</f>
        <v>6.35</v>
      </c>
      <c r="QL15" s="151">
        <f>'Tables - Part 5'!$R$6</f>
        <v>50.8</v>
      </c>
      <c r="QM15" s="151">
        <f t="shared" si="122"/>
        <v>0</v>
      </c>
      <c r="QN15" s="151">
        <f t="shared" si="232"/>
        <v>7.9173043608984015</v>
      </c>
      <c r="QO15" s="151">
        <f t="shared" si="233"/>
        <v>31.669217443593606</v>
      </c>
      <c r="QP15" s="151">
        <f t="shared" si="234"/>
        <v>2026.8299163899908</v>
      </c>
      <c r="QQ15" s="151">
        <f t="shared" si="235"/>
        <v>0</v>
      </c>
      <c r="QR15" s="151">
        <f t="shared" si="236"/>
        <v>0</v>
      </c>
      <c r="QS15" s="151">
        <f>'Tables - Part 3.B'!$C$34*0.61*QN15*SQRT(2*$TM$15*QR15)</f>
        <v>0</v>
      </c>
      <c r="QT15" s="151">
        <f>'Tables - Part 3.B'!$C$34*0.61*QO15*SQRT(2*$TM$15*QS15)</f>
        <v>0</v>
      </c>
      <c r="QU15" s="151">
        <f>'Tables - Part 3.B'!$C$34*0.61*QP15*SQRT(2*$TM$15*QT15)</f>
        <v>0</v>
      </c>
      <c r="QV15" s="151">
        <f>'Tables - Part 3.B'!$C$34*0.61*QQ15*SQRT(2*$TM$15*QU15)</f>
        <v>0</v>
      </c>
      <c r="QW15" s="151">
        <f t="shared" si="237"/>
        <v>0</v>
      </c>
      <c r="QX15" s="151">
        <f t="shared" si="238"/>
        <v>0</v>
      </c>
      <c r="QY15" s="151">
        <f t="shared" si="239"/>
        <v>0</v>
      </c>
      <c r="QZ15" s="151">
        <f t="shared" si="240"/>
        <v>0</v>
      </c>
      <c r="RA15" s="151">
        <f t="shared" si="241"/>
        <v>0</v>
      </c>
      <c r="RB15" s="151">
        <f>QX15*'Tables - Part 3.B'!$C$15</f>
        <v>0</v>
      </c>
      <c r="RC15" s="151">
        <f>QY15*'Tables - Part 3.B'!$C$15</f>
        <v>0</v>
      </c>
      <c r="RD15" s="151">
        <f>QZ15*'Tables - Part 3.B'!$C$15</f>
        <v>0</v>
      </c>
      <c r="RE15" s="151">
        <f>RA15*'Tables - Part 3.B'!$C$15</f>
        <v>0</v>
      </c>
      <c r="RF15" s="151" t="e">
        <f t="shared" si="242"/>
        <v>#N/A</v>
      </c>
      <c r="RG15" s="151" t="e">
        <f t="shared" si="243"/>
        <v>#N/A</v>
      </c>
      <c r="RH15" s="151" t="e">
        <f t="shared" si="244"/>
        <v>#N/A</v>
      </c>
      <c r="RI15" s="151" t="e">
        <f t="shared" si="245"/>
        <v>#N/A</v>
      </c>
      <c r="RJ15" s="151">
        <f t="shared" si="246"/>
        <v>0</v>
      </c>
      <c r="RK15" s="151">
        <f t="shared" si="247"/>
        <v>0</v>
      </c>
      <c r="RL15" s="151">
        <f t="shared" si="248"/>
        <v>0</v>
      </c>
      <c r="RM15" s="151">
        <f t="shared" si="249"/>
        <v>0</v>
      </c>
      <c r="RN15" s="151">
        <v>7</v>
      </c>
      <c r="RO15" s="151">
        <v>1</v>
      </c>
      <c r="RP15" s="151">
        <v>1</v>
      </c>
      <c r="RQ15" s="151">
        <v>1</v>
      </c>
      <c r="RR15" s="151" t="e">
        <f t="shared" si="250"/>
        <v>#DIV/0!</v>
      </c>
      <c r="RS15" s="151" t="e">
        <f t="shared" si="251"/>
        <v>#DIV/0!</v>
      </c>
      <c r="RT15" s="151" t="e">
        <f t="shared" si="252"/>
        <v>#DIV/0!</v>
      </c>
      <c r="RU15" s="151" t="e">
        <f t="shared" si="253"/>
        <v>#DIV/0!</v>
      </c>
      <c r="RV15" s="151" t="e">
        <f t="shared" si="254"/>
        <v>#DIV/0!</v>
      </c>
      <c r="RW15" s="151" t="e">
        <f t="shared" si="255"/>
        <v>#DIV/0!</v>
      </c>
      <c r="RX15" s="151" t="e">
        <f t="shared" si="256"/>
        <v>#DIV/0!</v>
      </c>
      <c r="RY15" s="151" t="e">
        <f t="shared" si="257"/>
        <v>#DIV/0!</v>
      </c>
      <c r="RZ15" s="151" t="e">
        <f t="shared" si="258"/>
        <v>#DIV/0!</v>
      </c>
      <c r="SA15" s="151" t="e">
        <f t="shared" si="259"/>
        <v>#DIV/0!</v>
      </c>
      <c r="SB15" s="151" t="e">
        <f t="shared" si="260"/>
        <v>#DIV/0!</v>
      </c>
      <c r="SC15" s="151" t="e">
        <f t="shared" si="261"/>
        <v>#DIV/0!</v>
      </c>
      <c r="SD15" s="151">
        <f t="shared" si="262"/>
        <v>0</v>
      </c>
      <c r="SE15" s="151">
        <f t="shared" si="263"/>
        <v>0</v>
      </c>
      <c r="SF15" s="151">
        <f t="shared" si="264"/>
        <v>0</v>
      </c>
      <c r="SG15" s="151">
        <f t="shared" si="265"/>
        <v>0</v>
      </c>
      <c r="SH15" s="151">
        <f t="shared" si="266"/>
        <v>0</v>
      </c>
      <c r="SI15" s="151">
        <f t="shared" si="267"/>
        <v>0</v>
      </c>
      <c r="SJ15" s="151">
        <f t="shared" si="268"/>
        <v>0</v>
      </c>
      <c r="SK15" s="151">
        <f t="shared" si="269"/>
        <v>0</v>
      </c>
      <c r="SL15" s="542"/>
      <c r="SM15" s="542"/>
      <c r="SN15" s="542"/>
      <c r="SO15" s="151"/>
      <c r="SP15" s="151"/>
      <c r="SQ15" s="151"/>
      <c r="SR15" s="151"/>
      <c r="SS15" s="151"/>
      <c r="ST15" s="151"/>
      <c r="SU15" s="151"/>
      <c r="SV15" s="151"/>
      <c r="SW15" s="151"/>
      <c r="SX15" s="151"/>
      <c r="SY15" s="151"/>
      <c r="SZ15" s="151"/>
      <c r="TA15" s="151"/>
      <c r="TB15" s="151"/>
      <c r="TC15" s="151"/>
      <c r="TD15" s="151"/>
      <c r="TE15" s="542"/>
      <c r="TG15" s="155" t="s">
        <v>279</v>
      </c>
      <c r="TH15" s="196">
        <v>0.2</v>
      </c>
      <c r="TJ15" s="19" t="s">
        <v>62</v>
      </c>
      <c r="TK15" s="158"/>
      <c r="TL15" s="158" t="s">
        <v>660</v>
      </c>
      <c r="TM15" s="158">
        <v>9.81</v>
      </c>
      <c r="TN15" s="158"/>
      <c r="TO15" s="158"/>
      <c r="TQ15" s="155" t="s">
        <v>42</v>
      </c>
    </row>
    <row r="16" spans="2:537" x14ac:dyDescent="0.35">
      <c r="B16" s="161"/>
      <c r="C16" s="161"/>
      <c r="D16" s="161"/>
      <c r="E16" s="161"/>
      <c r="F16" s="666"/>
      <c r="G16" s="161"/>
      <c r="H16" s="537"/>
      <c r="I16" s="161"/>
      <c r="J16" s="161"/>
      <c r="K16" s="161"/>
      <c r="L16" s="161"/>
      <c r="M16" s="161"/>
      <c r="N16" s="161"/>
      <c r="O16" s="161"/>
      <c r="P16" s="161"/>
      <c r="Q16" s="161"/>
      <c r="R16" s="161"/>
      <c r="S16" s="667"/>
      <c r="T16" s="161"/>
      <c r="U16" s="161"/>
      <c r="V16" s="161"/>
      <c r="W16" s="161"/>
      <c r="X16" s="537"/>
      <c r="Y16" s="537"/>
      <c r="Z16" s="399"/>
      <c r="AA16" s="537"/>
      <c r="AB16" s="399"/>
      <c r="AC16" s="399"/>
      <c r="AD16" s="399"/>
      <c r="AE16" s="399"/>
      <c r="AF16" s="399"/>
      <c r="AG16" s="399"/>
      <c r="AH16" s="399"/>
      <c r="AI16" s="399"/>
      <c r="AJ16" s="399"/>
      <c r="AK16" s="399"/>
      <c r="AL16" s="399"/>
      <c r="AM16" s="399"/>
      <c r="AN16" s="399"/>
      <c r="AO16" s="399"/>
      <c r="AP16" s="399"/>
      <c r="AQ16" s="151" t="e">
        <f>INDEX('Tables - Part 3'!$J$4:$J$35,MATCH(COF!$F16,'Tables - Part 3'!$F$4:$F$35,0),1)</f>
        <v>#N/A</v>
      </c>
      <c r="AR16" s="151" t="e">
        <f>IF($G16=$TH$7,'Tables - Part 3'!$W$4,IF(AND($AQ16=$TH$7,COF!$PA16&lt;26.67),'Tables - Part 3'!$W$4,'Tables - Part 3'!$W$7))</f>
        <v>#N/A</v>
      </c>
      <c r="AS16" s="150" t="e">
        <f>INDEX('Tables - Part 3'!$F$4:$R$35,MATCH(COF!$F16,'Tables - Part 3'!$F$4:$F$35,0),COUNTA('Tables - Part 3'!$F$3:$H$3))</f>
        <v>#N/A</v>
      </c>
      <c r="AT16" s="279" t="e">
        <f t="shared" si="6"/>
        <v>#VALUE!</v>
      </c>
      <c r="AU16" s="151" t="e">
        <f>INDEX('Tables - Part 3'!$F$4:$R$35,MATCH(COF!$F16,'Tables - Part 3'!$F$4:$F$35,0),COUNTA('Tables - Part 3'!$F$3:$G$3))</f>
        <v>#N/A</v>
      </c>
      <c r="AV16" s="151" t="e">
        <f t="shared" si="131"/>
        <v>#N/A</v>
      </c>
      <c r="AW16" s="151" t="e">
        <f t="shared" si="7"/>
        <v>#N/A</v>
      </c>
      <c r="AX16" s="151" t="e">
        <f>INDEX('Tables - Part 3'!$F$4:$R$35,MATCH(COF!$F16,'Tables - Part 3'!$F$4:$F$35,0),COUNTA('Tables - Part 3'!$F$3:$R$3))+273.15</f>
        <v>#N/A</v>
      </c>
      <c r="AY16" s="151">
        <f t="shared" si="8"/>
        <v>0</v>
      </c>
      <c r="AZ16" s="151" t="e">
        <f t="shared" si="9"/>
        <v>#N/A</v>
      </c>
      <c r="BA16" s="151" t="e">
        <f t="shared" si="132"/>
        <v>#N/A</v>
      </c>
      <c r="BB16" s="151" t="e">
        <f t="shared" si="133"/>
        <v>#N/A</v>
      </c>
      <c r="BC16" s="151" t="e">
        <f t="shared" si="134"/>
        <v>#N/A</v>
      </c>
      <c r="BD16" s="151" t="e">
        <f t="shared" si="135"/>
        <v>#N/A</v>
      </c>
      <c r="BE16" s="151" t="e">
        <f t="shared" si="10"/>
        <v>#N/A</v>
      </c>
      <c r="BF16" s="151" t="e">
        <f t="shared" si="11"/>
        <v>#N/A</v>
      </c>
      <c r="BG16" s="151" t="e">
        <f t="shared" si="12"/>
        <v>#N/A</v>
      </c>
      <c r="BH16" s="151" t="e">
        <f t="shared" si="13"/>
        <v>#N/A</v>
      </c>
      <c r="BI16" s="151">
        <f>'Tables - Part 3'!$AD$4</f>
        <v>6.4</v>
      </c>
      <c r="BJ16" s="151">
        <f>MIN(O16,'Tables - Part 3'!$AD$5)</f>
        <v>25</v>
      </c>
      <c r="BK16" s="151">
        <f>MIN(O16,'Tables - Part 3'!$AD$6)</f>
        <v>102</v>
      </c>
      <c r="BL16" s="151">
        <f>MIN(O16,'Tables - Part 3'!$AD$7)</f>
        <v>406</v>
      </c>
      <c r="BM16" s="151">
        <f t="shared" si="136"/>
        <v>32.169908772759484</v>
      </c>
      <c r="BN16" s="151">
        <f t="shared" si="137"/>
        <v>490.87385212340519</v>
      </c>
      <c r="BO16" s="151">
        <f t="shared" si="138"/>
        <v>8171.2824919870518</v>
      </c>
      <c r="BP16" s="151">
        <f t="shared" si="139"/>
        <v>129461.89166178179</v>
      </c>
      <c r="BQ16" s="151" t="e">
        <f>INDEX('Tables - Part 2'!$D$5:$G$30,MATCH(COF!$E16,'Tables - Part 2'!$C$5:$C$30,0),1)</f>
        <v>#N/A</v>
      </c>
      <c r="BR16" s="571" t="e">
        <f>INDEX('Tables - Part 2'!$D$5:$G$30,MATCH(COF!$E16,'Tables - Part 2'!$C$5:$C$30,0),2)</f>
        <v>#N/A</v>
      </c>
      <c r="BS16" s="571" t="e">
        <f>INDEX('Tables - Part 2'!$D$5:$G$30,MATCH(COF!$E16,'Tables - Part 2'!$C$5:$C$30,0),3)</f>
        <v>#N/A</v>
      </c>
      <c r="BT16" s="151" t="e">
        <f>INDEX('Tables - Part 2'!$D$5:$G$30,MATCH(COF!$E16,'Tables - Part 2'!$C$5:$C$30,0),4)</f>
        <v>#N/A</v>
      </c>
      <c r="BU16" s="151" t="e">
        <f t="shared" si="140"/>
        <v>#N/A</v>
      </c>
      <c r="BV16" s="151" t="e">
        <f t="shared" si="141"/>
        <v>#N/A</v>
      </c>
      <c r="BW16" s="151" t="e">
        <f t="shared" si="142"/>
        <v>#N/A</v>
      </c>
      <c r="BX16" s="151" t="e">
        <f t="shared" si="143"/>
        <v>#N/A</v>
      </c>
      <c r="BY16" s="502" t="e">
        <f t="shared" si="144"/>
        <v>#N/A</v>
      </c>
      <c r="BZ16" s="502" t="e">
        <f t="shared" si="145"/>
        <v>#N/A</v>
      </c>
      <c r="CA16" s="151" t="e">
        <f>IF(OR(BI16&lt;='Tables - Part 3'!$AD$4,BE16&lt;='Tables - Part 3.B'!$C$6,BV16&lt;=25.22),COF!$TK$6,COF!$TK$5)</f>
        <v>#N/A</v>
      </c>
      <c r="CB16" s="151" t="e">
        <f>IF(OR(BJ16&lt;='Tables - Part 3'!$AD$4,BF16&lt;='Tables - Part 3.B'!$C$6,BW16&lt;=25.22),COF!$TK$6,COF!$TK$5)</f>
        <v>#N/A</v>
      </c>
      <c r="CC16" s="151" t="e">
        <f>IF(OR(BK16&lt;='Tables - Part 3'!$AD$4,BG16&lt;='Tables - Part 3.B'!$C$6,BX16&lt;=25.22),COF!$TK$6,COF!$TK$5)</f>
        <v>#N/A</v>
      </c>
      <c r="CD16" s="151" t="e">
        <f>IF(OR(BL16&lt;='Tables - Part 3'!$AD$4,BH16&lt;='Tables - Part 3.B'!$C$6,BY16&lt;=25.22),COF!$TK$6,COF!$TK$5)</f>
        <v>#N/A</v>
      </c>
      <c r="CE16" s="151" t="str">
        <f t="shared" si="146"/>
        <v/>
      </c>
      <c r="CF16" s="151" t="e">
        <f>INDEX('Tables - Part 3'!$AR$4:$AR$12,MATCH(COF!$PC16,'Tables - Part 3'!$AP$4:$AP$12,0),1)</f>
        <v>#N/A</v>
      </c>
      <c r="CG16" s="151" t="e">
        <f>INDEX('Tables - Part 3'!$AR$13:$AR$21,MATCH(COF!$PC16,'Tables - Part 3'!$AP$13:$AP$21,0),1)</f>
        <v>#N/A</v>
      </c>
      <c r="CH16" s="151" t="e">
        <f>INDEX('Tables - Part 3'!$AR$22:$AR$30,MATCH(COF!$PC16,'Tables - Part 3'!$AP$22:$AP$30,0),1)</f>
        <v>#N/A</v>
      </c>
      <c r="CI16" s="151" t="e">
        <f>INDEX('Tables - Part 3'!$AR$22:$AR$30,MATCH(COF!$PC16,'Tables - Part 3'!$AP$22:$AP$30,0),1)</f>
        <v>#N/A</v>
      </c>
      <c r="CJ16" s="151" t="e">
        <f t="shared" si="147"/>
        <v>#N/A</v>
      </c>
      <c r="CK16" s="151" t="e">
        <f t="shared" si="148"/>
        <v>#N/A</v>
      </c>
      <c r="CL16" s="151" t="e">
        <f t="shared" si="149"/>
        <v>#N/A</v>
      </c>
      <c r="CM16" s="151" t="e">
        <f t="shared" si="150"/>
        <v>#N/A</v>
      </c>
      <c r="CN16" s="151" t="e">
        <f t="shared" si="151"/>
        <v>#N/A</v>
      </c>
      <c r="CO16" s="151" t="e">
        <f t="shared" si="152"/>
        <v>#N/A</v>
      </c>
      <c r="CP16" s="151" t="e">
        <f t="shared" si="153"/>
        <v>#N/A</v>
      </c>
      <c r="CQ16" s="151" t="e">
        <f t="shared" si="154"/>
        <v>#N/A</v>
      </c>
      <c r="CR16" s="151" t="e">
        <f t="shared" si="155"/>
        <v>#N/A</v>
      </c>
      <c r="CS16" s="151" t="e">
        <f t="shared" si="156"/>
        <v>#N/A</v>
      </c>
      <c r="CT16" s="151" t="e">
        <f t="shared" si="157"/>
        <v>#N/A</v>
      </c>
      <c r="CU16" s="151" t="e">
        <f t="shared" si="158"/>
        <v>#N/A</v>
      </c>
      <c r="CV16" s="151" t="e">
        <f>INDEX('Tables - Part 3'!$CI$4:$CI$8,MATCH(COF!V16,'Tables - Part 3'!$CG$4:$CG$8,0),1)</f>
        <v>#N/A</v>
      </c>
      <c r="CW16" s="502" t="e">
        <f>IF(CR16&gt;'Tables - Part 3.B'!$C$6,4*LOG10('Tables - Part 3.B'!$C$7*CR16)-15,1)</f>
        <v>#N/A</v>
      </c>
      <c r="CX16" s="502" t="e">
        <f>IF(CS16&gt;'Tables - Part 3.B'!$C$6,4*LOG10('Tables - Part 3.B'!$C$7*CS16)-15,1)</f>
        <v>#N/A</v>
      </c>
      <c r="CY16" s="502" t="e">
        <f>IF(CT16&gt;'Tables - Part 3.B'!$C$6,4*LOG10('Tables - Part 3.B'!$C$7*CT16)-15,1)</f>
        <v>#N/A</v>
      </c>
      <c r="CZ16" s="502" t="e">
        <f>IF(CU16&gt;'Tables - Part 3.B'!$C$6,4*LOG10('Tables - Part 3.B'!$C$7*CU16)-15,1)</f>
        <v>#N/A</v>
      </c>
      <c r="DA16" s="151" t="e">
        <f>INDEX('Tables - Part 3'!$C$4:$C$37,MATCH(COF!$F16,'Tables - Part 3'!$B$4:$B$37,0),1)</f>
        <v>#N/A</v>
      </c>
      <c r="DB16" s="151" t="e">
        <f t="shared" si="159"/>
        <v>#N/A</v>
      </c>
      <c r="DC16" s="151" t="e">
        <f t="shared" si="160"/>
        <v>#N/A</v>
      </c>
      <c r="DD16" s="151" t="e">
        <f t="shared" si="161"/>
        <v>#N/A</v>
      </c>
      <c r="DE16" s="151" t="e">
        <f t="shared" si="162"/>
        <v>#N/A</v>
      </c>
      <c r="DF16" s="151" t="e">
        <f t="shared" si="163"/>
        <v>#N/A</v>
      </c>
      <c r="DG16" s="151" t="e">
        <f t="shared" si="164"/>
        <v>#N/A</v>
      </c>
      <c r="DH16" s="151" t="e">
        <f t="shared" si="165"/>
        <v>#N/A</v>
      </c>
      <c r="DI16" s="151" t="e">
        <f t="shared" si="166"/>
        <v>#N/A</v>
      </c>
      <c r="DJ16" s="151" t="e">
        <f t="shared" si="167"/>
        <v>#N/A</v>
      </c>
      <c r="DK16" s="151" t="e">
        <f t="shared" si="168"/>
        <v>#N/A</v>
      </c>
      <c r="DL16" s="151" t="e">
        <f t="shared" si="169"/>
        <v>#N/A</v>
      </c>
      <c r="DM16" s="151" t="e">
        <f t="shared" si="170"/>
        <v>#N/A</v>
      </c>
      <c r="DN16" s="151" t="e">
        <f t="shared" si="171"/>
        <v>#N/A</v>
      </c>
      <c r="DO16" s="151" t="e">
        <f t="shared" si="172"/>
        <v>#N/A</v>
      </c>
      <c r="DP16" s="151" t="e">
        <f t="shared" si="173"/>
        <v>#N/A</v>
      </c>
      <c r="DQ16" s="151" t="e">
        <f t="shared" si="174"/>
        <v>#N/A</v>
      </c>
      <c r="DR16" s="151" t="e">
        <f t="shared" si="175"/>
        <v>#N/A</v>
      </c>
      <c r="DS16" s="151" t="e">
        <f t="shared" si="176"/>
        <v>#N/A</v>
      </c>
      <c r="DT16" s="151" t="e">
        <f t="shared" si="177"/>
        <v>#N/A</v>
      </c>
      <c r="DU16" s="151" t="e">
        <f t="shared" si="178"/>
        <v>#N/A</v>
      </c>
      <c r="DV16" s="151" t="e">
        <f t="shared" si="179"/>
        <v>#N/A</v>
      </c>
      <c r="DW16" s="151" t="e">
        <f t="shared" si="180"/>
        <v>#N/A</v>
      </c>
      <c r="DX16" s="151" t="e">
        <f t="shared" si="181"/>
        <v>#N/A</v>
      </c>
      <c r="DY16" s="151" t="e">
        <f t="shared" si="182"/>
        <v>#N/A</v>
      </c>
      <c r="DZ16" s="151" t="e">
        <f t="shared" si="183"/>
        <v>#N/A</v>
      </c>
      <c r="EA16" s="151" t="e">
        <f t="shared" si="184"/>
        <v>#N/A</v>
      </c>
      <c r="EB16" s="151" t="e">
        <f t="shared" si="185"/>
        <v>#N/A</v>
      </c>
      <c r="EC16" s="151" t="e">
        <f t="shared" si="186"/>
        <v>#N/A</v>
      </c>
      <c r="ED16" s="151" t="e">
        <f t="shared" si="187"/>
        <v>#N/A</v>
      </c>
      <c r="EE16" s="151" t="e">
        <f t="shared" si="188"/>
        <v>#N/A</v>
      </c>
      <c r="EF16" s="151" t="e">
        <f t="shared" si="189"/>
        <v>#N/A</v>
      </c>
      <c r="EG16" s="151" t="e">
        <f t="shared" si="190"/>
        <v>#N/A</v>
      </c>
      <c r="EH16" s="151" t="e">
        <f>IF(CA16=$TK$5,1,MIN(CJ16/'Tables - Part 3.B'!$C$8,1))</f>
        <v>#N/A</v>
      </c>
      <c r="EI16" s="151" t="e">
        <f>IF(CB16=$TK$5,1,MIN(CK16/'Tables - Part 3.B'!$C$8,1))</f>
        <v>#N/A</v>
      </c>
      <c r="EJ16" s="151" t="e">
        <f>IF(CC16=$TK$5,1,MIN(CL16/'Tables - Part 3.B'!$C$8,1))</f>
        <v>#N/A</v>
      </c>
      <c r="EK16" s="151" t="e">
        <f>IF(CD16=$TK$5,1,MIN(CM16/'Tables - Part 3.B'!$C$8,1))</f>
        <v>#N/A</v>
      </c>
      <c r="EL16" s="151" t="e">
        <f t="shared" si="191"/>
        <v>#VALUE!</v>
      </c>
      <c r="EM16" s="151" t="e">
        <f t="shared" si="48"/>
        <v>#VALUE!</v>
      </c>
      <c r="EN16" s="151" t="e">
        <f t="shared" si="48"/>
        <v>#VALUE!</v>
      </c>
      <c r="EO16" s="151" t="e">
        <f t="shared" si="48"/>
        <v>#VALUE!</v>
      </c>
      <c r="EP16" s="151" t="e">
        <f t="shared" si="192"/>
        <v>#N/A</v>
      </c>
      <c r="EQ16" s="151" t="e">
        <f t="shared" si="49"/>
        <v>#N/A</v>
      </c>
      <c r="ER16" s="151" t="e">
        <f t="shared" si="49"/>
        <v>#N/A</v>
      </c>
      <c r="ES16" s="151" t="e">
        <f t="shared" si="49"/>
        <v>#N/A</v>
      </c>
      <c r="ET16" s="151" t="e">
        <f t="shared" si="193"/>
        <v>#N/A</v>
      </c>
      <c r="EU16" s="151" t="e">
        <f t="shared" si="50"/>
        <v>#N/A</v>
      </c>
      <c r="EV16" s="151" t="e">
        <f t="shared" si="50"/>
        <v>#N/A</v>
      </c>
      <c r="EW16" s="151" t="e">
        <f t="shared" si="50"/>
        <v>#N/A</v>
      </c>
      <c r="EX16" s="151" t="e">
        <f t="shared" si="194"/>
        <v>#N/A</v>
      </c>
      <c r="EY16" s="151" t="e">
        <f t="shared" si="51"/>
        <v>#N/A</v>
      </c>
      <c r="EZ16" s="151" t="e">
        <f t="shared" si="51"/>
        <v>#N/A</v>
      </c>
      <c r="FA16" s="151" t="e">
        <f t="shared" si="51"/>
        <v>#N/A</v>
      </c>
      <c r="FB16" s="151" t="e">
        <f t="shared" si="195"/>
        <v>#N/A</v>
      </c>
      <c r="FC16" s="151" t="e">
        <f t="shared" si="52"/>
        <v>#N/A</v>
      </c>
      <c r="FD16" s="151" t="e">
        <f t="shared" si="52"/>
        <v>#N/A</v>
      </c>
      <c r="FE16" s="151" t="e">
        <f t="shared" si="52"/>
        <v>#N/A</v>
      </c>
      <c r="FF16" s="151" t="e">
        <f t="shared" si="196"/>
        <v>#N/A</v>
      </c>
      <c r="FG16" s="151" t="e">
        <f t="shared" si="53"/>
        <v>#N/A</v>
      </c>
      <c r="FH16" s="151" t="e">
        <f t="shared" si="53"/>
        <v>#N/A</v>
      </c>
      <c r="FI16" s="151" t="e">
        <f t="shared" si="53"/>
        <v>#N/A</v>
      </c>
      <c r="FJ16" s="151" t="e">
        <f t="shared" si="197"/>
        <v>#N/A</v>
      </c>
      <c r="FK16" s="151" t="e">
        <f t="shared" si="54"/>
        <v>#N/A</v>
      </c>
      <c r="FL16" s="151" t="e">
        <f t="shared" si="54"/>
        <v>#N/A</v>
      </c>
      <c r="FM16" s="288" t="e">
        <f t="shared" si="54"/>
        <v>#N/A</v>
      </c>
      <c r="FN16" s="299">
        <f t="shared" si="198"/>
        <v>0</v>
      </c>
      <c r="FO16" s="511">
        <f t="shared" si="199"/>
        <v>0</v>
      </c>
      <c r="FP16" s="150" t="e">
        <f t="shared" si="200"/>
        <v>#N/A</v>
      </c>
      <c r="FQ16" s="151" t="e">
        <f t="shared" si="201"/>
        <v>#N/A</v>
      </c>
      <c r="FR16" s="151" t="e">
        <f t="shared" si="202"/>
        <v>#N/A</v>
      </c>
      <c r="FS16" s="151" t="e">
        <f t="shared" si="203"/>
        <v>#N/A</v>
      </c>
      <c r="FT16" s="151">
        <f t="shared" si="270"/>
        <v>0</v>
      </c>
      <c r="FU16" s="151">
        <f t="shared" si="56"/>
        <v>0</v>
      </c>
      <c r="FV16" s="151">
        <f t="shared" si="57"/>
        <v>0</v>
      </c>
      <c r="FW16" s="151">
        <f t="shared" si="58"/>
        <v>0</v>
      </c>
      <c r="FX16" s="151">
        <f t="shared" si="271"/>
        <v>0</v>
      </c>
      <c r="FY16" s="151">
        <f t="shared" si="60"/>
        <v>0</v>
      </c>
      <c r="FZ16" s="151">
        <f t="shared" si="61"/>
        <v>0</v>
      </c>
      <c r="GA16" s="151">
        <f t="shared" si="62"/>
        <v>0</v>
      </c>
      <c r="GB16" s="151" t="e">
        <f>IF(CA16=$TK$6,'Tables - Part 3.B'!$C$10*(('Tables - Part 3.B'!$C$7*COF!FT16)^COF!GR16*10^COF!GV16),IF(CA16=$TK$5,'Tables - Part 3.B'!$C$10*(('Tables - Part 3.B'!$C$7*COF!FX16)^COF!GR16*10^COF!GV16),0))</f>
        <v>#N/A</v>
      </c>
      <c r="GC16" s="151" t="e">
        <f>IF(CB16=$TK$6,'Tables - Part 3.B'!$C$10*(('Tables - Part 3.B'!$C$7*COF!FU16)^COF!GS16*10^COF!GW16),IF(CB16=$TK$5,'Tables - Part 3.B'!$C$10*(('Tables - Part 3.B'!$C$7*COF!FY16)^COF!GS16*10^COF!GW16),0))</f>
        <v>#N/A</v>
      </c>
      <c r="GD16" s="151" t="e">
        <f>IF(CC16=$TK$6,'Tables - Part 3.B'!$C$10*(('Tables - Part 3.B'!$C$7*COF!FV16)^COF!GT16*10^COF!GX16),IF(CC16=$TK$5,'Tables - Part 3.B'!$C$10*(('Tables - Part 3.B'!$C$7*COF!FZ16)^COF!GT16*10^COF!GX16),0))</f>
        <v>#N/A</v>
      </c>
      <c r="GE16" s="151" t="e">
        <f>IF(CD16=$TK$6,'Tables - Part 3.B'!$C$10*(('Tables - Part 3.B'!$C$7*COF!FW16)^COF!GU16*10^COF!GY16),IF(CD16=$TK$5,'Tables - Part 3.B'!$C$10*(('Tables - Part 3.B'!$C$7*COF!GA16)^COF!GU16*10^COF!GY16),0))</f>
        <v>#N/A</v>
      </c>
      <c r="GF16" s="152" t="e">
        <f t="shared" si="272"/>
        <v>#N/A</v>
      </c>
      <c r="GG16" s="152" t="e">
        <f t="shared" si="63"/>
        <v>#N/A</v>
      </c>
      <c r="GH16" s="152" t="e">
        <f t="shared" si="64"/>
        <v>#N/A</v>
      </c>
      <c r="GI16" s="152" t="e">
        <f t="shared" si="65"/>
        <v>#N/A</v>
      </c>
      <c r="GJ16" s="152" t="e">
        <f>IF(GF16&lt;'Tables - Part 3'!$CK$5,0,LOOKUP(GF16,'Tables - Part 3'!$CK$5:$CK$9))</f>
        <v>#N/A</v>
      </c>
      <c r="GK16" s="152" t="e">
        <f>IF(GG16&lt;'Tables - Part 3'!$CK$5,0,LOOKUP(GG16,'Tables - Part 3'!$CK$5:$CK$9))</f>
        <v>#N/A</v>
      </c>
      <c r="GL16" s="152" t="e">
        <f>IF(GH16&lt;'Tables - Part 3'!$CK$5,0,LOOKUP(GH16,'Tables - Part 3'!$CK$5:$CK$9))</f>
        <v>#N/A</v>
      </c>
      <c r="GM16" s="152" t="e">
        <f>IF(GI16&lt;'Tables - Part 3'!$CK$5,0,LOOKUP(GI16,'Tables - Part 3'!$CK$5:$CK$9))</f>
        <v>#N/A</v>
      </c>
      <c r="GN16" s="152" t="e">
        <f>IF(GF16&lt;'Tables - Part 3'!$CK$5,'Tables - Part 3'!$CK$5,IF(COF!GF16&lt;'Tables - Part 3'!$CK$6,'Tables - Part 3'!$CK$6,IF(COF!GF16&lt;'Tables - Part 3'!$CK$7,'Tables - Part 3'!$CK$7,IF(COF!GF16&lt;'Tables - Part 3'!$CK$8,'Tables - Part 3'!$CK$8,IF(COF!GF16&lt;'Tables - Part 3'!$CK$9,'Tables - Part 3'!$CK$9)))))</f>
        <v>#N/A</v>
      </c>
      <c r="GO16" s="152" t="e">
        <f>IF(GG16&lt;'Tables - Part 3'!$CK$5,'Tables - Part 3'!$CK$5,IF(COF!GG16&lt;'Tables - Part 3'!$CK$6,'Tables - Part 3'!$CK$6,IF(COF!GG16&lt;'Tables - Part 3'!$CK$7,'Tables - Part 3'!$CK$7,IF(COF!GG16&lt;'Tables - Part 3'!$CK$8,'Tables - Part 3'!$CK$8,IF(COF!GG16&lt;'Tables - Part 3'!$CK$9,'Tables - Part 3'!$CK$9)))))</f>
        <v>#N/A</v>
      </c>
      <c r="GP16" s="152" t="e">
        <f>IF(GH16&lt;'Tables - Part 3'!$CK$5,'Tables - Part 3'!$CK$5,IF(COF!GH16&lt;'Tables - Part 3'!$CK$6,'Tables - Part 3'!$CK$6,IF(COF!GH16&lt;'Tables - Part 3'!$CK$7,'Tables - Part 3'!$CK$7,IF(COF!GH16&lt;'Tables - Part 3'!$CK$8,'Tables - Part 3'!$CK$8,IF(COF!GH16&lt;'Tables - Part 3'!$CK$9,'Tables - Part 3'!$CK$9)))))</f>
        <v>#N/A</v>
      </c>
      <c r="GQ16" s="152" t="e">
        <f>IF(GI16&lt;'Tables - Part 3'!$CK$5,'Tables - Part 3'!$CK$5,IF(COF!GI16&lt;'Tables - Part 3'!$CK$6,'Tables - Part 3'!$CK$6,IF(COF!GI16&lt;'Tables - Part 3'!$CK$7,'Tables - Part 3'!$CK$7,IF(COF!GI16&lt;'Tables - Part 3'!$CK$8,'Tables - Part 3'!$CK$8,IF(COF!GI16&lt;'Tables - Part 3'!$CK$9,'Tables - Part 3'!$CK$9)))))</f>
        <v>#N/A</v>
      </c>
      <c r="GR16" s="151" t="e">
        <f>IF(CA16=$TK$5,'Tables - Part 3'!$CL$10,IF(COF!CA16=COF!$TK$6,IF(COF!GF16&lt;'Tables - Part 3'!$CK$5,'Tables - Part 3'!$CL$5,IF(GF16&gt;='Tables - Part 3'!$CK$9,'Tables - Part 3'!$CL$9,((COF!GF16-COF!GJ16)*(INDEX('Tables - Part 3'!$CL$5:$CL$9,MATCH(COF!GN16,'Tables - Part 3'!$CK$5:$CK$9,0))-INDEX('Tables - Part 3'!$CL$5:$CL$9,MATCH(COF!GJ16,'Tables - Part 3'!$CK$5:$CK$9,0)))/(GN16-GJ16)+INDEX('Tables - Part 3'!$CL$5:$CL$9,MATCH(COF!GJ16,'Tables - Part 3'!$CK$5:$CK$9,0)))))))</f>
        <v>#N/A</v>
      </c>
      <c r="GS16" s="151" t="e">
        <f>IF(CB16=$TK$5,'Tables - Part 3'!$CL$10,IF(COF!CB16=COF!$TK$6,IF(COF!GG16&lt;'Tables - Part 3'!$CK$5,'Tables - Part 3'!$CL$5,IF(GG16&gt;='Tables - Part 3'!$CK$9,'Tables - Part 3'!$CL$9,((COF!GG16-COF!GK16)*(INDEX('Tables - Part 3'!$CL$5:$CL$9,MATCH(COF!GO16,'Tables - Part 3'!$CK$5:$CK$9,0))-INDEX('Tables - Part 3'!$CL$5:$CL$9,MATCH(COF!GK16,'Tables - Part 3'!$CK$5:$CK$9,0)))/(GO16-GK16)+INDEX('Tables - Part 3'!$CL$5:$CL$9,MATCH(COF!GK16,'Tables - Part 3'!$CK$5:$CK$9,0)))))))</f>
        <v>#N/A</v>
      </c>
      <c r="GT16" s="151" t="e">
        <f>IF(CC16=$TK$5,'Tables - Part 3'!$CL$10,IF(COF!CC16=COF!$TK$6,IF(COF!GH16&lt;'Tables - Part 3'!$CK$5,'Tables - Part 3'!$CL$5,IF(GH16&gt;='Tables - Part 3'!$CK$9,'Tables - Part 3'!$CL$9,((COF!GH16-COF!GL16)*(INDEX('Tables - Part 3'!$CL$5:$CL$9,MATCH(COF!GP16,'Tables - Part 3'!$CK$5:$CK$9,0))-INDEX('Tables - Part 3'!$CL$5:$CL$9,MATCH(COF!GL16,'Tables - Part 3'!$CK$5:$CK$9,0)))/(GP16-GL16)+INDEX('Tables - Part 3'!$CL$5:$CL$9,MATCH(COF!GL16,'Tables - Part 3'!$CK$5:$CK$9,0)))))))</f>
        <v>#N/A</v>
      </c>
      <c r="GU16" s="151" t="e">
        <f>IF(CD16=$TK$5,'Tables - Part 3'!$CL$10,IF(COF!CD16=COF!$TK$6,IF(COF!GI16&lt;'Tables - Part 3'!$CK$5,'Tables - Part 3'!$CL$5,IF(GI16&gt;='Tables - Part 3'!$CK$9,'Tables - Part 3'!$CL$9,((COF!GI16-COF!GM16)*(INDEX('Tables - Part 3'!$CL$5:$CL$9,MATCH(COF!GQ16,'Tables - Part 3'!$CK$5:$CK$9,0))-INDEX('Tables - Part 3'!$CL$5:$CL$9,MATCH(COF!GM16,'Tables - Part 3'!$CK$5:$CK$9,0)))/(GQ16-GM16)+INDEX('Tables - Part 3'!$CL$5:$CL$9,MATCH(COF!GM16,'Tables - Part 3'!$CK$5:$CK$9,0)))))))</f>
        <v>#N/A</v>
      </c>
      <c r="GV16" s="151" t="e">
        <f>IF(CA16=$TK$5,'Tables - Part 3'!$CM$10,IF(COF!CA16=COF!$TK$6,IF(GF16&lt;'Tables - Part 3'!$CK$5,'Tables - Part 3'!$CM$5,IF(GF16&gt;='Tables - Part 3'!$CK$9,'Tables - Part 3'!$CM$9,((COF!GF16-COF!GJ16)*(INDEX('Tables - Part 3'!$CM$5:$CM$9,MATCH(COF!GN16,'Tables - Part 3'!$CK$5:$CK$9,0))-INDEX('Tables - Part 3'!$CM$5:$CM$9,MATCH(COF!GJ16,'Tables - Part 3'!$CK$5:$CK$9,0)))/(GN16-GJ16)+INDEX('Tables - Part 3'!$CM$5:$CM$9,MATCH(COF!GJ16,'Tables - Part 3'!$CK$5:$CK$9,0)))))))</f>
        <v>#N/A</v>
      </c>
      <c r="GW16" s="151" t="e">
        <f>IF(CB16=$TK$5,'Tables - Part 3'!$CM$10,IF(COF!CB16=COF!$TK$6,IF(GG16&lt;'Tables - Part 3'!$CK$5,'Tables - Part 3'!$CM$5,IF(GG16&gt;='Tables - Part 3'!$CK$9,'Tables - Part 3'!$CM$9,((COF!GG16-COF!GK16)*(INDEX('Tables - Part 3'!$CM$5:$CM$9,MATCH(COF!GO16,'Tables - Part 3'!$CK$5:$CK$9,0))-INDEX('Tables - Part 3'!$CM$5:$CM$9,MATCH(COF!GK16,'Tables - Part 3'!$CK$5:$CK$9,0)))/(GO16-GK16)+INDEX('Tables - Part 3'!$CM$5:$CM$9,MATCH(COF!GK16,'Tables - Part 3'!$CK$5:$CK$9,0)))))))</f>
        <v>#N/A</v>
      </c>
      <c r="GX16" s="151" t="e">
        <f>IF(CC16=$TK$5,'Tables - Part 3'!$CM$10,IF(COF!CC16=COF!$TK$6,IF(GH16&lt;'Tables - Part 3'!$CK$5,'Tables - Part 3'!$CM$5,IF(GH16&gt;='Tables - Part 3'!$CK$9,'Tables - Part 3'!$CM$9,((COF!GH16-COF!GL16)*(INDEX('Tables - Part 3'!$CM$5:$CM$9,MATCH(COF!GP16,'Tables - Part 3'!$CK$5:$CK$9,0))-INDEX('Tables - Part 3'!$CM$5:$CM$9,MATCH(COF!GL16,'Tables - Part 3'!$CK$5:$CK$9,0)))/(GP16-GL16)+INDEX('Tables - Part 3'!$CM$5:$CM$9,MATCH(COF!GL16,'Tables - Part 3'!$CK$5:$CK$9,0)))))))</f>
        <v>#N/A</v>
      </c>
      <c r="GY16" s="151" t="e">
        <f>IF(CD16=$TK$5,'Tables - Part 3'!$CM$10,IF(COF!CD16=COF!$TK$6,IF(GI16&lt;'Tables - Part 3'!$CK$5,'Tables - Part 3'!$CM$5,IF(GI16&gt;='Tables - Part 3'!$CK$9,'Tables - Part 3'!$CM$9,((COF!GI16-COF!GM16)*(INDEX('Tables - Part 3'!$CM$5:$CM$9,MATCH(COF!GQ16,'Tables - Part 3'!$CK$5:$CK$9,0))-INDEX('Tables - Part 3'!$CM$5:$CM$9,MATCH(COF!GM16,'Tables - Part 3'!$CK$5:$CK$9,0)))/(GQ16-GM16)+INDEX('Tables - Part 3'!$CM$5:$CM$9,MATCH(COF!GM16,'Tables - Part 3'!$CK$5:$CK$9,0)))))))</f>
        <v>#N/A</v>
      </c>
      <c r="GZ16" s="151">
        <f t="shared" si="273"/>
        <v>0</v>
      </c>
      <c r="HA16" s="151">
        <f t="shared" si="67"/>
        <v>0</v>
      </c>
      <c r="HB16" s="151">
        <f t="shared" si="68"/>
        <v>0</v>
      </c>
      <c r="HC16" s="151">
        <f t="shared" si="69"/>
        <v>0</v>
      </c>
      <c r="HD16" s="151">
        <f t="shared" si="274"/>
        <v>0</v>
      </c>
      <c r="HE16" s="151">
        <f t="shared" si="71"/>
        <v>0</v>
      </c>
      <c r="HF16" s="151">
        <f t="shared" si="72"/>
        <v>0</v>
      </c>
      <c r="HG16" s="151">
        <f t="shared" si="73"/>
        <v>0</v>
      </c>
      <c r="HH16" s="151" t="e">
        <f>IF(CA16=$TK$6,'Tables - Part 3.B'!$C$10*(('Tables - Part 3.B'!$C$7*COF!GZ16)^COF!HL16*10^COF!HP16),IF(CA16=$TK$5,'Tables - Part 3.B'!$C$10*(('Tables - Part 3.B'!$C$7*COF!HD16)^COF!HL16*10^COF!HP16),0))</f>
        <v>#N/A</v>
      </c>
      <c r="HI16" s="151" t="e">
        <f>IF(CB16=$TK$6,'Tables - Part 3.B'!$C$10*(('Tables - Part 3.B'!$C$7*COF!HA16)^COF!HM16*10^COF!HQ16),IF(CB16=$TK$5,'Tables - Part 3.B'!$C$10*(('Tables - Part 3.B'!$C$7*COF!HE16)^COF!HM16*10^COF!HQ16),0))</f>
        <v>#N/A</v>
      </c>
      <c r="HJ16" s="151" t="e">
        <f>IF(CC16=$TK$6,'Tables - Part 3.B'!$C$10*(('Tables - Part 3.B'!$C$7*COF!HB16)^COF!HN16*10^COF!HR16),IF(CC16=$TK$5,'Tables - Part 3.B'!$C$10*(('Tables - Part 3.B'!$C$7*COF!HF16)^COF!HN16*10^COF!HR16),0))</f>
        <v>#N/A</v>
      </c>
      <c r="HK16" s="151" t="e">
        <f>IF(CD16=$TK$6,'Tables - Part 3.B'!$C$10*(('Tables - Part 3.B'!$C$7*COF!HC16)^COF!HO16*10^COF!HS16),IF(CD16=$TK$5,'Tables - Part 3.B'!$C$10*(('Tables - Part 3.B'!$C$7*COF!HG16)^COF!HO16*10^COF!HS16),0))</f>
        <v>#N/A</v>
      </c>
      <c r="HL16" s="151" t="e">
        <f>IF(CA16=$TK$5,'Tables - Part 3'!$CN$10,IF(COF!CA16=COF!$TK$6,IF(COF!GF16&lt;'Tables - Part 3'!$CK$5,'Tables - Part 3'!$CN$5,IF(GF16&gt;='Tables - Part 3'!$CK$9,'Tables - Part 3'!$CN$9,((COF!GF16-COF!GJ16)*(INDEX('Tables - Part 3'!$CN$5:$CN$9,MATCH(COF!GN16,'Tables - Part 3'!$CK$5:$CK$9,0))-INDEX('Tables - Part 3'!$CN$5:$CN$9,MATCH(COF!GJ16,'Tables - Part 3'!$CK$5:$CK$9,0)))/(GN16-GJ16)+INDEX('Tables - Part 3'!$CN$5:$CN$9,MATCH(COF!GJ16,'Tables - Part 3'!$CK$5:$CK$9,0)))))))</f>
        <v>#N/A</v>
      </c>
      <c r="HM16" s="151" t="e">
        <f>IF(CB16=$TK$5,'Tables - Part 3'!$CN$10,IF(COF!CB16=COF!$TK$6,IF(COF!GG16&lt;'Tables - Part 3'!$CK$5,'Tables - Part 3'!$CN$5,IF(GG16&gt;='Tables - Part 3'!$CK$9,'Tables - Part 3'!$CN$9,((COF!GG16-COF!GK16)*(INDEX('Tables - Part 3'!$CN$5:$CN$9,MATCH(COF!GO16,'Tables - Part 3'!$CK$5:$CK$9,0))-INDEX('Tables - Part 3'!$CN$5:$CN$9,MATCH(COF!GK16,'Tables - Part 3'!$CK$5:$CK$9,0)))/(GO16-GK16)+INDEX('Tables - Part 3'!$CN$5:$CN$9,MATCH(COF!GK16,'Tables - Part 3'!$CK$5:$CK$9,0)))))))</f>
        <v>#N/A</v>
      </c>
      <c r="HN16" s="151" t="e">
        <f>IF(CC16=$TK$5,'Tables - Part 3'!$CN$10,IF(COF!CC16=COF!$TK$6,IF(COF!GH16&lt;'Tables - Part 3'!$CK$5,'Tables - Part 3'!$CN$5,IF(GH16&gt;='Tables - Part 3'!$CK$9,'Tables - Part 3'!$CN$9,((COF!GH16-COF!GL16)*(INDEX('Tables - Part 3'!$CN$5:$CN$9,MATCH(COF!GP16,'Tables - Part 3'!$CK$5:$CK$9,0))-INDEX('Tables - Part 3'!$CN$5:$CN$9,MATCH(COF!GL16,'Tables - Part 3'!$CK$5:$CK$9,0)))/(GP16-GL16)+INDEX('Tables - Part 3'!$CN$5:$CN$9,MATCH(COF!GL16,'Tables - Part 3'!$CK$5:$CK$9,0)))))))</f>
        <v>#N/A</v>
      </c>
      <c r="HO16" s="151" t="e">
        <f>IF(CD16=$TK$5,'Tables - Part 3'!$CN$10,IF(COF!CD16=COF!$TK$6,IF(COF!GI16&lt;'Tables - Part 3'!$CK$5,'Tables - Part 3'!$CN$5,IF(GI16&gt;='Tables - Part 3'!$CK$9,'Tables - Part 3'!$CN$9,((COF!GI16-COF!GM16)*(INDEX('Tables - Part 3'!$CN$5:$CN$9,MATCH(COF!GQ16,'Tables - Part 3'!$CK$5:$CK$9,0))-INDEX('Tables - Part 3'!$CN$5:$CN$9,MATCH(COF!GM16,'Tables - Part 3'!$CK$5:$CK$9,0)))/(GQ16-GM16)+INDEX('Tables - Part 3'!$CN$5:$CN$9,MATCH(COF!GM16,'Tables - Part 3'!$CK$5:$CK$9,0)))))))</f>
        <v>#N/A</v>
      </c>
      <c r="HP16" s="151" t="e">
        <f>IF(CA16=$TK$5,'Tables - Part 3'!$CO$10,IF(COF!CA16=COF!$TK$6,IF(GF16&lt;'Tables - Part 3'!$CK$5,'Tables - Part 3'!$CO$5,IF(GF16&gt;='Tables - Part 3'!$CK$9,'Tables - Part 3'!$CO$9,((COF!GF16-COF!GJ16)*(INDEX('Tables - Part 3'!$CO$5:$CO$9,MATCH(COF!GN16,'Tables - Part 3'!$CK$5:$CK$9,0))-INDEX('Tables - Part 3'!$CO$5:$CO$9,MATCH(COF!GJ16,'Tables - Part 3'!$CK$5:$CK$9,0)))/(GN16-GJ16)+INDEX('Tables - Part 3'!$CO$5:$CO$9,MATCH(COF!GJ16,'Tables - Part 3'!$CK$5:$CK$9,0)))))))</f>
        <v>#N/A</v>
      </c>
      <c r="HQ16" s="151" t="e">
        <f>IF(CB16=$TK$5,'Tables - Part 3'!$CO$10,IF(COF!CB16=COF!$TK$6,IF(GG16&lt;'Tables - Part 3'!$CK$5,'Tables - Part 3'!$CO$5,IF(GG16&gt;='Tables - Part 3'!$CK$9,'Tables - Part 3'!$CO$9,((COF!GG16-COF!GK16)*(INDEX('Tables - Part 3'!$CO$5:$CO$9,MATCH(COF!GO16,'Tables - Part 3'!$CK$5:$CK$9,0))-INDEX('Tables - Part 3'!$CO$5:$CO$9,MATCH(COF!GK16,'Tables - Part 3'!$CK$5:$CK$9,0)))/(GO16-GK16)+INDEX('Tables - Part 3'!$CO$5:$CO$9,MATCH(COF!GK16,'Tables - Part 3'!$CK$5:$CK$9,0)))))))</f>
        <v>#N/A</v>
      </c>
      <c r="HR16" s="151" t="e">
        <f>IF(CC16=$TK$5,'Tables - Part 3'!$CO$10,IF(COF!CC16=COF!$TK$6,IF(GH16&lt;'Tables - Part 3'!$CK$5,'Tables - Part 3'!$CO$5,IF(GH16&gt;='Tables - Part 3'!$CK$9,'Tables - Part 3'!$CO$9,((COF!GH16-COF!GL16)*(INDEX('Tables - Part 3'!$CO$5:$CO$9,MATCH(COF!GP16,'Tables - Part 3'!$CK$5:$CK$9,0))-INDEX('Tables - Part 3'!$CO$5:$CO$9,MATCH(COF!GL16,'Tables - Part 3'!$CK$5:$CK$9,0)))/(GP16-GL16)+INDEX('Tables - Part 3'!$CO$5:$CO$9,MATCH(COF!GL16,'Tables - Part 3'!$CK$5:$CK$9,0)))))))</f>
        <v>#N/A</v>
      </c>
      <c r="HS16" s="151" t="e">
        <f>IF(CD16=$TK$5,'Tables - Part 3'!$CO$10,IF(COF!CD16=COF!$TK$6,IF(GI16&lt;'Tables - Part 3'!$CK$5,'Tables - Part 3'!$CO$5,IF(GI16&gt;='Tables - Part 3'!$CK$9,'Tables - Part 3'!$CO$9,((COF!GI16-COF!GM16)*(INDEX('Tables - Part 3'!$CO$5:$CO$9,MATCH(COF!GQ16,'Tables - Part 3'!$CK$5:$CK$9,0))-INDEX('Tables - Part 3'!$CO$5:$CO$9,MATCH(COF!GM16,'Tables - Part 3'!$CK$5:$CK$9,0)))/(GQ16-GM16)+INDEX('Tables - Part 3'!$CO$5:$CO$9,MATCH(COF!GM16,'Tables - Part 3'!$CK$5:$CK$9,0)))))))</f>
        <v>#N/A</v>
      </c>
      <c r="HT16" s="151">
        <f t="shared" si="275"/>
        <v>0</v>
      </c>
      <c r="HU16" s="151">
        <f t="shared" si="75"/>
        <v>0</v>
      </c>
      <c r="HV16" s="151">
        <f t="shared" si="76"/>
        <v>0</v>
      </c>
      <c r="HW16" s="151">
        <f t="shared" si="77"/>
        <v>0</v>
      </c>
      <c r="HX16" s="151">
        <f t="shared" si="276"/>
        <v>0</v>
      </c>
      <c r="HY16" s="151">
        <f t="shared" si="79"/>
        <v>0</v>
      </c>
      <c r="HZ16" s="151">
        <f t="shared" si="80"/>
        <v>0</v>
      </c>
      <c r="IA16" s="151">
        <f t="shared" si="81"/>
        <v>0</v>
      </c>
      <c r="IB16" s="153" t="e">
        <f t="shared" si="82"/>
        <v>#N/A</v>
      </c>
      <c r="IC16" s="153" t="e">
        <f t="shared" si="83"/>
        <v>#N/A</v>
      </c>
      <c r="ID16" s="153" t="e">
        <f t="shared" si="84"/>
        <v>#N/A</v>
      </c>
      <c r="IE16" s="153" t="e">
        <f t="shared" si="85"/>
        <v>#N/A</v>
      </c>
      <c r="IF16" s="152" t="e">
        <f>IF(GF16&lt;'Tables - Part 3'!$CQ$5,0,LOOKUP(GF16,'Tables - Part 3'!$CQ$5:$CQ$16))</f>
        <v>#N/A</v>
      </c>
      <c r="IG16" s="152" t="e">
        <f>IF(GG16&lt;'Tables - Part 3'!$CQ$5,0,LOOKUP(GG16,'Tables - Part 3'!$CQ$5:$CQ$16))</f>
        <v>#N/A</v>
      </c>
      <c r="IH16" s="152" t="e">
        <f>IF(GH16&lt;'Tables - Part 3'!$CQ$5,0,LOOKUP(GH16,'Tables - Part 3'!$CQ$5:$CQ$16))</f>
        <v>#N/A</v>
      </c>
      <c r="II16" s="152" t="e">
        <f>IF(GI16&lt;'Tables - Part 3'!$CQ$5,0,LOOKUP(GI16,'Tables - Part 3'!$CQ$5:$CQ$16))</f>
        <v>#N/A</v>
      </c>
      <c r="IJ16" s="152" t="e">
        <f>IF(GF16&lt;'Tables - Part 3'!$CQ$5,'Tables - Part 3'!$CQ$5,IF(COF!GF16&lt;'Tables - Part 3'!$CQ$6,'Tables - Part 3'!$CQ$6,IF(COF!GF16&lt;'Tables - Part 3'!$CQ$7,'Tables - Part 3'!$CQ$7,IF(COF!GF16&lt;'Tables - Part 3'!$CQ$8,'Tables - Part 3'!$CQ$8,IF(COF!GF16&lt;'Tables - Part 3'!$CQ$9,'Tables - Part 3'!$CQ$9,IF(COF!GF16&lt;'Tables - Part 3'!$CQ$10,'Tables - Part 3'!$CQ$10,IF(COF!GF16&lt;'Tables - Part 3'!$CQ$11,'Tables - Part 3'!$CQ$11,IF(COF!GF16&lt;'Tables - Part 3'!$CQ$12,'Tables - Part 3'!$CQ$12,IF(COF!GF16&lt;'Tables - Part 3'!$CQ$13,'Tables - Part 3'!$CQ$13,IF(COF!GF16&lt;'Tables - Part 3'!$CQ$14,'Tables - Part 3'!$CQ$14,IF(COF!GF16&lt;'Tables - Part 3'!$CQ$15,'Tables - Part 3'!$CQ$15,IF(COF!GF16&lt;'Tables - Part 3'!$CQ$16,'Tables - Part 3'!$CQ$16))))))))))))</f>
        <v>#N/A</v>
      </c>
      <c r="IK16" s="152" t="e">
        <f>IF(GG16&lt;'Tables - Part 3'!$CQ$5,'Tables - Part 3'!$CQ$5,IF(COF!GG16&lt;'Tables - Part 3'!$CQ$6,'Tables - Part 3'!$CQ$6,IF(COF!GG16&lt;'Tables - Part 3'!$CQ$7,'Tables - Part 3'!$CQ$7,IF(COF!GG16&lt;'Tables - Part 3'!$CQ$8,'Tables - Part 3'!$CQ$8,IF(COF!GG16&lt;'Tables - Part 3'!$CQ$9,'Tables - Part 3'!$CQ$9,IF(COF!GG16&lt;'Tables - Part 3'!$CQ$10,'Tables - Part 3'!$CQ$10,IF(COF!GG16&lt;'Tables - Part 3'!$CQ$11,'Tables - Part 3'!$CQ$11,IF(COF!GG16&lt;'Tables - Part 3'!$CQ$12,'Tables - Part 3'!$CQ$12,IF(COF!GG16&lt;'Tables - Part 3'!$CQ$13,'Tables - Part 3'!$CQ$13,IF(COF!GG16&lt;'Tables - Part 3'!$CQ$14,'Tables - Part 3'!$CQ$14,IF(COF!GG16&lt;'Tables - Part 3'!$CQ$15,'Tables - Part 3'!$CQ$15,IF(COF!GG16&lt;'Tables - Part 3'!$CQ$16,'Tables - Part 3'!$CQ$16))))))))))))</f>
        <v>#N/A</v>
      </c>
      <c r="IL16" s="152" t="e">
        <f>IF(GH16&lt;'Tables - Part 3'!$CQ$5,'Tables - Part 3'!$CQ$5,IF(COF!GH16&lt;'Tables - Part 3'!$CQ$6,'Tables - Part 3'!$CQ$6,IF(COF!GH16&lt;'Tables - Part 3'!$CQ$7,'Tables - Part 3'!$CQ$7,IF(COF!GH16&lt;'Tables - Part 3'!$CQ$8,'Tables - Part 3'!$CQ$8,IF(COF!GH16&lt;'Tables - Part 3'!$CQ$9,'Tables - Part 3'!$CQ$9,IF(COF!GH16&lt;'Tables - Part 3'!$CQ$10,'Tables - Part 3'!$CQ$10,IF(COF!GH16&lt;'Tables - Part 3'!$CQ$11,'Tables - Part 3'!$CQ$11,IF(COF!GH16&lt;'Tables - Part 3'!$CQ$12,'Tables - Part 3'!$CQ$12,IF(COF!GH16&lt;'Tables - Part 3'!$CQ$13,'Tables - Part 3'!$CQ$13,IF(COF!GH16&lt;'Tables - Part 3'!$CQ$14,'Tables - Part 3'!$CQ$14,IF(COF!GH16&lt;'Tables - Part 3'!$CQ$15,'Tables - Part 3'!$CQ$15,IF(COF!GH16&lt;'Tables - Part 3'!$CQ$16,'Tables - Part 3'!$CQ$16))))))))))))</f>
        <v>#N/A</v>
      </c>
      <c r="IM16" s="152" t="e">
        <f>IF(GI16&lt;'Tables - Part 3'!$CQ$5,'Tables - Part 3'!$CQ$5,IF(COF!GI16&lt;'Tables - Part 3'!$CQ$6,'Tables - Part 3'!$CQ$6,IF(COF!GI16&lt;'Tables - Part 3'!$CQ$7,'Tables - Part 3'!$CQ$7,IF(COF!GI16&lt;'Tables - Part 3'!$CQ$8,'Tables - Part 3'!$CQ$8,IF(COF!GI16&lt;'Tables - Part 3'!$CQ$9,'Tables - Part 3'!$CQ$9,IF(COF!GI16&lt;'Tables - Part 3'!$CQ$10,'Tables - Part 3'!$CQ$10,IF(COF!GI16&lt;'Tables - Part 3'!$CQ$11,'Tables - Part 3'!$CQ$11,IF(COF!GI16&lt;'Tables - Part 3'!$CQ$12,'Tables - Part 3'!$CQ$12,IF(COF!GI16&lt;'Tables - Part 3'!$CQ$13,'Tables - Part 3'!$CQ$13,IF(COF!GI16&lt;'Tables - Part 3'!$CQ$14,'Tables - Part 3'!$CQ$14,IF(COF!GI16&lt;'Tables - Part 3'!$CQ$15,'Tables - Part 3'!$CQ$15,IF(COF!GI16&lt;'Tables - Part 3'!$CQ$16,'Tables - Part 3'!$CQ$16))))))))))))</f>
        <v>#N/A</v>
      </c>
      <c r="IN16" s="151" t="e">
        <f>IF(CA16=$TK$5,'Tables - Part 3'!$CR$17,IF(COF!CA16=COF!$TK$6,IF(COF!GF16&lt;'Tables - Part 3'!$CQ$5,'Tables - Part 3'!$CR$5,IF(GF16&gt;='Tables - Part 3'!$CQ$16,'Tables - Part 3'!$CR$16,((COF!GF16-COF!IF16)*(INDEX('Tables - Part 3'!$CR$5:$CR$16,MATCH(COF!IJ16,'Tables - Part 3'!$CQ$5:$CQ$16,0))-INDEX('Tables - Part 3'!$CR$5:$CR$16,MATCH(COF!IF16,'Tables - Part 3'!$CQ$5:$CQ$16,0)))/(IJ16-IF16)+INDEX('Tables - Part 3'!$CR$5:$CR$16,MATCH(COF!IF16,'Tables - Part 3'!$CQ$5:$CQ$16,0)))))))</f>
        <v>#N/A</v>
      </c>
      <c r="IO16" s="151" t="e">
        <f>IF(CB16=$TK$5,'Tables - Part 3'!$CR$17,IF(COF!CB16=COF!$TK$6,IF(COF!GG16&lt;'Tables - Part 3'!$CQ$5,'Tables - Part 3'!$CR$5,IF(GG16&gt;='Tables - Part 3'!$CQ$16,'Tables - Part 3'!$CR$16,((COF!GG16-COF!IG16)*(INDEX('Tables - Part 3'!$CR$5:$CR$16,MATCH(COF!IK16,'Tables - Part 3'!$CQ$5:$CQ$16,0))-INDEX('Tables - Part 3'!$CR$5:$CR$16,MATCH(COF!IG16,'Tables - Part 3'!$CQ$5:$CQ$16,0)))/(IK16-IG16)+INDEX('Tables - Part 3'!$CR$5:$CR$16,MATCH(COF!IG16,'Tables - Part 3'!$CQ$5:$CQ$16,0)))))))</f>
        <v>#N/A</v>
      </c>
      <c r="IP16" s="151" t="e">
        <f>IF(CC16=$TK$5,'Tables - Part 3'!$CR$17,IF(COF!CC16=COF!$TK$6,IF(COF!GH16&lt;'Tables - Part 3'!$CQ$5,'Tables - Part 3'!$CR$5,IF(GH16&gt;='Tables - Part 3'!$CQ$16,'Tables - Part 3'!$CR$16,((COF!GH16-COF!IH16)*(INDEX('Tables - Part 3'!$CR$5:$CR$16,MATCH(COF!IL16,'Tables - Part 3'!$CQ$5:$CQ$16,0))-INDEX('Tables - Part 3'!$CR$5:$CR$16,MATCH(COF!IH16,'Tables - Part 3'!$CQ$5:$CQ$16,0)))/(IL16-IH16)+INDEX('Tables - Part 3'!$CR$5:$CR$16,MATCH(COF!IH16,'Tables - Part 3'!$CQ$5:$CQ$16,0)))))))</f>
        <v>#N/A</v>
      </c>
      <c r="IQ16" s="151" t="e">
        <f>IF(CD16=$TK$5,'Tables - Part 3'!$CR$17,IF(COF!CD16=COF!$TK$6,IF(COF!GI16&lt;'Tables - Part 3'!$CQ$5,'Tables - Part 3'!$CR$5,IF(GI16&gt;='Tables - Part 3'!$CQ$16,'Tables - Part 3'!$CR$16,((COF!GI16-COF!II16)*(INDEX('Tables - Part 3'!$CR$5:$CR$16,MATCH(COF!IM16,'Tables - Part 3'!$CQ$5:$CQ$16,0))-INDEX('Tables - Part 3'!$CR$5:$CR$16,MATCH(COF!II16,'Tables - Part 3'!$CQ$5:$CQ$16,0)))/(IM16-II16)+INDEX('Tables - Part 3'!$CR$5:$CR$16,MATCH(COF!II16,'Tables - Part 3'!$CQ$5:$CQ$16,0)))))))</f>
        <v>#N/A</v>
      </c>
      <c r="IR16" s="151" t="e">
        <f>IF(CA16=$TK$5,'Tables - Part 3'!$CS$17,IF(COF!CA16=COF!$TK$6,IF(COF!GF16&lt;'Tables - Part 3'!$CQ$5,'Tables - Part 3'!$CS$5,IF(GF16&gt;='Tables - Part 3'!$CQ$16,'Tables - Part 3'!$CS$16,((COF!GF16-COF!IF16)*(INDEX('Tables - Part 3'!$CS$5:$CS$16,MATCH(COF!IJ16,'Tables - Part 3'!$CQ$5:$CQ$16,0))-INDEX('Tables - Part 3'!$CS$5:$CS$16,MATCH(COF!IF16,'Tables - Part 3'!$CQ$5:$CQ$16,0)))/(IJ16-IF16)+INDEX('Tables - Part 3'!$CS$5:$CS$16,MATCH(COF!IF16,'Tables - Part 3'!$CQ$5:$CQ$16,0)))))))</f>
        <v>#N/A</v>
      </c>
      <c r="IS16" s="151" t="e">
        <f>IF(CB16=$TK$5,'Tables - Part 3'!$CS$17,IF(COF!CB16=COF!$TK$6,IF(COF!GG16&lt;'Tables - Part 3'!$CQ$5,'Tables - Part 3'!$CS$5,IF(GG16&gt;='Tables - Part 3'!$CQ$16,'Tables - Part 3'!$CS$16,((COF!GG16-COF!IG16)*(INDEX('Tables - Part 3'!$CS$5:$CS$16,MATCH(COF!IK16,'Tables - Part 3'!$CQ$5:$CQ$16,0))-INDEX('Tables - Part 3'!$CS$5:$CS$16,MATCH(COF!IG16,'Tables - Part 3'!$CQ$5:$CQ$16,0)))/(IK16-IG16)+INDEX('Tables - Part 3'!$CS$5:$CS$16,MATCH(COF!IG16,'Tables - Part 3'!$CQ$5:$CQ$16,0)))))))</f>
        <v>#N/A</v>
      </c>
      <c r="IT16" s="151" t="e">
        <f>IF(CC16=$TK$5,'Tables - Part 3'!$CS$17,IF(COF!CC16=COF!$TK$6,IF(COF!GH16&lt;'Tables - Part 3'!$CQ$5,'Tables - Part 3'!$CS$5,IF(GH16&gt;='Tables - Part 3'!$CQ$16,'Tables - Part 3'!$CS$16,((COF!GH16-COF!IH16)*(INDEX('Tables - Part 3'!$CS$5:$CS$16,MATCH(COF!IL16,'Tables - Part 3'!$CQ$5:$CQ$16,0))-INDEX('Tables - Part 3'!$CS$5:$CS$16,MATCH(COF!IH16,'Tables - Part 3'!$CQ$5:$CQ$16,0)))/(IL16-IH16)+INDEX('Tables - Part 3'!$CS$5:$CS$16,MATCH(COF!IH16,'Tables - Part 3'!$CQ$5:$CQ$16,0)))))))</f>
        <v>#N/A</v>
      </c>
      <c r="IU16" s="151" t="e">
        <f>IF(CD16=$TK$5,'Tables - Part 3'!$CS$17,IF(COF!CD16=COF!$TK$6,IF(COF!GI16&lt;'Tables - Part 3'!$CQ$5,'Tables - Part 3'!$CS$5,IF(GI16&gt;='Tables - Part 3'!$CQ$16,'Tables - Part 3'!$CS$16,((COF!GI16-COF!II16)*(INDEX('Tables - Part 3'!$CS$5:$CS$16,MATCH(COF!IM16,'Tables - Part 3'!$CQ$5:$CQ$16,0))-INDEX('Tables - Part 3'!$CS$5:$CS$16,MATCH(COF!II16,'Tables - Part 3'!$CQ$5:$CQ$16,0)))/(IM16-II16)+INDEX('Tables - Part 3'!$CS$5:$CS$16,MATCH(COF!II16,'Tables - Part 3'!$CQ$5:$CQ$16,0)))))))</f>
        <v>#N/A</v>
      </c>
      <c r="IV16" s="151">
        <f t="shared" si="277"/>
        <v>0</v>
      </c>
      <c r="IW16" s="151">
        <f t="shared" si="87"/>
        <v>0</v>
      </c>
      <c r="IX16" s="151">
        <f t="shared" si="88"/>
        <v>0</v>
      </c>
      <c r="IY16" s="151">
        <f t="shared" si="89"/>
        <v>0</v>
      </c>
      <c r="IZ16" s="151">
        <f t="shared" si="278"/>
        <v>0</v>
      </c>
      <c r="JA16" s="151">
        <f t="shared" si="91"/>
        <v>0</v>
      </c>
      <c r="JB16" s="151">
        <f t="shared" si="92"/>
        <v>0</v>
      </c>
      <c r="JC16" s="151">
        <f t="shared" si="93"/>
        <v>0</v>
      </c>
      <c r="JD16" s="151" t="e">
        <f t="shared" si="94"/>
        <v>#N/A</v>
      </c>
      <c r="JE16" s="151" t="e">
        <f t="shared" si="95"/>
        <v>#N/A</v>
      </c>
      <c r="JF16" s="151" t="e">
        <f t="shared" si="96"/>
        <v>#N/A</v>
      </c>
      <c r="JG16" s="151" t="e">
        <f t="shared" si="97"/>
        <v>#N/A</v>
      </c>
      <c r="JH16" s="151" t="e">
        <f>IF(CA16=$TK$5,'Tables - Part 3'!$CT$17,IF(COF!CA16=COF!$TK$6,IF(COF!GF16&lt;'Tables - Part 3'!$CQ$5,'Tables - Part 3'!$CT$5,IF(GF16&gt;='Tables - Part 3'!$CQ$16,'Tables - Part 3'!$CT$16,((COF!GF16-COF!IF16)*(INDEX('Tables - Part 3'!$CT$5:$CT$16,MATCH(COF!IJ16,'Tables - Part 3'!$CQ$5:$CQ$16,0))-INDEX('Tables - Part 3'!$CT$5:$CT$16,MATCH(COF!IF16,'Tables - Part 3'!$CQ$5:$CQ$16,0)))/(IJ16-IF16)+INDEX('Tables - Part 3'!$CT$5:$CT$16,MATCH(COF!IF16,'Tables - Part 3'!$CQ$5:$CQ$16,0)))))))</f>
        <v>#N/A</v>
      </c>
      <c r="JI16" s="151" t="e">
        <f>IF(CB16=$TK$5,'Tables - Part 3'!$CT$17,IF(COF!CB16=COF!$TK$6,IF(COF!GG16&lt;'Tables - Part 3'!$CQ$5,'Tables - Part 3'!$CT$5,IF(GG16&gt;='Tables - Part 3'!$CQ$16,'Tables - Part 3'!$CT$16,((COF!GG16-COF!IG16)*(INDEX('Tables - Part 3'!$CT$5:$CT$16,MATCH(COF!IK16,'Tables - Part 3'!$CQ$5:$CQ$16,0))-INDEX('Tables - Part 3'!$CT$5:$CT$16,MATCH(COF!IG16,'Tables - Part 3'!$CQ$5:$CQ$16,0)))/(IK16-IG16)+INDEX('Tables - Part 3'!$CT$5:$CT$16,MATCH(COF!IG16,'Tables - Part 3'!$CQ$5:$CQ$16,0)))))))</f>
        <v>#N/A</v>
      </c>
      <c r="JJ16" s="151" t="e">
        <f>IF(CC16=$TK$5,'Tables - Part 3'!$CT$17,IF(COF!CC16=COF!$TK$6,IF(COF!GH16&lt;'Tables - Part 3'!$CQ$5,'Tables - Part 3'!$CT$5,IF(GH16&gt;='Tables - Part 3'!$CQ$16,'Tables - Part 3'!$CT$16,((COF!GH16-COF!IH16)*(INDEX('Tables - Part 3'!$CT$5:$CT$16,MATCH(COF!IL16,'Tables - Part 3'!$CQ$5:$CQ$16,0))-INDEX('Tables - Part 3'!$CT$5:$CT$16,MATCH(COF!IH16,'Tables - Part 3'!$CQ$5:$CQ$16,0)))/(IL16-IH16)+INDEX('Tables - Part 3'!$CT$5:$CT$16,MATCH(COF!IH16,'Tables - Part 3'!$CQ$5:$CQ$16,0)))))))</f>
        <v>#N/A</v>
      </c>
      <c r="JK16" s="151" t="e">
        <f>IF(CD16=$TK$5,'Tables - Part 3'!$CT$17,IF(COF!CD16=COF!$TK$6,IF(COF!GI16&lt;'Tables - Part 3'!$CQ$5,'Tables - Part 3'!$CT$5,IF(GI16&gt;='Tables - Part 3'!$CQ$16,'Tables - Part 3'!$CT$16,((COF!GI16-COF!II16)*(INDEX('Tables - Part 3'!$CT$5:$CT$16,MATCH(COF!IM16,'Tables - Part 3'!$CQ$5:$CQ$16,0))-INDEX('Tables - Part 3'!$CT$5:$CT$16,MATCH(COF!II16,'Tables - Part 3'!$CQ$5:$CQ$16,0)))/(IM16-II16)+INDEX('Tables - Part 3'!$CT$5:$CT$16,MATCH(COF!II16,'Tables - Part 3'!$CQ$5:$CQ$16,0)))))))</f>
        <v>#N/A</v>
      </c>
      <c r="JL16" s="151" t="e">
        <f>IF(CA16=$TK$5,'Tables - Part 3'!$CU$17,IF(COF!CA16=COF!$TK$6,IF(COF!GF16&lt;'Tables - Part 3'!$CQ$5,'Tables - Part 3'!$CU$5,IF(GF16&gt;='Tables - Part 3'!$CQ$16,'Tables - Part 3'!$CU$16,((COF!GF16-COF!IF16)*(INDEX('Tables - Part 3'!$CU$5:$CU$16,MATCH(COF!IJ16,'Tables - Part 3'!$CQ$5:$CQ$16,0))-INDEX('Tables - Part 3'!$CU$5:$CU$16,MATCH(COF!IF16,'Tables - Part 3'!$CQ$5:$CQ$16,0)))/(IJ16-IF16)+INDEX('Tables - Part 3'!$CU$5:$CU$16,MATCH(COF!IF16,'Tables - Part 3'!$CQ$5:$CQ$16,0)))))))</f>
        <v>#N/A</v>
      </c>
      <c r="JM16" s="151" t="e">
        <f>IF(CB16=$TK$5,'Tables - Part 3'!$CU$17,IF(COF!CB16=COF!$TK$6,IF(COF!GG16&lt;'Tables - Part 3'!$CQ$5,'Tables - Part 3'!$CU$5,IF(GG16&gt;='Tables - Part 3'!$CQ$16,'Tables - Part 3'!$CU$16,((COF!GG16-COF!IG16)*(INDEX('Tables - Part 3'!$CU$5:$CU$16,MATCH(COF!IK16,'Tables - Part 3'!$CQ$5:$CQ$16,0))-INDEX('Tables - Part 3'!$CU$5:$CU$16,MATCH(COF!IG16,'Tables - Part 3'!$CQ$5:$CQ$16,0)))/(IK16-IG16)+INDEX('Tables - Part 3'!$CU$5:$CU$16,MATCH(COF!IG16,'Tables - Part 3'!$CQ$5:$CQ$16,0)))))))</f>
        <v>#N/A</v>
      </c>
      <c r="JN16" s="151" t="e">
        <f>IF(CC16=$TK$5,'Tables - Part 3'!$CU$17,IF(COF!CC16=COF!$TK$6,IF(COF!GH16&lt;'Tables - Part 3'!$CQ$5,'Tables - Part 3'!$CU$5,IF(GH16&gt;='Tables - Part 3'!$CQ$16,'Tables - Part 3'!$CU$16,((COF!GH16-COF!IH16)*(INDEX('Tables - Part 3'!$CU$5:$CU$16,MATCH(COF!IL16,'Tables - Part 3'!$CQ$5:$CQ$16,0))-INDEX('Tables - Part 3'!$CU$5:$CU$16,MATCH(COF!IH16,'Tables - Part 3'!$CQ$5:$CQ$16,0)))/(IL16-IH16)+INDEX('Tables - Part 3'!$CU$5:$CU$16,MATCH(COF!IH16,'Tables - Part 3'!$CQ$5:$CQ$16,0)))))))</f>
        <v>#N/A</v>
      </c>
      <c r="JO16" s="151" t="e">
        <f>IF(CD16=$TK$5,'Tables - Part 3'!$CU$17,IF(COF!CD16=COF!$TK$6,IF(COF!GI16&lt;'Tables - Part 3'!$CQ$5,'Tables - Part 3'!$CU$5,IF(GI16&gt;='Tables - Part 3'!$CQ$16,'Tables - Part 3'!$CU$16,((COF!GI16-COF!II16)*(INDEX('Tables - Part 3'!$CU$5:$CU$16,MATCH(COF!IM16,'Tables - Part 3'!$CQ$5:$CQ$16,0))-INDEX('Tables - Part 3'!$CU$5:$CU$16,MATCH(COF!II16,'Tables - Part 3'!$CQ$5:$CQ$16,0)))/(IM16-II16)+INDEX('Tables - Part 3'!$CU$5:$CU$16,MATCH(COF!II16,'Tables - Part 3'!$CQ$5:$CQ$16,0)))))))</f>
        <v>#N/A</v>
      </c>
      <c r="JP16" s="282"/>
      <c r="JQ16" s="151">
        <f t="shared" si="279"/>
        <v>0</v>
      </c>
      <c r="JR16" s="151">
        <f t="shared" si="99"/>
        <v>0</v>
      </c>
      <c r="JS16" s="151">
        <f t="shared" si="100"/>
        <v>0</v>
      </c>
      <c r="JT16" s="151">
        <f t="shared" si="101"/>
        <v>0</v>
      </c>
      <c r="JU16" s="151" t="e">
        <f t="shared" si="204"/>
        <v>#N/A</v>
      </c>
      <c r="JV16" s="151" t="e">
        <f t="shared" si="205"/>
        <v>#N/A</v>
      </c>
      <c r="JW16" s="151" t="e">
        <f t="shared" si="206"/>
        <v>#N/A</v>
      </c>
      <c r="JX16" s="151" t="e">
        <f t="shared" si="207"/>
        <v>#N/A</v>
      </c>
      <c r="JY16" s="152" t="e">
        <f>IF(GF16&lt;'Tables - Part 3'!$CY$6,0,LOOKUP(GF16,'Tables - Part 3'!$CY$6:$CY$11))</f>
        <v>#N/A</v>
      </c>
      <c r="JZ16" s="152" t="e">
        <f>IF(GG16&lt;'Tables - Part 3'!$CY$6,0,LOOKUP(GG16,'Tables - Part 3'!$CY$6:$CY$11))</f>
        <v>#N/A</v>
      </c>
      <c r="KA16" s="152" t="e">
        <f>IF(GH16&lt;'Tables - Part 3'!$CY$6,0,LOOKUP(GH16,'Tables - Part 3'!$CY$6:$CY$11))</f>
        <v>#N/A</v>
      </c>
      <c r="KB16" s="152" t="e">
        <f>IF(GI16&lt;'Tables - Part 3'!$CY$6,0,LOOKUP(GI16,'Tables - Part 3'!$CY$6:$CY$11))</f>
        <v>#N/A</v>
      </c>
      <c r="KC16" s="152" t="e">
        <f>IF(GF16&lt;'Tables - Part 3'!$CY$6,'Tables - Part 3'!$CY$6,IF(COF!GF16&lt;'Tables - Part 3'!$CY$7,'Tables - Part 3'!$CY$7,IF(COF!GF16&lt;'Tables - Part 3'!$CY$8,'Tables - Part 3'!$CY$8,IF(COF!GF16&lt;'Tables - Part 3'!$CY$9,'Tables - Part 3'!$CY$9,IF(COF!GF16&lt;'Tables - Part 3'!$CY$10,'Tables - Part 3'!$CY$10,IF(COF!GF16&lt;'Tables - Part 3'!$CY$11,'Tables - Part 3'!$CY$11))))))</f>
        <v>#N/A</v>
      </c>
      <c r="KD16" s="152" t="e">
        <f>IF(GG16&lt;'Tables - Part 3'!$CY$6,'Tables - Part 3'!$CY$6,IF(COF!GG16&lt;'Tables - Part 3'!$CY$7,'Tables - Part 3'!$CY$7,IF(COF!GG16&lt;'Tables - Part 3'!$CY$8,'Tables - Part 3'!$CY$8,IF(COF!GG16&lt;'Tables - Part 3'!$CY$9,'Tables - Part 3'!$CY$9,IF(COF!GG16&lt;'Tables - Part 3'!$CY$10,'Tables - Part 3'!$CY$10,IF(COF!GG16&lt;'Tables - Part 3'!$CY$11,'Tables - Part 3'!$CY$11))))))</f>
        <v>#N/A</v>
      </c>
      <c r="KE16" s="152" t="e">
        <f>IF(GH16&lt;'Tables - Part 3'!$CY$6,'Tables - Part 3'!$CY$6,IF(COF!GH16&lt;'Tables - Part 3'!$CY$7,'Tables - Part 3'!$CY$7,IF(COF!GH16&lt;'Tables - Part 3'!$CY$8,'Tables - Part 3'!$CY$8,IF(COF!GH16&lt;'Tables - Part 3'!$CY$9,'Tables - Part 3'!$CY$9,IF(COF!GH16&lt;'Tables - Part 3'!$CY$10,'Tables - Part 3'!$CY$10,IF(COF!GH16&lt;'Tables - Part 3'!$CY$11,'Tables - Part 3'!$CY$11))))))</f>
        <v>#N/A</v>
      </c>
      <c r="KF16" s="152" t="e">
        <f>IF(GI16&lt;'Tables - Part 3'!$CY$6,'Tables - Part 3'!$CY$6,IF(COF!GI16&lt;'Tables - Part 3'!$CY$7,'Tables - Part 3'!$CY$7,IF(COF!GI16&lt;'Tables - Part 3'!$CY$8,'Tables - Part 3'!$CY$8,IF(COF!GI16&lt;'Tables - Part 3'!$CY$9,'Tables - Part 3'!$CY$9,IF(COF!GI16&lt;'Tables - Part 3'!$CY$10,'Tables - Part 3'!$CY$10,IF(COF!GI16&lt;'Tables - Part 3'!$CY$11,'Tables - Part 3'!$CY$11))))))</f>
        <v>#N/A</v>
      </c>
      <c r="KG16" s="151" t="e">
        <f>IF(CA16=$TK$5,'Tables - Part 3'!$CZ$6,IF(COF!CA16=COF!$TK$6,IF(COF!GF16&lt;'Tables - Part 3'!$CY$6,'Tables - Part 3'!$CZ$6,IF(GF16&gt;='Tables - Part 3'!$CY$11,'Tables - Part 3'!$CZ$11,((COF!GF16-COF!JY16)*(INDEX('Tables - Part 3'!$CZ$6:$CZ$11,MATCH(COF!KC16,'Tables - Part 3'!$CY$6:$CY$11,0))-INDEX('Tables - Part 3'!$CZ$6:$CZ$11,MATCH(COF!JY16,'Tables - Part 3'!$CY$6:$CY$11,0)))/(KC16-JY16)+INDEX('Tables - Part 3'!$CZ$6:$CZ$11,MATCH(COF!JY16,'Tables - Part 3'!$CY$6:$CY$11,0)))))))</f>
        <v>#N/A</v>
      </c>
      <c r="KH16" s="151" t="e">
        <f>IF(CB16=$TK$5,'Tables - Part 3'!$CZ$6,IF(COF!CB16=COF!$TK$6,IF(COF!GG16&lt;'Tables - Part 3'!$CY$6,'Tables - Part 3'!$CZ$6,IF(GG16&gt;='Tables - Part 3'!$CY$11,'Tables - Part 3'!$CZ$11,((COF!GG16-COF!JZ16)*(INDEX('Tables - Part 3'!$CZ$6:$CZ$11,MATCH(COF!KD16,'Tables - Part 3'!$CY$6:$CY$11,0))-INDEX('Tables - Part 3'!$CZ$6:$CZ$11,MATCH(COF!JZ16,'Tables - Part 3'!$CY$6:$CY$11,0)))/(KD16-JZ16)+INDEX('Tables - Part 3'!$CZ$6:$CZ$11,MATCH(COF!JZ16,'Tables - Part 3'!$CY$6:$CY$11,0)))))))</f>
        <v>#N/A</v>
      </c>
      <c r="KI16" s="151" t="e">
        <f>IF(CC16=$TK$5,'Tables - Part 3'!$CZ$6,IF(COF!CC16=COF!$TK$6,IF(COF!GH16&lt;'Tables - Part 3'!$CY$6,'Tables - Part 3'!$CZ$6,IF(GH16&gt;='Tables - Part 3'!$CY$11,'Tables - Part 3'!$CZ$11,((COF!GH16-COF!KA16)*(INDEX('Tables - Part 3'!$CZ$6:$CZ$11,MATCH(COF!KE16,'Tables - Part 3'!$CY$6:$CY$11,0))-INDEX('Tables - Part 3'!$CZ$6:$CZ$11,MATCH(COF!KA16,'Tables - Part 3'!$CY$6:$CY$11,0)))/(KE16-KA16)+INDEX('Tables - Part 3'!$CZ$6:$CZ$11,MATCH(COF!KA16,'Tables - Part 3'!$CY$6:$CY$11,0)))))))</f>
        <v>#N/A</v>
      </c>
      <c r="KJ16" s="151" t="e">
        <f>IF(CD16=$TK$5,'Tables - Part 3'!$CZ$6,IF(COF!CD16=COF!$TK$6,IF(COF!GI16&lt;'Tables - Part 3'!$CY$6,'Tables - Part 3'!$CZ$6,IF(GI16&gt;='Tables - Part 3'!$CY$11,'Tables - Part 3'!$CZ$11,((COF!GI16-COF!KB16)*(INDEX('Tables - Part 3'!$CZ$6:$CZ$11,MATCH(COF!KF16,'Tables - Part 3'!$CY$6:$CY$11,0))-INDEX('Tables - Part 3'!$CZ$6:$CZ$11,MATCH(COF!KB16,'Tables - Part 3'!$CY$6:$CY$11,0)))/(KF16-KB16)+INDEX('Tables - Part 3'!$CZ$6:$CZ$11,MATCH(COF!KB16,'Tables - Part 3'!$CY$6:$CY$11,0)))))))</f>
        <v>#N/A</v>
      </c>
      <c r="KK16" s="153" t="e">
        <f>IF(CA16=$TK$5,'Tables - Part 3'!$DA$6,IF(COF!CA16=COF!$TK$6,IF(COF!GF16&lt;'Tables - Part 3'!$CY$6,'Tables - Part 3'!$DA$6,IF(GF16&gt;='Tables - Part 3'!$CY$11,'Tables - Part 3'!$DA$11,((COF!GF16-COF!JY16)*(INDEX('Tables - Part 3'!$DA$6:$DA$11,MATCH(COF!KC16,'Tables - Part 3'!$CY$6:$CY$11,0))-INDEX('Tables - Part 3'!$DA$6:$DA$11,MATCH(COF!JY16,'Tables - Part 3'!$CY$6:$CY$11,0)))/(KC16-JY16)+INDEX('Tables - Part 3'!$DA$6:$DA$16,MATCH(COF!JY16,'Tables - Part 3'!$CY$6:$CY$11,0)))))))</f>
        <v>#N/A</v>
      </c>
      <c r="KL16" s="153" t="e">
        <f>IF(CB16=$TK$5,'Tables - Part 3'!$DA$6,IF(COF!CB16=COF!$TK$6,IF(COF!GG16&lt;'Tables - Part 3'!$CY$6,'Tables - Part 3'!$DA$6,IF(GG16&gt;='Tables - Part 3'!$CY$11,'Tables - Part 3'!$DA$11,((COF!GG16-COF!JZ16)*(INDEX('Tables - Part 3'!$DA$6:$DA$11,MATCH(COF!KD16,'Tables - Part 3'!$CY$6:$CY$11,0))-INDEX('Tables - Part 3'!$DA$6:$DA$11,MATCH(COF!JZ16,'Tables - Part 3'!$CY$6:$CY$11,0)))/(KD16-JZ16)+INDEX('Tables - Part 3'!$DA$6:$DA$16,MATCH(COF!JZ16,'Tables - Part 3'!$CY$6:$CY$11,0)))))))</f>
        <v>#N/A</v>
      </c>
      <c r="KM16" s="153" t="e">
        <f>IF(CC16=$TK$5,'Tables - Part 3'!$DA$6,IF(COF!CC16=COF!$TK$6,IF(COF!GH16&lt;'Tables - Part 3'!$CY$6,'Tables - Part 3'!$DA$6,IF(GH16&gt;='Tables - Part 3'!$CY$11,'Tables - Part 3'!$DA$11,((COF!GH16-COF!KA16)*(INDEX('Tables - Part 3'!$DA$6:$DA$11,MATCH(COF!KE16,'Tables - Part 3'!$CY$6:$CY$11,0))-INDEX('Tables - Part 3'!$DA$6:$DA$11,MATCH(COF!KA16,'Tables - Part 3'!$CY$6:$CY$11,0)))/(KE16-KA16)+INDEX('Tables - Part 3'!$DA$6:$DA$16,MATCH(COF!KA16,'Tables - Part 3'!$CY$6:$CY$11,0)))))))</f>
        <v>#N/A</v>
      </c>
      <c r="KN16" s="153" t="e">
        <f>IF(CD16=$TK$5,'Tables - Part 3'!$DA$6,IF(COF!CD16=COF!$TK$6,IF(COF!GI16&lt;'Tables - Part 3'!$CY$6,'Tables - Part 3'!$DA$6,IF(GI16&gt;='Tables - Part 3'!$CY$11,'Tables - Part 3'!$DA$11,((COF!GI16-COF!KB16)*(INDEX('Tables - Part 3'!$DA$6:$DA$11,MATCH(COF!KF16,'Tables - Part 3'!$CY$6:$CY$11,0))-INDEX('Tables - Part 3'!$DA$6:$DA$11,MATCH(COF!KB16,'Tables - Part 3'!$CY$6:$CY$11,0)))/(KF16-KB16)+INDEX('Tables - Part 3'!$DA$6:$DA$16,MATCH(COF!KB16,'Tables - Part 3'!$CY$6:$CY$11,0)))))))</f>
        <v>#N/A</v>
      </c>
      <c r="KO16" s="153">
        <f t="shared" si="280"/>
        <v>0</v>
      </c>
      <c r="KP16" s="153">
        <f t="shared" si="103"/>
        <v>0</v>
      </c>
      <c r="KQ16" s="153">
        <f t="shared" si="104"/>
        <v>0</v>
      </c>
      <c r="KR16" s="153">
        <f t="shared" si="105"/>
        <v>0</v>
      </c>
      <c r="KS16" s="151" t="e">
        <f t="shared" si="208"/>
        <v>#N/A</v>
      </c>
      <c r="KT16" s="151" t="e">
        <f t="shared" si="209"/>
        <v>#N/A</v>
      </c>
      <c r="KU16" s="151" t="e">
        <f t="shared" si="210"/>
        <v>#N/A</v>
      </c>
      <c r="KV16" s="151" t="e">
        <f t="shared" si="211"/>
        <v>#N/A</v>
      </c>
      <c r="KW16" s="151" t="e">
        <f>IF(CA16=$TK$5,'Tables - Part 3'!$CZ$12,IF(COF!CA16=COF!$TK$6,IF(COF!GF16&lt;'Tables - Part 3'!$CY$12,'Tables - Part 3'!$CZ$12,IF(GF16&gt;='Tables - Part 3'!$CY$17,'Tables - Part 3'!$CZ$17,((COF!GF16-COF!JY16)*(INDEX('Tables - Part 3'!$CZ$12:$CZ$17,MATCH(COF!KC16,'Tables - Part 3'!$CY$12:$CY$17,0))-INDEX('Tables - Part 3'!$CZ$12:$CZ$17,MATCH(COF!JY16,'Tables - Part 3'!$CY$12:$CY$17,0)))/(KC16-JY16)+INDEX('Tables - Part 3'!$CZ$12:$CZ$17,MATCH(COF!JY16,'Tables - Part 3'!$CY$12:$CY$17,0)))))))</f>
        <v>#N/A</v>
      </c>
      <c r="KX16" s="151" t="e">
        <f>IF(CB16=$TK$5,'Tables - Part 3'!$CZ$12,IF(COF!CB16=COF!$TK$6,IF(COF!GG16&lt;'Tables - Part 3'!$CY$12,'Tables - Part 3'!$CZ$12,IF(GG16&gt;='Tables - Part 3'!$CY$17,'Tables - Part 3'!$CZ$17,((COF!GG16-COF!JZ16)*(INDEX('Tables - Part 3'!$CZ$12:$CZ$17,MATCH(COF!KD16,'Tables - Part 3'!$CY$12:$CY$17,0))-INDEX('Tables - Part 3'!$CZ$12:$CZ$17,MATCH(COF!JZ16,'Tables - Part 3'!$CY$12:$CY$17,0)))/(KD16-JZ16)+INDEX('Tables - Part 3'!$CZ$12:$CZ$17,MATCH(COF!JZ16,'Tables - Part 3'!$CY$12:$CY$17,0)))))))</f>
        <v>#N/A</v>
      </c>
      <c r="KY16" s="151" t="e">
        <f>IF(CC16=$TK$5,'Tables - Part 3'!$CZ$12,IF(COF!CC16=COF!$TK$6,IF(COF!GH16&lt;'Tables - Part 3'!$CY$12,'Tables - Part 3'!$CZ$12,IF(GH16&gt;='Tables - Part 3'!$CY$17,'Tables - Part 3'!$CZ$17,((COF!GH16-COF!KA16)*(INDEX('Tables - Part 3'!$CZ$12:$CZ$17,MATCH(COF!KE16,'Tables - Part 3'!$CY$12:$CY$17,0))-INDEX('Tables - Part 3'!$CZ$12:$CZ$17,MATCH(COF!KA16,'Tables - Part 3'!$CY$12:$CY$17,0)))/(KE16-KA16)+INDEX('Tables - Part 3'!$CZ$12:$CZ$17,MATCH(COF!KA16,'Tables - Part 3'!$CY$12:$CY$17,0)))))))</f>
        <v>#N/A</v>
      </c>
      <c r="KZ16" s="151" t="e">
        <f>IF(CD16=$TK$5,'Tables - Part 3'!$CZ$12,IF(COF!CD16=COF!$TK$6,IF(COF!GI16&lt;'Tables - Part 3'!$CY$12,'Tables - Part 3'!$CZ$12,IF(GI16&gt;='Tables - Part 3'!$CY$17,'Tables - Part 3'!$CZ$17,((COF!GI16-COF!KB16)*(INDEX('Tables - Part 3'!$CZ$12:$CZ$17,MATCH(COF!KF16,'Tables - Part 3'!$CY$12:$CY$17,0))-INDEX('Tables - Part 3'!$CZ$12:$CZ$17,MATCH(COF!KB16,'Tables - Part 3'!$CY$12:$CY$17,0)))/(KF16-KB16)+INDEX('Tables - Part 3'!$CZ$12:$CZ$17,MATCH(COF!KB16,'Tables - Part 3'!$CY$12:$CY$17,0)))))))</f>
        <v>#N/A</v>
      </c>
      <c r="LA16" s="151" t="e">
        <f>IF(CA16=$TK$5,'Tables - Part 3'!$DA$6,IF(COF!CA16=COF!$TK$6,IF(COF!GF16&lt;'Tables - Part 3'!$CY$6,'Tables - Part 3'!$DA$6,IF(GF16&gt;='Tables - Part 3'!$CY$11,'Tables - Part 3'!$DA$11,((COF!GF16-COF!JY16)*(INDEX('Tables - Part 3'!$DA$6:$DA$11,MATCH(COF!KC16,'Tables - Part 3'!$CY$6:$CY$11,0))-INDEX('Tables - Part 3'!$DA$6:$DA$11,MATCH(COF!JY16,'Tables - Part 3'!$CY$6:$CY$11,0)))/(KC16-JY16)+INDEX('Tables - Part 3'!$DA$5:$DA$16,MATCH(COF!JY16,'Tables - Part 3'!$CY$6:$CY$11,0)))))))</f>
        <v>#N/A</v>
      </c>
      <c r="LB16" s="151" t="e">
        <f>IF(CB16=$TK$5,'Tables - Part 3'!$DA$6,IF(COF!CB16=COF!$TK$6,IF(COF!GG16&lt;'Tables - Part 3'!$CY$6,'Tables - Part 3'!$DA$6,IF(GG16&gt;='Tables - Part 3'!$CY$11,'Tables - Part 3'!$DA$11,((COF!GG16-COF!JZ16)*(INDEX('Tables - Part 3'!$DA$6:$DA$11,MATCH(COF!KD16,'Tables - Part 3'!$CY$6:$CY$11,0))-INDEX('Tables - Part 3'!$DA$6:$DA$11,MATCH(COF!JZ16,'Tables - Part 3'!$CY$6:$CY$11,0)))/(KD16-JZ16)+INDEX('Tables - Part 3'!$DA$5:$DA$16,MATCH(COF!JZ16,'Tables - Part 3'!$CY$6:$CY$11,0)))))))</f>
        <v>#N/A</v>
      </c>
      <c r="LC16" s="151" t="e">
        <f>IF(CC16=$TK$5,'Tables - Part 3'!$DA$6,IF(COF!CC16=COF!$TK$6,IF(COF!GH16&lt;'Tables - Part 3'!$CY$6,'Tables - Part 3'!$DA$6,IF(GH16&gt;='Tables - Part 3'!$CY$11,'Tables - Part 3'!$DA$11,((COF!GH16-COF!KA16)*(INDEX('Tables - Part 3'!$DA$6:$DA$11,MATCH(COF!KE16,'Tables - Part 3'!$CY$6:$CY$11,0))-INDEX('Tables - Part 3'!$DA$6:$DA$11,MATCH(COF!KA16,'Tables - Part 3'!$CY$6:$CY$11,0)))/(KE16-KA16)+INDEX('Tables - Part 3'!$DA$5:$DA$16,MATCH(COF!KA16,'Tables - Part 3'!$CY$6:$CY$11,0)))))))</f>
        <v>#N/A</v>
      </c>
      <c r="LD16" s="151" t="e">
        <f>IF(CD16=$TK$5,'Tables - Part 3'!$DA$6,IF(COF!CD16=COF!$TK$6,IF(COF!GI16&lt;'Tables - Part 3'!$CY$6,'Tables - Part 3'!$DA$6,IF(GI16&gt;='Tables - Part 3'!$CY$11,'Tables - Part 3'!$DA$11,((COF!GI16-COF!KB16)*(INDEX('Tables - Part 3'!$DA$6:$DA$11,MATCH(COF!KF16,'Tables - Part 3'!$CY$6:$CY$11,0))-INDEX('Tables - Part 3'!$DA$6:$DA$11,MATCH(COF!KB16,'Tables - Part 3'!$CY$6:$CY$11,0)))/(KF16-KB16)+INDEX('Tables - Part 3'!$DA$5:$DA$16,MATCH(COF!KB16,'Tables - Part 3'!$CY$6:$CY$11,0)))))))</f>
        <v>#N/A</v>
      </c>
      <c r="LE16" s="154"/>
      <c r="LF16" s="154"/>
      <c r="LG16" s="154"/>
      <c r="LH16" s="154"/>
      <c r="LI16" s="154"/>
      <c r="LJ16" s="154"/>
      <c r="LK16" s="154"/>
      <c r="LL16" s="151" t="e">
        <f t="shared" si="212"/>
        <v>#N/A</v>
      </c>
      <c r="LM16" s="151" t="e">
        <f t="shared" si="213"/>
        <v>#N/A</v>
      </c>
      <c r="LN16" s="151" t="e">
        <f t="shared" si="214"/>
        <v>#N/A</v>
      </c>
      <c r="LO16" s="151" t="e">
        <f t="shared" si="215"/>
        <v>#N/A</v>
      </c>
      <c r="LP16" s="151">
        <f t="shared" si="106"/>
        <v>0</v>
      </c>
      <c r="LQ16" s="502">
        <f>IF($F16='Tables - Part 3'!$B$17,'Tables - Part 3.B'!$C$11*COF!CJ16,0)</f>
        <v>0</v>
      </c>
      <c r="LR16" s="502">
        <f>IF($F16='Tables - Part 3'!$B$17,'Tables - Part 3.B'!$C$11*COF!CK16,0)</f>
        <v>0</v>
      </c>
      <c r="LS16" s="502">
        <f>IF($F16='Tables - Part 3'!$B$17,'Tables - Part 3.B'!$C$11*COF!CL16,0)</f>
        <v>0</v>
      </c>
      <c r="LT16" s="502">
        <f>IF($F16='Tables - Part 3'!$B$17,'Tables - Part 3.B'!$C$11*COF!CM16,0)</f>
        <v>0</v>
      </c>
      <c r="LU16" s="502">
        <f>IF($F16='Tables - Part 3'!$B$17,'Tables - Part 3.B'!$C$12*POWER(COF!CR16,0.6384),0)</f>
        <v>0</v>
      </c>
      <c r="LV16" s="502">
        <f>IF($F16='Tables - Part 3'!$B$17,'Tables - Part 3.B'!$C$12*POWER(COF!CS16,0.6384),0)</f>
        <v>0</v>
      </c>
      <c r="LW16" s="502">
        <f>IF($F16='Tables - Part 3'!$B$17,'Tables - Part 3.B'!$C$12*POWER(COF!CT16,0.6384),0)</f>
        <v>0</v>
      </c>
      <c r="LX16" s="502">
        <f>IF($F16='Tables - Part 3'!$B$17,'Tables - Part 3.B'!$C$12*POWER(COF!CU16,0.6384),0)</f>
        <v>0</v>
      </c>
      <c r="LY16" s="151" t="e">
        <f>MIN(CJ16/'Tables - Part 3.B'!$C$8,1)</f>
        <v>#N/A</v>
      </c>
      <c r="LZ16" s="151" t="e">
        <f>MIN(CK16/'Tables - Part 3.B'!$C$8,1)</f>
        <v>#N/A</v>
      </c>
      <c r="MA16" s="151" t="e">
        <f>MIN(CL16/'Tables - Part 3.B'!$C$8,1)</f>
        <v>#N/A</v>
      </c>
      <c r="MB16" s="151" t="e">
        <f>MIN(CM16/'Tables - Part 3.B'!$C$8,1)</f>
        <v>#N/A</v>
      </c>
      <c r="MC16" s="151" t="e">
        <f t="shared" si="216"/>
        <v>#N/A</v>
      </c>
      <c r="MD16" s="151" t="e">
        <f t="shared" si="107"/>
        <v>#N/A</v>
      </c>
      <c r="ME16" s="151" t="e">
        <f t="shared" si="107"/>
        <v>#N/A</v>
      </c>
      <c r="MF16" s="151" t="e">
        <f t="shared" si="107"/>
        <v>#N/A</v>
      </c>
      <c r="MG16" s="502">
        <f>IF($F16='Tables - Part 3'!$B$18,0.2*'Tables - Part 3.B'!$C$10*$ML16*POWER('Tables - Part 3.B'!$C$7*CJ16,$MM16),0)</f>
        <v>0</v>
      </c>
      <c r="MH16" s="502">
        <f>IF($F16='Tables - Part 3'!$B$18,0.2*'Tables - Part 3.B'!$C$10*$ML16*POWER('Tables - Part 3.B'!$C$7*CK16,$MM16),0)</f>
        <v>0</v>
      </c>
      <c r="MI16" s="502">
        <f>IF($F16='Tables - Part 3'!$B$18,0.2*'Tables - Part 3.B'!$C$10*$ML16*POWER('Tables - Part 3.B'!$C$7*CL16,$MM16),0)</f>
        <v>0</v>
      </c>
      <c r="MJ16" s="502">
        <f>IF($F16='Tables - Part 3'!$B$18,0.2*'Tables - Part 3.B'!$C$10*$ML16*POWER('Tables - Part 3.B'!$C$7*CM16,$MM16),0)</f>
        <v>0</v>
      </c>
      <c r="MK16" s="151">
        <v>0</v>
      </c>
      <c r="ML16" s="151" t="e">
        <f>2696-21.9*'Tables - Part 3.B'!$C$13*(COF!OO16-COF!$TM$5)+1.474*POWER('Tables - Part 3.B'!$C$13*(COF!OO16-COF!$TM$5),2)</f>
        <v>#VALUE!</v>
      </c>
      <c r="MM16" s="151" t="e">
        <f>0.31-0.00032*POWER('Tables - Part 3.B'!$C$13*(COF!OO16-COF!$TM$5)-40,2)</f>
        <v>#VALUE!</v>
      </c>
      <c r="MN16" s="151">
        <v>0</v>
      </c>
      <c r="MO16" s="151">
        <f t="shared" si="217"/>
        <v>0</v>
      </c>
      <c r="MP16" s="151">
        <f t="shared" si="108"/>
        <v>0</v>
      </c>
      <c r="MQ16" s="151">
        <f t="shared" si="108"/>
        <v>0</v>
      </c>
      <c r="MR16" s="151">
        <f t="shared" si="108"/>
        <v>0</v>
      </c>
      <c r="MS16" s="151" t="e">
        <f t="shared" si="218"/>
        <v>#N/A</v>
      </c>
      <c r="MT16" s="151" t="e">
        <f t="shared" si="219"/>
        <v>#N/A</v>
      </c>
      <c r="MU16" s="151" t="e">
        <f t="shared" si="220"/>
        <v>#N/A</v>
      </c>
      <c r="MV16" s="151" t="e">
        <f t="shared" si="221"/>
        <v>#N/A</v>
      </c>
      <c r="MW16" s="151">
        <f t="shared" si="222"/>
        <v>0</v>
      </c>
      <c r="MX16" s="151">
        <f t="shared" si="223"/>
        <v>0</v>
      </c>
      <c r="MY16" s="151">
        <f t="shared" si="224"/>
        <v>0</v>
      </c>
      <c r="MZ16" s="526">
        <f t="shared" si="109"/>
        <v>0</v>
      </c>
      <c r="NA16" s="151" t="e">
        <f>INDEX('Tables - Part 3'!DQ$5:DQ$32,MATCH($E16,'Tables - Part 3'!$DP$5:$DP$32,0))</f>
        <v>#N/A</v>
      </c>
      <c r="NB16" s="151" t="e">
        <f>INDEX('Tables - Part 3'!DR$5:DR$32,MATCH($E16,'Tables - Part 3'!$DP$5:$DP$32,0))</f>
        <v>#N/A</v>
      </c>
      <c r="NC16" s="151" t="e">
        <f>INDEX('Tables - Part 3'!DS$5:DS$32,MATCH($E16,'Tables - Part 3'!$DP$5:$DP$32,0))</f>
        <v>#N/A</v>
      </c>
      <c r="ND16" s="151" t="e">
        <f>INDEX('Tables - Part 3'!DT$5:DT$32,MATCH($E16,'Tables - Part 3'!$DP$5:$DP$32,0))</f>
        <v>#N/A</v>
      </c>
      <c r="NE16" s="151" t="e">
        <f>IF(W16='Tables - Part 3'!$DV$44,COF!X16,IF(OR(COF!X16&lt;&gt;0,COF!X16&lt;&gt;""),COF!X16,INDEX('Tables - Part 3'!$DW$4:$DW$43,MATCH(COF!W16,'Tables - Part 3'!$DV$4:$DV$43,0))))</f>
        <v>#N/A</v>
      </c>
      <c r="NF16" s="151">
        <f t="shared" si="110"/>
        <v>1</v>
      </c>
      <c r="NG16" s="151" t="e">
        <f t="shared" si="225"/>
        <v>#N/A</v>
      </c>
      <c r="NH16" s="151">
        <f t="shared" si="111"/>
        <v>0</v>
      </c>
      <c r="NI16" s="151" t="e">
        <f>INDEX('Tables - Part 3'!EC$5:EC$31,MATCH(COF!$E16,'Tables - Part 3'!$EB$5:$EB$31,0))</f>
        <v>#N/A</v>
      </c>
      <c r="NJ16" s="151" t="e">
        <f>INDEX('Tables - Part 3'!ED$5:ED$31,MATCH(COF!$E16,'Tables - Part 3'!$EB$5:$EB$31,0))</f>
        <v>#N/A</v>
      </c>
      <c r="NK16" s="151" t="e">
        <f>INDEX('Tables - Part 3'!EE$5:EE$31,MATCH(COF!$E16,'Tables - Part 3'!$EB$5:$EB$31,0))</f>
        <v>#N/A</v>
      </c>
      <c r="NL16" s="151" t="e">
        <f>INDEX('Tables - Part 3'!EF$5:EF$31,MATCH(COF!$E16,'Tables - Part 3'!$EB$5:$EB$31,0))</f>
        <v>#N/A</v>
      </c>
      <c r="NM16" s="151">
        <f t="shared" si="112"/>
        <v>1</v>
      </c>
      <c r="NN16" s="151" t="e">
        <f t="shared" si="226"/>
        <v>#N/A</v>
      </c>
      <c r="NO16" s="151" t="e">
        <f t="shared" si="227"/>
        <v>#NUM!</v>
      </c>
      <c r="NP16" s="151" t="e">
        <f t="shared" si="113"/>
        <v>#N/A</v>
      </c>
      <c r="NQ16" s="151">
        <f t="shared" si="114"/>
        <v>0</v>
      </c>
      <c r="NR16" s="151" t="e">
        <f>INDEX('Tables - Part 3'!$EL$4:$EL$37,MATCH(COF!F16,'Tables - Part 3'!$EH$4:$EH$37,0))</f>
        <v>#N/A</v>
      </c>
      <c r="NS16" s="151" t="e">
        <f>CR16*(1-$NR16)*'Tables - Part 3.B'!$C$15/COF!$AS16</f>
        <v>#N/A</v>
      </c>
      <c r="NT16" s="151" t="e">
        <f>CS16*(1-$NR16)*'Tables - Part 3.B'!$C$15/COF!$AS16</f>
        <v>#N/A</v>
      </c>
      <c r="NU16" s="151" t="e">
        <f>CT16*(1-$NR16)*'Tables - Part 3.B'!$C$15/COF!$AS16</f>
        <v>#N/A</v>
      </c>
      <c r="NV16" s="151" t="e">
        <f>CU16*(1-$NR16)*'Tables - Part 3.B'!$C$15/COF!$AS16</f>
        <v>#N/A</v>
      </c>
      <c r="NW16" s="151" t="e">
        <f t="shared" si="115"/>
        <v>#N/A</v>
      </c>
      <c r="NX16" s="542">
        <f t="shared" si="116"/>
        <v>0</v>
      </c>
      <c r="NY16" s="156" t="e">
        <f>0.61*$ON16*$AS16*(BM16/'Tables - Part 3.B'!$C$4)*SQRT((2*$TM$13*($OO16-$TM$5)/$AS16))</f>
        <v>#N/A</v>
      </c>
      <c r="NZ16" s="155" t="e">
        <f>0.61*$ON16*$AS16*(BN16/'Tables - Part 3.B'!$C$4)*SQRT((2*$TM$13*($OO16-$TM$5)/$AS16))</f>
        <v>#N/A</v>
      </c>
      <c r="OA16" s="155" t="e">
        <f>0.61*$ON16*$AS16*(BO16/'Tables - Part 3.B'!$C$4)*SQRT((2*$TM$13*($OO16-$TM$5)/$AS16))</f>
        <v>#N/A</v>
      </c>
      <c r="OB16" s="155" t="e">
        <f>0.61*$ON16*$AS16*(BP16/'Tables - Part 3.B'!$C$4)*SQRT((2*$TM$13*($OO16-$TM$5)/$AS16))</f>
        <v>#N/A</v>
      </c>
      <c r="OC16" s="155" t="e">
        <f>0.61*$ON16*AS16*(32450/'Tables - Part 3.B'!$C$4)*SQRT((2*$TM$13*(OO16-$TM$5)/AS16))</f>
        <v>#N/A</v>
      </c>
      <c r="OD16" s="156" t="e">
        <f>(0.9/'Tables - Part 3.B'!$C$5)*BM16*$OO16*SQRT(($AV16*$AU16*$TM$13/(8.314*$OP16))*POWER(2/($AV16+1),(($AV16+1)/($AV16-1))))</f>
        <v>#VALUE!</v>
      </c>
      <c r="OE16" s="156" t="e">
        <f>(0.9/'Tables - Part 3.B'!$C$5)*BN16*$OO16*SQRT(($AV16*$AU16*$TM$13/(8.314*$OP16))*POWER(2/($AV16+1),(($AV16+1)/($AV16-1))))</f>
        <v>#VALUE!</v>
      </c>
      <c r="OF16" s="156" t="e">
        <f>(0.9/'Tables - Part 3.B'!$C$5)*BO16*$OO16*SQRT(($AV16*$AU16*$TM$13/(8.314*$OP16))*POWER(2/($AV16+1),(($AV16+1)/($AV16-1))))</f>
        <v>#VALUE!</v>
      </c>
      <c r="OG16" s="156" t="e">
        <f>(0.9/'Tables - Part 3.B'!$C$5)*BP16*$OO16*SQRT(($AV16*$AU16*$TM$13/(8.314*$OP16))*POWER(2/($AV16+1),(($AV16+1)/($AV16-1))))</f>
        <v>#VALUE!</v>
      </c>
      <c r="OH16" s="156" t="e">
        <f>(0.9/'Tables - Part 3.B'!$C$5)*32450*$OO16*SQRT(($AV16*$AU16*$TM$13/(8.314*$OP16))*POWER(2/($AV16+1),(($AV16+1)/($AV16-1))))</f>
        <v>#VALUE!</v>
      </c>
      <c r="OI16" s="156" t="e">
        <f>(0.9/'Tables - Part 3.B'!$C$5)*BM16*$OO16*SQRT((($AU16*$TM$13)/(8.314*$OP16))*((2*$AV16)/($AV16-1))*POWER(($TM$5/$OO16),(2/$AV16))*(1-POWER(($TM$5/$OO16),(($AV16-1)/$AV16))))</f>
        <v>#VALUE!</v>
      </c>
      <c r="OJ16" s="156" t="e">
        <f>(0.9/'Tables - Part 3.B'!$C$5)*BN16*$OO16*SQRT((($AU16*$TM$13)/(8.314*$OP16))*((2*$AV16)/($AV16-1))*POWER(($TM$5/$OO16),(2/$AV16))*(1-POWER(($TM$5/$OO16),(($AV16-1)/$AV16))))</f>
        <v>#VALUE!</v>
      </c>
      <c r="OK16" s="156" t="e">
        <f>(0.9/'Tables - Part 3.B'!$C$5)*BO16*$OO16*SQRT((($AU16*$TM$13)/(8.314*$OP16))*((2*$AV16)/($AV16-1))*POWER(($TM$5/$OO16),(2/$AV16))*(1-POWER(($TM$5/$OO16),(($AV16-1)/$AV16))))</f>
        <v>#VALUE!</v>
      </c>
      <c r="OL16" s="156" t="e">
        <f>(0.9/'Tables - Part 3.B'!$C$5)*BP16*$OO16*SQRT((($AU16*$TM$13)/(8.314*$OP16))*((2*$AV16)/($AV16-1))*POWER(($TM$5/$OO16),(2/$AV16))*(1-POWER(($TM$5/$OO16),(($AV16-1)/$AV16))))</f>
        <v>#VALUE!</v>
      </c>
      <c r="OM16" s="156" t="e">
        <f>(0.9/'Tables - Part 3.B'!$C$5)*32450*$OO16*SQRT((($AU16*$TM$13)/(8.314*$OP16))*((2*$AV16)/($AV16-1))*POWER(($TM$5/$OO16),(2/$AV16))*(1-POWER(($TM$5/$OO16),(($AV16-1)/$AV16))))</f>
        <v>#VALUE!</v>
      </c>
      <c r="ON16" s="156">
        <f t="shared" si="117"/>
        <v>1</v>
      </c>
      <c r="OO16" s="157" t="str">
        <f t="shared" si="118"/>
        <v/>
      </c>
      <c r="OP16" s="157" t="str">
        <f t="shared" si="119"/>
        <v/>
      </c>
      <c r="OQ16" s="158" t="e">
        <f t="shared" si="228"/>
        <v>#N/A</v>
      </c>
      <c r="OR16" s="158" t="e">
        <f>INDEX('Tables - Part 3'!$F$4:$R$35,MATCH(COF!$F16,'Tables - Part 3'!$F$4:$F$35,0),COUNTA('Tables - Part 3'!$F$3:$K$3))</f>
        <v>#N/A</v>
      </c>
      <c r="OS16" s="158" t="e">
        <f t="shared" si="229"/>
        <v>#N/A</v>
      </c>
      <c r="OT16" s="158" t="e">
        <f t="shared" si="230"/>
        <v>#N/A</v>
      </c>
      <c r="OU16" s="158" t="e">
        <f t="shared" si="231"/>
        <v>#N/A</v>
      </c>
      <c r="OV16" s="159" t="e">
        <f>INDEX('Tables - Part 3'!$M$4:$Q$35,MATCH(COF!$F16,'Tables - Part 3'!$F$4:$F$35,0),COUNTA('Tables - Part 3'!$M$3))</f>
        <v>#N/A</v>
      </c>
      <c r="OW16" s="159" t="e">
        <f>INDEX('Tables - Part 3'!$M$4:$Q$35,MATCH(COF!$F16,'Tables - Part 3'!$F$4:$F$35,0),COUNTA('Tables - Part 3'!$M$3:$N$3))</f>
        <v>#N/A</v>
      </c>
      <c r="OX16" s="159" t="e">
        <f>INDEX('Tables - Part 3'!$M$4:$Q$35,MATCH(COF!$F16,'Tables - Part 3'!$F$4:$F$35,0),COUNTA('Tables - Part 3'!$M$3:$O$3))</f>
        <v>#N/A</v>
      </c>
      <c r="OY16" s="159" t="e">
        <f>INDEX('Tables - Part 3'!$M$4:$Q$35,MATCH(COF!$F16,'Tables - Part 3'!$F$4:$F$35,0),COUNTA('Tables - Part 3'!$M$3:$P$3))</f>
        <v>#N/A</v>
      </c>
      <c r="OZ16" s="160" t="e">
        <f>INDEX('Tables - Part 3'!$M$4:$Q$35,MATCH(COF!$F16,'Tables - Part 3'!$F$4:$F$35,0),COUNTA('Tables - Part 3'!$M$3:$Q$3))</f>
        <v>#N/A</v>
      </c>
      <c r="PA16" s="162" t="e">
        <f>INDEX('Tables - Part 3'!$I$4:$I$35,MATCH(COF!$F16,'Tables - Part 3'!$F$4:$F$35,0))</f>
        <v>#N/A</v>
      </c>
      <c r="PB16" s="158" t="e">
        <f t="shared" si="120"/>
        <v>#N/A</v>
      </c>
      <c r="PC16" s="158" t="str">
        <f t="shared" si="121"/>
        <v/>
      </c>
      <c r="PD16" s="158" t="e">
        <f>INDEX('Tables - Part 3'!AW$7:AW$31,MATCH(COF!$F16,'Tables - Part 3'!$AU$7:$AU$31,0),1)</f>
        <v>#N/A</v>
      </c>
      <c r="PE16" s="158" t="e">
        <f>INDEX('Tables - Part 3'!AX$7:AX$31,MATCH(COF!$F16,'Tables - Part 3'!$AU$7:$AU$31,0),1)</f>
        <v>#N/A</v>
      </c>
      <c r="PF16" s="158" t="e">
        <f>INDEX('Tables - Part 3'!AY$7:AY$31,MATCH(COF!$F16,'Tables - Part 3'!$AU$7:$AU$31,0),1)</f>
        <v>#N/A</v>
      </c>
      <c r="PG16" s="158" t="e">
        <f>INDEX('Tables - Part 3'!AZ$7:AZ$31,MATCH(COF!$F16,'Tables - Part 3'!$AU$7:$AU$31,0),1)</f>
        <v>#N/A</v>
      </c>
      <c r="PH16" s="158" t="e">
        <f>INDEX('Tables - Part 3'!BA$7:BA$31,MATCH(COF!$F16,'Tables - Part 3'!$AU$7:$AU$31,0),1)</f>
        <v>#N/A</v>
      </c>
      <c r="PI16" s="158" t="e">
        <f>INDEX('Tables - Part 3'!BB$7:BB$31,MATCH(COF!$F16,'Tables - Part 3'!$AU$7:$AU$31,0),1)</f>
        <v>#N/A</v>
      </c>
      <c r="PJ16" s="158" t="e">
        <f>INDEX('Tables - Part 3'!BC$7:BC$31,MATCH(COF!$F16,'Tables - Part 3'!$AU$7:$AU$31,0),1)</f>
        <v>#N/A</v>
      </c>
      <c r="PK16" s="158" t="e">
        <f>INDEX('Tables - Part 3'!BD$7:BD$31,MATCH(COF!$F16,'Tables - Part 3'!$AU$7:$AU$31,0),1)</f>
        <v>#N/A</v>
      </c>
      <c r="PL16" s="158" t="e">
        <f>INDEX('Tables - Part 3'!BE$7:BE$31,MATCH(COF!$F16,'Tables - Part 3'!$AU$7:$AU$31,0),1)</f>
        <v>#N/A</v>
      </c>
      <c r="PM16" s="158" t="e">
        <f>INDEX('Tables - Part 3'!BF$7:BF$31,MATCH(COF!$F16,'Tables - Part 3'!$AU$7:$AU$31,0),1)</f>
        <v>#N/A</v>
      </c>
      <c r="PN16" s="158" t="e">
        <f>INDEX('Tables - Part 3'!BG$7:BG$31,MATCH(COF!$F16,'Tables - Part 3'!$AU$7:$AU$31,0),1)</f>
        <v>#N/A</v>
      </c>
      <c r="PO16" s="158" t="e">
        <f>INDEX('Tables - Part 3'!BH$7:BH$31,MATCH(COF!$F16,'Tables - Part 3'!$AU$7:$AU$31,0),1)</f>
        <v>#N/A</v>
      </c>
      <c r="PP16" s="158" t="e">
        <f>INDEX('Tables - Part 3'!BI$7:BI$31,MATCH(COF!$F16,'Tables - Part 3'!$AU$7:$AU$31,0),1)</f>
        <v>#N/A</v>
      </c>
      <c r="PQ16" s="158" t="e">
        <f>INDEX('Tables - Part 3'!BJ$7:BJ$31,MATCH(COF!$F16,'Tables - Part 3'!$AU$7:$AU$31,0),1)</f>
        <v>#N/A</v>
      </c>
      <c r="PR16" s="158" t="e">
        <f>INDEX('Tables - Part 3'!BK$7:BK$31,MATCH(COF!$F16,'Tables - Part 3'!$AU$7:$AU$31,0),1)</f>
        <v>#N/A</v>
      </c>
      <c r="PS16" s="158" t="e">
        <f>INDEX('Tables - Part 3'!BL$7:BL$31,MATCH(COF!$F16,'Tables - Part 3'!$AU$7:$AU$31,0),1)</f>
        <v>#N/A</v>
      </c>
      <c r="PT16" s="158" t="e">
        <f>INDEX('Tables - Part 3'!BP$7:BP$31,MATCH(COF!$F16,'Tables - Part 3'!$AU$7:$AU$31,0),1)</f>
        <v>#N/A</v>
      </c>
      <c r="PU16" s="158" t="e">
        <f>INDEX('Tables - Part 3'!BQ$7:BQ$31,MATCH(COF!$F16,'Tables - Part 3'!$AU$7:$AU$31,0),1)</f>
        <v>#N/A</v>
      </c>
      <c r="PV16" s="158" t="e">
        <f>INDEX('Tables - Part 3'!BR$7:BR$31,MATCH(COF!$F16,'Tables - Part 3'!$AU$7:$AU$31,0),1)</f>
        <v>#N/A</v>
      </c>
      <c r="PW16" s="158" t="e">
        <f>INDEX('Tables - Part 3'!BS$7:BS$31,MATCH(COF!$F16,'Tables - Part 3'!$AU$7:$AU$31,0),1)</f>
        <v>#N/A</v>
      </c>
      <c r="PX16" s="158" t="e">
        <f>INDEX('Tables - Part 3'!BT$7:BT$31,MATCH(COF!$F16,'Tables - Part 3'!$AU$7:$AU$31,0),1)</f>
        <v>#N/A</v>
      </c>
      <c r="PY16" s="158" t="e">
        <f>INDEX('Tables - Part 3'!BU$7:BU$31,MATCH(COF!$F16,'Tables - Part 3'!$AU$7:$AU$31,0),1)</f>
        <v>#N/A</v>
      </c>
      <c r="PZ16" s="158" t="e">
        <f>INDEX('Tables - Part 3'!BV$7:BV$31,MATCH(COF!$F16,'Tables - Part 3'!$AU$7:$AU$31,0),1)</f>
        <v>#N/A</v>
      </c>
      <c r="QA16" s="158" t="e">
        <f>INDEX('Tables - Part 3'!BW$7:BW$31,MATCH(COF!$F16,'Tables - Part 3'!$AU$7:$AU$31,0),1)</f>
        <v>#N/A</v>
      </c>
      <c r="QB16" s="158" t="e">
        <f>INDEX('Tables - Part 3'!BX$7:BX$31,MATCH(COF!$F16,'Tables - Part 3'!$AU$7:$AU$31,0),1)</f>
        <v>#N/A</v>
      </c>
      <c r="QC16" s="158" t="e">
        <f>INDEX('Tables - Part 3'!BY$7:BY$31,MATCH(COF!$F16,'Tables - Part 3'!$AU$7:$AU$31,0),1)</f>
        <v>#N/A</v>
      </c>
      <c r="QD16" s="158" t="e">
        <f>INDEX('Tables - Part 3'!BZ$7:BZ$31,MATCH(COF!$F16,'Tables - Part 3'!$AU$7:$AU$31,0),1)</f>
        <v>#N/A</v>
      </c>
      <c r="QE16" s="158" t="e">
        <f>INDEX('Tables - Part 3'!CA$7:CA$31,MATCH(COF!$F16,'Tables - Part 3'!$AU$7:$AU$31,0),1)</f>
        <v>#N/A</v>
      </c>
      <c r="QF16" s="158" t="e">
        <f>INDEX('Tables - Part 3'!CB$7:CB$31,MATCH(COF!$F16,'Tables - Part 3'!$AU$7:$AU$31,0),1)</f>
        <v>#N/A</v>
      </c>
      <c r="QG16" s="158" t="e">
        <f>INDEX('Tables - Part 3'!CC$7:CC$31,MATCH(COF!$F16,'Tables - Part 3'!$AU$7:$AU$31,0),1)</f>
        <v>#N/A</v>
      </c>
      <c r="QH16" s="158" t="e">
        <f>INDEX('Tables - Part 3'!CD$7:CD$31,MATCH(COF!$F16,'Tables - Part 3'!$AU$7:$AU$31,0),1)</f>
        <v>#N/A</v>
      </c>
      <c r="QI16" s="158" t="e">
        <f>INDEX('Tables - Part 3'!CE$7:CE$31,MATCH(COF!$F16,'Tables - Part 3'!$AU$7:$AU$31,0),1)</f>
        <v>#N/A</v>
      </c>
      <c r="QJ16" s="151">
        <f>'Tables - Part 5'!$R$4</f>
        <v>3.1749999999999998</v>
      </c>
      <c r="QK16" s="151">
        <f>'Tables - Part 5'!$R$5</f>
        <v>6.35</v>
      </c>
      <c r="QL16" s="151">
        <f>'Tables - Part 5'!$R$6</f>
        <v>50.8</v>
      </c>
      <c r="QM16" s="151">
        <f t="shared" si="122"/>
        <v>0</v>
      </c>
      <c r="QN16" s="151">
        <f t="shared" si="232"/>
        <v>7.9173043608984015</v>
      </c>
      <c r="QO16" s="151">
        <f t="shared" si="233"/>
        <v>31.669217443593606</v>
      </c>
      <c r="QP16" s="151">
        <f t="shared" si="234"/>
        <v>2026.8299163899908</v>
      </c>
      <c r="QQ16" s="151">
        <f t="shared" si="235"/>
        <v>0</v>
      </c>
      <c r="QR16" s="151">
        <f t="shared" si="236"/>
        <v>0</v>
      </c>
      <c r="QS16" s="151">
        <f>'Tables - Part 3.B'!$C$34*0.61*QN16*SQRT(2*$TM$15*QR16)</f>
        <v>0</v>
      </c>
      <c r="QT16" s="151">
        <f>'Tables - Part 3.B'!$C$34*0.61*QO16*SQRT(2*$TM$15*QS16)</f>
        <v>0</v>
      </c>
      <c r="QU16" s="151">
        <f>'Tables - Part 3.B'!$C$34*0.61*QP16*SQRT(2*$TM$15*QT16)</f>
        <v>0</v>
      </c>
      <c r="QV16" s="151">
        <f>'Tables - Part 3.B'!$C$34*0.61*QQ16*SQRT(2*$TM$15*QU16)</f>
        <v>0</v>
      </c>
      <c r="QW16" s="151">
        <f t="shared" si="237"/>
        <v>0</v>
      </c>
      <c r="QX16" s="151">
        <f t="shared" si="238"/>
        <v>0</v>
      </c>
      <c r="QY16" s="151">
        <f t="shared" si="239"/>
        <v>0</v>
      </c>
      <c r="QZ16" s="151">
        <f t="shared" si="240"/>
        <v>0</v>
      </c>
      <c r="RA16" s="151">
        <f t="shared" si="241"/>
        <v>0</v>
      </c>
      <c r="RB16" s="151">
        <f>QX16*'Tables - Part 3.B'!$C$15</f>
        <v>0</v>
      </c>
      <c r="RC16" s="151">
        <f>QY16*'Tables - Part 3.B'!$C$15</f>
        <v>0</v>
      </c>
      <c r="RD16" s="151">
        <f>QZ16*'Tables - Part 3.B'!$C$15</f>
        <v>0</v>
      </c>
      <c r="RE16" s="151">
        <f>RA16*'Tables - Part 3.B'!$C$15</f>
        <v>0</v>
      </c>
      <c r="RF16" s="151" t="e">
        <f t="shared" si="242"/>
        <v>#N/A</v>
      </c>
      <c r="RG16" s="151" t="e">
        <f t="shared" si="243"/>
        <v>#N/A</v>
      </c>
      <c r="RH16" s="151" t="e">
        <f t="shared" si="244"/>
        <v>#N/A</v>
      </c>
      <c r="RI16" s="151" t="e">
        <f t="shared" si="245"/>
        <v>#N/A</v>
      </c>
      <c r="RJ16" s="151">
        <f t="shared" si="246"/>
        <v>0</v>
      </c>
      <c r="RK16" s="151">
        <f t="shared" si="247"/>
        <v>0</v>
      </c>
      <c r="RL16" s="151">
        <f t="shared" si="248"/>
        <v>0</v>
      </c>
      <c r="RM16" s="151">
        <f t="shared" si="249"/>
        <v>0</v>
      </c>
      <c r="RN16" s="151">
        <v>7</v>
      </c>
      <c r="RO16" s="151">
        <v>1</v>
      </c>
      <c r="RP16" s="151">
        <v>1</v>
      </c>
      <c r="RQ16" s="151">
        <v>1</v>
      </c>
      <c r="RR16" s="151" t="e">
        <f t="shared" si="250"/>
        <v>#DIV/0!</v>
      </c>
      <c r="RS16" s="151" t="e">
        <f t="shared" si="251"/>
        <v>#DIV/0!</v>
      </c>
      <c r="RT16" s="151" t="e">
        <f t="shared" si="252"/>
        <v>#DIV/0!</v>
      </c>
      <c r="RU16" s="151" t="e">
        <f t="shared" si="253"/>
        <v>#DIV/0!</v>
      </c>
      <c r="RV16" s="151" t="e">
        <f t="shared" si="254"/>
        <v>#DIV/0!</v>
      </c>
      <c r="RW16" s="151" t="e">
        <f t="shared" si="255"/>
        <v>#DIV/0!</v>
      </c>
      <c r="RX16" s="151" t="e">
        <f t="shared" si="256"/>
        <v>#DIV/0!</v>
      </c>
      <c r="RY16" s="151" t="e">
        <f t="shared" si="257"/>
        <v>#DIV/0!</v>
      </c>
      <c r="RZ16" s="151" t="e">
        <f t="shared" si="258"/>
        <v>#DIV/0!</v>
      </c>
      <c r="SA16" s="151" t="e">
        <f t="shared" si="259"/>
        <v>#DIV/0!</v>
      </c>
      <c r="SB16" s="151" t="e">
        <f t="shared" si="260"/>
        <v>#DIV/0!</v>
      </c>
      <c r="SC16" s="151" t="e">
        <f t="shared" si="261"/>
        <v>#DIV/0!</v>
      </c>
      <c r="SD16" s="151">
        <f t="shared" si="262"/>
        <v>0</v>
      </c>
      <c r="SE16" s="151">
        <f t="shared" si="263"/>
        <v>0</v>
      </c>
      <c r="SF16" s="151">
        <f t="shared" si="264"/>
        <v>0</v>
      </c>
      <c r="SG16" s="151">
        <f t="shared" si="265"/>
        <v>0</v>
      </c>
      <c r="SH16" s="151">
        <f t="shared" si="266"/>
        <v>0</v>
      </c>
      <c r="SI16" s="151">
        <f t="shared" si="267"/>
        <v>0</v>
      </c>
      <c r="SJ16" s="151">
        <f t="shared" si="268"/>
        <v>0</v>
      </c>
      <c r="SK16" s="151">
        <f t="shared" si="269"/>
        <v>0</v>
      </c>
      <c r="SL16" s="542"/>
      <c r="SM16" s="542"/>
      <c r="SN16" s="542"/>
      <c r="SO16" s="151"/>
      <c r="SP16" s="151"/>
      <c r="SQ16" s="151"/>
      <c r="SR16" s="151"/>
      <c r="SS16" s="151"/>
      <c r="ST16" s="151"/>
      <c r="SU16" s="151"/>
      <c r="SV16" s="151"/>
      <c r="SW16" s="151"/>
      <c r="SX16" s="151"/>
      <c r="SY16" s="151"/>
      <c r="SZ16" s="151"/>
      <c r="TA16" s="151"/>
      <c r="TB16" s="151"/>
      <c r="TC16" s="151"/>
      <c r="TD16" s="151"/>
      <c r="TE16" s="542"/>
      <c r="TG16" s="155" t="s">
        <v>280</v>
      </c>
      <c r="TH16" s="196">
        <v>0.1</v>
      </c>
      <c r="TQ16" s="155" t="s">
        <v>12</v>
      </c>
    </row>
    <row r="17" spans="2:537" x14ac:dyDescent="0.35">
      <c r="B17" s="161"/>
      <c r="C17" s="161"/>
      <c r="D17" s="161"/>
      <c r="E17" s="161"/>
      <c r="F17" s="666"/>
      <c r="G17" s="161"/>
      <c r="H17" s="537"/>
      <c r="I17" s="161"/>
      <c r="J17" s="161"/>
      <c r="K17" s="161"/>
      <c r="L17" s="161"/>
      <c r="M17" s="161"/>
      <c r="N17" s="161"/>
      <c r="O17" s="161"/>
      <c r="P17" s="161"/>
      <c r="Q17" s="161"/>
      <c r="R17" s="161"/>
      <c r="S17" s="667"/>
      <c r="T17" s="161"/>
      <c r="U17" s="161"/>
      <c r="V17" s="161"/>
      <c r="W17" s="161"/>
      <c r="X17" s="537"/>
      <c r="Y17" s="537"/>
      <c r="Z17" s="399"/>
      <c r="AA17" s="537"/>
      <c r="AB17" s="399"/>
      <c r="AC17" s="399"/>
      <c r="AD17" s="399"/>
      <c r="AE17" s="399"/>
      <c r="AF17" s="399"/>
      <c r="AG17" s="399"/>
      <c r="AH17" s="399"/>
      <c r="AI17" s="399"/>
      <c r="AJ17" s="399"/>
      <c r="AK17" s="399"/>
      <c r="AL17" s="399"/>
      <c r="AM17" s="399"/>
      <c r="AN17" s="399"/>
      <c r="AO17" s="399"/>
      <c r="AP17" s="399"/>
      <c r="AQ17" s="151" t="e">
        <f>INDEX('Tables - Part 3'!$J$4:$J$35,MATCH(COF!$F17,'Tables - Part 3'!$F$4:$F$35,0),1)</f>
        <v>#N/A</v>
      </c>
      <c r="AR17" s="151" t="e">
        <f>IF($G17=$TH$7,'Tables - Part 3'!$W$4,IF(AND($AQ17=$TH$7,COF!$PA17&lt;26.67),'Tables - Part 3'!$W$4,'Tables - Part 3'!$W$7))</f>
        <v>#N/A</v>
      </c>
      <c r="AS17" s="150" t="e">
        <f>INDEX('Tables - Part 3'!$F$4:$R$35,MATCH(COF!$F17,'Tables - Part 3'!$F$4:$F$35,0),COUNTA('Tables - Part 3'!$F$3:$H$3))</f>
        <v>#N/A</v>
      </c>
      <c r="AT17" s="279" t="e">
        <f t="shared" si="6"/>
        <v>#VALUE!</v>
      </c>
      <c r="AU17" s="151" t="e">
        <f>INDEX('Tables - Part 3'!$F$4:$R$35,MATCH(COF!$F17,'Tables - Part 3'!$F$4:$F$35,0),COUNTA('Tables - Part 3'!$F$3:$G$3))</f>
        <v>#N/A</v>
      </c>
      <c r="AV17" s="151" t="e">
        <f t="shared" si="131"/>
        <v>#N/A</v>
      </c>
      <c r="AW17" s="151" t="e">
        <f t="shared" si="7"/>
        <v>#N/A</v>
      </c>
      <c r="AX17" s="151" t="e">
        <f>INDEX('Tables - Part 3'!$F$4:$R$35,MATCH(COF!$F17,'Tables - Part 3'!$F$4:$F$35,0),COUNTA('Tables - Part 3'!$F$3:$R$3))+273.15</f>
        <v>#N/A</v>
      </c>
      <c r="AY17" s="151">
        <f t="shared" si="8"/>
        <v>0</v>
      </c>
      <c r="AZ17" s="151" t="e">
        <f t="shared" si="9"/>
        <v>#N/A</v>
      </c>
      <c r="BA17" s="151" t="e">
        <f t="shared" si="132"/>
        <v>#N/A</v>
      </c>
      <c r="BB17" s="151" t="e">
        <f t="shared" si="133"/>
        <v>#N/A</v>
      </c>
      <c r="BC17" s="151" t="e">
        <f t="shared" si="134"/>
        <v>#N/A</v>
      </c>
      <c r="BD17" s="151" t="e">
        <f t="shared" si="135"/>
        <v>#N/A</v>
      </c>
      <c r="BE17" s="151" t="e">
        <f t="shared" si="10"/>
        <v>#N/A</v>
      </c>
      <c r="BF17" s="151" t="e">
        <f t="shared" si="11"/>
        <v>#N/A</v>
      </c>
      <c r="BG17" s="151" t="e">
        <f t="shared" si="12"/>
        <v>#N/A</v>
      </c>
      <c r="BH17" s="151" t="e">
        <f t="shared" si="13"/>
        <v>#N/A</v>
      </c>
      <c r="BI17" s="151">
        <f>'Tables - Part 3'!$AD$4</f>
        <v>6.4</v>
      </c>
      <c r="BJ17" s="151">
        <f>MIN(O17,'Tables - Part 3'!$AD$5)</f>
        <v>25</v>
      </c>
      <c r="BK17" s="151">
        <f>MIN(O17,'Tables - Part 3'!$AD$6)</f>
        <v>102</v>
      </c>
      <c r="BL17" s="151">
        <f>MIN(O17,'Tables - Part 3'!$AD$7)</f>
        <v>406</v>
      </c>
      <c r="BM17" s="151">
        <f t="shared" si="136"/>
        <v>32.169908772759484</v>
      </c>
      <c r="BN17" s="151">
        <f t="shared" si="137"/>
        <v>490.87385212340519</v>
      </c>
      <c r="BO17" s="151">
        <f t="shared" si="138"/>
        <v>8171.2824919870518</v>
      </c>
      <c r="BP17" s="151">
        <f t="shared" si="139"/>
        <v>129461.89166178179</v>
      </c>
      <c r="BQ17" s="151" t="e">
        <f>INDEX('Tables - Part 2'!$D$5:$G$30,MATCH(COF!$E17,'Tables - Part 2'!$C$5:$C$30,0),1)</f>
        <v>#N/A</v>
      </c>
      <c r="BR17" s="571" t="e">
        <f>INDEX('Tables - Part 2'!$D$5:$G$30,MATCH(COF!$E17,'Tables - Part 2'!$C$5:$C$30,0),2)</f>
        <v>#N/A</v>
      </c>
      <c r="BS17" s="571" t="e">
        <f>INDEX('Tables - Part 2'!$D$5:$G$30,MATCH(COF!$E17,'Tables - Part 2'!$C$5:$C$30,0),3)</f>
        <v>#N/A</v>
      </c>
      <c r="BT17" s="151" t="e">
        <f>INDEX('Tables - Part 2'!$D$5:$G$30,MATCH(COF!$E17,'Tables - Part 2'!$C$5:$C$30,0),4)</f>
        <v>#N/A</v>
      </c>
      <c r="BU17" s="151" t="e">
        <f t="shared" si="140"/>
        <v>#N/A</v>
      </c>
      <c r="BV17" s="151" t="e">
        <f t="shared" si="141"/>
        <v>#N/A</v>
      </c>
      <c r="BW17" s="151" t="e">
        <f t="shared" si="142"/>
        <v>#N/A</v>
      </c>
      <c r="BX17" s="151" t="e">
        <f t="shared" si="143"/>
        <v>#N/A</v>
      </c>
      <c r="BY17" s="502" t="e">
        <f t="shared" si="144"/>
        <v>#N/A</v>
      </c>
      <c r="BZ17" s="502" t="e">
        <f t="shared" si="145"/>
        <v>#N/A</v>
      </c>
      <c r="CA17" s="151" t="e">
        <f>IF(OR(BI17&lt;='Tables - Part 3'!$AD$4,BE17&lt;='Tables - Part 3.B'!$C$6,BV17&lt;=25.22),COF!$TK$6,COF!$TK$5)</f>
        <v>#N/A</v>
      </c>
      <c r="CB17" s="151" t="e">
        <f>IF(OR(BJ17&lt;='Tables - Part 3'!$AD$4,BF17&lt;='Tables - Part 3.B'!$C$6,BW17&lt;=25.22),COF!$TK$6,COF!$TK$5)</f>
        <v>#N/A</v>
      </c>
      <c r="CC17" s="151" t="e">
        <f>IF(OR(BK17&lt;='Tables - Part 3'!$AD$4,BG17&lt;='Tables - Part 3.B'!$C$6,BX17&lt;=25.22),COF!$TK$6,COF!$TK$5)</f>
        <v>#N/A</v>
      </c>
      <c r="CD17" s="151" t="e">
        <f>IF(OR(BL17&lt;='Tables - Part 3'!$AD$4,BH17&lt;='Tables - Part 3.B'!$C$6,BY17&lt;=25.22),COF!$TK$6,COF!$TK$5)</f>
        <v>#N/A</v>
      </c>
      <c r="CE17" s="151" t="str">
        <f t="shared" si="146"/>
        <v/>
      </c>
      <c r="CF17" s="151" t="e">
        <f>INDEX('Tables - Part 3'!$AR$4:$AR$12,MATCH(COF!$PC17,'Tables - Part 3'!$AP$4:$AP$12,0),1)</f>
        <v>#N/A</v>
      </c>
      <c r="CG17" s="151" t="e">
        <f>INDEX('Tables - Part 3'!$AR$13:$AR$21,MATCH(COF!$PC17,'Tables - Part 3'!$AP$13:$AP$21,0),1)</f>
        <v>#N/A</v>
      </c>
      <c r="CH17" s="151" t="e">
        <f>INDEX('Tables - Part 3'!$AR$22:$AR$30,MATCH(COF!$PC17,'Tables - Part 3'!$AP$22:$AP$30,0),1)</f>
        <v>#N/A</v>
      </c>
      <c r="CI17" s="151" t="e">
        <f>INDEX('Tables - Part 3'!$AR$22:$AR$30,MATCH(COF!$PC17,'Tables - Part 3'!$AP$22:$AP$30,0),1)</f>
        <v>#N/A</v>
      </c>
      <c r="CJ17" s="151" t="e">
        <f t="shared" si="147"/>
        <v>#N/A</v>
      </c>
      <c r="CK17" s="151" t="e">
        <f t="shared" si="148"/>
        <v>#N/A</v>
      </c>
      <c r="CL17" s="151" t="e">
        <f t="shared" si="149"/>
        <v>#N/A</v>
      </c>
      <c r="CM17" s="151" t="e">
        <f t="shared" si="150"/>
        <v>#N/A</v>
      </c>
      <c r="CN17" s="151" t="e">
        <f t="shared" si="151"/>
        <v>#N/A</v>
      </c>
      <c r="CO17" s="151" t="e">
        <f t="shared" si="152"/>
        <v>#N/A</v>
      </c>
      <c r="CP17" s="151" t="e">
        <f t="shared" si="153"/>
        <v>#N/A</v>
      </c>
      <c r="CQ17" s="151" t="e">
        <f t="shared" si="154"/>
        <v>#N/A</v>
      </c>
      <c r="CR17" s="151" t="e">
        <f t="shared" si="155"/>
        <v>#N/A</v>
      </c>
      <c r="CS17" s="151" t="e">
        <f t="shared" si="156"/>
        <v>#N/A</v>
      </c>
      <c r="CT17" s="151" t="e">
        <f t="shared" si="157"/>
        <v>#N/A</v>
      </c>
      <c r="CU17" s="151" t="e">
        <f t="shared" si="158"/>
        <v>#N/A</v>
      </c>
      <c r="CV17" s="151" t="e">
        <f>INDEX('Tables - Part 3'!$CI$4:$CI$8,MATCH(COF!V17,'Tables - Part 3'!$CG$4:$CG$8,0),1)</f>
        <v>#N/A</v>
      </c>
      <c r="CW17" s="502" t="e">
        <f>IF(CR17&gt;'Tables - Part 3.B'!$C$6,4*LOG10('Tables - Part 3.B'!$C$7*CR17)-15,1)</f>
        <v>#N/A</v>
      </c>
      <c r="CX17" s="502" t="e">
        <f>IF(CS17&gt;'Tables - Part 3.B'!$C$6,4*LOG10('Tables - Part 3.B'!$C$7*CS17)-15,1)</f>
        <v>#N/A</v>
      </c>
      <c r="CY17" s="502" t="e">
        <f>IF(CT17&gt;'Tables - Part 3.B'!$C$6,4*LOG10('Tables - Part 3.B'!$C$7*CT17)-15,1)</f>
        <v>#N/A</v>
      </c>
      <c r="CZ17" s="502" t="e">
        <f>IF(CU17&gt;'Tables - Part 3.B'!$C$6,4*LOG10('Tables - Part 3.B'!$C$7*CU17)-15,1)</f>
        <v>#N/A</v>
      </c>
      <c r="DA17" s="151" t="e">
        <f>INDEX('Tables - Part 3'!$C$4:$C$37,MATCH(COF!$F17,'Tables - Part 3'!$B$4:$B$37,0),1)</f>
        <v>#N/A</v>
      </c>
      <c r="DB17" s="151" t="e">
        <f t="shared" si="159"/>
        <v>#N/A</v>
      </c>
      <c r="DC17" s="151" t="e">
        <f t="shared" si="160"/>
        <v>#N/A</v>
      </c>
      <c r="DD17" s="151" t="e">
        <f t="shared" si="161"/>
        <v>#N/A</v>
      </c>
      <c r="DE17" s="151" t="e">
        <f t="shared" si="162"/>
        <v>#N/A</v>
      </c>
      <c r="DF17" s="151" t="e">
        <f t="shared" si="163"/>
        <v>#N/A</v>
      </c>
      <c r="DG17" s="151" t="e">
        <f t="shared" si="164"/>
        <v>#N/A</v>
      </c>
      <c r="DH17" s="151" t="e">
        <f t="shared" si="165"/>
        <v>#N/A</v>
      </c>
      <c r="DI17" s="151" t="e">
        <f t="shared" si="166"/>
        <v>#N/A</v>
      </c>
      <c r="DJ17" s="151" t="e">
        <f t="shared" si="167"/>
        <v>#N/A</v>
      </c>
      <c r="DK17" s="151" t="e">
        <f t="shared" si="168"/>
        <v>#N/A</v>
      </c>
      <c r="DL17" s="151" t="e">
        <f t="shared" si="169"/>
        <v>#N/A</v>
      </c>
      <c r="DM17" s="151" t="e">
        <f t="shared" si="170"/>
        <v>#N/A</v>
      </c>
      <c r="DN17" s="151" t="e">
        <f t="shared" si="171"/>
        <v>#N/A</v>
      </c>
      <c r="DO17" s="151" t="e">
        <f t="shared" si="172"/>
        <v>#N/A</v>
      </c>
      <c r="DP17" s="151" t="e">
        <f t="shared" si="173"/>
        <v>#N/A</v>
      </c>
      <c r="DQ17" s="151" t="e">
        <f t="shared" si="174"/>
        <v>#N/A</v>
      </c>
      <c r="DR17" s="151" t="e">
        <f t="shared" si="175"/>
        <v>#N/A</v>
      </c>
      <c r="DS17" s="151" t="e">
        <f t="shared" si="176"/>
        <v>#N/A</v>
      </c>
      <c r="DT17" s="151" t="e">
        <f t="shared" si="177"/>
        <v>#N/A</v>
      </c>
      <c r="DU17" s="151" t="e">
        <f t="shared" si="178"/>
        <v>#N/A</v>
      </c>
      <c r="DV17" s="151" t="e">
        <f t="shared" si="179"/>
        <v>#N/A</v>
      </c>
      <c r="DW17" s="151" t="e">
        <f t="shared" si="180"/>
        <v>#N/A</v>
      </c>
      <c r="DX17" s="151" t="e">
        <f t="shared" si="181"/>
        <v>#N/A</v>
      </c>
      <c r="DY17" s="151" t="e">
        <f t="shared" si="182"/>
        <v>#N/A</v>
      </c>
      <c r="DZ17" s="151" t="e">
        <f t="shared" si="183"/>
        <v>#N/A</v>
      </c>
      <c r="EA17" s="151" t="e">
        <f t="shared" si="184"/>
        <v>#N/A</v>
      </c>
      <c r="EB17" s="151" t="e">
        <f t="shared" si="185"/>
        <v>#N/A</v>
      </c>
      <c r="EC17" s="151" t="e">
        <f t="shared" si="186"/>
        <v>#N/A</v>
      </c>
      <c r="ED17" s="151" t="e">
        <f t="shared" si="187"/>
        <v>#N/A</v>
      </c>
      <c r="EE17" s="151" t="e">
        <f t="shared" si="188"/>
        <v>#N/A</v>
      </c>
      <c r="EF17" s="151" t="e">
        <f t="shared" si="189"/>
        <v>#N/A</v>
      </c>
      <c r="EG17" s="151" t="e">
        <f t="shared" si="190"/>
        <v>#N/A</v>
      </c>
      <c r="EH17" s="151" t="e">
        <f>IF(CA17=$TK$5,1,MIN(CJ17/'Tables - Part 3.B'!$C$8,1))</f>
        <v>#N/A</v>
      </c>
      <c r="EI17" s="151" t="e">
        <f>IF(CB17=$TK$5,1,MIN(CK17/'Tables - Part 3.B'!$C$8,1))</f>
        <v>#N/A</v>
      </c>
      <c r="EJ17" s="151" t="e">
        <f>IF(CC17=$TK$5,1,MIN(CL17/'Tables - Part 3.B'!$C$8,1))</f>
        <v>#N/A</v>
      </c>
      <c r="EK17" s="151" t="e">
        <f>IF(CD17=$TK$5,1,MIN(CM17/'Tables - Part 3.B'!$C$8,1))</f>
        <v>#N/A</v>
      </c>
      <c r="EL17" s="151" t="e">
        <f t="shared" si="191"/>
        <v>#VALUE!</v>
      </c>
      <c r="EM17" s="151" t="e">
        <f t="shared" si="48"/>
        <v>#VALUE!</v>
      </c>
      <c r="EN17" s="151" t="e">
        <f t="shared" si="48"/>
        <v>#VALUE!</v>
      </c>
      <c r="EO17" s="151" t="e">
        <f t="shared" si="48"/>
        <v>#VALUE!</v>
      </c>
      <c r="EP17" s="151" t="e">
        <f t="shared" si="192"/>
        <v>#N/A</v>
      </c>
      <c r="EQ17" s="151" t="e">
        <f t="shared" si="49"/>
        <v>#N/A</v>
      </c>
      <c r="ER17" s="151" t="e">
        <f t="shared" si="49"/>
        <v>#N/A</v>
      </c>
      <c r="ES17" s="151" t="e">
        <f t="shared" si="49"/>
        <v>#N/A</v>
      </c>
      <c r="ET17" s="151" t="e">
        <f t="shared" si="193"/>
        <v>#N/A</v>
      </c>
      <c r="EU17" s="151" t="e">
        <f t="shared" si="50"/>
        <v>#N/A</v>
      </c>
      <c r="EV17" s="151" t="e">
        <f t="shared" si="50"/>
        <v>#N/A</v>
      </c>
      <c r="EW17" s="151" t="e">
        <f t="shared" si="50"/>
        <v>#N/A</v>
      </c>
      <c r="EX17" s="151" t="e">
        <f t="shared" si="194"/>
        <v>#N/A</v>
      </c>
      <c r="EY17" s="151" t="e">
        <f t="shared" si="51"/>
        <v>#N/A</v>
      </c>
      <c r="EZ17" s="151" t="e">
        <f t="shared" si="51"/>
        <v>#N/A</v>
      </c>
      <c r="FA17" s="151" t="e">
        <f t="shared" si="51"/>
        <v>#N/A</v>
      </c>
      <c r="FB17" s="151" t="e">
        <f t="shared" si="195"/>
        <v>#N/A</v>
      </c>
      <c r="FC17" s="151" t="e">
        <f t="shared" si="52"/>
        <v>#N/A</v>
      </c>
      <c r="FD17" s="151" t="e">
        <f t="shared" si="52"/>
        <v>#N/A</v>
      </c>
      <c r="FE17" s="151" t="e">
        <f t="shared" si="52"/>
        <v>#N/A</v>
      </c>
      <c r="FF17" s="151" t="e">
        <f t="shared" si="196"/>
        <v>#N/A</v>
      </c>
      <c r="FG17" s="151" t="e">
        <f t="shared" si="53"/>
        <v>#N/A</v>
      </c>
      <c r="FH17" s="151" t="e">
        <f t="shared" si="53"/>
        <v>#N/A</v>
      </c>
      <c r="FI17" s="151" t="e">
        <f t="shared" si="53"/>
        <v>#N/A</v>
      </c>
      <c r="FJ17" s="151" t="e">
        <f t="shared" si="197"/>
        <v>#N/A</v>
      </c>
      <c r="FK17" s="151" t="e">
        <f t="shared" si="54"/>
        <v>#N/A</v>
      </c>
      <c r="FL17" s="151" t="e">
        <f t="shared" si="54"/>
        <v>#N/A</v>
      </c>
      <c r="FM17" s="288" t="e">
        <f t="shared" si="54"/>
        <v>#N/A</v>
      </c>
      <c r="FN17" s="299">
        <f t="shared" si="198"/>
        <v>0</v>
      </c>
      <c r="FO17" s="511">
        <f t="shared" si="199"/>
        <v>0</v>
      </c>
      <c r="FP17" s="150" t="e">
        <f t="shared" si="200"/>
        <v>#N/A</v>
      </c>
      <c r="FQ17" s="151" t="e">
        <f t="shared" si="201"/>
        <v>#N/A</v>
      </c>
      <c r="FR17" s="151" t="e">
        <f t="shared" si="202"/>
        <v>#N/A</v>
      </c>
      <c r="FS17" s="151" t="e">
        <f t="shared" si="203"/>
        <v>#N/A</v>
      </c>
      <c r="FT17" s="151">
        <f t="shared" si="270"/>
        <v>0</v>
      </c>
      <c r="FU17" s="151">
        <f t="shared" si="56"/>
        <v>0</v>
      </c>
      <c r="FV17" s="151">
        <f t="shared" si="57"/>
        <v>0</v>
      </c>
      <c r="FW17" s="151">
        <f t="shared" si="58"/>
        <v>0</v>
      </c>
      <c r="FX17" s="151">
        <f t="shared" si="271"/>
        <v>0</v>
      </c>
      <c r="FY17" s="151">
        <f t="shared" si="60"/>
        <v>0</v>
      </c>
      <c r="FZ17" s="151">
        <f t="shared" si="61"/>
        <v>0</v>
      </c>
      <c r="GA17" s="151">
        <f t="shared" si="62"/>
        <v>0</v>
      </c>
      <c r="GB17" s="151" t="e">
        <f>IF(CA17=$TK$6,'Tables - Part 3.B'!$C$10*(('Tables - Part 3.B'!$C$7*COF!FT17)^COF!GR17*10^COF!GV17),IF(CA17=$TK$5,'Tables - Part 3.B'!$C$10*(('Tables - Part 3.B'!$C$7*COF!FX17)^COF!GR17*10^COF!GV17),0))</f>
        <v>#N/A</v>
      </c>
      <c r="GC17" s="151" t="e">
        <f>IF(CB17=$TK$6,'Tables - Part 3.B'!$C$10*(('Tables - Part 3.B'!$C$7*COF!FU17)^COF!GS17*10^COF!GW17),IF(CB17=$TK$5,'Tables - Part 3.B'!$C$10*(('Tables - Part 3.B'!$C$7*COF!FY17)^COF!GS17*10^COF!GW17),0))</f>
        <v>#N/A</v>
      </c>
      <c r="GD17" s="151" t="e">
        <f>IF(CC17=$TK$6,'Tables - Part 3.B'!$C$10*(('Tables - Part 3.B'!$C$7*COF!FV17)^COF!GT17*10^COF!GX17),IF(CC17=$TK$5,'Tables - Part 3.B'!$C$10*(('Tables - Part 3.B'!$C$7*COF!FZ17)^COF!GT17*10^COF!GX17),0))</f>
        <v>#N/A</v>
      </c>
      <c r="GE17" s="151" t="e">
        <f>IF(CD17=$TK$6,'Tables - Part 3.B'!$C$10*(('Tables - Part 3.B'!$C$7*COF!FW17)^COF!GU17*10^COF!GY17),IF(CD17=$TK$5,'Tables - Part 3.B'!$C$10*(('Tables - Part 3.B'!$C$7*COF!GA17)^COF!GU17*10^COF!GY17),0))</f>
        <v>#N/A</v>
      </c>
      <c r="GF17" s="152" t="e">
        <f t="shared" si="272"/>
        <v>#N/A</v>
      </c>
      <c r="GG17" s="152" t="e">
        <f t="shared" si="63"/>
        <v>#N/A</v>
      </c>
      <c r="GH17" s="152" t="e">
        <f t="shared" si="64"/>
        <v>#N/A</v>
      </c>
      <c r="GI17" s="152" t="e">
        <f t="shared" si="65"/>
        <v>#N/A</v>
      </c>
      <c r="GJ17" s="152" t="e">
        <f>IF(GF17&lt;'Tables - Part 3'!$CK$5,0,LOOKUP(GF17,'Tables - Part 3'!$CK$5:$CK$9))</f>
        <v>#N/A</v>
      </c>
      <c r="GK17" s="152" t="e">
        <f>IF(GG17&lt;'Tables - Part 3'!$CK$5,0,LOOKUP(GG17,'Tables - Part 3'!$CK$5:$CK$9))</f>
        <v>#N/A</v>
      </c>
      <c r="GL17" s="152" t="e">
        <f>IF(GH17&lt;'Tables - Part 3'!$CK$5,0,LOOKUP(GH17,'Tables - Part 3'!$CK$5:$CK$9))</f>
        <v>#N/A</v>
      </c>
      <c r="GM17" s="152" t="e">
        <f>IF(GI17&lt;'Tables - Part 3'!$CK$5,0,LOOKUP(GI17,'Tables - Part 3'!$CK$5:$CK$9))</f>
        <v>#N/A</v>
      </c>
      <c r="GN17" s="152" t="e">
        <f>IF(GF17&lt;'Tables - Part 3'!$CK$5,'Tables - Part 3'!$CK$5,IF(COF!GF17&lt;'Tables - Part 3'!$CK$6,'Tables - Part 3'!$CK$6,IF(COF!GF17&lt;'Tables - Part 3'!$CK$7,'Tables - Part 3'!$CK$7,IF(COF!GF17&lt;'Tables - Part 3'!$CK$8,'Tables - Part 3'!$CK$8,IF(COF!GF17&lt;'Tables - Part 3'!$CK$9,'Tables - Part 3'!$CK$9)))))</f>
        <v>#N/A</v>
      </c>
      <c r="GO17" s="152" t="e">
        <f>IF(GG17&lt;'Tables - Part 3'!$CK$5,'Tables - Part 3'!$CK$5,IF(COF!GG17&lt;'Tables - Part 3'!$CK$6,'Tables - Part 3'!$CK$6,IF(COF!GG17&lt;'Tables - Part 3'!$CK$7,'Tables - Part 3'!$CK$7,IF(COF!GG17&lt;'Tables - Part 3'!$CK$8,'Tables - Part 3'!$CK$8,IF(COF!GG17&lt;'Tables - Part 3'!$CK$9,'Tables - Part 3'!$CK$9)))))</f>
        <v>#N/A</v>
      </c>
      <c r="GP17" s="152" t="e">
        <f>IF(GH17&lt;'Tables - Part 3'!$CK$5,'Tables - Part 3'!$CK$5,IF(COF!GH17&lt;'Tables - Part 3'!$CK$6,'Tables - Part 3'!$CK$6,IF(COF!GH17&lt;'Tables - Part 3'!$CK$7,'Tables - Part 3'!$CK$7,IF(COF!GH17&lt;'Tables - Part 3'!$CK$8,'Tables - Part 3'!$CK$8,IF(COF!GH17&lt;'Tables - Part 3'!$CK$9,'Tables - Part 3'!$CK$9)))))</f>
        <v>#N/A</v>
      </c>
      <c r="GQ17" s="152" t="e">
        <f>IF(GI17&lt;'Tables - Part 3'!$CK$5,'Tables - Part 3'!$CK$5,IF(COF!GI17&lt;'Tables - Part 3'!$CK$6,'Tables - Part 3'!$CK$6,IF(COF!GI17&lt;'Tables - Part 3'!$CK$7,'Tables - Part 3'!$CK$7,IF(COF!GI17&lt;'Tables - Part 3'!$CK$8,'Tables - Part 3'!$CK$8,IF(COF!GI17&lt;'Tables - Part 3'!$CK$9,'Tables - Part 3'!$CK$9)))))</f>
        <v>#N/A</v>
      </c>
      <c r="GR17" s="151" t="e">
        <f>IF(CA17=$TK$5,'Tables - Part 3'!$CL$10,IF(COF!CA17=COF!$TK$6,IF(COF!GF17&lt;'Tables - Part 3'!$CK$5,'Tables - Part 3'!$CL$5,IF(GF17&gt;='Tables - Part 3'!$CK$9,'Tables - Part 3'!$CL$9,((COF!GF17-COF!GJ17)*(INDEX('Tables - Part 3'!$CL$5:$CL$9,MATCH(COF!GN17,'Tables - Part 3'!$CK$5:$CK$9,0))-INDEX('Tables - Part 3'!$CL$5:$CL$9,MATCH(COF!GJ17,'Tables - Part 3'!$CK$5:$CK$9,0)))/(GN17-GJ17)+INDEX('Tables - Part 3'!$CL$5:$CL$9,MATCH(COF!GJ17,'Tables - Part 3'!$CK$5:$CK$9,0)))))))</f>
        <v>#N/A</v>
      </c>
      <c r="GS17" s="151" t="e">
        <f>IF(CB17=$TK$5,'Tables - Part 3'!$CL$10,IF(COF!CB17=COF!$TK$6,IF(COF!GG17&lt;'Tables - Part 3'!$CK$5,'Tables - Part 3'!$CL$5,IF(GG17&gt;='Tables - Part 3'!$CK$9,'Tables - Part 3'!$CL$9,((COF!GG17-COF!GK17)*(INDEX('Tables - Part 3'!$CL$5:$CL$9,MATCH(COF!GO17,'Tables - Part 3'!$CK$5:$CK$9,0))-INDEX('Tables - Part 3'!$CL$5:$CL$9,MATCH(COF!GK17,'Tables - Part 3'!$CK$5:$CK$9,0)))/(GO17-GK17)+INDEX('Tables - Part 3'!$CL$5:$CL$9,MATCH(COF!GK17,'Tables - Part 3'!$CK$5:$CK$9,0)))))))</f>
        <v>#N/A</v>
      </c>
      <c r="GT17" s="151" t="e">
        <f>IF(CC17=$TK$5,'Tables - Part 3'!$CL$10,IF(COF!CC17=COF!$TK$6,IF(COF!GH17&lt;'Tables - Part 3'!$CK$5,'Tables - Part 3'!$CL$5,IF(GH17&gt;='Tables - Part 3'!$CK$9,'Tables - Part 3'!$CL$9,((COF!GH17-COF!GL17)*(INDEX('Tables - Part 3'!$CL$5:$CL$9,MATCH(COF!GP17,'Tables - Part 3'!$CK$5:$CK$9,0))-INDEX('Tables - Part 3'!$CL$5:$CL$9,MATCH(COF!GL17,'Tables - Part 3'!$CK$5:$CK$9,0)))/(GP17-GL17)+INDEX('Tables - Part 3'!$CL$5:$CL$9,MATCH(COF!GL17,'Tables - Part 3'!$CK$5:$CK$9,0)))))))</f>
        <v>#N/A</v>
      </c>
      <c r="GU17" s="151" t="e">
        <f>IF(CD17=$TK$5,'Tables - Part 3'!$CL$10,IF(COF!CD17=COF!$TK$6,IF(COF!GI17&lt;'Tables - Part 3'!$CK$5,'Tables - Part 3'!$CL$5,IF(GI17&gt;='Tables - Part 3'!$CK$9,'Tables - Part 3'!$CL$9,((COF!GI17-COF!GM17)*(INDEX('Tables - Part 3'!$CL$5:$CL$9,MATCH(COF!GQ17,'Tables - Part 3'!$CK$5:$CK$9,0))-INDEX('Tables - Part 3'!$CL$5:$CL$9,MATCH(COF!GM17,'Tables - Part 3'!$CK$5:$CK$9,0)))/(GQ17-GM17)+INDEX('Tables - Part 3'!$CL$5:$CL$9,MATCH(COF!GM17,'Tables - Part 3'!$CK$5:$CK$9,0)))))))</f>
        <v>#N/A</v>
      </c>
      <c r="GV17" s="151" t="e">
        <f>IF(CA17=$TK$5,'Tables - Part 3'!$CM$10,IF(COF!CA17=COF!$TK$6,IF(GF17&lt;'Tables - Part 3'!$CK$5,'Tables - Part 3'!$CM$5,IF(GF17&gt;='Tables - Part 3'!$CK$9,'Tables - Part 3'!$CM$9,((COF!GF17-COF!GJ17)*(INDEX('Tables - Part 3'!$CM$5:$CM$9,MATCH(COF!GN17,'Tables - Part 3'!$CK$5:$CK$9,0))-INDEX('Tables - Part 3'!$CM$5:$CM$9,MATCH(COF!GJ17,'Tables - Part 3'!$CK$5:$CK$9,0)))/(GN17-GJ17)+INDEX('Tables - Part 3'!$CM$5:$CM$9,MATCH(COF!GJ17,'Tables - Part 3'!$CK$5:$CK$9,0)))))))</f>
        <v>#N/A</v>
      </c>
      <c r="GW17" s="151" t="e">
        <f>IF(CB17=$TK$5,'Tables - Part 3'!$CM$10,IF(COF!CB17=COF!$TK$6,IF(GG17&lt;'Tables - Part 3'!$CK$5,'Tables - Part 3'!$CM$5,IF(GG17&gt;='Tables - Part 3'!$CK$9,'Tables - Part 3'!$CM$9,((COF!GG17-COF!GK17)*(INDEX('Tables - Part 3'!$CM$5:$CM$9,MATCH(COF!GO17,'Tables - Part 3'!$CK$5:$CK$9,0))-INDEX('Tables - Part 3'!$CM$5:$CM$9,MATCH(COF!GK17,'Tables - Part 3'!$CK$5:$CK$9,0)))/(GO17-GK17)+INDEX('Tables - Part 3'!$CM$5:$CM$9,MATCH(COF!GK17,'Tables - Part 3'!$CK$5:$CK$9,0)))))))</f>
        <v>#N/A</v>
      </c>
      <c r="GX17" s="151" t="e">
        <f>IF(CC17=$TK$5,'Tables - Part 3'!$CM$10,IF(COF!CC17=COF!$TK$6,IF(GH17&lt;'Tables - Part 3'!$CK$5,'Tables - Part 3'!$CM$5,IF(GH17&gt;='Tables - Part 3'!$CK$9,'Tables - Part 3'!$CM$9,((COF!GH17-COF!GL17)*(INDEX('Tables - Part 3'!$CM$5:$CM$9,MATCH(COF!GP17,'Tables - Part 3'!$CK$5:$CK$9,0))-INDEX('Tables - Part 3'!$CM$5:$CM$9,MATCH(COF!GL17,'Tables - Part 3'!$CK$5:$CK$9,0)))/(GP17-GL17)+INDEX('Tables - Part 3'!$CM$5:$CM$9,MATCH(COF!GL17,'Tables - Part 3'!$CK$5:$CK$9,0)))))))</f>
        <v>#N/A</v>
      </c>
      <c r="GY17" s="151" t="e">
        <f>IF(CD17=$TK$5,'Tables - Part 3'!$CM$10,IF(COF!CD17=COF!$TK$6,IF(GI17&lt;'Tables - Part 3'!$CK$5,'Tables - Part 3'!$CM$5,IF(GI17&gt;='Tables - Part 3'!$CK$9,'Tables - Part 3'!$CM$9,((COF!GI17-COF!GM17)*(INDEX('Tables - Part 3'!$CM$5:$CM$9,MATCH(COF!GQ17,'Tables - Part 3'!$CK$5:$CK$9,0))-INDEX('Tables - Part 3'!$CM$5:$CM$9,MATCH(COF!GM17,'Tables - Part 3'!$CK$5:$CK$9,0)))/(GQ17-GM17)+INDEX('Tables - Part 3'!$CM$5:$CM$9,MATCH(COF!GM17,'Tables - Part 3'!$CK$5:$CK$9,0)))))))</f>
        <v>#N/A</v>
      </c>
      <c r="GZ17" s="151">
        <f t="shared" si="273"/>
        <v>0</v>
      </c>
      <c r="HA17" s="151">
        <f t="shared" si="67"/>
        <v>0</v>
      </c>
      <c r="HB17" s="151">
        <f t="shared" si="68"/>
        <v>0</v>
      </c>
      <c r="HC17" s="151">
        <f t="shared" si="69"/>
        <v>0</v>
      </c>
      <c r="HD17" s="151">
        <f t="shared" si="274"/>
        <v>0</v>
      </c>
      <c r="HE17" s="151">
        <f t="shared" si="71"/>
        <v>0</v>
      </c>
      <c r="HF17" s="151">
        <f t="shared" si="72"/>
        <v>0</v>
      </c>
      <c r="HG17" s="151">
        <f t="shared" si="73"/>
        <v>0</v>
      </c>
      <c r="HH17" s="151" t="e">
        <f>IF(CA17=$TK$6,'Tables - Part 3.B'!$C$10*(('Tables - Part 3.B'!$C$7*COF!GZ17)^COF!HL17*10^COF!HP17),IF(CA17=$TK$5,'Tables - Part 3.B'!$C$10*(('Tables - Part 3.B'!$C$7*COF!HD17)^COF!HL17*10^COF!HP17),0))</f>
        <v>#N/A</v>
      </c>
      <c r="HI17" s="151" t="e">
        <f>IF(CB17=$TK$6,'Tables - Part 3.B'!$C$10*(('Tables - Part 3.B'!$C$7*COF!HA17)^COF!HM17*10^COF!HQ17),IF(CB17=$TK$5,'Tables - Part 3.B'!$C$10*(('Tables - Part 3.B'!$C$7*COF!HE17)^COF!HM17*10^COF!HQ17),0))</f>
        <v>#N/A</v>
      </c>
      <c r="HJ17" s="151" t="e">
        <f>IF(CC17=$TK$6,'Tables - Part 3.B'!$C$10*(('Tables - Part 3.B'!$C$7*COF!HB17)^COF!HN17*10^COF!HR17),IF(CC17=$TK$5,'Tables - Part 3.B'!$C$10*(('Tables - Part 3.B'!$C$7*COF!HF17)^COF!HN17*10^COF!HR17),0))</f>
        <v>#N/A</v>
      </c>
      <c r="HK17" s="151" t="e">
        <f>IF(CD17=$TK$6,'Tables - Part 3.B'!$C$10*(('Tables - Part 3.B'!$C$7*COF!HC17)^COF!HO17*10^COF!HS17),IF(CD17=$TK$5,'Tables - Part 3.B'!$C$10*(('Tables - Part 3.B'!$C$7*COF!HG17)^COF!HO17*10^COF!HS17),0))</f>
        <v>#N/A</v>
      </c>
      <c r="HL17" s="151" t="e">
        <f>IF(CA17=$TK$5,'Tables - Part 3'!$CN$10,IF(COF!CA17=COF!$TK$6,IF(COF!GF17&lt;'Tables - Part 3'!$CK$5,'Tables - Part 3'!$CN$5,IF(GF17&gt;='Tables - Part 3'!$CK$9,'Tables - Part 3'!$CN$9,((COF!GF17-COF!GJ17)*(INDEX('Tables - Part 3'!$CN$5:$CN$9,MATCH(COF!GN17,'Tables - Part 3'!$CK$5:$CK$9,0))-INDEX('Tables - Part 3'!$CN$5:$CN$9,MATCH(COF!GJ17,'Tables - Part 3'!$CK$5:$CK$9,0)))/(GN17-GJ17)+INDEX('Tables - Part 3'!$CN$5:$CN$9,MATCH(COF!GJ17,'Tables - Part 3'!$CK$5:$CK$9,0)))))))</f>
        <v>#N/A</v>
      </c>
      <c r="HM17" s="151" t="e">
        <f>IF(CB17=$TK$5,'Tables - Part 3'!$CN$10,IF(COF!CB17=COF!$TK$6,IF(COF!GG17&lt;'Tables - Part 3'!$CK$5,'Tables - Part 3'!$CN$5,IF(GG17&gt;='Tables - Part 3'!$CK$9,'Tables - Part 3'!$CN$9,((COF!GG17-COF!GK17)*(INDEX('Tables - Part 3'!$CN$5:$CN$9,MATCH(COF!GO17,'Tables - Part 3'!$CK$5:$CK$9,0))-INDEX('Tables - Part 3'!$CN$5:$CN$9,MATCH(COF!GK17,'Tables - Part 3'!$CK$5:$CK$9,0)))/(GO17-GK17)+INDEX('Tables - Part 3'!$CN$5:$CN$9,MATCH(COF!GK17,'Tables - Part 3'!$CK$5:$CK$9,0)))))))</f>
        <v>#N/A</v>
      </c>
      <c r="HN17" s="151" t="e">
        <f>IF(CC17=$TK$5,'Tables - Part 3'!$CN$10,IF(COF!CC17=COF!$TK$6,IF(COF!GH17&lt;'Tables - Part 3'!$CK$5,'Tables - Part 3'!$CN$5,IF(GH17&gt;='Tables - Part 3'!$CK$9,'Tables - Part 3'!$CN$9,((COF!GH17-COF!GL17)*(INDEX('Tables - Part 3'!$CN$5:$CN$9,MATCH(COF!GP17,'Tables - Part 3'!$CK$5:$CK$9,0))-INDEX('Tables - Part 3'!$CN$5:$CN$9,MATCH(COF!GL17,'Tables - Part 3'!$CK$5:$CK$9,0)))/(GP17-GL17)+INDEX('Tables - Part 3'!$CN$5:$CN$9,MATCH(COF!GL17,'Tables - Part 3'!$CK$5:$CK$9,0)))))))</f>
        <v>#N/A</v>
      </c>
      <c r="HO17" s="151" t="e">
        <f>IF(CD17=$TK$5,'Tables - Part 3'!$CN$10,IF(COF!CD17=COF!$TK$6,IF(COF!GI17&lt;'Tables - Part 3'!$CK$5,'Tables - Part 3'!$CN$5,IF(GI17&gt;='Tables - Part 3'!$CK$9,'Tables - Part 3'!$CN$9,((COF!GI17-COF!GM17)*(INDEX('Tables - Part 3'!$CN$5:$CN$9,MATCH(COF!GQ17,'Tables - Part 3'!$CK$5:$CK$9,0))-INDEX('Tables - Part 3'!$CN$5:$CN$9,MATCH(COF!GM17,'Tables - Part 3'!$CK$5:$CK$9,0)))/(GQ17-GM17)+INDEX('Tables - Part 3'!$CN$5:$CN$9,MATCH(COF!GM17,'Tables - Part 3'!$CK$5:$CK$9,0)))))))</f>
        <v>#N/A</v>
      </c>
      <c r="HP17" s="151" t="e">
        <f>IF(CA17=$TK$5,'Tables - Part 3'!$CO$10,IF(COF!CA17=COF!$TK$6,IF(GF17&lt;'Tables - Part 3'!$CK$5,'Tables - Part 3'!$CO$5,IF(GF17&gt;='Tables - Part 3'!$CK$9,'Tables - Part 3'!$CO$9,((COF!GF17-COF!GJ17)*(INDEX('Tables - Part 3'!$CO$5:$CO$9,MATCH(COF!GN17,'Tables - Part 3'!$CK$5:$CK$9,0))-INDEX('Tables - Part 3'!$CO$5:$CO$9,MATCH(COF!GJ17,'Tables - Part 3'!$CK$5:$CK$9,0)))/(GN17-GJ17)+INDEX('Tables - Part 3'!$CO$5:$CO$9,MATCH(COF!GJ17,'Tables - Part 3'!$CK$5:$CK$9,0)))))))</f>
        <v>#N/A</v>
      </c>
      <c r="HQ17" s="151" t="e">
        <f>IF(CB17=$TK$5,'Tables - Part 3'!$CO$10,IF(COF!CB17=COF!$TK$6,IF(GG17&lt;'Tables - Part 3'!$CK$5,'Tables - Part 3'!$CO$5,IF(GG17&gt;='Tables - Part 3'!$CK$9,'Tables - Part 3'!$CO$9,((COF!GG17-COF!GK17)*(INDEX('Tables - Part 3'!$CO$5:$CO$9,MATCH(COF!GO17,'Tables - Part 3'!$CK$5:$CK$9,0))-INDEX('Tables - Part 3'!$CO$5:$CO$9,MATCH(COF!GK17,'Tables - Part 3'!$CK$5:$CK$9,0)))/(GO17-GK17)+INDEX('Tables - Part 3'!$CO$5:$CO$9,MATCH(COF!GK17,'Tables - Part 3'!$CK$5:$CK$9,0)))))))</f>
        <v>#N/A</v>
      </c>
      <c r="HR17" s="151" t="e">
        <f>IF(CC17=$TK$5,'Tables - Part 3'!$CO$10,IF(COF!CC17=COF!$TK$6,IF(GH17&lt;'Tables - Part 3'!$CK$5,'Tables - Part 3'!$CO$5,IF(GH17&gt;='Tables - Part 3'!$CK$9,'Tables - Part 3'!$CO$9,((COF!GH17-COF!GL17)*(INDEX('Tables - Part 3'!$CO$5:$CO$9,MATCH(COF!GP17,'Tables - Part 3'!$CK$5:$CK$9,0))-INDEX('Tables - Part 3'!$CO$5:$CO$9,MATCH(COF!GL17,'Tables - Part 3'!$CK$5:$CK$9,0)))/(GP17-GL17)+INDEX('Tables - Part 3'!$CO$5:$CO$9,MATCH(COF!GL17,'Tables - Part 3'!$CK$5:$CK$9,0)))))))</f>
        <v>#N/A</v>
      </c>
      <c r="HS17" s="151" t="e">
        <f>IF(CD17=$TK$5,'Tables - Part 3'!$CO$10,IF(COF!CD17=COF!$TK$6,IF(GI17&lt;'Tables - Part 3'!$CK$5,'Tables - Part 3'!$CO$5,IF(GI17&gt;='Tables - Part 3'!$CK$9,'Tables - Part 3'!$CO$9,((COF!GI17-COF!GM17)*(INDEX('Tables - Part 3'!$CO$5:$CO$9,MATCH(COF!GQ17,'Tables - Part 3'!$CK$5:$CK$9,0))-INDEX('Tables - Part 3'!$CO$5:$CO$9,MATCH(COF!GM17,'Tables - Part 3'!$CK$5:$CK$9,0)))/(GQ17-GM17)+INDEX('Tables - Part 3'!$CO$5:$CO$9,MATCH(COF!GM17,'Tables - Part 3'!$CK$5:$CK$9,0)))))))</f>
        <v>#N/A</v>
      </c>
      <c r="HT17" s="151">
        <f t="shared" si="275"/>
        <v>0</v>
      </c>
      <c r="HU17" s="151">
        <f t="shared" si="75"/>
        <v>0</v>
      </c>
      <c r="HV17" s="151">
        <f t="shared" si="76"/>
        <v>0</v>
      </c>
      <c r="HW17" s="151">
        <f t="shared" si="77"/>
        <v>0</v>
      </c>
      <c r="HX17" s="151">
        <f t="shared" si="276"/>
        <v>0</v>
      </c>
      <c r="HY17" s="151">
        <f t="shared" si="79"/>
        <v>0</v>
      </c>
      <c r="HZ17" s="151">
        <f t="shared" si="80"/>
        <v>0</v>
      </c>
      <c r="IA17" s="151">
        <f t="shared" si="81"/>
        <v>0</v>
      </c>
      <c r="IB17" s="153" t="e">
        <f t="shared" si="82"/>
        <v>#N/A</v>
      </c>
      <c r="IC17" s="153" t="e">
        <f t="shared" si="83"/>
        <v>#N/A</v>
      </c>
      <c r="ID17" s="153" t="e">
        <f t="shared" si="84"/>
        <v>#N/A</v>
      </c>
      <c r="IE17" s="153" t="e">
        <f t="shared" si="85"/>
        <v>#N/A</v>
      </c>
      <c r="IF17" s="152" t="e">
        <f>IF(GF17&lt;'Tables - Part 3'!$CQ$5,0,LOOKUP(GF17,'Tables - Part 3'!$CQ$5:$CQ$16))</f>
        <v>#N/A</v>
      </c>
      <c r="IG17" s="152" t="e">
        <f>IF(GG17&lt;'Tables - Part 3'!$CQ$5,0,LOOKUP(GG17,'Tables - Part 3'!$CQ$5:$CQ$16))</f>
        <v>#N/A</v>
      </c>
      <c r="IH17" s="152" t="e">
        <f>IF(GH17&lt;'Tables - Part 3'!$CQ$5,0,LOOKUP(GH17,'Tables - Part 3'!$CQ$5:$CQ$16))</f>
        <v>#N/A</v>
      </c>
      <c r="II17" s="152" t="e">
        <f>IF(GI17&lt;'Tables - Part 3'!$CQ$5,0,LOOKUP(GI17,'Tables - Part 3'!$CQ$5:$CQ$16))</f>
        <v>#N/A</v>
      </c>
      <c r="IJ17" s="152" t="e">
        <f>IF(GF17&lt;'Tables - Part 3'!$CQ$5,'Tables - Part 3'!$CQ$5,IF(COF!GF17&lt;'Tables - Part 3'!$CQ$6,'Tables - Part 3'!$CQ$6,IF(COF!GF17&lt;'Tables - Part 3'!$CQ$7,'Tables - Part 3'!$CQ$7,IF(COF!GF17&lt;'Tables - Part 3'!$CQ$8,'Tables - Part 3'!$CQ$8,IF(COF!GF17&lt;'Tables - Part 3'!$CQ$9,'Tables - Part 3'!$CQ$9,IF(COF!GF17&lt;'Tables - Part 3'!$CQ$10,'Tables - Part 3'!$CQ$10,IF(COF!GF17&lt;'Tables - Part 3'!$CQ$11,'Tables - Part 3'!$CQ$11,IF(COF!GF17&lt;'Tables - Part 3'!$CQ$12,'Tables - Part 3'!$CQ$12,IF(COF!GF17&lt;'Tables - Part 3'!$CQ$13,'Tables - Part 3'!$CQ$13,IF(COF!GF17&lt;'Tables - Part 3'!$CQ$14,'Tables - Part 3'!$CQ$14,IF(COF!GF17&lt;'Tables - Part 3'!$CQ$15,'Tables - Part 3'!$CQ$15,IF(COF!GF17&lt;'Tables - Part 3'!$CQ$16,'Tables - Part 3'!$CQ$16))))))))))))</f>
        <v>#N/A</v>
      </c>
      <c r="IK17" s="152" t="e">
        <f>IF(GG17&lt;'Tables - Part 3'!$CQ$5,'Tables - Part 3'!$CQ$5,IF(COF!GG17&lt;'Tables - Part 3'!$CQ$6,'Tables - Part 3'!$CQ$6,IF(COF!GG17&lt;'Tables - Part 3'!$CQ$7,'Tables - Part 3'!$CQ$7,IF(COF!GG17&lt;'Tables - Part 3'!$CQ$8,'Tables - Part 3'!$CQ$8,IF(COF!GG17&lt;'Tables - Part 3'!$CQ$9,'Tables - Part 3'!$CQ$9,IF(COF!GG17&lt;'Tables - Part 3'!$CQ$10,'Tables - Part 3'!$CQ$10,IF(COF!GG17&lt;'Tables - Part 3'!$CQ$11,'Tables - Part 3'!$CQ$11,IF(COF!GG17&lt;'Tables - Part 3'!$CQ$12,'Tables - Part 3'!$CQ$12,IF(COF!GG17&lt;'Tables - Part 3'!$CQ$13,'Tables - Part 3'!$CQ$13,IF(COF!GG17&lt;'Tables - Part 3'!$CQ$14,'Tables - Part 3'!$CQ$14,IF(COF!GG17&lt;'Tables - Part 3'!$CQ$15,'Tables - Part 3'!$CQ$15,IF(COF!GG17&lt;'Tables - Part 3'!$CQ$16,'Tables - Part 3'!$CQ$16))))))))))))</f>
        <v>#N/A</v>
      </c>
      <c r="IL17" s="152" t="e">
        <f>IF(GH17&lt;'Tables - Part 3'!$CQ$5,'Tables - Part 3'!$CQ$5,IF(COF!GH17&lt;'Tables - Part 3'!$CQ$6,'Tables - Part 3'!$CQ$6,IF(COF!GH17&lt;'Tables - Part 3'!$CQ$7,'Tables - Part 3'!$CQ$7,IF(COF!GH17&lt;'Tables - Part 3'!$CQ$8,'Tables - Part 3'!$CQ$8,IF(COF!GH17&lt;'Tables - Part 3'!$CQ$9,'Tables - Part 3'!$CQ$9,IF(COF!GH17&lt;'Tables - Part 3'!$CQ$10,'Tables - Part 3'!$CQ$10,IF(COF!GH17&lt;'Tables - Part 3'!$CQ$11,'Tables - Part 3'!$CQ$11,IF(COF!GH17&lt;'Tables - Part 3'!$CQ$12,'Tables - Part 3'!$CQ$12,IF(COF!GH17&lt;'Tables - Part 3'!$CQ$13,'Tables - Part 3'!$CQ$13,IF(COF!GH17&lt;'Tables - Part 3'!$CQ$14,'Tables - Part 3'!$CQ$14,IF(COF!GH17&lt;'Tables - Part 3'!$CQ$15,'Tables - Part 3'!$CQ$15,IF(COF!GH17&lt;'Tables - Part 3'!$CQ$16,'Tables - Part 3'!$CQ$16))))))))))))</f>
        <v>#N/A</v>
      </c>
      <c r="IM17" s="152" t="e">
        <f>IF(GI17&lt;'Tables - Part 3'!$CQ$5,'Tables - Part 3'!$CQ$5,IF(COF!GI17&lt;'Tables - Part 3'!$CQ$6,'Tables - Part 3'!$CQ$6,IF(COF!GI17&lt;'Tables - Part 3'!$CQ$7,'Tables - Part 3'!$CQ$7,IF(COF!GI17&lt;'Tables - Part 3'!$CQ$8,'Tables - Part 3'!$CQ$8,IF(COF!GI17&lt;'Tables - Part 3'!$CQ$9,'Tables - Part 3'!$CQ$9,IF(COF!GI17&lt;'Tables - Part 3'!$CQ$10,'Tables - Part 3'!$CQ$10,IF(COF!GI17&lt;'Tables - Part 3'!$CQ$11,'Tables - Part 3'!$CQ$11,IF(COF!GI17&lt;'Tables - Part 3'!$CQ$12,'Tables - Part 3'!$CQ$12,IF(COF!GI17&lt;'Tables - Part 3'!$CQ$13,'Tables - Part 3'!$CQ$13,IF(COF!GI17&lt;'Tables - Part 3'!$CQ$14,'Tables - Part 3'!$CQ$14,IF(COF!GI17&lt;'Tables - Part 3'!$CQ$15,'Tables - Part 3'!$CQ$15,IF(COF!GI17&lt;'Tables - Part 3'!$CQ$16,'Tables - Part 3'!$CQ$16))))))))))))</f>
        <v>#N/A</v>
      </c>
      <c r="IN17" s="151" t="e">
        <f>IF(CA17=$TK$5,'Tables - Part 3'!$CR$17,IF(COF!CA17=COF!$TK$6,IF(COF!GF17&lt;'Tables - Part 3'!$CQ$5,'Tables - Part 3'!$CR$5,IF(GF17&gt;='Tables - Part 3'!$CQ$16,'Tables - Part 3'!$CR$16,((COF!GF17-COF!IF17)*(INDEX('Tables - Part 3'!$CR$5:$CR$16,MATCH(COF!IJ17,'Tables - Part 3'!$CQ$5:$CQ$16,0))-INDEX('Tables - Part 3'!$CR$5:$CR$16,MATCH(COF!IF17,'Tables - Part 3'!$CQ$5:$CQ$16,0)))/(IJ17-IF17)+INDEX('Tables - Part 3'!$CR$5:$CR$16,MATCH(COF!IF17,'Tables - Part 3'!$CQ$5:$CQ$16,0)))))))</f>
        <v>#N/A</v>
      </c>
      <c r="IO17" s="151" t="e">
        <f>IF(CB17=$TK$5,'Tables - Part 3'!$CR$17,IF(COF!CB17=COF!$TK$6,IF(COF!GG17&lt;'Tables - Part 3'!$CQ$5,'Tables - Part 3'!$CR$5,IF(GG17&gt;='Tables - Part 3'!$CQ$16,'Tables - Part 3'!$CR$16,((COF!GG17-COF!IG17)*(INDEX('Tables - Part 3'!$CR$5:$CR$16,MATCH(COF!IK17,'Tables - Part 3'!$CQ$5:$CQ$16,0))-INDEX('Tables - Part 3'!$CR$5:$CR$16,MATCH(COF!IG17,'Tables - Part 3'!$CQ$5:$CQ$16,0)))/(IK17-IG17)+INDEX('Tables - Part 3'!$CR$5:$CR$16,MATCH(COF!IG17,'Tables - Part 3'!$CQ$5:$CQ$16,0)))))))</f>
        <v>#N/A</v>
      </c>
      <c r="IP17" s="151" t="e">
        <f>IF(CC17=$TK$5,'Tables - Part 3'!$CR$17,IF(COF!CC17=COF!$TK$6,IF(COF!GH17&lt;'Tables - Part 3'!$CQ$5,'Tables - Part 3'!$CR$5,IF(GH17&gt;='Tables - Part 3'!$CQ$16,'Tables - Part 3'!$CR$16,((COF!GH17-COF!IH17)*(INDEX('Tables - Part 3'!$CR$5:$CR$16,MATCH(COF!IL17,'Tables - Part 3'!$CQ$5:$CQ$16,0))-INDEX('Tables - Part 3'!$CR$5:$CR$16,MATCH(COF!IH17,'Tables - Part 3'!$CQ$5:$CQ$16,0)))/(IL17-IH17)+INDEX('Tables - Part 3'!$CR$5:$CR$16,MATCH(COF!IH17,'Tables - Part 3'!$CQ$5:$CQ$16,0)))))))</f>
        <v>#N/A</v>
      </c>
      <c r="IQ17" s="151" t="e">
        <f>IF(CD17=$TK$5,'Tables - Part 3'!$CR$17,IF(COF!CD17=COF!$TK$6,IF(COF!GI17&lt;'Tables - Part 3'!$CQ$5,'Tables - Part 3'!$CR$5,IF(GI17&gt;='Tables - Part 3'!$CQ$16,'Tables - Part 3'!$CR$16,((COF!GI17-COF!II17)*(INDEX('Tables - Part 3'!$CR$5:$CR$16,MATCH(COF!IM17,'Tables - Part 3'!$CQ$5:$CQ$16,0))-INDEX('Tables - Part 3'!$CR$5:$CR$16,MATCH(COF!II17,'Tables - Part 3'!$CQ$5:$CQ$16,0)))/(IM17-II17)+INDEX('Tables - Part 3'!$CR$5:$CR$16,MATCH(COF!II17,'Tables - Part 3'!$CQ$5:$CQ$16,0)))))))</f>
        <v>#N/A</v>
      </c>
      <c r="IR17" s="151" t="e">
        <f>IF(CA17=$TK$5,'Tables - Part 3'!$CS$17,IF(COF!CA17=COF!$TK$6,IF(COF!GF17&lt;'Tables - Part 3'!$CQ$5,'Tables - Part 3'!$CS$5,IF(GF17&gt;='Tables - Part 3'!$CQ$16,'Tables - Part 3'!$CS$16,((COF!GF17-COF!IF17)*(INDEX('Tables - Part 3'!$CS$5:$CS$16,MATCH(COF!IJ17,'Tables - Part 3'!$CQ$5:$CQ$16,0))-INDEX('Tables - Part 3'!$CS$5:$CS$16,MATCH(COF!IF17,'Tables - Part 3'!$CQ$5:$CQ$16,0)))/(IJ17-IF17)+INDEX('Tables - Part 3'!$CS$5:$CS$16,MATCH(COF!IF17,'Tables - Part 3'!$CQ$5:$CQ$16,0)))))))</f>
        <v>#N/A</v>
      </c>
      <c r="IS17" s="151" t="e">
        <f>IF(CB17=$TK$5,'Tables - Part 3'!$CS$17,IF(COF!CB17=COF!$TK$6,IF(COF!GG17&lt;'Tables - Part 3'!$CQ$5,'Tables - Part 3'!$CS$5,IF(GG17&gt;='Tables - Part 3'!$CQ$16,'Tables - Part 3'!$CS$16,((COF!GG17-COF!IG17)*(INDEX('Tables - Part 3'!$CS$5:$CS$16,MATCH(COF!IK17,'Tables - Part 3'!$CQ$5:$CQ$16,0))-INDEX('Tables - Part 3'!$CS$5:$CS$16,MATCH(COF!IG17,'Tables - Part 3'!$CQ$5:$CQ$16,0)))/(IK17-IG17)+INDEX('Tables - Part 3'!$CS$5:$CS$16,MATCH(COF!IG17,'Tables - Part 3'!$CQ$5:$CQ$16,0)))))))</f>
        <v>#N/A</v>
      </c>
      <c r="IT17" s="151" t="e">
        <f>IF(CC17=$TK$5,'Tables - Part 3'!$CS$17,IF(COF!CC17=COF!$TK$6,IF(COF!GH17&lt;'Tables - Part 3'!$CQ$5,'Tables - Part 3'!$CS$5,IF(GH17&gt;='Tables - Part 3'!$CQ$16,'Tables - Part 3'!$CS$16,((COF!GH17-COF!IH17)*(INDEX('Tables - Part 3'!$CS$5:$CS$16,MATCH(COF!IL17,'Tables - Part 3'!$CQ$5:$CQ$16,0))-INDEX('Tables - Part 3'!$CS$5:$CS$16,MATCH(COF!IH17,'Tables - Part 3'!$CQ$5:$CQ$16,0)))/(IL17-IH17)+INDEX('Tables - Part 3'!$CS$5:$CS$16,MATCH(COF!IH17,'Tables - Part 3'!$CQ$5:$CQ$16,0)))))))</f>
        <v>#N/A</v>
      </c>
      <c r="IU17" s="151" t="e">
        <f>IF(CD17=$TK$5,'Tables - Part 3'!$CS$17,IF(COF!CD17=COF!$TK$6,IF(COF!GI17&lt;'Tables - Part 3'!$CQ$5,'Tables - Part 3'!$CS$5,IF(GI17&gt;='Tables - Part 3'!$CQ$16,'Tables - Part 3'!$CS$16,((COF!GI17-COF!II17)*(INDEX('Tables - Part 3'!$CS$5:$CS$16,MATCH(COF!IM17,'Tables - Part 3'!$CQ$5:$CQ$16,0))-INDEX('Tables - Part 3'!$CS$5:$CS$16,MATCH(COF!II17,'Tables - Part 3'!$CQ$5:$CQ$16,0)))/(IM17-II17)+INDEX('Tables - Part 3'!$CS$5:$CS$16,MATCH(COF!II17,'Tables - Part 3'!$CQ$5:$CQ$16,0)))))))</f>
        <v>#N/A</v>
      </c>
      <c r="IV17" s="151">
        <f t="shared" si="277"/>
        <v>0</v>
      </c>
      <c r="IW17" s="151">
        <f t="shared" si="87"/>
        <v>0</v>
      </c>
      <c r="IX17" s="151">
        <f t="shared" si="88"/>
        <v>0</v>
      </c>
      <c r="IY17" s="151">
        <f t="shared" si="89"/>
        <v>0</v>
      </c>
      <c r="IZ17" s="151">
        <f t="shared" si="278"/>
        <v>0</v>
      </c>
      <c r="JA17" s="151">
        <f t="shared" si="91"/>
        <v>0</v>
      </c>
      <c r="JB17" s="151">
        <f t="shared" si="92"/>
        <v>0</v>
      </c>
      <c r="JC17" s="151">
        <f t="shared" si="93"/>
        <v>0</v>
      </c>
      <c r="JD17" s="151" t="e">
        <f t="shared" si="94"/>
        <v>#N/A</v>
      </c>
      <c r="JE17" s="151" t="e">
        <f t="shared" si="95"/>
        <v>#N/A</v>
      </c>
      <c r="JF17" s="151" t="e">
        <f t="shared" si="96"/>
        <v>#N/A</v>
      </c>
      <c r="JG17" s="151" t="e">
        <f t="shared" si="97"/>
        <v>#N/A</v>
      </c>
      <c r="JH17" s="151" t="e">
        <f>IF(CA17=$TK$5,'Tables - Part 3'!$CT$17,IF(COF!CA17=COF!$TK$6,IF(COF!GF17&lt;'Tables - Part 3'!$CQ$5,'Tables - Part 3'!$CT$5,IF(GF17&gt;='Tables - Part 3'!$CQ$16,'Tables - Part 3'!$CT$16,((COF!GF17-COF!IF17)*(INDEX('Tables - Part 3'!$CT$5:$CT$16,MATCH(COF!IJ17,'Tables - Part 3'!$CQ$5:$CQ$16,0))-INDEX('Tables - Part 3'!$CT$5:$CT$16,MATCH(COF!IF17,'Tables - Part 3'!$CQ$5:$CQ$16,0)))/(IJ17-IF17)+INDEX('Tables - Part 3'!$CT$5:$CT$16,MATCH(COF!IF17,'Tables - Part 3'!$CQ$5:$CQ$16,0)))))))</f>
        <v>#N/A</v>
      </c>
      <c r="JI17" s="151" t="e">
        <f>IF(CB17=$TK$5,'Tables - Part 3'!$CT$17,IF(COF!CB17=COF!$TK$6,IF(COF!GG17&lt;'Tables - Part 3'!$CQ$5,'Tables - Part 3'!$CT$5,IF(GG17&gt;='Tables - Part 3'!$CQ$16,'Tables - Part 3'!$CT$16,((COF!GG17-COF!IG17)*(INDEX('Tables - Part 3'!$CT$5:$CT$16,MATCH(COF!IK17,'Tables - Part 3'!$CQ$5:$CQ$16,0))-INDEX('Tables - Part 3'!$CT$5:$CT$16,MATCH(COF!IG17,'Tables - Part 3'!$CQ$5:$CQ$16,0)))/(IK17-IG17)+INDEX('Tables - Part 3'!$CT$5:$CT$16,MATCH(COF!IG17,'Tables - Part 3'!$CQ$5:$CQ$16,0)))))))</f>
        <v>#N/A</v>
      </c>
      <c r="JJ17" s="151" t="e">
        <f>IF(CC17=$TK$5,'Tables - Part 3'!$CT$17,IF(COF!CC17=COF!$TK$6,IF(COF!GH17&lt;'Tables - Part 3'!$CQ$5,'Tables - Part 3'!$CT$5,IF(GH17&gt;='Tables - Part 3'!$CQ$16,'Tables - Part 3'!$CT$16,((COF!GH17-COF!IH17)*(INDEX('Tables - Part 3'!$CT$5:$CT$16,MATCH(COF!IL17,'Tables - Part 3'!$CQ$5:$CQ$16,0))-INDEX('Tables - Part 3'!$CT$5:$CT$16,MATCH(COF!IH17,'Tables - Part 3'!$CQ$5:$CQ$16,0)))/(IL17-IH17)+INDEX('Tables - Part 3'!$CT$5:$CT$16,MATCH(COF!IH17,'Tables - Part 3'!$CQ$5:$CQ$16,0)))))))</f>
        <v>#N/A</v>
      </c>
      <c r="JK17" s="151" t="e">
        <f>IF(CD17=$TK$5,'Tables - Part 3'!$CT$17,IF(COF!CD17=COF!$TK$6,IF(COF!GI17&lt;'Tables - Part 3'!$CQ$5,'Tables - Part 3'!$CT$5,IF(GI17&gt;='Tables - Part 3'!$CQ$16,'Tables - Part 3'!$CT$16,((COF!GI17-COF!II17)*(INDEX('Tables - Part 3'!$CT$5:$CT$16,MATCH(COF!IM17,'Tables - Part 3'!$CQ$5:$CQ$16,0))-INDEX('Tables - Part 3'!$CT$5:$CT$16,MATCH(COF!II17,'Tables - Part 3'!$CQ$5:$CQ$16,0)))/(IM17-II17)+INDEX('Tables - Part 3'!$CT$5:$CT$16,MATCH(COF!II17,'Tables - Part 3'!$CQ$5:$CQ$16,0)))))))</f>
        <v>#N/A</v>
      </c>
      <c r="JL17" s="151" t="e">
        <f>IF(CA17=$TK$5,'Tables - Part 3'!$CU$17,IF(COF!CA17=COF!$TK$6,IF(COF!GF17&lt;'Tables - Part 3'!$CQ$5,'Tables - Part 3'!$CU$5,IF(GF17&gt;='Tables - Part 3'!$CQ$16,'Tables - Part 3'!$CU$16,((COF!GF17-COF!IF17)*(INDEX('Tables - Part 3'!$CU$5:$CU$16,MATCH(COF!IJ17,'Tables - Part 3'!$CQ$5:$CQ$16,0))-INDEX('Tables - Part 3'!$CU$5:$CU$16,MATCH(COF!IF17,'Tables - Part 3'!$CQ$5:$CQ$16,0)))/(IJ17-IF17)+INDEX('Tables - Part 3'!$CU$5:$CU$16,MATCH(COF!IF17,'Tables - Part 3'!$CQ$5:$CQ$16,0)))))))</f>
        <v>#N/A</v>
      </c>
      <c r="JM17" s="151" t="e">
        <f>IF(CB17=$TK$5,'Tables - Part 3'!$CU$17,IF(COF!CB17=COF!$TK$6,IF(COF!GG17&lt;'Tables - Part 3'!$CQ$5,'Tables - Part 3'!$CU$5,IF(GG17&gt;='Tables - Part 3'!$CQ$16,'Tables - Part 3'!$CU$16,((COF!GG17-COF!IG17)*(INDEX('Tables - Part 3'!$CU$5:$CU$16,MATCH(COF!IK17,'Tables - Part 3'!$CQ$5:$CQ$16,0))-INDEX('Tables - Part 3'!$CU$5:$CU$16,MATCH(COF!IG17,'Tables - Part 3'!$CQ$5:$CQ$16,0)))/(IK17-IG17)+INDEX('Tables - Part 3'!$CU$5:$CU$16,MATCH(COF!IG17,'Tables - Part 3'!$CQ$5:$CQ$16,0)))))))</f>
        <v>#N/A</v>
      </c>
      <c r="JN17" s="151" t="e">
        <f>IF(CC17=$TK$5,'Tables - Part 3'!$CU$17,IF(COF!CC17=COF!$TK$6,IF(COF!GH17&lt;'Tables - Part 3'!$CQ$5,'Tables - Part 3'!$CU$5,IF(GH17&gt;='Tables - Part 3'!$CQ$16,'Tables - Part 3'!$CU$16,((COF!GH17-COF!IH17)*(INDEX('Tables - Part 3'!$CU$5:$CU$16,MATCH(COF!IL17,'Tables - Part 3'!$CQ$5:$CQ$16,0))-INDEX('Tables - Part 3'!$CU$5:$CU$16,MATCH(COF!IH17,'Tables - Part 3'!$CQ$5:$CQ$16,0)))/(IL17-IH17)+INDEX('Tables - Part 3'!$CU$5:$CU$16,MATCH(COF!IH17,'Tables - Part 3'!$CQ$5:$CQ$16,0)))))))</f>
        <v>#N/A</v>
      </c>
      <c r="JO17" s="151" t="e">
        <f>IF(CD17=$TK$5,'Tables - Part 3'!$CU$17,IF(COF!CD17=COF!$TK$6,IF(COF!GI17&lt;'Tables - Part 3'!$CQ$5,'Tables - Part 3'!$CU$5,IF(GI17&gt;='Tables - Part 3'!$CQ$16,'Tables - Part 3'!$CU$16,((COF!GI17-COF!II17)*(INDEX('Tables - Part 3'!$CU$5:$CU$16,MATCH(COF!IM17,'Tables - Part 3'!$CQ$5:$CQ$16,0))-INDEX('Tables - Part 3'!$CU$5:$CU$16,MATCH(COF!II17,'Tables - Part 3'!$CQ$5:$CQ$16,0)))/(IM17-II17)+INDEX('Tables - Part 3'!$CU$5:$CU$16,MATCH(COF!II17,'Tables - Part 3'!$CQ$5:$CQ$16,0)))))))</f>
        <v>#N/A</v>
      </c>
      <c r="JP17" s="282"/>
      <c r="JQ17" s="151">
        <f t="shared" si="279"/>
        <v>0</v>
      </c>
      <c r="JR17" s="151">
        <f t="shared" si="99"/>
        <v>0</v>
      </c>
      <c r="JS17" s="151">
        <f t="shared" si="100"/>
        <v>0</v>
      </c>
      <c r="JT17" s="151">
        <f t="shared" si="101"/>
        <v>0</v>
      </c>
      <c r="JU17" s="151" t="e">
        <f t="shared" si="204"/>
        <v>#N/A</v>
      </c>
      <c r="JV17" s="151" t="e">
        <f t="shared" si="205"/>
        <v>#N/A</v>
      </c>
      <c r="JW17" s="151" t="e">
        <f t="shared" si="206"/>
        <v>#N/A</v>
      </c>
      <c r="JX17" s="151" t="e">
        <f t="shared" si="207"/>
        <v>#N/A</v>
      </c>
      <c r="JY17" s="152" t="e">
        <f>IF(GF17&lt;'Tables - Part 3'!$CY$6,0,LOOKUP(GF17,'Tables - Part 3'!$CY$6:$CY$11))</f>
        <v>#N/A</v>
      </c>
      <c r="JZ17" s="152" t="e">
        <f>IF(GG17&lt;'Tables - Part 3'!$CY$6,0,LOOKUP(GG17,'Tables - Part 3'!$CY$6:$CY$11))</f>
        <v>#N/A</v>
      </c>
      <c r="KA17" s="152" t="e">
        <f>IF(GH17&lt;'Tables - Part 3'!$CY$6,0,LOOKUP(GH17,'Tables - Part 3'!$CY$6:$CY$11))</f>
        <v>#N/A</v>
      </c>
      <c r="KB17" s="152" t="e">
        <f>IF(GI17&lt;'Tables - Part 3'!$CY$6,0,LOOKUP(GI17,'Tables - Part 3'!$CY$6:$CY$11))</f>
        <v>#N/A</v>
      </c>
      <c r="KC17" s="152" t="e">
        <f>IF(GF17&lt;'Tables - Part 3'!$CY$6,'Tables - Part 3'!$CY$6,IF(COF!GF17&lt;'Tables - Part 3'!$CY$7,'Tables - Part 3'!$CY$7,IF(COF!GF17&lt;'Tables - Part 3'!$CY$8,'Tables - Part 3'!$CY$8,IF(COF!GF17&lt;'Tables - Part 3'!$CY$9,'Tables - Part 3'!$CY$9,IF(COF!GF17&lt;'Tables - Part 3'!$CY$10,'Tables - Part 3'!$CY$10,IF(COF!GF17&lt;'Tables - Part 3'!$CY$11,'Tables - Part 3'!$CY$11))))))</f>
        <v>#N/A</v>
      </c>
      <c r="KD17" s="152" t="e">
        <f>IF(GG17&lt;'Tables - Part 3'!$CY$6,'Tables - Part 3'!$CY$6,IF(COF!GG17&lt;'Tables - Part 3'!$CY$7,'Tables - Part 3'!$CY$7,IF(COF!GG17&lt;'Tables - Part 3'!$CY$8,'Tables - Part 3'!$CY$8,IF(COF!GG17&lt;'Tables - Part 3'!$CY$9,'Tables - Part 3'!$CY$9,IF(COF!GG17&lt;'Tables - Part 3'!$CY$10,'Tables - Part 3'!$CY$10,IF(COF!GG17&lt;'Tables - Part 3'!$CY$11,'Tables - Part 3'!$CY$11))))))</f>
        <v>#N/A</v>
      </c>
      <c r="KE17" s="152" t="e">
        <f>IF(GH17&lt;'Tables - Part 3'!$CY$6,'Tables - Part 3'!$CY$6,IF(COF!GH17&lt;'Tables - Part 3'!$CY$7,'Tables - Part 3'!$CY$7,IF(COF!GH17&lt;'Tables - Part 3'!$CY$8,'Tables - Part 3'!$CY$8,IF(COF!GH17&lt;'Tables - Part 3'!$CY$9,'Tables - Part 3'!$CY$9,IF(COF!GH17&lt;'Tables - Part 3'!$CY$10,'Tables - Part 3'!$CY$10,IF(COF!GH17&lt;'Tables - Part 3'!$CY$11,'Tables - Part 3'!$CY$11))))))</f>
        <v>#N/A</v>
      </c>
      <c r="KF17" s="152" t="e">
        <f>IF(GI17&lt;'Tables - Part 3'!$CY$6,'Tables - Part 3'!$CY$6,IF(COF!GI17&lt;'Tables - Part 3'!$CY$7,'Tables - Part 3'!$CY$7,IF(COF!GI17&lt;'Tables - Part 3'!$CY$8,'Tables - Part 3'!$CY$8,IF(COF!GI17&lt;'Tables - Part 3'!$CY$9,'Tables - Part 3'!$CY$9,IF(COF!GI17&lt;'Tables - Part 3'!$CY$10,'Tables - Part 3'!$CY$10,IF(COF!GI17&lt;'Tables - Part 3'!$CY$11,'Tables - Part 3'!$CY$11))))))</f>
        <v>#N/A</v>
      </c>
      <c r="KG17" s="151" t="e">
        <f>IF(CA17=$TK$5,'Tables - Part 3'!$CZ$6,IF(COF!CA17=COF!$TK$6,IF(COF!GF17&lt;'Tables - Part 3'!$CY$6,'Tables - Part 3'!$CZ$6,IF(GF17&gt;='Tables - Part 3'!$CY$11,'Tables - Part 3'!$CZ$11,((COF!GF17-COF!JY17)*(INDEX('Tables - Part 3'!$CZ$6:$CZ$11,MATCH(COF!KC17,'Tables - Part 3'!$CY$6:$CY$11,0))-INDEX('Tables - Part 3'!$CZ$6:$CZ$11,MATCH(COF!JY17,'Tables - Part 3'!$CY$6:$CY$11,0)))/(KC17-JY17)+INDEX('Tables - Part 3'!$CZ$6:$CZ$11,MATCH(COF!JY17,'Tables - Part 3'!$CY$6:$CY$11,0)))))))</f>
        <v>#N/A</v>
      </c>
      <c r="KH17" s="151" t="e">
        <f>IF(CB17=$TK$5,'Tables - Part 3'!$CZ$6,IF(COF!CB17=COF!$TK$6,IF(COF!GG17&lt;'Tables - Part 3'!$CY$6,'Tables - Part 3'!$CZ$6,IF(GG17&gt;='Tables - Part 3'!$CY$11,'Tables - Part 3'!$CZ$11,((COF!GG17-COF!JZ17)*(INDEX('Tables - Part 3'!$CZ$6:$CZ$11,MATCH(COF!KD17,'Tables - Part 3'!$CY$6:$CY$11,0))-INDEX('Tables - Part 3'!$CZ$6:$CZ$11,MATCH(COF!JZ17,'Tables - Part 3'!$CY$6:$CY$11,0)))/(KD17-JZ17)+INDEX('Tables - Part 3'!$CZ$6:$CZ$11,MATCH(COF!JZ17,'Tables - Part 3'!$CY$6:$CY$11,0)))))))</f>
        <v>#N/A</v>
      </c>
      <c r="KI17" s="151" t="e">
        <f>IF(CC17=$TK$5,'Tables - Part 3'!$CZ$6,IF(COF!CC17=COF!$TK$6,IF(COF!GH17&lt;'Tables - Part 3'!$CY$6,'Tables - Part 3'!$CZ$6,IF(GH17&gt;='Tables - Part 3'!$CY$11,'Tables - Part 3'!$CZ$11,((COF!GH17-COF!KA17)*(INDEX('Tables - Part 3'!$CZ$6:$CZ$11,MATCH(COF!KE17,'Tables - Part 3'!$CY$6:$CY$11,0))-INDEX('Tables - Part 3'!$CZ$6:$CZ$11,MATCH(COF!KA17,'Tables - Part 3'!$CY$6:$CY$11,0)))/(KE17-KA17)+INDEX('Tables - Part 3'!$CZ$6:$CZ$11,MATCH(COF!KA17,'Tables - Part 3'!$CY$6:$CY$11,0)))))))</f>
        <v>#N/A</v>
      </c>
      <c r="KJ17" s="151" t="e">
        <f>IF(CD17=$TK$5,'Tables - Part 3'!$CZ$6,IF(COF!CD17=COF!$TK$6,IF(COF!GI17&lt;'Tables - Part 3'!$CY$6,'Tables - Part 3'!$CZ$6,IF(GI17&gt;='Tables - Part 3'!$CY$11,'Tables - Part 3'!$CZ$11,((COF!GI17-COF!KB17)*(INDEX('Tables - Part 3'!$CZ$6:$CZ$11,MATCH(COF!KF17,'Tables - Part 3'!$CY$6:$CY$11,0))-INDEX('Tables - Part 3'!$CZ$6:$CZ$11,MATCH(COF!KB17,'Tables - Part 3'!$CY$6:$CY$11,0)))/(KF17-KB17)+INDEX('Tables - Part 3'!$CZ$6:$CZ$11,MATCH(COF!KB17,'Tables - Part 3'!$CY$6:$CY$11,0)))))))</f>
        <v>#N/A</v>
      </c>
      <c r="KK17" s="153" t="e">
        <f>IF(CA17=$TK$5,'Tables - Part 3'!$DA$6,IF(COF!CA17=COF!$TK$6,IF(COF!GF17&lt;'Tables - Part 3'!$CY$6,'Tables - Part 3'!$DA$6,IF(GF17&gt;='Tables - Part 3'!$CY$11,'Tables - Part 3'!$DA$11,((COF!GF17-COF!JY17)*(INDEX('Tables - Part 3'!$DA$6:$DA$11,MATCH(COF!KC17,'Tables - Part 3'!$CY$6:$CY$11,0))-INDEX('Tables - Part 3'!$DA$6:$DA$11,MATCH(COF!JY17,'Tables - Part 3'!$CY$6:$CY$11,0)))/(KC17-JY17)+INDEX('Tables - Part 3'!$DA$6:$DA$16,MATCH(COF!JY17,'Tables - Part 3'!$CY$6:$CY$11,0)))))))</f>
        <v>#N/A</v>
      </c>
      <c r="KL17" s="153" t="e">
        <f>IF(CB17=$TK$5,'Tables - Part 3'!$DA$6,IF(COF!CB17=COF!$TK$6,IF(COF!GG17&lt;'Tables - Part 3'!$CY$6,'Tables - Part 3'!$DA$6,IF(GG17&gt;='Tables - Part 3'!$CY$11,'Tables - Part 3'!$DA$11,((COF!GG17-COF!JZ17)*(INDEX('Tables - Part 3'!$DA$6:$DA$11,MATCH(COF!KD17,'Tables - Part 3'!$CY$6:$CY$11,0))-INDEX('Tables - Part 3'!$DA$6:$DA$11,MATCH(COF!JZ17,'Tables - Part 3'!$CY$6:$CY$11,0)))/(KD17-JZ17)+INDEX('Tables - Part 3'!$DA$6:$DA$16,MATCH(COF!JZ17,'Tables - Part 3'!$CY$6:$CY$11,0)))))))</f>
        <v>#N/A</v>
      </c>
      <c r="KM17" s="153" t="e">
        <f>IF(CC17=$TK$5,'Tables - Part 3'!$DA$6,IF(COF!CC17=COF!$TK$6,IF(COF!GH17&lt;'Tables - Part 3'!$CY$6,'Tables - Part 3'!$DA$6,IF(GH17&gt;='Tables - Part 3'!$CY$11,'Tables - Part 3'!$DA$11,((COF!GH17-COF!KA17)*(INDEX('Tables - Part 3'!$DA$6:$DA$11,MATCH(COF!KE17,'Tables - Part 3'!$CY$6:$CY$11,0))-INDEX('Tables - Part 3'!$DA$6:$DA$11,MATCH(COF!KA17,'Tables - Part 3'!$CY$6:$CY$11,0)))/(KE17-KA17)+INDEX('Tables - Part 3'!$DA$6:$DA$16,MATCH(COF!KA17,'Tables - Part 3'!$CY$6:$CY$11,0)))))))</f>
        <v>#N/A</v>
      </c>
      <c r="KN17" s="153" t="e">
        <f>IF(CD17=$TK$5,'Tables - Part 3'!$DA$6,IF(COF!CD17=COF!$TK$6,IF(COF!GI17&lt;'Tables - Part 3'!$CY$6,'Tables - Part 3'!$DA$6,IF(GI17&gt;='Tables - Part 3'!$CY$11,'Tables - Part 3'!$DA$11,((COF!GI17-COF!KB17)*(INDEX('Tables - Part 3'!$DA$6:$DA$11,MATCH(COF!KF17,'Tables - Part 3'!$CY$6:$CY$11,0))-INDEX('Tables - Part 3'!$DA$6:$DA$11,MATCH(COF!KB17,'Tables - Part 3'!$CY$6:$CY$11,0)))/(KF17-KB17)+INDEX('Tables - Part 3'!$DA$6:$DA$16,MATCH(COF!KB17,'Tables - Part 3'!$CY$6:$CY$11,0)))))))</f>
        <v>#N/A</v>
      </c>
      <c r="KO17" s="153">
        <f t="shared" si="280"/>
        <v>0</v>
      </c>
      <c r="KP17" s="153">
        <f t="shared" si="103"/>
        <v>0</v>
      </c>
      <c r="KQ17" s="153">
        <f t="shared" si="104"/>
        <v>0</v>
      </c>
      <c r="KR17" s="153">
        <f t="shared" si="105"/>
        <v>0</v>
      </c>
      <c r="KS17" s="151" t="e">
        <f t="shared" si="208"/>
        <v>#N/A</v>
      </c>
      <c r="KT17" s="151" t="e">
        <f t="shared" si="209"/>
        <v>#N/A</v>
      </c>
      <c r="KU17" s="151" t="e">
        <f t="shared" si="210"/>
        <v>#N/A</v>
      </c>
      <c r="KV17" s="151" t="e">
        <f t="shared" si="211"/>
        <v>#N/A</v>
      </c>
      <c r="KW17" s="151" t="e">
        <f>IF(CA17=$TK$5,'Tables - Part 3'!$CZ$12,IF(COF!CA17=COF!$TK$6,IF(COF!GF17&lt;'Tables - Part 3'!$CY$12,'Tables - Part 3'!$CZ$12,IF(GF17&gt;='Tables - Part 3'!$CY$17,'Tables - Part 3'!$CZ$17,((COF!GF17-COF!JY17)*(INDEX('Tables - Part 3'!$CZ$12:$CZ$17,MATCH(COF!KC17,'Tables - Part 3'!$CY$12:$CY$17,0))-INDEX('Tables - Part 3'!$CZ$12:$CZ$17,MATCH(COF!JY17,'Tables - Part 3'!$CY$12:$CY$17,0)))/(KC17-JY17)+INDEX('Tables - Part 3'!$CZ$12:$CZ$17,MATCH(COF!JY17,'Tables - Part 3'!$CY$12:$CY$17,0)))))))</f>
        <v>#N/A</v>
      </c>
      <c r="KX17" s="151" t="e">
        <f>IF(CB17=$TK$5,'Tables - Part 3'!$CZ$12,IF(COF!CB17=COF!$TK$6,IF(COF!GG17&lt;'Tables - Part 3'!$CY$12,'Tables - Part 3'!$CZ$12,IF(GG17&gt;='Tables - Part 3'!$CY$17,'Tables - Part 3'!$CZ$17,((COF!GG17-COF!JZ17)*(INDEX('Tables - Part 3'!$CZ$12:$CZ$17,MATCH(COF!KD17,'Tables - Part 3'!$CY$12:$CY$17,0))-INDEX('Tables - Part 3'!$CZ$12:$CZ$17,MATCH(COF!JZ17,'Tables - Part 3'!$CY$12:$CY$17,0)))/(KD17-JZ17)+INDEX('Tables - Part 3'!$CZ$12:$CZ$17,MATCH(COF!JZ17,'Tables - Part 3'!$CY$12:$CY$17,0)))))))</f>
        <v>#N/A</v>
      </c>
      <c r="KY17" s="151" t="e">
        <f>IF(CC17=$TK$5,'Tables - Part 3'!$CZ$12,IF(COF!CC17=COF!$TK$6,IF(COF!GH17&lt;'Tables - Part 3'!$CY$12,'Tables - Part 3'!$CZ$12,IF(GH17&gt;='Tables - Part 3'!$CY$17,'Tables - Part 3'!$CZ$17,((COF!GH17-COF!KA17)*(INDEX('Tables - Part 3'!$CZ$12:$CZ$17,MATCH(COF!KE17,'Tables - Part 3'!$CY$12:$CY$17,0))-INDEX('Tables - Part 3'!$CZ$12:$CZ$17,MATCH(COF!KA17,'Tables - Part 3'!$CY$12:$CY$17,0)))/(KE17-KA17)+INDEX('Tables - Part 3'!$CZ$12:$CZ$17,MATCH(COF!KA17,'Tables - Part 3'!$CY$12:$CY$17,0)))))))</f>
        <v>#N/A</v>
      </c>
      <c r="KZ17" s="151" t="e">
        <f>IF(CD17=$TK$5,'Tables - Part 3'!$CZ$12,IF(COF!CD17=COF!$TK$6,IF(COF!GI17&lt;'Tables - Part 3'!$CY$12,'Tables - Part 3'!$CZ$12,IF(GI17&gt;='Tables - Part 3'!$CY$17,'Tables - Part 3'!$CZ$17,((COF!GI17-COF!KB17)*(INDEX('Tables - Part 3'!$CZ$12:$CZ$17,MATCH(COF!KF17,'Tables - Part 3'!$CY$12:$CY$17,0))-INDEX('Tables - Part 3'!$CZ$12:$CZ$17,MATCH(COF!KB17,'Tables - Part 3'!$CY$12:$CY$17,0)))/(KF17-KB17)+INDEX('Tables - Part 3'!$CZ$12:$CZ$17,MATCH(COF!KB17,'Tables - Part 3'!$CY$12:$CY$17,0)))))))</f>
        <v>#N/A</v>
      </c>
      <c r="LA17" s="151" t="e">
        <f>IF(CA17=$TK$5,'Tables - Part 3'!$DA$6,IF(COF!CA17=COF!$TK$6,IF(COF!GF17&lt;'Tables - Part 3'!$CY$6,'Tables - Part 3'!$DA$6,IF(GF17&gt;='Tables - Part 3'!$CY$11,'Tables - Part 3'!$DA$11,((COF!GF17-COF!JY17)*(INDEX('Tables - Part 3'!$DA$6:$DA$11,MATCH(COF!KC17,'Tables - Part 3'!$CY$6:$CY$11,0))-INDEX('Tables - Part 3'!$DA$6:$DA$11,MATCH(COF!JY17,'Tables - Part 3'!$CY$6:$CY$11,0)))/(KC17-JY17)+INDEX('Tables - Part 3'!$DA$5:$DA$16,MATCH(COF!JY17,'Tables - Part 3'!$CY$6:$CY$11,0)))))))</f>
        <v>#N/A</v>
      </c>
      <c r="LB17" s="151" t="e">
        <f>IF(CB17=$TK$5,'Tables - Part 3'!$DA$6,IF(COF!CB17=COF!$TK$6,IF(COF!GG17&lt;'Tables - Part 3'!$CY$6,'Tables - Part 3'!$DA$6,IF(GG17&gt;='Tables - Part 3'!$CY$11,'Tables - Part 3'!$DA$11,((COF!GG17-COF!JZ17)*(INDEX('Tables - Part 3'!$DA$6:$DA$11,MATCH(COF!KD17,'Tables - Part 3'!$CY$6:$CY$11,0))-INDEX('Tables - Part 3'!$DA$6:$DA$11,MATCH(COF!JZ17,'Tables - Part 3'!$CY$6:$CY$11,0)))/(KD17-JZ17)+INDEX('Tables - Part 3'!$DA$5:$DA$16,MATCH(COF!JZ17,'Tables - Part 3'!$CY$6:$CY$11,0)))))))</f>
        <v>#N/A</v>
      </c>
      <c r="LC17" s="151" t="e">
        <f>IF(CC17=$TK$5,'Tables - Part 3'!$DA$6,IF(COF!CC17=COF!$TK$6,IF(COF!GH17&lt;'Tables - Part 3'!$CY$6,'Tables - Part 3'!$DA$6,IF(GH17&gt;='Tables - Part 3'!$CY$11,'Tables - Part 3'!$DA$11,((COF!GH17-COF!KA17)*(INDEX('Tables - Part 3'!$DA$6:$DA$11,MATCH(COF!KE17,'Tables - Part 3'!$CY$6:$CY$11,0))-INDEX('Tables - Part 3'!$DA$6:$DA$11,MATCH(COF!KA17,'Tables - Part 3'!$CY$6:$CY$11,0)))/(KE17-KA17)+INDEX('Tables - Part 3'!$DA$5:$DA$16,MATCH(COF!KA17,'Tables - Part 3'!$CY$6:$CY$11,0)))))))</f>
        <v>#N/A</v>
      </c>
      <c r="LD17" s="151" t="e">
        <f>IF(CD17=$TK$5,'Tables - Part 3'!$DA$6,IF(COF!CD17=COF!$TK$6,IF(COF!GI17&lt;'Tables - Part 3'!$CY$6,'Tables - Part 3'!$DA$6,IF(GI17&gt;='Tables - Part 3'!$CY$11,'Tables - Part 3'!$DA$11,((COF!GI17-COF!KB17)*(INDEX('Tables - Part 3'!$DA$6:$DA$11,MATCH(COF!KF17,'Tables - Part 3'!$CY$6:$CY$11,0))-INDEX('Tables - Part 3'!$DA$6:$DA$11,MATCH(COF!KB17,'Tables - Part 3'!$CY$6:$CY$11,0)))/(KF17-KB17)+INDEX('Tables - Part 3'!$DA$5:$DA$16,MATCH(COF!KB17,'Tables - Part 3'!$CY$6:$CY$11,0)))))))</f>
        <v>#N/A</v>
      </c>
      <c r="LE17" s="154"/>
      <c r="LF17" s="154"/>
      <c r="LG17" s="154"/>
      <c r="LH17" s="154"/>
      <c r="LI17" s="154"/>
      <c r="LJ17" s="154"/>
      <c r="LK17" s="154"/>
      <c r="LL17" s="151" t="e">
        <f t="shared" si="212"/>
        <v>#N/A</v>
      </c>
      <c r="LM17" s="151" t="e">
        <f t="shared" si="213"/>
        <v>#N/A</v>
      </c>
      <c r="LN17" s="151" t="e">
        <f t="shared" si="214"/>
        <v>#N/A</v>
      </c>
      <c r="LO17" s="151" t="e">
        <f t="shared" si="215"/>
        <v>#N/A</v>
      </c>
      <c r="LP17" s="151">
        <f t="shared" si="106"/>
        <v>0</v>
      </c>
      <c r="LQ17" s="502">
        <f>IF($F17='Tables - Part 3'!$B$17,'Tables - Part 3.B'!$C$11*COF!CJ17,0)</f>
        <v>0</v>
      </c>
      <c r="LR17" s="502">
        <f>IF($F17='Tables - Part 3'!$B$17,'Tables - Part 3.B'!$C$11*COF!CK17,0)</f>
        <v>0</v>
      </c>
      <c r="LS17" s="502">
        <f>IF($F17='Tables - Part 3'!$B$17,'Tables - Part 3.B'!$C$11*COF!CL17,0)</f>
        <v>0</v>
      </c>
      <c r="LT17" s="502">
        <f>IF($F17='Tables - Part 3'!$B$17,'Tables - Part 3.B'!$C$11*COF!CM17,0)</f>
        <v>0</v>
      </c>
      <c r="LU17" s="502">
        <f>IF($F17='Tables - Part 3'!$B$17,'Tables - Part 3.B'!$C$12*POWER(COF!CR17,0.6384),0)</f>
        <v>0</v>
      </c>
      <c r="LV17" s="502">
        <f>IF($F17='Tables - Part 3'!$B$17,'Tables - Part 3.B'!$C$12*POWER(COF!CS17,0.6384),0)</f>
        <v>0</v>
      </c>
      <c r="LW17" s="502">
        <f>IF($F17='Tables - Part 3'!$B$17,'Tables - Part 3.B'!$C$12*POWER(COF!CT17,0.6384),0)</f>
        <v>0</v>
      </c>
      <c r="LX17" s="502">
        <f>IF($F17='Tables - Part 3'!$B$17,'Tables - Part 3.B'!$C$12*POWER(COF!CU17,0.6384),0)</f>
        <v>0</v>
      </c>
      <c r="LY17" s="151" t="e">
        <f>MIN(CJ17/'Tables - Part 3.B'!$C$8,1)</f>
        <v>#N/A</v>
      </c>
      <c r="LZ17" s="151" t="e">
        <f>MIN(CK17/'Tables - Part 3.B'!$C$8,1)</f>
        <v>#N/A</v>
      </c>
      <c r="MA17" s="151" t="e">
        <f>MIN(CL17/'Tables - Part 3.B'!$C$8,1)</f>
        <v>#N/A</v>
      </c>
      <c r="MB17" s="151" t="e">
        <f>MIN(CM17/'Tables - Part 3.B'!$C$8,1)</f>
        <v>#N/A</v>
      </c>
      <c r="MC17" s="151" t="e">
        <f t="shared" si="216"/>
        <v>#N/A</v>
      </c>
      <c r="MD17" s="151" t="e">
        <f t="shared" si="107"/>
        <v>#N/A</v>
      </c>
      <c r="ME17" s="151" t="e">
        <f t="shared" si="107"/>
        <v>#N/A</v>
      </c>
      <c r="MF17" s="151" t="e">
        <f t="shared" si="107"/>
        <v>#N/A</v>
      </c>
      <c r="MG17" s="502">
        <f>IF($F17='Tables - Part 3'!$B$18,0.2*'Tables - Part 3.B'!$C$10*$ML17*POWER('Tables - Part 3.B'!$C$7*CJ17,$MM17),0)</f>
        <v>0</v>
      </c>
      <c r="MH17" s="502">
        <f>IF($F17='Tables - Part 3'!$B$18,0.2*'Tables - Part 3.B'!$C$10*$ML17*POWER('Tables - Part 3.B'!$C$7*CK17,$MM17),0)</f>
        <v>0</v>
      </c>
      <c r="MI17" s="502">
        <f>IF($F17='Tables - Part 3'!$B$18,0.2*'Tables - Part 3.B'!$C$10*$ML17*POWER('Tables - Part 3.B'!$C$7*CL17,$MM17),0)</f>
        <v>0</v>
      </c>
      <c r="MJ17" s="502">
        <f>IF($F17='Tables - Part 3'!$B$18,0.2*'Tables - Part 3.B'!$C$10*$ML17*POWER('Tables - Part 3.B'!$C$7*CM17,$MM17),0)</f>
        <v>0</v>
      </c>
      <c r="MK17" s="151">
        <v>0</v>
      </c>
      <c r="ML17" s="151" t="e">
        <f>2696-21.9*'Tables - Part 3.B'!$C$13*(COF!OO17-COF!$TM$5)+1.474*POWER('Tables - Part 3.B'!$C$13*(COF!OO17-COF!$TM$5),2)</f>
        <v>#VALUE!</v>
      </c>
      <c r="MM17" s="151" t="e">
        <f>0.31-0.00032*POWER('Tables - Part 3.B'!$C$13*(COF!OO17-COF!$TM$5)-40,2)</f>
        <v>#VALUE!</v>
      </c>
      <c r="MN17" s="151">
        <v>0</v>
      </c>
      <c r="MO17" s="151">
        <f t="shared" si="217"/>
        <v>0</v>
      </c>
      <c r="MP17" s="151">
        <f t="shared" si="108"/>
        <v>0</v>
      </c>
      <c r="MQ17" s="151">
        <f t="shared" si="108"/>
        <v>0</v>
      </c>
      <c r="MR17" s="151">
        <f t="shared" si="108"/>
        <v>0</v>
      </c>
      <c r="MS17" s="151" t="e">
        <f t="shared" si="218"/>
        <v>#N/A</v>
      </c>
      <c r="MT17" s="151" t="e">
        <f t="shared" si="219"/>
        <v>#N/A</v>
      </c>
      <c r="MU17" s="151" t="e">
        <f t="shared" si="220"/>
        <v>#N/A</v>
      </c>
      <c r="MV17" s="151" t="e">
        <f t="shared" si="221"/>
        <v>#N/A</v>
      </c>
      <c r="MW17" s="151">
        <f t="shared" si="222"/>
        <v>0</v>
      </c>
      <c r="MX17" s="151">
        <f t="shared" si="223"/>
        <v>0</v>
      </c>
      <c r="MY17" s="151">
        <f t="shared" si="224"/>
        <v>0</v>
      </c>
      <c r="MZ17" s="526">
        <f t="shared" si="109"/>
        <v>0</v>
      </c>
      <c r="NA17" s="151" t="e">
        <f>INDEX('Tables - Part 3'!DQ$5:DQ$32,MATCH($E17,'Tables - Part 3'!$DP$5:$DP$32,0))</f>
        <v>#N/A</v>
      </c>
      <c r="NB17" s="151" t="e">
        <f>INDEX('Tables - Part 3'!DR$5:DR$32,MATCH($E17,'Tables - Part 3'!$DP$5:$DP$32,0))</f>
        <v>#N/A</v>
      </c>
      <c r="NC17" s="151" t="e">
        <f>INDEX('Tables - Part 3'!DS$5:DS$32,MATCH($E17,'Tables - Part 3'!$DP$5:$DP$32,0))</f>
        <v>#N/A</v>
      </c>
      <c r="ND17" s="151" t="e">
        <f>INDEX('Tables - Part 3'!DT$5:DT$32,MATCH($E17,'Tables - Part 3'!$DP$5:$DP$32,0))</f>
        <v>#N/A</v>
      </c>
      <c r="NE17" s="151" t="e">
        <f>IF(W17='Tables - Part 3'!$DV$44,COF!X17,IF(OR(COF!X17&lt;&gt;0,COF!X17&lt;&gt;""),COF!X17,INDEX('Tables - Part 3'!$DW$4:$DW$43,MATCH(COF!W17,'Tables - Part 3'!$DV$4:$DV$43,0))))</f>
        <v>#N/A</v>
      </c>
      <c r="NF17" s="151">
        <f t="shared" si="110"/>
        <v>1</v>
      </c>
      <c r="NG17" s="151" t="e">
        <f t="shared" si="225"/>
        <v>#N/A</v>
      </c>
      <c r="NH17" s="151">
        <f t="shared" si="111"/>
        <v>0</v>
      </c>
      <c r="NI17" s="151" t="e">
        <f>INDEX('Tables - Part 3'!EC$5:EC$31,MATCH(COF!$E17,'Tables - Part 3'!$EB$5:$EB$31,0))</f>
        <v>#N/A</v>
      </c>
      <c r="NJ17" s="151" t="e">
        <f>INDEX('Tables - Part 3'!ED$5:ED$31,MATCH(COF!$E17,'Tables - Part 3'!$EB$5:$EB$31,0))</f>
        <v>#N/A</v>
      </c>
      <c r="NK17" s="151" t="e">
        <f>INDEX('Tables - Part 3'!EE$5:EE$31,MATCH(COF!$E17,'Tables - Part 3'!$EB$5:$EB$31,0))</f>
        <v>#N/A</v>
      </c>
      <c r="NL17" s="151" t="e">
        <f>INDEX('Tables - Part 3'!EF$5:EF$31,MATCH(COF!$E17,'Tables - Part 3'!$EB$5:$EB$31,0))</f>
        <v>#N/A</v>
      </c>
      <c r="NM17" s="151">
        <f t="shared" si="112"/>
        <v>1</v>
      </c>
      <c r="NN17" s="151" t="e">
        <f t="shared" si="226"/>
        <v>#N/A</v>
      </c>
      <c r="NO17" s="151" t="e">
        <f t="shared" si="227"/>
        <v>#NUM!</v>
      </c>
      <c r="NP17" s="151" t="e">
        <f t="shared" si="113"/>
        <v>#N/A</v>
      </c>
      <c r="NQ17" s="151">
        <f t="shared" si="114"/>
        <v>0</v>
      </c>
      <c r="NR17" s="151" t="e">
        <f>INDEX('Tables - Part 3'!$EL$4:$EL$37,MATCH(COF!F17,'Tables - Part 3'!$EH$4:$EH$37,0))</f>
        <v>#N/A</v>
      </c>
      <c r="NS17" s="151" t="e">
        <f>CR17*(1-$NR17)*'Tables - Part 3.B'!$C$15/COF!$AS17</f>
        <v>#N/A</v>
      </c>
      <c r="NT17" s="151" t="e">
        <f>CS17*(1-$NR17)*'Tables - Part 3.B'!$C$15/COF!$AS17</f>
        <v>#N/A</v>
      </c>
      <c r="NU17" s="151" t="e">
        <f>CT17*(1-$NR17)*'Tables - Part 3.B'!$C$15/COF!$AS17</f>
        <v>#N/A</v>
      </c>
      <c r="NV17" s="151" t="e">
        <f>CU17*(1-$NR17)*'Tables - Part 3.B'!$C$15/COF!$AS17</f>
        <v>#N/A</v>
      </c>
      <c r="NW17" s="151" t="e">
        <f t="shared" si="115"/>
        <v>#N/A</v>
      </c>
      <c r="NX17" s="542">
        <f t="shared" si="116"/>
        <v>0</v>
      </c>
      <c r="NY17" s="156" t="e">
        <f>0.61*$ON17*$AS17*(BM17/'Tables - Part 3.B'!$C$4)*SQRT((2*$TM$13*($OO17-$TM$5)/$AS17))</f>
        <v>#N/A</v>
      </c>
      <c r="NZ17" s="155" t="e">
        <f>0.61*$ON17*$AS17*(BN17/'Tables - Part 3.B'!$C$4)*SQRT((2*$TM$13*($OO17-$TM$5)/$AS17))</f>
        <v>#N/A</v>
      </c>
      <c r="OA17" s="155" t="e">
        <f>0.61*$ON17*$AS17*(BO17/'Tables - Part 3.B'!$C$4)*SQRT((2*$TM$13*($OO17-$TM$5)/$AS17))</f>
        <v>#N/A</v>
      </c>
      <c r="OB17" s="155" t="e">
        <f>0.61*$ON17*$AS17*(BP17/'Tables - Part 3.B'!$C$4)*SQRT((2*$TM$13*($OO17-$TM$5)/$AS17))</f>
        <v>#N/A</v>
      </c>
      <c r="OC17" s="155" t="e">
        <f>0.61*$ON17*AS17*(32450/'Tables - Part 3.B'!$C$4)*SQRT((2*$TM$13*(OO17-$TM$5)/AS17))</f>
        <v>#N/A</v>
      </c>
      <c r="OD17" s="156" t="e">
        <f>(0.9/'Tables - Part 3.B'!$C$5)*BM17*$OO17*SQRT(($AV17*$AU17*$TM$13/(8.314*$OP17))*POWER(2/($AV17+1),(($AV17+1)/($AV17-1))))</f>
        <v>#VALUE!</v>
      </c>
      <c r="OE17" s="156" t="e">
        <f>(0.9/'Tables - Part 3.B'!$C$5)*BN17*$OO17*SQRT(($AV17*$AU17*$TM$13/(8.314*$OP17))*POWER(2/($AV17+1),(($AV17+1)/($AV17-1))))</f>
        <v>#VALUE!</v>
      </c>
      <c r="OF17" s="156" t="e">
        <f>(0.9/'Tables - Part 3.B'!$C$5)*BO17*$OO17*SQRT(($AV17*$AU17*$TM$13/(8.314*$OP17))*POWER(2/($AV17+1),(($AV17+1)/($AV17-1))))</f>
        <v>#VALUE!</v>
      </c>
      <c r="OG17" s="156" t="e">
        <f>(0.9/'Tables - Part 3.B'!$C$5)*BP17*$OO17*SQRT(($AV17*$AU17*$TM$13/(8.314*$OP17))*POWER(2/($AV17+1),(($AV17+1)/($AV17-1))))</f>
        <v>#VALUE!</v>
      </c>
      <c r="OH17" s="156" t="e">
        <f>(0.9/'Tables - Part 3.B'!$C$5)*32450*$OO17*SQRT(($AV17*$AU17*$TM$13/(8.314*$OP17))*POWER(2/($AV17+1),(($AV17+1)/($AV17-1))))</f>
        <v>#VALUE!</v>
      </c>
      <c r="OI17" s="156" t="e">
        <f>(0.9/'Tables - Part 3.B'!$C$5)*BM17*$OO17*SQRT((($AU17*$TM$13)/(8.314*$OP17))*((2*$AV17)/($AV17-1))*POWER(($TM$5/$OO17),(2/$AV17))*(1-POWER(($TM$5/$OO17),(($AV17-1)/$AV17))))</f>
        <v>#VALUE!</v>
      </c>
      <c r="OJ17" s="156" t="e">
        <f>(0.9/'Tables - Part 3.B'!$C$5)*BN17*$OO17*SQRT((($AU17*$TM$13)/(8.314*$OP17))*((2*$AV17)/($AV17-1))*POWER(($TM$5/$OO17),(2/$AV17))*(1-POWER(($TM$5/$OO17),(($AV17-1)/$AV17))))</f>
        <v>#VALUE!</v>
      </c>
      <c r="OK17" s="156" t="e">
        <f>(0.9/'Tables - Part 3.B'!$C$5)*BO17*$OO17*SQRT((($AU17*$TM$13)/(8.314*$OP17))*((2*$AV17)/($AV17-1))*POWER(($TM$5/$OO17),(2/$AV17))*(1-POWER(($TM$5/$OO17),(($AV17-1)/$AV17))))</f>
        <v>#VALUE!</v>
      </c>
      <c r="OL17" s="156" t="e">
        <f>(0.9/'Tables - Part 3.B'!$C$5)*BP17*$OO17*SQRT((($AU17*$TM$13)/(8.314*$OP17))*((2*$AV17)/($AV17-1))*POWER(($TM$5/$OO17),(2/$AV17))*(1-POWER(($TM$5/$OO17),(($AV17-1)/$AV17))))</f>
        <v>#VALUE!</v>
      </c>
      <c r="OM17" s="156" t="e">
        <f>(0.9/'Tables - Part 3.B'!$C$5)*32450*$OO17*SQRT((($AU17*$TM$13)/(8.314*$OP17))*((2*$AV17)/($AV17-1))*POWER(($TM$5/$OO17),(2/$AV17))*(1-POWER(($TM$5/$OO17),(($AV17-1)/$AV17))))</f>
        <v>#VALUE!</v>
      </c>
      <c r="ON17" s="156">
        <f t="shared" si="117"/>
        <v>1</v>
      </c>
      <c r="OO17" s="157" t="str">
        <f t="shared" si="118"/>
        <v/>
      </c>
      <c r="OP17" s="157" t="str">
        <f t="shared" si="119"/>
        <v/>
      </c>
      <c r="OQ17" s="158" t="e">
        <f t="shared" si="228"/>
        <v>#N/A</v>
      </c>
      <c r="OR17" s="158" t="e">
        <f>INDEX('Tables - Part 3'!$F$4:$R$35,MATCH(COF!$F17,'Tables - Part 3'!$F$4:$F$35,0),COUNTA('Tables - Part 3'!$F$3:$K$3))</f>
        <v>#N/A</v>
      </c>
      <c r="OS17" s="158" t="e">
        <f t="shared" si="229"/>
        <v>#N/A</v>
      </c>
      <c r="OT17" s="158" t="e">
        <f t="shared" si="230"/>
        <v>#N/A</v>
      </c>
      <c r="OU17" s="158" t="e">
        <f t="shared" si="231"/>
        <v>#N/A</v>
      </c>
      <c r="OV17" s="159" t="e">
        <f>INDEX('Tables - Part 3'!$M$4:$Q$35,MATCH(COF!$F17,'Tables - Part 3'!$F$4:$F$35,0),COUNTA('Tables - Part 3'!$M$3))</f>
        <v>#N/A</v>
      </c>
      <c r="OW17" s="159" t="e">
        <f>INDEX('Tables - Part 3'!$M$4:$Q$35,MATCH(COF!$F17,'Tables - Part 3'!$F$4:$F$35,0),COUNTA('Tables - Part 3'!$M$3:$N$3))</f>
        <v>#N/A</v>
      </c>
      <c r="OX17" s="159" t="e">
        <f>INDEX('Tables - Part 3'!$M$4:$Q$35,MATCH(COF!$F17,'Tables - Part 3'!$F$4:$F$35,0),COUNTA('Tables - Part 3'!$M$3:$O$3))</f>
        <v>#N/A</v>
      </c>
      <c r="OY17" s="159" t="e">
        <f>INDEX('Tables - Part 3'!$M$4:$Q$35,MATCH(COF!$F17,'Tables - Part 3'!$F$4:$F$35,0),COUNTA('Tables - Part 3'!$M$3:$P$3))</f>
        <v>#N/A</v>
      </c>
      <c r="OZ17" s="160" t="e">
        <f>INDEX('Tables - Part 3'!$M$4:$Q$35,MATCH(COF!$F17,'Tables - Part 3'!$F$4:$F$35,0),COUNTA('Tables - Part 3'!$M$3:$Q$3))</f>
        <v>#N/A</v>
      </c>
      <c r="PA17" s="162" t="e">
        <f>INDEX('Tables - Part 3'!$I$4:$I$35,MATCH(COF!$F17,'Tables - Part 3'!$F$4:$F$35,0))</f>
        <v>#N/A</v>
      </c>
      <c r="PB17" s="158" t="e">
        <f t="shared" si="120"/>
        <v>#N/A</v>
      </c>
      <c r="PC17" s="158" t="str">
        <f t="shared" si="121"/>
        <v/>
      </c>
      <c r="PD17" s="158" t="e">
        <f>INDEX('Tables - Part 3'!AW$7:AW$31,MATCH(COF!$F17,'Tables - Part 3'!$AU$7:$AU$31,0),1)</f>
        <v>#N/A</v>
      </c>
      <c r="PE17" s="158" t="e">
        <f>INDEX('Tables - Part 3'!AX$7:AX$31,MATCH(COF!$F17,'Tables - Part 3'!$AU$7:$AU$31,0),1)</f>
        <v>#N/A</v>
      </c>
      <c r="PF17" s="158" t="e">
        <f>INDEX('Tables - Part 3'!AY$7:AY$31,MATCH(COF!$F17,'Tables - Part 3'!$AU$7:$AU$31,0),1)</f>
        <v>#N/A</v>
      </c>
      <c r="PG17" s="158" t="e">
        <f>INDEX('Tables - Part 3'!AZ$7:AZ$31,MATCH(COF!$F17,'Tables - Part 3'!$AU$7:$AU$31,0),1)</f>
        <v>#N/A</v>
      </c>
      <c r="PH17" s="158" t="e">
        <f>INDEX('Tables - Part 3'!BA$7:BA$31,MATCH(COF!$F17,'Tables - Part 3'!$AU$7:$AU$31,0),1)</f>
        <v>#N/A</v>
      </c>
      <c r="PI17" s="158" t="e">
        <f>INDEX('Tables - Part 3'!BB$7:BB$31,MATCH(COF!$F17,'Tables - Part 3'!$AU$7:$AU$31,0),1)</f>
        <v>#N/A</v>
      </c>
      <c r="PJ17" s="158" t="e">
        <f>INDEX('Tables - Part 3'!BC$7:BC$31,MATCH(COF!$F17,'Tables - Part 3'!$AU$7:$AU$31,0),1)</f>
        <v>#N/A</v>
      </c>
      <c r="PK17" s="158" t="e">
        <f>INDEX('Tables - Part 3'!BD$7:BD$31,MATCH(COF!$F17,'Tables - Part 3'!$AU$7:$AU$31,0),1)</f>
        <v>#N/A</v>
      </c>
      <c r="PL17" s="158" t="e">
        <f>INDEX('Tables - Part 3'!BE$7:BE$31,MATCH(COF!$F17,'Tables - Part 3'!$AU$7:$AU$31,0),1)</f>
        <v>#N/A</v>
      </c>
      <c r="PM17" s="158" t="e">
        <f>INDEX('Tables - Part 3'!BF$7:BF$31,MATCH(COF!$F17,'Tables - Part 3'!$AU$7:$AU$31,0),1)</f>
        <v>#N/A</v>
      </c>
      <c r="PN17" s="158" t="e">
        <f>INDEX('Tables - Part 3'!BG$7:BG$31,MATCH(COF!$F17,'Tables - Part 3'!$AU$7:$AU$31,0),1)</f>
        <v>#N/A</v>
      </c>
      <c r="PO17" s="158" t="e">
        <f>INDEX('Tables - Part 3'!BH$7:BH$31,MATCH(COF!$F17,'Tables - Part 3'!$AU$7:$AU$31,0),1)</f>
        <v>#N/A</v>
      </c>
      <c r="PP17" s="158" t="e">
        <f>INDEX('Tables - Part 3'!BI$7:BI$31,MATCH(COF!$F17,'Tables - Part 3'!$AU$7:$AU$31,0),1)</f>
        <v>#N/A</v>
      </c>
      <c r="PQ17" s="158" t="e">
        <f>INDEX('Tables - Part 3'!BJ$7:BJ$31,MATCH(COF!$F17,'Tables - Part 3'!$AU$7:$AU$31,0),1)</f>
        <v>#N/A</v>
      </c>
      <c r="PR17" s="158" t="e">
        <f>INDEX('Tables - Part 3'!BK$7:BK$31,MATCH(COF!$F17,'Tables - Part 3'!$AU$7:$AU$31,0),1)</f>
        <v>#N/A</v>
      </c>
      <c r="PS17" s="158" t="e">
        <f>INDEX('Tables - Part 3'!BL$7:BL$31,MATCH(COF!$F17,'Tables - Part 3'!$AU$7:$AU$31,0),1)</f>
        <v>#N/A</v>
      </c>
      <c r="PT17" s="158" t="e">
        <f>INDEX('Tables - Part 3'!BP$7:BP$31,MATCH(COF!$F17,'Tables - Part 3'!$AU$7:$AU$31,0),1)</f>
        <v>#N/A</v>
      </c>
      <c r="PU17" s="158" t="e">
        <f>INDEX('Tables - Part 3'!BQ$7:BQ$31,MATCH(COF!$F17,'Tables - Part 3'!$AU$7:$AU$31,0),1)</f>
        <v>#N/A</v>
      </c>
      <c r="PV17" s="158" t="e">
        <f>INDEX('Tables - Part 3'!BR$7:BR$31,MATCH(COF!$F17,'Tables - Part 3'!$AU$7:$AU$31,0),1)</f>
        <v>#N/A</v>
      </c>
      <c r="PW17" s="158" t="e">
        <f>INDEX('Tables - Part 3'!BS$7:BS$31,MATCH(COF!$F17,'Tables - Part 3'!$AU$7:$AU$31,0),1)</f>
        <v>#N/A</v>
      </c>
      <c r="PX17" s="158" t="e">
        <f>INDEX('Tables - Part 3'!BT$7:BT$31,MATCH(COF!$F17,'Tables - Part 3'!$AU$7:$AU$31,0),1)</f>
        <v>#N/A</v>
      </c>
      <c r="PY17" s="158" t="e">
        <f>INDEX('Tables - Part 3'!BU$7:BU$31,MATCH(COF!$F17,'Tables - Part 3'!$AU$7:$AU$31,0),1)</f>
        <v>#N/A</v>
      </c>
      <c r="PZ17" s="158" t="e">
        <f>INDEX('Tables - Part 3'!BV$7:BV$31,MATCH(COF!$F17,'Tables - Part 3'!$AU$7:$AU$31,0),1)</f>
        <v>#N/A</v>
      </c>
      <c r="QA17" s="158" t="e">
        <f>INDEX('Tables - Part 3'!BW$7:BW$31,MATCH(COF!$F17,'Tables - Part 3'!$AU$7:$AU$31,0),1)</f>
        <v>#N/A</v>
      </c>
      <c r="QB17" s="158" t="e">
        <f>INDEX('Tables - Part 3'!BX$7:BX$31,MATCH(COF!$F17,'Tables - Part 3'!$AU$7:$AU$31,0),1)</f>
        <v>#N/A</v>
      </c>
      <c r="QC17" s="158" t="e">
        <f>INDEX('Tables - Part 3'!BY$7:BY$31,MATCH(COF!$F17,'Tables - Part 3'!$AU$7:$AU$31,0),1)</f>
        <v>#N/A</v>
      </c>
      <c r="QD17" s="158" t="e">
        <f>INDEX('Tables - Part 3'!BZ$7:BZ$31,MATCH(COF!$F17,'Tables - Part 3'!$AU$7:$AU$31,0),1)</f>
        <v>#N/A</v>
      </c>
      <c r="QE17" s="158" t="e">
        <f>INDEX('Tables - Part 3'!CA$7:CA$31,MATCH(COF!$F17,'Tables - Part 3'!$AU$7:$AU$31,0),1)</f>
        <v>#N/A</v>
      </c>
      <c r="QF17" s="158" t="e">
        <f>INDEX('Tables - Part 3'!CB$7:CB$31,MATCH(COF!$F17,'Tables - Part 3'!$AU$7:$AU$31,0),1)</f>
        <v>#N/A</v>
      </c>
      <c r="QG17" s="158" t="e">
        <f>INDEX('Tables - Part 3'!CC$7:CC$31,MATCH(COF!$F17,'Tables - Part 3'!$AU$7:$AU$31,0),1)</f>
        <v>#N/A</v>
      </c>
      <c r="QH17" s="158" t="e">
        <f>INDEX('Tables - Part 3'!CD$7:CD$31,MATCH(COF!$F17,'Tables - Part 3'!$AU$7:$AU$31,0),1)</f>
        <v>#N/A</v>
      </c>
      <c r="QI17" s="158" t="e">
        <f>INDEX('Tables - Part 3'!CE$7:CE$31,MATCH(COF!$F17,'Tables - Part 3'!$AU$7:$AU$31,0),1)</f>
        <v>#N/A</v>
      </c>
      <c r="QJ17" s="151">
        <f>'Tables - Part 5'!$R$4</f>
        <v>3.1749999999999998</v>
      </c>
      <c r="QK17" s="151">
        <f>'Tables - Part 5'!$R$5</f>
        <v>6.35</v>
      </c>
      <c r="QL17" s="151">
        <f>'Tables - Part 5'!$R$6</f>
        <v>50.8</v>
      </c>
      <c r="QM17" s="151">
        <f t="shared" si="122"/>
        <v>0</v>
      </c>
      <c r="QN17" s="151">
        <f t="shared" si="232"/>
        <v>7.9173043608984015</v>
      </c>
      <c r="QO17" s="151">
        <f t="shared" si="233"/>
        <v>31.669217443593606</v>
      </c>
      <c r="QP17" s="151">
        <f t="shared" si="234"/>
        <v>2026.8299163899908</v>
      </c>
      <c r="QQ17" s="151">
        <f t="shared" si="235"/>
        <v>0</v>
      </c>
      <c r="QR17" s="151">
        <f t="shared" si="236"/>
        <v>0</v>
      </c>
      <c r="QS17" s="151">
        <f>'Tables - Part 3.B'!$C$34*0.61*QN17*SQRT(2*$TM$15*QR17)</f>
        <v>0</v>
      </c>
      <c r="QT17" s="151">
        <f>'Tables - Part 3.B'!$C$34*0.61*QO17*SQRT(2*$TM$15*QS17)</f>
        <v>0</v>
      </c>
      <c r="QU17" s="151">
        <f>'Tables - Part 3.B'!$C$34*0.61*QP17*SQRT(2*$TM$15*QT17)</f>
        <v>0</v>
      </c>
      <c r="QV17" s="151">
        <f>'Tables - Part 3.B'!$C$34*0.61*QQ17*SQRT(2*$TM$15*QU17)</f>
        <v>0</v>
      </c>
      <c r="QW17" s="151">
        <f t="shared" si="237"/>
        <v>0</v>
      </c>
      <c r="QX17" s="151">
        <f t="shared" si="238"/>
        <v>0</v>
      </c>
      <c r="QY17" s="151">
        <f t="shared" si="239"/>
        <v>0</v>
      </c>
      <c r="QZ17" s="151">
        <f t="shared" si="240"/>
        <v>0</v>
      </c>
      <c r="RA17" s="151">
        <f t="shared" si="241"/>
        <v>0</v>
      </c>
      <c r="RB17" s="151">
        <f>QX17*'Tables - Part 3.B'!$C$15</f>
        <v>0</v>
      </c>
      <c r="RC17" s="151">
        <f>QY17*'Tables - Part 3.B'!$C$15</f>
        <v>0</v>
      </c>
      <c r="RD17" s="151">
        <f>QZ17*'Tables - Part 3.B'!$C$15</f>
        <v>0</v>
      </c>
      <c r="RE17" s="151">
        <f>RA17*'Tables - Part 3.B'!$C$15</f>
        <v>0</v>
      </c>
      <c r="RF17" s="151" t="e">
        <f t="shared" si="242"/>
        <v>#N/A</v>
      </c>
      <c r="RG17" s="151" t="e">
        <f t="shared" si="243"/>
        <v>#N/A</v>
      </c>
      <c r="RH17" s="151" t="e">
        <f t="shared" si="244"/>
        <v>#N/A</v>
      </c>
      <c r="RI17" s="151" t="e">
        <f t="shared" si="245"/>
        <v>#N/A</v>
      </c>
      <c r="RJ17" s="151">
        <f t="shared" si="246"/>
        <v>0</v>
      </c>
      <c r="RK17" s="151">
        <f t="shared" si="247"/>
        <v>0</v>
      </c>
      <c r="RL17" s="151">
        <f t="shared" si="248"/>
        <v>0</v>
      </c>
      <c r="RM17" s="151">
        <f t="shared" si="249"/>
        <v>0</v>
      </c>
      <c r="RN17" s="151">
        <v>7</v>
      </c>
      <c r="RO17" s="151">
        <v>1</v>
      </c>
      <c r="RP17" s="151">
        <v>1</v>
      </c>
      <c r="RQ17" s="151">
        <v>1</v>
      </c>
      <c r="RR17" s="151" t="e">
        <f t="shared" si="250"/>
        <v>#DIV/0!</v>
      </c>
      <c r="RS17" s="151" t="e">
        <f t="shared" si="251"/>
        <v>#DIV/0!</v>
      </c>
      <c r="RT17" s="151" t="e">
        <f t="shared" si="252"/>
        <v>#DIV/0!</v>
      </c>
      <c r="RU17" s="151" t="e">
        <f t="shared" si="253"/>
        <v>#DIV/0!</v>
      </c>
      <c r="RV17" s="151" t="e">
        <f t="shared" si="254"/>
        <v>#DIV/0!</v>
      </c>
      <c r="RW17" s="151" t="e">
        <f t="shared" si="255"/>
        <v>#DIV/0!</v>
      </c>
      <c r="RX17" s="151" t="e">
        <f t="shared" si="256"/>
        <v>#DIV/0!</v>
      </c>
      <c r="RY17" s="151" t="e">
        <f t="shared" si="257"/>
        <v>#DIV/0!</v>
      </c>
      <c r="RZ17" s="151" t="e">
        <f t="shared" si="258"/>
        <v>#DIV/0!</v>
      </c>
      <c r="SA17" s="151" t="e">
        <f t="shared" si="259"/>
        <v>#DIV/0!</v>
      </c>
      <c r="SB17" s="151" t="e">
        <f t="shared" si="260"/>
        <v>#DIV/0!</v>
      </c>
      <c r="SC17" s="151" t="e">
        <f t="shared" si="261"/>
        <v>#DIV/0!</v>
      </c>
      <c r="SD17" s="151">
        <f t="shared" si="262"/>
        <v>0</v>
      </c>
      <c r="SE17" s="151">
        <f t="shared" si="263"/>
        <v>0</v>
      </c>
      <c r="SF17" s="151">
        <f t="shared" si="264"/>
        <v>0</v>
      </c>
      <c r="SG17" s="151">
        <f t="shared" si="265"/>
        <v>0</v>
      </c>
      <c r="SH17" s="151">
        <f t="shared" si="266"/>
        <v>0</v>
      </c>
      <c r="SI17" s="151">
        <f t="shared" si="267"/>
        <v>0</v>
      </c>
      <c r="SJ17" s="151">
        <f t="shared" si="268"/>
        <v>0</v>
      </c>
      <c r="SK17" s="151">
        <f t="shared" si="269"/>
        <v>0</v>
      </c>
      <c r="SL17" s="542"/>
      <c r="SM17" s="542"/>
      <c r="SN17" s="542"/>
      <c r="SO17" s="151"/>
      <c r="SP17" s="151"/>
      <c r="SQ17" s="151"/>
      <c r="SR17" s="151"/>
      <c r="SS17" s="151"/>
      <c r="ST17" s="151"/>
      <c r="SU17" s="151"/>
      <c r="SV17" s="151"/>
      <c r="SW17" s="151"/>
      <c r="SX17" s="151"/>
      <c r="SY17" s="151"/>
      <c r="SZ17" s="151"/>
      <c r="TA17" s="151"/>
      <c r="TB17" s="151"/>
      <c r="TC17" s="151"/>
      <c r="TD17" s="151"/>
      <c r="TE17" s="542"/>
      <c r="TG17" s="155"/>
      <c r="TH17" s="196">
        <v>0.15</v>
      </c>
      <c r="TM17" s="162" t="s">
        <v>128</v>
      </c>
      <c r="TQ17" s="155" t="s">
        <v>73</v>
      </c>
    </row>
    <row r="18" spans="2:537" x14ac:dyDescent="0.35">
      <c r="B18" s="161"/>
      <c r="C18" s="161"/>
      <c r="D18" s="161"/>
      <c r="E18" s="161"/>
      <c r="F18" s="666"/>
      <c r="G18" s="161"/>
      <c r="H18" s="537"/>
      <c r="I18" s="161"/>
      <c r="J18" s="161"/>
      <c r="K18" s="161"/>
      <c r="L18" s="161"/>
      <c r="M18" s="161"/>
      <c r="N18" s="161"/>
      <c r="O18" s="161"/>
      <c r="P18" s="161"/>
      <c r="Q18" s="161"/>
      <c r="R18" s="161"/>
      <c r="S18" s="667"/>
      <c r="T18" s="161"/>
      <c r="U18" s="161"/>
      <c r="V18" s="161"/>
      <c r="W18" s="161"/>
      <c r="X18" s="537"/>
      <c r="Y18" s="537"/>
      <c r="Z18" s="399"/>
      <c r="AA18" s="537"/>
      <c r="AB18" s="399"/>
      <c r="AC18" s="399"/>
      <c r="AD18" s="399"/>
      <c r="AE18" s="399"/>
      <c r="AF18" s="399"/>
      <c r="AG18" s="399"/>
      <c r="AH18" s="399"/>
      <c r="AI18" s="399"/>
      <c r="AJ18" s="399"/>
      <c r="AK18" s="399"/>
      <c r="AL18" s="399"/>
      <c r="AM18" s="399"/>
      <c r="AN18" s="399"/>
      <c r="AO18" s="399"/>
      <c r="AP18" s="399"/>
      <c r="AQ18" s="151" t="e">
        <f>INDEX('Tables - Part 3'!$J$4:$J$35,MATCH(COF!$F18,'Tables - Part 3'!$F$4:$F$35,0),1)</f>
        <v>#N/A</v>
      </c>
      <c r="AR18" s="151" t="e">
        <f>IF($G18=$TH$7,'Tables - Part 3'!$W$4,IF(AND($AQ18=$TH$7,COF!$PA18&lt;26.67),'Tables - Part 3'!$W$4,'Tables - Part 3'!$W$7))</f>
        <v>#N/A</v>
      </c>
      <c r="AS18" s="150" t="e">
        <f>INDEX('Tables - Part 3'!$F$4:$R$35,MATCH(COF!$F18,'Tables - Part 3'!$F$4:$F$35,0),COUNTA('Tables - Part 3'!$F$3:$H$3))</f>
        <v>#N/A</v>
      </c>
      <c r="AT18" s="279" t="e">
        <f t="shared" si="6"/>
        <v>#VALUE!</v>
      </c>
      <c r="AU18" s="151" t="e">
        <f>INDEX('Tables - Part 3'!$F$4:$R$35,MATCH(COF!$F18,'Tables - Part 3'!$F$4:$F$35,0),COUNTA('Tables - Part 3'!$F$3:$G$3))</f>
        <v>#N/A</v>
      </c>
      <c r="AV18" s="151" t="e">
        <f t="shared" si="131"/>
        <v>#N/A</v>
      </c>
      <c r="AW18" s="151" t="e">
        <f t="shared" si="7"/>
        <v>#N/A</v>
      </c>
      <c r="AX18" s="151" t="e">
        <f>INDEX('Tables - Part 3'!$F$4:$R$35,MATCH(COF!$F18,'Tables - Part 3'!$F$4:$F$35,0),COUNTA('Tables - Part 3'!$F$3:$R$3))+273.15</f>
        <v>#N/A</v>
      </c>
      <c r="AY18" s="151">
        <f t="shared" si="8"/>
        <v>0</v>
      </c>
      <c r="AZ18" s="151" t="e">
        <f t="shared" si="9"/>
        <v>#N/A</v>
      </c>
      <c r="BA18" s="151" t="e">
        <f t="shared" si="132"/>
        <v>#N/A</v>
      </c>
      <c r="BB18" s="151" t="e">
        <f t="shared" si="133"/>
        <v>#N/A</v>
      </c>
      <c r="BC18" s="151" t="e">
        <f t="shared" si="134"/>
        <v>#N/A</v>
      </c>
      <c r="BD18" s="151" t="e">
        <f t="shared" si="135"/>
        <v>#N/A</v>
      </c>
      <c r="BE18" s="151" t="e">
        <f t="shared" si="10"/>
        <v>#N/A</v>
      </c>
      <c r="BF18" s="151" t="e">
        <f t="shared" si="11"/>
        <v>#N/A</v>
      </c>
      <c r="BG18" s="151" t="e">
        <f t="shared" si="12"/>
        <v>#N/A</v>
      </c>
      <c r="BH18" s="151" t="e">
        <f t="shared" si="13"/>
        <v>#N/A</v>
      </c>
      <c r="BI18" s="151">
        <f>'Tables - Part 3'!$AD$4</f>
        <v>6.4</v>
      </c>
      <c r="BJ18" s="151">
        <f>MIN(O18,'Tables - Part 3'!$AD$5)</f>
        <v>25</v>
      </c>
      <c r="BK18" s="151">
        <f>MIN(O18,'Tables - Part 3'!$AD$6)</f>
        <v>102</v>
      </c>
      <c r="BL18" s="151">
        <f>MIN(O18,'Tables - Part 3'!$AD$7)</f>
        <v>406</v>
      </c>
      <c r="BM18" s="151">
        <f t="shared" si="136"/>
        <v>32.169908772759484</v>
      </c>
      <c r="BN18" s="151">
        <f t="shared" si="137"/>
        <v>490.87385212340519</v>
      </c>
      <c r="BO18" s="151">
        <f t="shared" si="138"/>
        <v>8171.2824919870518</v>
      </c>
      <c r="BP18" s="151">
        <f t="shared" si="139"/>
        <v>129461.89166178179</v>
      </c>
      <c r="BQ18" s="151" t="e">
        <f>INDEX('Tables - Part 2'!$D$5:$G$30,MATCH(COF!$E18,'Tables - Part 2'!$C$5:$C$30,0),1)</f>
        <v>#N/A</v>
      </c>
      <c r="BR18" s="571" t="e">
        <f>INDEX('Tables - Part 2'!$D$5:$G$30,MATCH(COF!$E18,'Tables - Part 2'!$C$5:$C$30,0),2)</f>
        <v>#N/A</v>
      </c>
      <c r="BS18" s="571" t="e">
        <f>INDEX('Tables - Part 2'!$D$5:$G$30,MATCH(COF!$E18,'Tables - Part 2'!$C$5:$C$30,0),3)</f>
        <v>#N/A</v>
      </c>
      <c r="BT18" s="151" t="e">
        <f>INDEX('Tables - Part 2'!$D$5:$G$30,MATCH(COF!$E18,'Tables - Part 2'!$C$5:$C$30,0),4)</f>
        <v>#N/A</v>
      </c>
      <c r="BU18" s="151" t="e">
        <f t="shared" si="140"/>
        <v>#N/A</v>
      </c>
      <c r="BV18" s="151" t="e">
        <f t="shared" si="141"/>
        <v>#N/A</v>
      </c>
      <c r="BW18" s="151" t="e">
        <f t="shared" si="142"/>
        <v>#N/A</v>
      </c>
      <c r="BX18" s="151" t="e">
        <f t="shared" si="143"/>
        <v>#N/A</v>
      </c>
      <c r="BY18" s="502" t="e">
        <f t="shared" si="144"/>
        <v>#N/A</v>
      </c>
      <c r="BZ18" s="502" t="e">
        <f t="shared" si="145"/>
        <v>#N/A</v>
      </c>
      <c r="CA18" s="151" t="e">
        <f>IF(OR(BI18&lt;='Tables - Part 3'!$AD$4,BE18&lt;='Tables - Part 3.B'!$C$6,BV18&lt;=25.22),COF!$TK$6,COF!$TK$5)</f>
        <v>#N/A</v>
      </c>
      <c r="CB18" s="151" t="e">
        <f>IF(OR(BJ18&lt;='Tables - Part 3'!$AD$4,BF18&lt;='Tables - Part 3.B'!$C$6,BW18&lt;=25.22),COF!$TK$6,COF!$TK$5)</f>
        <v>#N/A</v>
      </c>
      <c r="CC18" s="151" t="e">
        <f>IF(OR(BK18&lt;='Tables - Part 3'!$AD$4,BG18&lt;='Tables - Part 3.B'!$C$6,BX18&lt;=25.22),COF!$TK$6,COF!$TK$5)</f>
        <v>#N/A</v>
      </c>
      <c r="CD18" s="151" t="e">
        <f>IF(OR(BL18&lt;='Tables - Part 3'!$AD$4,BH18&lt;='Tables - Part 3.B'!$C$6,BY18&lt;=25.22),COF!$TK$6,COF!$TK$5)</f>
        <v>#N/A</v>
      </c>
      <c r="CE18" s="151" t="str">
        <f t="shared" si="146"/>
        <v/>
      </c>
      <c r="CF18" s="151" t="e">
        <f>INDEX('Tables - Part 3'!$AR$4:$AR$12,MATCH(COF!$PC18,'Tables - Part 3'!$AP$4:$AP$12,0),1)</f>
        <v>#N/A</v>
      </c>
      <c r="CG18" s="151" t="e">
        <f>INDEX('Tables - Part 3'!$AR$13:$AR$21,MATCH(COF!$PC18,'Tables - Part 3'!$AP$13:$AP$21,0),1)</f>
        <v>#N/A</v>
      </c>
      <c r="CH18" s="151" t="e">
        <f>INDEX('Tables - Part 3'!$AR$22:$AR$30,MATCH(COF!$PC18,'Tables - Part 3'!$AP$22:$AP$30,0),1)</f>
        <v>#N/A</v>
      </c>
      <c r="CI18" s="151" t="e">
        <f>INDEX('Tables - Part 3'!$AR$22:$AR$30,MATCH(COF!$PC18,'Tables - Part 3'!$AP$22:$AP$30,0),1)</f>
        <v>#N/A</v>
      </c>
      <c r="CJ18" s="151" t="e">
        <f t="shared" si="147"/>
        <v>#N/A</v>
      </c>
      <c r="CK18" s="151" t="e">
        <f t="shared" si="148"/>
        <v>#N/A</v>
      </c>
      <c r="CL18" s="151" t="e">
        <f t="shared" si="149"/>
        <v>#N/A</v>
      </c>
      <c r="CM18" s="151" t="e">
        <f t="shared" si="150"/>
        <v>#N/A</v>
      </c>
      <c r="CN18" s="151" t="e">
        <f t="shared" si="151"/>
        <v>#N/A</v>
      </c>
      <c r="CO18" s="151" t="e">
        <f t="shared" si="152"/>
        <v>#N/A</v>
      </c>
      <c r="CP18" s="151" t="e">
        <f t="shared" si="153"/>
        <v>#N/A</v>
      </c>
      <c r="CQ18" s="151" t="e">
        <f t="shared" si="154"/>
        <v>#N/A</v>
      </c>
      <c r="CR18" s="151" t="e">
        <f t="shared" si="155"/>
        <v>#N/A</v>
      </c>
      <c r="CS18" s="151" t="e">
        <f t="shared" si="156"/>
        <v>#N/A</v>
      </c>
      <c r="CT18" s="151" t="e">
        <f t="shared" si="157"/>
        <v>#N/A</v>
      </c>
      <c r="CU18" s="151" t="e">
        <f t="shared" si="158"/>
        <v>#N/A</v>
      </c>
      <c r="CV18" s="151" t="e">
        <f>INDEX('Tables - Part 3'!$CI$4:$CI$8,MATCH(COF!V18,'Tables - Part 3'!$CG$4:$CG$8,0),1)</f>
        <v>#N/A</v>
      </c>
      <c r="CW18" s="502" t="e">
        <f>IF(CR18&gt;'Tables - Part 3.B'!$C$6,4*LOG10('Tables - Part 3.B'!$C$7*CR18)-15,1)</f>
        <v>#N/A</v>
      </c>
      <c r="CX18" s="502" t="e">
        <f>IF(CS18&gt;'Tables - Part 3.B'!$C$6,4*LOG10('Tables - Part 3.B'!$C$7*CS18)-15,1)</f>
        <v>#N/A</v>
      </c>
      <c r="CY18" s="502" t="e">
        <f>IF(CT18&gt;'Tables - Part 3.B'!$C$6,4*LOG10('Tables - Part 3.B'!$C$7*CT18)-15,1)</f>
        <v>#N/A</v>
      </c>
      <c r="CZ18" s="502" t="e">
        <f>IF(CU18&gt;'Tables - Part 3.B'!$C$6,4*LOG10('Tables - Part 3.B'!$C$7*CU18)-15,1)</f>
        <v>#N/A</v>
      </c>
      <c r="DA18" s="151" t="e">
        <f>INDEX('Tables - Part 3'!$C$4:$C$37,MATCH(COF!$F18,'Tables - Part 3'!$B$4:$B$37,0),1)</f>
        <v>#N/A</v>
      </c>
      <c r="DB18" s="151" t="e">
        <f t="shared" si="159"/>
        <v>#N/A</v>
      </c>
      <c r="DC18" s="151" t="e">
        <f t="shared" si="160"/>
        <v>#N/A</v>
      </c>
      <c r="DD18" s="151" t="e">
        <f t="shared" si="161"/>
        <v>#N/A</v>
      </c>
      <c r="DE18" s="151" t="e">
        <f t="shared" si="162"/>
        <v>#N/A</v>
      </c>
      <c r="DF18" s="151" t="e">
        <f t="shared" si="163"/>
        <v>#N/A</v>
      </c>
      <c r="DG18" s="151" t="e">
        <f t="shared" si="164"/>
        <v>#N/A</v>
      </c>
      <c r="DH18" s="151" t="e">
        <f t="shared" si="165"/>
        <v>#N/A</v>
      </c>
      <c r="DI18" s="151" t="e">
        <f t="shared" si="166"/>
        <v>#N/A</v>
      </c>
      <c r="DJ18" s="151" t="e">
        <f t="shared" si="167"/>
        <v>#N/A</v>
      </c>
      <c r="DK18" s="151" t="e">
        <f t="shared" si="168"/>
        <v>#N/A</v>
      </c>
      <c r="DL18" s="151" t="e">
        <f t="shared" si="169"/>
        <v>#N/A</v>
      </c>
      <c r="DM18" s="151" t="e">
        <f t="shared" si="170"/>
        <v>#N/A</v>
      </c>
      <c r="DN18" s="151" t="e">
        <f t="shared" si="171"/>
        <v>#N/A</v>
      </c>
      <c r="DO18" s="151" t="e">
        <f t="shared" si="172"/>
        <v>#N/A</v>
      </c>
      <c r="DP18" s="151" t="e">
        <f t="shared" si="173"/>
        <v>#N/A</v>
      </c>
      <c r="DQ18" s="151" t="e">
        <f t="shared" si="174"/>
        <v>#N/A</v>
      </c>
      <c r="DR18" s="151" t="e">
        <f t="shared" si="175"/>
        <v>#N/A</v>
      </c>
      <c r="DS18" s="151" t="e">
        <f t="shared" si="176"/>
        <v>#N/A</v>
      </c>
      <c r="DT18" s="151" t="e">
        <f t="shared" si="177"/>
        <v>#N/A</v>
      </c>
      <c r="DU18" s="151" t="e">
        <f t="shared" si="178"/>
        <v>#N/A</v>
      </c>
      <c r="DV18" s="151" t="e">
        <f t="shared" si="179"/>
        <v>#N/A</v>
      </c>
      <c r="DW18" s="151" t="e">
        <f t="shared" si="180"/>
        <v>#N/A</v>
      </c>
      <c r="DX18" s="151" t="e">
        <f t="shared" si="181"/>
        <v>#N/A</v>
      </c>
      <c r="DY18" s="151" t="e">
        <f t="shared" si="182"/>
        <v>#N/A</v>
      </c>
      <c r="DZ18" s="151" t="e">
        <f t="shared" si="183"/>
        <v>#N/A</v>
      </c>
      <c r="EA18" s="151" t="e">
        <f t="shared" si="184"/>
        <v>#N/A</v>
      </c>
      <c r="EB18" s="151" t="e">
        <f t="shared" si="185"/>
        <v>#N/A</v>
      </c>
      <c r="EC18" s="151" t="e">
        <f t="shared" si="186"/>
        <v>#N/A</v>
      </c>
      <c r="ED18" s="151" t="e">
        <f t="shared" si="187"/>
        <v>#N/A</v>
      </c>
      <c r="EE18" s="151" t="e">
        <f t="shared" si="188"/>
        <v>#N/A</v>
      </c>
      <c r="EF18" s="151" t="e">
        <f t="shared" si="189"/>
        <v>#N/A</v>
      </c>
      <c r="EG18" s="151" t="e">
        <f t="shared" si="190"/>
        <v>#N/A</v>
      </c>
      <c r="EH18" s="151" t="e">
        <f>IF(CA18=$TK$5,1,MIN(CJ18/'Tables - Part 3.B'!$C$8,1))</f>
        <v>#N/A</v>
      </c>
      <c r="EI18" s="151" t="e">
        <f>IF(CB18=$TK$5,1,MIN(CK18/'Tables - Part 3.B'!$C$8,1))</f>
        <v>#N/A</v>
      </c>
      <c r="EJ18" s="151" t="e">
        <f>IF(CC18=$TK$5,1,MIN(CL18/'Tables - Part 3.B'!$C$8,1))</f>
        <v>#N/A</v>
      </c>
      <c r="EK18" s="151" t="e">
        <f>IF(CD18=$TK$5,1,MIN(CM18/'Tables - Part 3.B'!$C$8,1))</f>
        <v>#N/A</v>
      </c>
      <c r="EL18" s="151" t="e">
        <f t="shared" si="191"/>
        <v>#VALUE!</v>
      </c>
      <c r="EM18" s="151" t="e">
        <f t="shared" si="48"/>
        <v>#VALUE!</v>
      </c>
      <c r="EN18" s="151" t="e">
        <f t="shared" si="48"/>
        <v>#VALUE!</v>
      </c>
      <c r="EO18" s="151" t="e">
        <f t="shared" si="48"/>
        <v>#VALUE!</v>
      </c>
      <c r="EP18" s="151" t="e">
        <f t="shared" si="192"/>
        <v>#N/A</v>
      </c>
      <c r="EQ18" s="151" t="e">
        <f t="shared" si="49"/>
        <v>#N/A</v>
      </c>
      <c r="ER18" s="151" t="e">
        <f t="shared" si="49"/>
        <v>#N/A</v>
      </c>
      <c r="ES18" s="151" t="e">
        <f t="shared" si="49"/>
        <v>#N/A</v>
      </c>
      <c r="ET18" s="151" t="e">
        <f t="shared" si="193"/>
        <v>#N/A</v>
      </c>
      <c r="EU18" s="151" t="e">
        <f t="shared" si="50"/>
        <v>#N/A</v>
      </c>
      <c r="EV18" s="151" t="e">
        <f t="shared" si="50"/>
        <v>#N/A</v>
      </c>
      <c r="EW18" s="151" t="e">
        <f t="shared" si="50"/>
        <v>#N/A</v>
      </c>
      <c r="EX18" s="151" t="e">
        <f t="shared" si="194"/>
        <v>#N/A</v>
      </c>
      <c r="EY18" s="151" t="e">
        <f t="shared" si="51"/>
        <v>#N/A</v>
      </c>
      <c r="EZ18" s="151" t="e">
        <f t="shared" si="51"/>
        <v>#N/A</v>
      </c>
      <c r="FA18" s="151" t="e">
        <f t="shared" si="51"/>
        <v>#N/A</v>
      </c>
      <c r="FB18" s="151" t="e">
        <f t="shared" si="195"/>
        <v>#N/A</v>
      </c>
      <c r="FC18" s="151" t="e">
        <f t="shared" si="52"/>
        <v>#N/A</v>
      </c>
      <c r="FD18" s="151" t="e">
        <f t="shared" si="52"/>
        <v>#N/A</v>
      </c>
      <c r="FE18" s="151" t="e">
        <f t="shared" si="52"/>
        <v>#N/A</v>
      </c>
      <c r="FF18" s="151" t="e">
        <f t="shared" si="196"/>
        <v>#N/A</v>
      </c>
      <c r="FG18" s="151" t="e">
        <f t="shared" si="53"/>
        <v>#N/A</v>
      </c>
      <c r="FH18" s="151" t="e">
        <f t="shared" si="53"/>
        <v>#N/A</v>
      </c>
      <c r="FI18" s="151" t="e">
        <f t="shared" si="53"/>
        <v>#N/A</v>
      </c>
      <c r="FJ18" s="151" t="e">
        <f t="shared" si="197"/>
        <v>#N/A</v>
      </c>
      <c r="FK18" s="151" t="e">
        <f t="shared" si="54"/>
        <v>#N/A</v>
      </c>
      <c r="FL18" s="151" t="e">
        <f t="shared" si="54"/>
        <v>#N/A</v>
      </c>
      <c r="FM18" s="288" t="e">
        <f t="shared" si="54"/>
        <v>#N/A</v>
      </c>
      <c r="FN18" s="299">
        <f t="shared" si="198"/>
        <v>0</v>
      </c>
      <c r="FO18" s="511">
        <f t="shared" si="199"/>
        <v>0</v>
      </c>
      <c r="FP18" s="150" t="e">
        <f t="shared" si="200"/>
        <v>#N/A</v>
      </c>
      <c r="FQ18" s="151" t="e">
        <f t="shared" si="201"/>
        <v>#N/A</v>
      </c>
      <c r="FR18" s="151" t="e">
        <f t="shared" si="202"/>
        <v>#N/A</v>
      </c>
      <c r="FS18" s="151" t="e">
        <f t="shared" si="203"/>
        <v>#N/A</v>
      </c>
      <c r="FT18" s="151">
        <f t="shared" si="270"/>
        <v>0</v>
      </c>
      <c r="FU18" s="151">
        <f t="shared" si="56"/>
        <v>0</v>
      </c>
      <c r="FV18" s="151">
        <f t="shared" si="57"/>
        <v>0</v>
      </c>
      <c r="FW18" s="151">
        <f t="shared" si="58"/>
        <v>0</v>
      </c>
      <c r="FX18" s="151">
        <f t="shared" si="271"/>
        <v>0</v>
      </c>
      <c r="FY18" s="151">
        <f t="shared" si="60"/>
        <v>0</v>
      </c>
      <c r="FZ18" s="151">
        <f t="shared" si="61"/>
        <v>0</v>
      </c>
      <c r="GA18" s="151">
        <f t="shared" si="62"/>
        <v>0</v>
      </c>
      <c r="GB18" s="151" t="e">
        <f>IF(CA18=$TK$6,'Tables - Part 3.B'!$C$10*(('Tables - Part 3.B'!$C$7*COF!FT18)^COF!GR18*10^COF!GV18),IF(CA18=$TK$5,'Tables - Part 3.B'!$C$10*(('Tables - Part 3.B'!$C$7*COF!FX18)^COF!GR18*10^COF!GV18),0))</f>
        <v>#N/A</v>
      </c>
      <c r="GC18" s="151" t="e">
        <f>IF(CB18=$TK$6,'Tables - Part 3.B'!$C$10*(('Tables - Part 3.B'!$C$7*COF!FU18)^COF!GS18*10^COF!GW18),IF(CB18=$TK$5,'Tables - Part 3.B'!$C$10*(('Tables - Part 3.B'!$C$7*COF!FY18)^COF!GS18*10^COF!GW18),0))</f>
        <v>#N/A</v>
      </c>
      <c r="GD18" s="151" t="e">
        <f>IF(CC18=$TK$6,'Tables - Part 3.B'!$C$10*(('Tables - Part 3.B'!$C$7*COF!FV18)^COF!GT18*10^COF!GX18),IF(CC18=$TK$5,'Tables - Part 3.B'!$C$10*(('Tables - Part 3.B'!$C$7*COF!FZ18)^COF!GT18*10^COF!GX18),0))</f>
        <v>#N/A</v>
      </c>
      <c r="GE18" s="151" t="e">
        <f>IF(CD18=$TK$6,'Tables - Part 3.B'!$C$10*(('Tables - Part 3.B'!$C$7*COF!FW18)^COF!GU18*10^COF!GY18),IF(CD18=$TK$5,'Tables - Part 3.B'!$C$10*(('Tables - Part 3.B'!$C$7*COF!GA18)^COF!GU18*10^COF!GY18),0))</f>
        <v>#N/A</v>
      </c>
      <c r="GF18" s="152" t="e">
        <f t="shared" si="272"/>
        <v>#N/A</v>
      </c>
      <c r="GG18" s="152" t="e">
        <f t="shared" si="63"/>
        <v>#N/A</v>
      </c>
      <c r="GH18" s="152" t="e">
        <f t="shared" si="64"/>
        <v>#N/A</v>
      </c>
      <c r="GI18" s="152" t="e">
        <f t="shared" si="65"/>
        <v>#N/A</v>
      </c>
      <c r="GJ18" s="152" t="e">
        <f>IF(GF18&lt;'Tables - Part 3'!$CK$5,0,LOOKUP(GF18,'Tables - Part 3'!$CK$5:$CK$9))</f>
        <v>#N/A</v>
      </c>
      <c r="GK18" s="152" t="e">
        <f>IF(GG18&lt;'Tables - Part 3'!$CK$5,0,LOOKUP(GG18,'Tables - Part 3'!$CK$5:$CK$9))</f>
        <v>#N/A</v>
      </c>
      <c r="GL18" s="152" t="e">
        <f>IF(GH18&lt;'Tables - Part 3'!$CK$5,0,LOOKUP(GH18,'Tables - Part 3'!$CK$5:$CK$9))</f>
        <v>#N/A</v>
      </c>
      <c r="GM18" s="152" t="e">
        <f>IF(GI18&lt;'Tables - Part 3'!$CK$5,0,LOOKUP(GI18,'Tables - Part 3'!$CK$5:$CK$9))</f>
        <v>#N/A</v>
      </c>
      <c r="GN18" s="152" t="e">
        <f>IF(GF18&lt;'Tables - Part 3'!$CK$5,'Tables - Part 3'!$CK$5,IF(COF!GF18&lt;'Tables - Part 3'!$CK$6,'Tables - Part 3'!$CK$6,IF(COF!GF18&lt;'Tables - Part 3'!$CK$7,'Tables - Part 3'!$CK$7,IF(COF!GF18&lt;'Tables - Part 3'!$CK$8,'Tables - Part 3'!$CK$8,IF(COF!GF18&lt;'Tables - Part 3'!$CK$9,'Tables - Part 3'!$CK$9)))))</f>
        <v>#N/A</v>
      </c>
      <c r="GO18" s="152" t="e">
        <f>IF(GG18&lt;'Tables - Part 3'!$CK$5,'Tables - Part 3'!$CK$5,IF(COF!GG18&lt;'Tables - Part 3'!$CK$6,'Tables - Part 3'!$CK$6,IF(COF!GG18&lt;'Tables - Part 3'!$CK$7,'Tables - Part 3'!$CK$7,IF(COF!GG18&lt;'Tables - Part 3'!$CK$8,'Tables - Part 3'!$CK$8,IF(COF!GG18&lt;'Tables - Part 3'!$CK$9,'Tables - Part 3'!$CK$9)))))</f>
        <v>#N/A</v>
      </c>
      <c r="GP18" s="152" t="e">
        <f>IF(GH18&lt;'Tables - Part 3'!$CK$5,'Tables - Part 3'!$CK$5,IF(COF!GH18&lt;'Tables - Part 3'!$CK$6,'Tables - Part 3'!$CK$6,IF(COF!GH18&lt;'Tables - Part 3'!$CK$7,'Tables - Part 3'!$CK$7,IF(COF!GH18&lt;'Tables - Part 3'!$CK$8,'Tables - Part 3'!$CK$8,IF(COF!GH18&lt;'Tables - Part 3'!$CK$9,'Tables - Part 3'!$CK$9)))))</f>
        <v>#N/A</v>
      </c>
      <c r="GQ18" s="152" t="e">
        <f>IF(GI18&lt;'Tables - Part 3'!$CK$5,'Tables - Part 3'!$CK$5,IF(COF!GI18&lt;'Tables - Part 3'!$CK$6,'Tables - Part 3'!$CK$6,IF(COF!GI18&lt;'Tables - Part 3'!$CK$7,'Tables - Part 3'!$CK$7,IF(COF!GI18&lt;'Tables - Part 3'!$CK$8,'Tables - Part 3'!$CK$8,IF(COF!GI18&lt;'Tables - Part 3'!$CK$9,'Tables - Part 3'!$CK$9)))))</f>
        <v>#N/A</v>
      </c>
      <c r="GR18" s="151" t="e">
        <f>IF(CA18=$TK$5,'Tables - Part 3'!$CL$10,IF(COF!CA18=COF!$TK$6,IF(COF!GF18&lt;'Tables - Part 3'!$CK$5,'Tables - Part 3'!$CL$5,IF(GF18&gt;='Tables - Part 3'!$CK$9,'Tables - Part 3'!$CL$9,((COF!GF18-COF!GJ18)*(INDEX('Tables - Part 3'!$CL$5:$CL$9,MATCH(COF!GN18,'Tables - Part 3'!$CK$5:$CK$9,0))-INDEX('Tables - Part 3'!$CL$5:$CL$9,MATCH(COF!GJ18,'Tables - Part 3'!$CK$5:$CK$9,0)))/(GN18-GJ18)+INDEX('Tables - Part 3'!$CL$5:$CL$9,MATCH(COF!GJ18,'Tables - Part 3'!$CK$5:$CK$9,0)))))))</f>
        <v>#N/A</v>
      </c>
      <c r="GS18" s="151" t="e">
        <f>IF(CB18=$TK$5,'Tables - Part 3'!$CL$10,IF(COF!CB18=COF!$TK$6,IF(COF!GG18&lt;'Tables - Part 3'!$CK$5,'Tables - Part 3'!$CL$5,IF(GG18&gt;='Tables - Part 3'!$CK$9,'Tables - Part 3'!$CL$9,((COF!GG18-COF!GK18)*(INDEX('Tables - Part 3'!$CL$5:$CL$9,MATCH(COF!GO18,'Tables - Part 3'!$CK$5:$CK$9,0))-INDEX('Tables - Part 3'!$CL$5:$CL$9,MATCH(COF!GK18,'Tables - Part 3'!$CK$5:$CK$9,0)))/(GO18-GK18)+INDEX('Tables - Part 3'!$CL$5:$CL$9,MATCH(COF!GK18,'Tables - Part 3'!$CK$5:$CK$9,0)))))))</f>
        <v>#N/A</v>
      </c>
      <c r="GT18" s="151" t="e">
        <f>IF(CC18=$TK$5,'Tables - Part 3'!$CL$10,IF(COF!CC18=COF!$TK$6,IF(COF!GH18&lt;'Tables - Part 3'!$CK$5,'Tables - Part 3'!$CL$5,IF(GH18&gt;='Tables - Part 3'!$CK$9,'Tables - Part 3'!$CL$9,((COF!GH18-COF!GL18)*(INDEX('Tables - Part 3'!$CL$5:$CL$9,MATCH(COF!GP18,'Tables - Part 3'!$CK$5:$CK$9,0))-INDEX('Tables - Part 3'!$CL$5:$CL$9,MATCH(COF!GL18,'Tables - Part 3'!$CK$5:$CK$9,0)))/(GP18-GL18)+INDEX('Tables - Part 3'!$CL$5:$CL$9,MATCH(COF!GL18,'Tables - Part 3'!$CK$5:$CK$9,0)))))))</f>
        <v>#N/A</v>
      </c>
      <c r="GU18" s="151" t="e">
        <f>IF(CD18=$TK$5,'Tables - Part 3'!$CL$10,IF(COF!CD18=COF!$TK$6,IF(COF!GI18&lt;'Tables - Part 3'!$CK$5,'Tables - Part 3'!$CL$5,IF(GI18&gt;='Tables - Part 3'!$CK$9,'Tables - Part 3'!$CL$9,((COF!GI18-COF!GM18)*(INDEX('Tables - Part 3'!$CL$5:$CL$9,MATCH(COF!GQ18,'Tables - Part 3'!$CK$5:$CK$9,0))-INDEX('Tables - Part 3'!$CL$5:$CL$9,MATCH(COF!GM18,'Tables - Part 3'!$CK$5:$CK$9,0)))/(GQ18-GM18)+INDEX('Tables - Part 3'!$CL$5:$CL$9,MATCH(COF!GM18,'Tables - Part 3'!$CK$5:$CK$9,0)))))))</f>
        <v>#N/A</v>
      </c>
      <c r="GV18" s="151" t="e">
        <f>IF(CA18=$TK$5,'Tables - Part 3'!$CM$10,IF(COF!CA18=COF!$TK$6,IF(GF18&lt;'Tables - Part 3'!$CK$5,'Tables - Part 3'!$CM$5,IF(GF18&gt;='Tables - Part 3'!$CK$9,'Tables - Part 3'!$CM$9,((COF!GF18-COF!GJ18)*(INDEX('Tables - Part 3'!$CM$5:$CM$9,MATCH(COF!GN18,'Tables - Part 3'!$CK$5:$CK$9,0))-INDEX('Tables - Part 3'!$CM$5:$CM$9,MATCH(COF!GJ18,'Tables - Part 3'!$CK$5:$CK$9,0)))/(GN18-GJ18)+INDEX('Tables - Part 3'!$CM$5:$CM$9,MATCH(COF!GJ18,'Tables - Part 3'!$CK$5:$CK$9,0)))))))</f>
        <v>#N/A</v>
      </c>
      <c r="GW18" s="151" t="e">
        <f>IF(CB18=$TK$5,'Tables - Part 3'!$CM$10,IF(COF!CB18=COF!$TK$6,IF(GG18&lt;'Tables - Part 3'!$CK$5,'Tables - Part 3'!$CM$5,IF(GG18&gt;='Tables - Part 3'!$CK$9,'Tables - Part 3'!$CM$9,((COF!GG18-COF!GK18)*(INDEX('Tables - Part 3'!$CM$5:$CM$9,MATCH(COF!GO18,'Tables - Part 3'!$CK$5:$CK$9,0))-INDEX('Tables - Part 3'!$CM$5:$CM$9,MATCH(COF!GK18,'Tables - Part 3'!$CK$5:$CK$9,0)))/(GO18-GK18)+INDEX('Tables - Part 3'!$CM$5:$CM$9,MATCH(COF!GK18,'Tables - Part 3'!$CK$5:$CK$9,0)))))))</f>
        <v>#N/A</v>
      </c>
      <c r="GX18" s="151" t="e">
        <f>IF(CC18=$TK$5,'Tables - Part 3'!$CM$10,IF(COF!CC18=COF!$TK$6,IF(GH18&lt;'Tables - Part 3'!$CK$5,'Tables - Part 3'!$CM$5,IF(GH18&gt;='Tables - Part 3'!$CK$9,'Tables - Part 3'!$CM$9,((COF!GH18-COF!GL18)*(INDEX('Tables - Part 3'!$CM$5:$CM$9,MATCH(COF!GP18,'Tables - Part 3'!$CK$5:$CK$9,0))-INDEX('Tables - Part 3'!$CM$5:$CM$9,MATCH(COF!GL18,'Tables - Part 3'!$CK$5:$CK$9,0)))/(GP18-GL18)+INDEX('Tables - Part 3'!$CM$5:$CM$9,MATCH(COF!GL18,'Tables - Part 3'!$CK$5:$CK$9,0)))))))</f>
        <v>#N/A</v>
      </c>
      <c r="GY18" s="151" t="e">
        <f>IF(CD18=$TK$5,'Tables - Part 3'!$CM$10,IF(COF!CD18=COF!$TK$6,IF(GI18&lt;'Tables - Part 3'!$CK$5,'Tables - Part 3'!$CM$5,IF(GI18&gt;='Tables - Part 3'!$CK$9,'Tables - Part 3'!$CM$9,((COF!GI18-COF!GM18)*(INDEX('Tables - Part 3'!$CM$5:$CM$9,MATCH(COF!GQ18,'Tables - Part 3'!$CK$5:$CK$9,0))-INDEX('Tables - Part 3'!$CM$5:$CM$9,MATCH(COF!GM18,'Tables - Part 3'!$CK$5:$CK$9,0)))/(GQ18-GM18)+INDEX('Tables - Part 3'!$CM$5:$CM$9,MATCH(COF!GM18,'Tables - Part 3'!$CK$5:$CK$9,0)))))))</f>
        <v>#N/A</v>
      </c>
      <c r="GZ18" s="151">
        <f t="shared" si="273"/>
        <v>0</v>
      </c>
      <c r="HA18" s="151">
        <f t="shared" si="67"/>
        <v>0</v>
      </c>
      <c r="HB18" s="151">
        <f t="shared" si="68"/>
        <v>0</v>
      </c>
      <c r="HC18" s="151">
        <f t="shared" si="69"/>
        <v>0</v>
      </c>
      <c r="HD18" s="151">
        <f t="shared" si="274"/>
        <v>0</v>
      </c>
      <c r="HE18" s="151">
        <f t="shared" si="71"/>
        <v>0</v>
      </c>
      <c r="HF18" s="151">
        <f t="shared" si="72"/>
        <v>0</v>
      </c>
      <c r="HG18" s="151">
        <f t="shared" si="73"/>
        <v>0</v>
      </c>
      <c r="HH18" s="151" t="e">
        <f>IF(CA18=$TK$6,'Tables - Part 3.B'!$C$10*(('Tables - Part 3.B'!$C$7*COF!GZ18)^COF!HL18*10^COF!HP18),IF(CA18=$TK$5,'Tables - Part 3.B'!$C$10*(('Tables - Part 3.B'!$C$7*COF!HD18)^COF!HL18*10^COF!HP18),0))</f>
        <v>#N/A</v>
      </c>
      <c r="HI18" s="151" t="e">
        <f>IF(CB18=$TK$6,'Tables - Part 3.B'!$C$10*(('Tables - Part 3.B'!$C$7*COF!HA18)^COF!HM18*10^COF!HQ18),IF(CB18=$TK$5,'Tables - Part 3.B'!$C$10*(('Tables - Part 3.B'!$C$7*COF!HE18)^COF!HM18*10^COF!HQ18),0))</f>
        <v>#N/A</v>
      </c>
      <c r="HJ18" s="151" t="e">
        <f>IF(CC18=$TK$6,'Tables - Part 3.B'!$C$10*(('Tables - Part 3.B'!$C$7*COF!HB18)^COF!HN18*10^COF!HR18),IF(CC18=$TK$5,'Tables - Part 3.B'!$C$10*(('Tables - Part 3.B'!$C$7*COF!HF18)^COF!HN18*10^COF!HR18),0))</f>
        <v>#N/A</v>
      </c>
      <c r="HK18" s="151" t="e">
        <f>IF(CD18=$TK$6,'Tables - Part 3.B'!$C$10*(('Tables - Part 3.B'!$C$7*COF!HC18)^COF!HO18*10^COF!HS18),IF(CD18=$TK$5,'Tables - Part 3.B'!$C$10*(('Tables - Part 3.B'!$C$7*COF!HG18)^COF!HO18*10^COF!HS18),0))</f>
        <v>#N/A</v>
      </c>
      <c r="HL18" s="151" t="e">
        <f>IF(CA18=$TK$5,'Tables - Part 3'!$CN$10,IF(COF!CA18=COF!$TK$6,IF(COF!GF18&lt;'Tables - Part 3'!$CK$5,'Tables - Part 3'!$CN$5,IF(GF18&gt;='Tables - Part 3'!$CK$9,'Tables - Part 3'!$CN$9,((COF!GF18-COF!GJ18)*(INDEX('Tables - Part 3'!$CN$5:$CN$9,MATCH(COF!GN18,'Tables - Part 3'!$CK$5:$CK$9,0))-INDEX('Tables - Part 3'!$CN$5:$CN$9,MATCH(COF!GJ18,'Tables - Part 3'!$CK$5:$CK$9,0)))/(GN18-GJ18)+INDEX('Tables - Part 3'!$CN$5:$CN$9,MATCH(COF!GJ18,'Tables - Part 3'!$CK$5:$CK$9,0)))))))</f>
        <v>#N/A</v>
      </c>
      <c r="HM18" s="151" t="e">
        <f>IF(CB18=$TK$5,'Tables - Part 3'!$CN$10,IF(COF!CB18=COF!$TK$6,IF(COF!GG18&lt;'Tables - Part 3'!$CK$5,'Tables - Part 3'!$CN$5,IF(GG18&gt;='Tables - Part 3'!$CK$9,'Tables - Part 3'!$CN$9,((COF!GG18-COF!GK18)*(INDEX('Tables - Part 3'!$CN$5:$CN$9,MATCH(COF!GO18,'Tables - Part 3'!$CK$5:$CK$9,0))-INDEX('Tables - Part 3'!$CN$5:$CN$9,MATCH(COF!GK18,'Tables - Part 3'!$CK$5:$CK$9,0)))/(GO18-GK18)+INDEX('Tables - Part 3'!$CN$5:$CN$9,MATCH(COF!GK18,'Tables - Part 3'!$CK$5:$CK$9,0)))))))</f>
        <v>#N/A</v>
      </c>
      <c r="HN18" s="151" t="e">
        <f>IF(CC18=$TK$5,'Tables - Part 3'!$CN$10,IF(COF!CC18=COF!$TK$6,IF(COF!GH18&lt;'Tables - Part 3'!$CK$5,'Tables - Part 3'!$CN$5,IF(GH18&gt;='Tables - Part 3'!$CK$9,'Tables - Part 3'!$CN$9,((COF!GH18-COF!GL18)*(INDEX('Tables - Part 3'!$CN$5:$CN$9,MATCH(COF!GP18,'Tables - Part 3'!$CK$5:$CK$9,0))-INDEX('Tables - Part 3'!$CN$5:$CN$9,MATCH(COF!GL18,'Tables - Part 3'!$CK$5:$CK$9,0)))/(GP18-GL18)+INDEX('Tables - Part 3'!$CN$5:$CN$9,MATCH(COF!GL18,'Tables - Part 3'!$CK$5:$CK$9,0)))))))</f>
        <v>#N/A</v>
      </c>
      <c r="HO18" s="151" t="e">
        <f>IF(CD18=$TK$5,'Tables - Part 3'!$CN$10,IF(COF!CD18=COF!$TK$6,IF(COF!GI18&lt;'Tables - Part 3'!$CK$5,'Tables - Part 3'!$CN$5,IF(GI18&gt;='Tables - Part 3'!$CK$9,'Tables - Part 3'!$CN$9,((COF!GI18-COF!GM18)*(INDEX('Tables - Part 3'!$CN$5:$CN$9,MATCH(COF!GQ18,'Tables - Part 3'!$CK$5:$CK$9,0))-INDEX('Tables - Part 3'!$CN$5:$CN$9,MATCH(COF!GM18,'Tables - Part 3'!$CK$5:$CK$9,0)))/(GQ18-GM18)+INDEX('Tables - Part 3'!$CN$5:$CN$9,MATCH(COF!GM18,'Tables - Part 3'!$CK$5:$CK$9,0)))))))</f>
        <v>#N/A</v>
      </c>
      <c r="HP18" s="151" t="e">
        <f>IF(CA18=$TK$5,'Tables - Part 3'!$CO$10,IF(COF!CA18=COF!$TK$6,IF(GF18&lt;'Tables - Part 3'!$CK$5,'Tables - Part 3'!$CO$5,IF(GF18&gt;='Tables - Part 3'!$CK$9,'Tables - Part 3'!$CO$9,((COF!GF18-COF!GJ18)*(INDEX('Tables - Part 3'!$CO$5:$CO$9,MATCH(COF!GN18,'Tables - Part 3'!$CK$5:$CK$9,0))-INDEX('Tables - Part 3'!$CO$5:$CO$9,MATCH(COF!GJ18,'Tables - Part 3'!$CK$5:$CK$9,0)))/(GN18-GJ18)+INDEX('Tables - Part 3'!$CO$5:$CO$9,MATCH(COF!GJ18,'Tables - Part 3'!$CK$5:$CK$9,0)))))))</f>
        <v>#N/A</v>
      </c>
      <c r="HQ18" s="151" t="e">
        <f>IF(CB18=$TK$5,'Tables - Part 3'!$CO$10,IF(COF!CB18=COF!$TK$6,IF(GG18&lt;'Tables - Part 3'!$CK$5,'Tables - Part 3'!$CO$5,IF(GG18&gt;='Tables - Part 3'!$CK$9,'Tables - Part 3'!$CO$9,((COF!GG18-COF!GK18)*(INDEX('Tables - Part 3'!$CO$5:$CO$9,MATCH(COF!GO18,'Tables - Part 3'!$CK$5:$CK$9,0))-INDEX('Tables - Part 3'!$CO$5:$CO$9,MATCH(COF!GK18,'Tables - Part 3'!$CK$5:$CK$9,0)))/(GO18-GK18)+INDEX('Tables - Part 3'!$CO$5:$CO$9,MATCH(COF!GK18,'Tables - Part 3'!$CK$5:$CK$9,0)))))))</f>
        <v>#N/A</v>
      </c>
      <c r="HR18" s="151" t="e">
        <f>IF(CC18=$TK$5,'Tables - Part 3'!$CO$10,IF(COF!CC18=COF!$TK$6,IF(GH18&lt;'Tables - Part 3'!$CK$5,'Tables - Part 3'!$CO$5,IF(GH18&gt;='Tables - Part 3'!$CK$9,'Tables - Part 3'!$CO$9,((COF!GH18-COF!GL18)*(INDEX('Tables - Part 3'!$CO$5:$CO$9,MATCH(COF!GP18,'Tables - Part 3'!$CK$5:$CK$9,0))-INDEX('Tables - Part 3'!$CO$5:$CO$9,MATCH(COF!GL18,'Tables - Part 3'!$CK$5:$CK$9,0)))/(GP18-GL18)+INDEX('Tables - Part 3'!$CO$5:$CO$9,MATCH(COF!GL18,'Tables - Part 3'!$CK$5:$CK$9,0)))))))</f>
        <v>#N/A</v>
      </c>
      <c r="HS18" s="151" t="e">
        <f>IF(CD18=$TK$5,'Tables - Part 3'!$CO$10,IF(COF!CD18=COF!$TK$6,IF(GI18&lt;'Tables - Part 3'!$CK$5,'Tables - Part 3'!$CO$5,IF(GI18&gt;='Tables - Part 3'!$CK$9,'Tables - Part 3'!$CO$9,((COF!GI18-COF!GM18)*(INDEX('Tables - Part 3'!$CO$5:$CO$9,MATCH(COF!GQ18,'Tables - Part 3'!$CK$5:$CK$9,0))-INDEX('Tables - Part 3'!$CO$5:$CO$9,MATCH(COF!GM18,'Tables - Part 3'!$CK$5:$CK$9,0)))/(GQ18-GM18)+INDEX('Tables - Part 3'!$CO$5:$CO$9,MATCH(COF!GM18,'Tables - Part 3'!$CK$5:$CK$9,0)))))))</f>
        <v>#N/A</v>
      </c>
      <c r="HT18" s="151">
        <f t="shared" si="275"/>
        <v>0</v>
      </c>
      <c r="HU18" s="151">
        <f t="shared" si="75"/>
        <v>0</v>
      </c>
      <c r="HV18" s="151">
        <f t="shared" si="76"/>
        <v>0</v>
      </c>
      <c r="HW18" s="151">
        <f t="shared" si="77"/>
        <v>0</v>
      </c>
      <c r="HX18" s="151">
        <f t="shared" si="276"/>
        <v>0</v>
      </c>
      <c r="HY18" s="151">
        <f t="shared" si="79"/>
        <v>0</v>
      </c>
      <c r="HZ18" s="151">
        <f t="shared" si="80"/>
        <v>0</v>
      </c>
      <c r="IA18" s="151">
        <f t="shared" si="81"/>
        <v>0</v>
      </c>
      <c r="IB18" s="153" t="e">
        <f t="shared" si="82"/>
        <v>#N/A</v>
      </c>
      <c r="IC18" s="153" t="e">
        <f t="shared" si="83"/>
        <v>#N/A</v>
      </c>
      <c r="ID18" s="153" t="e">
        <f t="shared" si="84"/>
        <v>#N/A</v>
      </c>
      <c r="IE18" s="153" t="e">
        <f t="shared" si="85"/>
        <v>#N/A</v>
      </c>
      <c r="IF18" s="152" t="e">
        <f>IF(GF18&lt;'Tables - Part 3'!$CQ$5,0,LOOKUP(GF18,'Tables - Part 3'!$CQ$5:$CQ$16))</f>
        <v>#N/A</v>
      </c>
      <c r="IG18" s="152" t="e">
        <f>IF(GG18&lt;'Tables - Part 3'!$CQ$5,0,LOOKUP(GG18,'Tables - Part 3'!$CQ$5:$CQ$16))</f>
        <v>#N/A</v>
      </c>
      <c r="IH18" s="152" t="e">
        <f>IF(GH18&lt;'Tables - Part 3'!$CQ$5,0,LOOKUP(GH18,'Tables - Part 3'!$CQ$5:$CQ$16))</f>
        <v>#N/A</v>
      </c>
      <c r="II18" s="152" t="e">
        <f>IF(GI18&lt;'Tables - Part 3'!$CQ$5,0,LOOKUP(GI18,'Tables - Part 3'!$CQ$5:$CQ$16))</f>
        <v>#N/A</v>
      </c>
      <c r="IJ18" s="152" t="e">
        <f>IF(GF18&lt;'Tables - Part 3'!$CQ$5,'Tables - Part 3'!$CQ$5,IF(COF!GF18&lt;'Tables - Part 3'!$CQ$6,'Tables - Part 3'!$CQ$6,IF(COF!GF18&lt;'Tables - Part 3'!$CQ$7,'Tables - Part 3'!$CQ$7,IF(COF!GF18&lt;'Tables - Part 3'!$CQ$8,'Tables - Part 3'!$CQ$8,IF(COF!GF18&lt;'Tables - Part 3'!$CQ$9,'Tables - Part 3'!$CQ$9,IF(COF!GF18&lt;'Tables - Part 3'!$CQ$10,'Tables - Part 3'!$CQ$10,IF(COF!GF18&lt;'Tables - Part 3'!$CQ$11,'Tables - Part 3'!$CQ$11,IF(COF!GF18&lt;'Tables - Part 3'!$CQ$12,'Tables - Part 3'!$CQ$12,IF(COF!GF18&lt;'Tables - Part 3'!$CQ$13,'Tables - Part 3'!$CQ$13,IF(COF!GF18&lt;'Tables - Part 3'!$CQ$14,'Tables - Part 3'!$CQ$14,IF(COF!GF18&lt;'Tables - Part 3'!$CQ$15,'Tables - Part 3'!$CQ$15,IF(COF!GF18&lt;'Tables - Part 3'!$CQ$16,'Tables - Part 3'!$CQ$16))))))))))))</f>
        <v>#N/A</v>
      </c>
      <c r="IK18" s="152" t="e">
        <f>IF(GG18&lt;'Tables - Part 3'!$CQ$5,'Tables - Part 3'!$CQ$5,IF(COF!GG18&lt;'Tables - Part 3'!$CQ$6,'Tables - Part 3'!$CQ$6,IF(COF!GG18&lt;'Tables - Part 3'!$CQ$7,'Tables - Part 3'!$CQ$7,IF(COF!GG18&lt;'Tables - Part 3'!$CQ$8,'Tables - Part 3'!$CQ$8,IF(COF!GG18&lt;'Tables - Part 3'!$CQ$9,'Tables - Part 3'!$CQ$9,IF(COF!GG18&lt;'Tables - Part 3'!$CQ$10,'Tables - Part 3'!$CQ$10,IF(COF!GG18&lt;'Tables - Part 3'!$CQ$11,'Tables - Part 3'!$CQ$11,IF(COF!GG18&lt;'Tables - Part 3'!$CQ$12,'Tables - Part 3'!$CQ$12,IF(COF!GG18&lt;'Tables - Part 3'!$CQ$13,'Tables - Part 3'!$CQ$13,IF(COF!GG18&lt;'Tables - Part 3'!$CQ$14,'Tables - Part 3'!$CQ$14,IF(COF!GG18&lt;'Tables - Part 3'!$CQ$15,'Tables - Part 3'!$CQ$15,IF(COF!GG18&lt;'Tables - Part 3'!$CQ$16,'Tables - Part 3'!$CQ$16))))))))))))</f>
        <v>#N/A</v>
      </c>
      <c r="IL18" s="152" t="e">
        <f>IF(GH18&lt;'Tables - Part 3'!$CQ$5,'Tables - Part 3'!$CQ$5,IF(COF!GH18&lt;'Tables - Part 3'!$CQ$6,'Tables - Part 3'!$CQ$6,IF(COF!GH18&lt;'Tables - Part 3'!$CQ$7,'Tables - Part 3'!$CQ$7,IF(COF!GH18&lt;'Tables - Part 3'!$CQ$8,'Tables - Part 3'!$CQ$8,IF(COF!GH18&lt;'Tables - Part 3'!$CQ$9,'Tables - Part 3'!$CQ$9,IF(COF!GH18&lt;'Tables - Part 3'!$CQ$10,'Tables - Part 3'!$CQ$10,IF(COF!GH18&lt;'Tables - Part 3'!$CQ$11,'Tables - Part 3'!$CQ$11,IF(COF!GH18&lt;'Tables - Part 3'!$CQ$12,'Tables - Part 3'!$CQ$12,IF(COF!GH18&lt;'Tables - Part 3'!$CQ$13,'Tables - Part 3'!$CQ$13,IF(COF!GH18&lt;'Tables - Part 3'!$CQ$14,'Tables - Part 3'!$CQ$14,IF(COF!GH18&lt;'Tables - Part 3'!$CQ$15,'Tables - Part 3'!$CQ$15,IF(COF!GH18&lt;'Tables - Part 3'!$CQ$16,'Tables - Part 3'!$CQ$16))))))))))))</f>
        <v>#N/A</v>
      </c>
      <c r="IM18" s="152" t="e">
        <f>IF(GI18&lt;'Tables - Part 3'!$CQ$5,'Tables - Part 3'!$CQ$5,IF(COF!GI18&lt;'Tables - Part 3'!$CQ$6,'Tables - Part 3'!$CQ$6,IF(COF!GI18&lt;'Tables - Part 3'!$CQ$7,'Tables - Part 3'!$CQ$7,IF(COF!GI18&lt;'Tables - Part 3'!$CQ$8,'Tables - Part 3'!$CQ$8,IF(COF!GI18&lt;'Tables - Part 3'!$CQ$9,'Tables - Part 3'!$CQ$9,IF(COF!GI18&lt;'Tables - Part 3'!$CQ$10,'Tables - Part 3'!$CQ$10,IF(COF!GI18&lt;'Tables - Part 3'!$CQ$11,'Tables - Part 3'!$CQ$11,IF(COF!GI18&lt;'Tables - Part 3'!$CQ$12,'Tables - Part 3'!$CQ$12,IF(COF!GI18&lt;'Tables - Part 3'!$CQ$13,'Tables - Part 3'!$CQ$13,IF(COF!GI18&lt;'Tables - Part 3'!$CQ$14,'Tables - Part 3'!$CQ$14,IF(COF!GI18&lt;'Tables - Part 3'!$CQ$15,'Tables - Part 3'!$CQ$15,IF(COF!GI18&lt;'Tables - Part 3'!$CQ$16,'Tables - Part 3'!$CQ$16))))))))))))</f>
        <v>#N/A</v>
      </c>
      <c r="IN18" s="151" t="e">
        <f>IF(CA18=$TK$5,'Tables - Part 3'!$CR$17,IF(COF!CA18=COF!$TK$6,IF(COF!GF18&lt;'Tables - Part 3'!$CQ$5,'Tables - Part 3'!$CR$5,IF(GF18&gt;='Tables - Part 3'!$CQ$16,'Tables - Part 3'!$CR$16,((COF!GF18-COF!IF18)*(INDEX('Tables - Part 3'!$CR$5:$CR$16,MATCH(COF!IJ18,'Tables - Part 3'!$CQ$5:$CQ$16,0))-INDEX('Tables - Part 3'!$CR$5:$CR$16,MATCH(COF!IF18,'Tables - Part 3'!$CQ$5:$CQ$16,0)))/(IJ18-IF18)+INDEX('Tables - Part 3'!$CR$5:$CR$16,MATCH(COF!IF18,'Tables - Part 3'!$CQ$5:$CQ$16,0)))))))</f>
        <v>#N/A</v>
      </c>
      <c r="IO18" s="151" t="e">
        <f>IF(CB18=$TK$5,'Tables - Part 3'!$CR$17,IF(COF!CB18=COF!$TK$6,IF(COF!GG18&lt;'Tables - Part 3'!$CQ$5,'Tables - Part 3'!$CR$5,IF(GG18&gt;='Tables - Part 3'!$CQ$16,'Tables - Part 3'!$CR$16,((COF!GG18-COF!IG18)*(INDEX('Tables - Part 3'!$CR$5:$CR$16,MATCH(COF!IK18,'Tables - Part 3'!$CQ$5:$CQ$16,0))-INDEX('Tables - Part 3'!$CR$5:$CR$16,MATCH(COF!IG18,'Tables - Part 3'!$CQ$5:$CQ$16,0)))/(IK18-IG18)+INDEX('Tables - Part 3'!$CR$5:$CR$16,MATCH(COF!IG18,'Tables - Part 3'!$CQ$5:$CQ$16,0)))))))</f>
        <v>#N/A</v>
      </c>
      <c r="IP18" s="151" t="e">
        <f>IF(CC18=$TK$5,'Tables - Part 3'!$CR$17,IF(COF!CC18=COF!$TK$6,IF(COF!GH18&lt;'Tables - Part 3'!$CQ$5,'Tables - Part 3'!$CR$5,IF(GH18&gt;='Tables - Part 3'!$CQ$16,'Tables - Part 3'!$CR$16,((COF!GH18-COF!IH18)*(INDEX('Tables - Part 3'!$CR$5:$CR$16,MATCH(COF!IL18,'Tables - Part 3'!$CQ$5:$CQ$16,0))-INDEX('Tables - Part 3'!$CR$5:$CR$16,MATCH(COF!IH18,'Tables - Part 3'!$CQ$5:$CQ$16,0)))/(IL18-IH18)+INDEX('Tables - Part 3'!$CR$5:$CR$16,MATCH(COF!IH18,'Tables - Part 3'!$CQ$5:$CQ$16,0)))))))</f>
        <v>#N/A</v>
      </c>
      <c r="IQ18" s="151" t="e">
        <f>IF(CD18=$TK$5,'Tables - Part 3'!$CR$17,IF(COF!CD18=COF!$TK$6,IF(COF!GI18&lt;'Tables - Part 3'!$CQ$5,'Tables - Part 3'!$CR$5,IF(GI18&gt;='Tables - Part 3'!$CQ$16,'Tables - Part 3'!$CR$16,((COF!GI18-COF!II18)*(INDEX('Tables - Part 3'!$CR$5:$CR$16,MATCH(COF!IM18,'Tables - Part 3'!$CQ$5:$CQ$16,0))-INDEX('Tables - Part 3'!$CR$5:$CR$16,MATCH(COF!II18,'Tables - Part 3'!$CQ$5:$CQ$16,0)))/(IM18-II18)+INDEX('Tables - Part 3'!$CR$5:$CR$16,MATCH(COF!II18,'Tables - Part 3'!$CQ$5:$CQ$16,0)))))))</f>
        <v>#N/A</v>
      </c>
      <c r="IR18" s="151" t="e">
        <f>IF(CA18=$TK$5,'Tables - Part 3'!$CS$17,IF(COF!CA18=COF!$TK$6,IF(COF!GF18&lt;'Tables - Part 3'!$CQ$5,'Tables - Part 3'!$CS$5,IF(GF18&gt;='Tables - Part 3'!$CQ$16,'Tables - Part 3'!$CS$16,((COF!GF18-COF!IF18)*(INDEX('Tables - Part 3'!$CS$5:$CS$16,MATCH(COF!IJ18,'Tables - Part 3'!$CQ$5:$CQ$16,0))-INDEX('Tables - Part 3'!$CS$5:$CS$16,MATCH(COF!IF18,'Tables - Part 3'!$CQ$5:$CQ$16,0)))/(IJ18-IF18)+INDEX('Tables - Part 3'!$CS$5:$CS$16,MATCH(COF!IF18,'Tables - Part 3'!$CQ$5:$CQ$16,0)))))))</f>
        <v>#N/A</v>
      </c>
      <c r="IS18" s="151" t="e">
        <f>IF(CB18=$TK$5,'Tables - Part 3'!$CS$17,IF(COF!CB18=COF!$TK$6,IF(COF!GG18&lt;'Tables - Part 3'!$CQ$5,'Tables - Part 3'!$CS$5,IF(GG18&gt;='Tables - Part 3'!$CQ$16,'Tables - Part 3'!$CS$16,((COF!GG18-COF!IG18)*(INDEX('Tables - Part 3'!$CS$5:$CS$16,MATCH(COF!IK18,'Tables - Part 3'!$CQ$5:$CQ$16,0))-INDEX('Tables - Part 3'!$CS$5:$CS$16,MATCH(COF!IG18,'Tables - Part 3'!$CQ$5:$CQ$16,0)))/(IK18-IG18)+INDEX('Tables - Part 3'!$CS$5:$CS$16,MATCH(COF!IG18,'Tables - Part 3'!$CQ$5:$CQ$16,0)))))))</f>
        <v>#N/A</v>
      </c>
      <c r="IT18" s="151" t="e">
        <f>IF(CC18=$TK$5,'Tables - Part 3'!$CS$17,IF(COF!CC18=COF!$TK$6,IF(COF!GH18&lt;'Tables - Part 3'!$CQ$5,'Tables - Part 3'!$CS$5,IF(GH18&gt;='Tables - Part 3'!$CQ$16,'Tables - Part 3'!$CS$16,((COF!GH18-COF!IH18)*(INDEX('Tables - Part 3'!$CS$5:$CS$16,MATCH(COF!IL18,'Tables - Part 3'!$CQ$5:$CQ$16,0))-INDEX('Tables - Part 3'!$CS$5:$CS$16,MATCH(COF!IH18,'Tables - Part 3'!$CQ$5:$CQ$16,0)))/(IL18-IH18)+INDEX('Tables - Part 3'!$CS$5:$CS$16,MATCH(COF!IH18,'Tables - Part 3'!$CQ$5:$CQ$16,0)))))))</f>
        <v>#N/A</v>
      </c>
      <c r="IU18" s="151" t="e">
        <f>IF(CD18=$TK$5,'Tables - Part 3'!$CS$17,IF(COF!CD18=COF!$TK$6,IF(COF!GI18&lt;'Tables - Part 3'!$CQ$5,'Tables - Part 3'!$CS$5,IF(GI18&gt;='Tables - Part 3'!$CQ$16,'Tables - Part 3'!$CS$16,((COF!GI18-COF!II18)*(INDEX('Tables - Part 3'!$CS$5:$CS$16,MATCH(COF!IM18,'Tables - Part 3'!$CQ$5:$CQ$16,0))-INDEX('Tables - Part 3'!$CS$5:$CS$16,MATCH(COF!II18,'Tables - Part 3'!$CQ$5:$CQ$16,0)))/(IM18-II18)+INDEX('Tables - Part 3'!$CS$5:$CS$16,MATCH(COF!II18,'Tables - Part 3'!$CQ$5:$CQ$16,0)))))))</f>
        <v>#N/A</v>
      </c>
      <c r="IV18" s="151">
        <f t="shared" si="277"/>
        <v>0</v>
      </c>
      <c r="IW18" s="151">
        <f t="shared" si="87"/>
        <v>0</v>
      </c>
      <c r="IX18" s="151">
        <f t="shared" si="88"/>
        <v>0</v>
      </c>
      <c r="IY18" s="151">
        <f t="shared" si="89"/>
        <v>0</v>
      </c>
      <c r="IZ18" s="151">
        <f t="shared" si="278"/>
        <v>0</v>
      </c>
      <c r="JA18" s="151">
        <f t="shared" si="91"/>
        <v>0</v>
      </c>
      <c r="JB18" s="151">
        <f t="shared" si="92"/>
        <v>0</v>
      </c>
      <c r="JC18" s="151">
        <f t="shared" si="93"/>
        <v>0</v>
      </c>
      <c r="JD18" s="151" t="e">
        <f t="shared" si="94"/>
        <v>#N/A</v>
      </c>
      <c r="JE18" s="151" t="e">
        <f t="shared" si="95"/>
        <v>#N/A</v>
      </c>
      <c r="JF18" s="151" t="e">
        <f t="shared" si="96"/>
        <v>#N/A</v>
      </c>
      <c r="JG18" s="151" t="e">
        <f t="shared" si="97"/>
        <v>#N/A</v>
      </c>
      <c r="JH18" s="151" t="e">
        <f>IF(CA18=$TK$5,'Tables - Part 3'!$CT$17,IF(COF!CA18=COF!$TK$6,IF(COF!GF18&lt;'Tables - Part 3'!$CQ$5,'Tables - Part 3'!$CT$5,IF(GF18&gt;='Tables - Part 3'!$CQ$16,'Tables - Part 3'!$CT$16,((COF!GF18-COF!IF18)*(INDEX('Tables - Part 3'!$CT$5:$CT$16,MATCH(COF!IJ18,'Tables - Part 3'!$CQ$5:$CQ$16,0))-INDEX('Tables - Part 3'!$CT$5:$CT$16,MATCH(COF!IF18,'Tables - Part 3'!$CQ$5:$CQ$16,0)))/(IJ18-IF18)+INDEX('Tables - Part 3'!$CT$5:$CT$16,MATCH(COF!IF18,'Tables - Part 3'!$CQ$5:$CQ$16,0)))))))</f>
        <v>#N/A</v>
      </c>
      <c r="JI18" s="151" t="e">
        <f>IF(CB18=$TK$5,'Tables - Part 3'!$CT$17,IF(COF!CB18=COF!$TK$6,IF(COF!GG18&lt;'Tables - Part 3'!$CQ$5,'Tables - Part 3'!$CT$5,IF(GG18&gt;='Tables - Part 3'!$CQ$16,'Tables - Part 3'!$CT$16,((COF!GG18-COF!IG18)*(INDEX('Tables - Part 3'!$CT$5:$CT$16,MATCH(COF!IK18,'Tables - Part 3'!$CQ$5:$CQ$16,0))-INDEX('Tables - Part 3'!$CT$5:$CT$16,MATCH(COF!IG18,'Tables - Part 3'!$CQ$5:$CQ$16,0)))/(IK18-IG18)+INDEX('Tables - Part 3'!$CT$5:$CT$16,MATCH(COF!IG18,'Tables - Part 3'!$CQ$5:$CQ$16,0)))))))</f>
        <v>#N/A</v>
      </c>
      <c r="JJ18" s="151" t="e">
        <f>IF(CC18=$TK$5,'Tables - Part 3'!$CT$17,IF(COF!CC18=COF!$TK$6,IF(COF!GH18&lt;'Tables - Part 3'!$CQ$5,'Tables - Part 3'!$CT$5,IF(GH18&gt;='Tables - Part 3'!$CQ$16,'Tables - Part 3'!$CT$16,((COF!GH18-COF!IH18)*(INDEX('Tables - Part 3'!$CT$5:$CT$16,MATCH(COF!IL18,'Tables - Part 3'!$CQ$5:$CQ$16,0))-INDEX('Tables - Part 3'!$CT$5:$CT$16,MATCH(COF!IH18,'Tables - Part 3'!$CQ$5:$CQ$16,0)))/(IL18-IH18)+INDEX('Tables - Part 3'!$CT$5:$CT$16,MATCH(COF!IH18,'Tables - Part 3'!$CQ$5:$CQ$16,0)))))))</f>
        <v>#N/A</v>
      </c>
      <c r="JK18" s="151" t="e">
        <f>IF(CD18=$TK$5,'Tables - Part 3'!$CT$17,IF(COF!CD18=COF!$TK$6,IF(COF!GI18&lt;'Tables - Part 3'!$CQ$5,'Tables - Part 3'!$CT$5,IF(GI18&gt;='Tables - Part 3'!$CQ$16,'Tables - Part 3'!$CT$16,((COF!GI18-COF!II18)*(INDEX('Tables - Part 3'!$CT$5:$CT$16,MATCH(COF!IM18,'Tables - Part 3'!$CQ$5:$CQ$16,0))-INDEX('Tables - Part 3'!$CT$5:$CT$16,MATCH(COF!II18,'Tables - Part 3'!$CQ$5:$CQ$16,0)))/(IM18-II18)+INDEX('Tables - Part 3'!$CT$5:$CT$16,MATCH(COF!II18,'Tables - Part 3'!$CQ$5:$CQ$16,0)))))))</f>
        <v>#N/A</v>
      </c>
      <c r="JL18" s="151" t="e">
        <f>IF(CA18=$TK$5,'Tables - Part 3'!$CU$17,IF(COF!CA18=COF!$TK$6,IF(COF!GF18&lt;'Tables - Part 3'!$CQ$5,'Tables - Part 3'!$CU$5,IF(GF18&gt;='Tables - Part 3'!$CQ$16,'Tables - Part 3'!$CU$16,((COF!GF18-COF!IF18)*(INDEX('Tables - Part 3'!$CU$5:$CU$16,MATCH(COF!IJ18,'Tables - Part 3'!$CQ$5:$CQ$16,0))-INDEX('Tables - Part 3'!$CU$5:$CU$16,MATCH(COF!IF18,'Tables - Part 3'!$CQ$5:$CQ$16,0)))/(IJ18-IF18)+INDEX('Tables - Part 3'!$CU$5:$CU$16,MATCH(COF!IF18,'Tables - Part 3'!$CQ$5:$CQ$16,0)))))))</f>
        <v>#N/A</v>
      </c>
      <c r="JM18" s="151" t="e">
        <f>IF(CB18=$TK$5,'Tables - Part 3'!$CU$17,IF(COF!CB18=COF!$TK$6,IF(COF!GG18&lt;'Tables - Part 3'!$CQ$5,'Tables - Part 3'!$CU$5,IF(GG18&gt;='Tables - Part 3'!$CQ$16,'Tables - Part 3'!$CU$16,((COF!GG18-COF!IG18)*(INDEX('Tables - Part 3'!$CU$5:$CU$16,MATCH(COF!IK18,'Tables - Part 3'!$CQ$5:$CQ$16,0))-INDEX('Tables - Part 3'!$CU$5:$CU$16,MATCH(COF!IG18,'Tables - Part 3'!$CQ$5:$CQ$16,0)))/(IK18-IG18)+INDEX('Tables - Part 3'!$CU$5:$CU$16,MATCH(COF!IG18,'Tables - Part 3'!$CQ$5:$CQ$16,0)))))))</f>
        <v>#N/A</v>
      </c>
      <c r="JN18" s="151" t="e">
        <f>IF(CC18=$TK$5,'Tables - Part 3'!$CU$17,IF(COF!CC18=COF!$TK$6,IF(COF!GH18&lt;'Tables - Part 3'!$CQ$5,'Tables - Part 3'!$CU$5,IF(GH18&gt;='Tables - Part 3'!$CQ$16,'Tables - Part 3'!$CU$16,((COF!GH18-COF!IH18)*(INDEX('Tables - Part 3'!$CU$5:$CU$16,MATCH(COF!IL18,'Tables - Part 3'!$CQ$5:$CQ$16,0))-INDEX('Tables - Part 3'!$CU$5:$CU$16,MATCH(COF!IH18,'Tables - Part 3'!$CQ$5:$CQ$16,0)))/(IL18-IH18)+INDEX('Tables - Part 3'!$CU$5:$CU$16,MATCH(COF!IH18,'Tables - Part 3'!$CQ$5:$CQ$16,0)))))))</f>
        <v>#N/A</v>
      </c>
      <c r="JO18" s="151" t="e">
        <f>IF(CD18=$TK$5,'Tables - Part 3'!$CU$17,IF(COF!CD18=COF!$TK$6,IF(COF!GI18&lt;'Tables - Part 3'!$CQ$5,'Tables - Part 3'!$CU$5,IF(GI18&gt;='Tables - Part 3'!$CQ$16,'Tables - Part 3'!$CU$16,((COF!GI18-COF!II18)*(INDEX('Tables - Part 3'!$CU$5:$CU$16,MATCH(COF!IM18,'Tables - Part 3'!$CQ$5:$CQ$16,0))-INDEX('Tables - Part 3'!$CU$5:$CU$16,MATCH(COF!II18,'Tables - Part 3'!$CQ$5:$CQ$16,0)))/(IM18-II18)+INDEX('Tables - Part 3'!$CU$5:$CU$16,MATCH(COF!II18,'Tables - Part 3'!$CQ$5:$CQ$16,0)))))))</f>
        <v>#N/A</v>
      </c>
      <c r="JP18" s="282"/>
      <c r="JQ18" s="151">
        <f t="shared" si="279"/>
        <v>0</v>
      </c>
      <c r="JR18" s="151">
        <f t="shared" si="99"/>
        <v>0</v>
      </c>
      <c r="JS18" s="151">
        <f t="shared" si="100"/>
        <v>0</v>
      </c>
      <c r="JT18" s="151">
        <f t="shared" si="101"/>
        <v>0</v>
      </c>
      <c r="JU18" s="151" t="e">
        <f t="shared" si="204"/>
        <v>#N/A</v>
      </c>
      <c r="JV18" s="151" t="e">
        <f t="shared" si="205"/>
        <v>#N/A</v>
      </c>
      <c r="JW18" s="151" t="e">
        <f t="shared" si="206"/>
        <v>#N/A</v>
      </c>
      <c r="JX18" s="151" t="e">
        <f t="shared" si="207"/>
        <v>#N/A</v>
      </c>
      <c r="JY18" s="152" t="e">
        <f>IF(GF18&lt;'Tables - Part 3'!$CY$6,0,LOOKUP(GF18,'Tables - Part 3'!$CY$6:$CY$11))</f>
        <v>#N/A</v>
      </c>
      <c r="JZ18" s="152" t="e">
        <f>IF(GG18&lt;'Tables - Part 3'!$CY$6,0,LOOKUP(GG18,'Tables - Part 3'!$CY$6:$CY$11))</f>
        <v>#N/A</v>
      </c>
      <c r="KA18" s="152" t="e">
        <f>IF(GH18&lt;'Tables - Part 3'!$CY$6,0,LOOKUP(GH18,'Tables - Part 3'!$CY$6:$CY$11))</f>
        <v>#N/A</v>
      </c>
      <c r="KB18" s="152" t="e">
        <f>IF(GI18&lt;'Tables - Part 3'!$CY$6,0,LOOKUP(GI18,'Tables - Part 3'!$CY$6:$CY$11))</f>
        <v>#N/A</v>
      </c>
      <c r="KC18" s="152" t="e">
        <f>IF(GF18&lt;'Tables - Part 3'!$CY$6,'Tables - Part 3'!$CY$6,IF(COF!GF18&lt;'Tables - Part 3'!$CY$7,'Tables - Part 3'!$CY$7,IF(COF!GF18&lt;'Tables - Part 3'!$CY$8,'Tables - Part 3'!$CY$8,IF(COF!GF18&lt;'Tables - Part 3'!$CY$9,'Tables - Part 3'!$CY$9,IF(COF!GF18&lt;'Tables - Part 3'!$CY$10,'Tables - Part 3'!$CY$10,IF(COF!GF18&lt;'Tables - Part 3'!$CY$11,'Tables - Part 3'!$CY$11))))))</f>
        <v>#N/A</v>
      </c>
      <c r="KD18" s="152" t="e">
        <f>IF(GG18&lt;'Tables - Part 3'!$CY$6,'Tables - Part 3'!$CY$6,IF(COF!GG18&lt;'Tables - Part 3'!$CY$7,'Tables - Part 3'!$CY$7,IF(COF!GG18&lt;'Tables - Part 3'!$CY$8,'Tables - Part 3'!$CY$8,IF(COF!GG18&lt;'Tables - Part 3'!$CY$9,'Tables - Part 3'!$CY$9,IF(COF!GG18&lt;'Tables - Part 3'!$CY$10,'Tables - Part 3'!$CY$10,IF(COF!GG18&lt;'Tables - Part 3'!$CY$11,'Tables - Part 3'!$CY$11))))))</f>
        <v>#N/A</v>
      </c>
      <c r="KE18" s="152" t="e">
        <f>IF(GH18&lt;'Tables - Part 3'!$CY$6,'Tables - Part 3'!$CY$6,IF(COF!GH18&lt;'Tables - Part 3'!$CY$7,'Tables - Part 3'!$CY$7,IF(COF!GH18&lt;'Tables - Part 3'!$CY$8,'Tables - Part 3'!$CY$8,IF(COF!GH18&lt;'Tables - Part 3'!$CY$9,'Tables - Part 3'!$CY$9,IF(COF!GH18&lt;'Tables - Part 3'!$CY$10,'Tables - Part 3'!$CY$10,IF(COF!GH18&lt;'Tables - Part 3'!$CY$11,'Tables - Part 3'!$CY$11))))))</f>
        <v>#N/A</v>
      </c>
      <c r="KF18" s="152" t="e">
        <f>IF(GI18&lt;'Tables - Part 3'!$CY$6,'Tables - Part 3'!$CY$6,IF(COF!GI18&lt;'Tables - Part 3'!$CY$7,'Tables - Part 3'!$CY$7,IF(COF!GI18&lt;'Tables - Part 3'!$CY$8,'Tables - Part 3'!$CY$8,IF(COF!GI18&lt;'Tables - Part 3'!$CY$9,'Tables - Part 3'!$CY$9,IF(COF!GI18&lt;'Tables - Part 3'!$CY$10,'Tables - Part 3'!$CY$10,IF(COF!GI18&lt;'Tables - Part 3'!$CY$11,'Tables - Part 3'!$CY$11))))))</f>
        <v>#N/A</v>
      </c>
      <c r="KG18" s="151" t="e">
        <f>IF(CA18=$TK$5,'Tables - Part 3'!$CZ$6,IF(COF!CA18=COF!$TK$6,IF(COF!GF18&lt;'Tables - Part 3'!$CY$6,'Tables - Part 3'!$CZ$6,IF(GF18&gt;='Tables - Part 3'!$CY$11,'Tables - Part 3'!$CZ$11,((COF!GF18-COF!JY18)*(INDEX('Tables - Part 3'!$CZ$6:$CZ$11,MATCH(COF!KC18,'Tables - Part 3'!$CY$6:$CY$11,0))-INDEX('Tables - Part 3'!$CZ$6:$CZ$11,MATCH(COF!JY18,'Tables - Part 3'!$CY$6:$CY$11,0)))/(KC18-JY18)+INDEX('Tables - Part 3'!$CZ$6:$CZ$11,MATCH(COF!JY18,'Tables - Part 3'!$CY$6:$CY$11,0)))))))</f>
        <v>#N/A</v>
      </c>
      <c r="KH18" s="151" t="e">
        <f>IF(CB18=$TK$5,'Tables - Part 3'!$CZ$6,IF(COF!CB18=COF!$TK$6,IF(COF!GG18&lt;'Tables - Part 3'!$CY$6,'Tables - Part 3'!$CZ$6,IF(GG18&gt;='Tables - Part 3'!$CY$11,'Tables - Part 3'!$CZ$11,((COF!GG18-COF!JZ18)*(INDEX('Tables - Part 3'!$CZ$6:$CZ$11,MATCH(COF!KD18,'Tables - Part 3'!$CY$6:$CY$11,0))-INDEX('Tables - Part 3'!$CZ$6:$CZ$11,MATCH(COF!JZ18,'Tables - Part 3'!$CY$6:$CY$11,0)))/(KD18-JZ18)+INDEX('Tables - Part 3'!$CZ$6:$CZ$11,MATCH(COF!JZ18,'Tables - Part 3'!$CY$6:$CY$11,0)))))))</f>
        <v>#N/A</v>
      </c>
      <c r="KI18" s="151" t="e">
        <f>IF(CC18=$TK$5,'Tables - Part 3'!$CZ$6,IF(COF!CC18=COF!$TK$6,IF(COF!GH18&lt;'Tables - Part 3'!$CY$6,'Tables - Part 3'!$CZ$6,IF(GH18&gt;='Tables - Part 3'!$CY$11,'Tables - Part 3'!$CZ$11,((COF!GH18-COF!KA18)*(INDEX('Tables - Part 3'!$CZ$6:$CZ$11,MATCH(COF!KE18,'Tables - Part 3'!$CY$6:$CY$11,0))-INDEX('Tables - Part 3'!$CZ$6:$CZ$11,MATCH(COF!KA18,'Tables - Part 3'!$CY$6:$CY$11,0)))/(KE18-KA18)+INDEX('Tables - Part 3'!$CZ$6:$CZ$11,MATCH(COF!KA18,'Tables - Part 3'!$CY$6:$CY$11,0)))))))</f>
        <v>#N/A</v>
      </c>
      <c r="KJ18" s="151" t="e">
        <f>IF(CD18=$TK$5,'Tables - Part 3'!$CZ$6,IF(COF!CD18=COF!$TK$6,IF(COF!GI18&lt;'Tables - Part 3'!$CY$6,'Tables - Part 3'!$CZ$6,IF(GI18&gt;='Tables - Part 3'!$CY$11,'Tables - Part 3'!$CZ$11,((COF!GI18-COF!KB18)*(INDEX('Tables - Part 3'!$CZ$6:$CZ$11,MATCH(COF!KF18,'Tables - Part 3'!$CY$6:$CY$11,0))-INDEX('Tables - Part 3'!$CZ$6:$CZ$11,MATCH(COF!KB18,'Tables - Part 3'!$CY$6:$CY$11,0)))/(KF18-KB18)+INDEX('Tables - Part 3'!$CZ$6:$CZ$11,MATCH(COF!KB18,'Tables - Part 3'!$CY$6:$CY$11,0)))))))</f>
        <v>#N/A</v>
      </c>
      <c r="KK18" s="153" t="e">
        <f>IF(CA18=$TK$5,'Tables - Part 3'!$DA$6,IF(COF!CA18=COF!$TK$6,IF(COF!GF18&lt;'Tables - Part 3'!$CY$6,'Tables - Part 3'!$DA$6,IF(GF18&gt;='Tables - Part 3'!$CY$11,'Tables - Part 3'!$DA$11,((COF!GF18-COF!JY18)*(INDEX('Tables - Part 3'!$DA$6:$DA$11,MATCH(COF!KC18,'Tables - Part 3'!$CY$6:$CY$11,0))-INDEX('Tables - Part 3'!$DA$6:$DA$11,MATCH(COF!JY18,'Tables - Part 3'!$CY$6:$CY$11,0)))/(KC18-JY18)+INDEX('Tables - Part 3'!$DA$6:$DA$16,MATCH(COF!JY18,'Tables - Part 3'!$CY$6:$CY$11,0)))))))</f>
        <v>#N/A</v>
      </c>
      <c r="KL18" s="153" t="e">
        <f>IF(CB18=$TK$5,'Tables - Part 3'!$DA$6,IF(COF!CB18=COF!$TK$6,IF(COF!GG18&lt;'Tables - Part 3'!$CY$6,'Tables - Part 3'!$DA$6,IF(GG18&gt;='Tables - Part 3'!$CY$11,'Tables - Part 3'!$DA$11,((COF!GG18-COF!JZ18)*(INDEX('Tables - Part 3'!$DA$6:$DA$11,MATCH(COF!KD18,'Tables - Part 3'!$CY$6:$CY$11,0))-INDEX('Tables - Part 3'!$DA$6:$DA$11,MATCH(COF!JZ18,'Tables - Part 3'!$CY$6:$CY$11,0)))/(KD18-JZ18)+INDEX('Tables - Part 3'!$DA$6:$DA$16,MATCH(COF!JZ18,'Tables - Part 3'!$CY$6:$CY$11,0)))))))</f>
        <v>#N/A</v>
      </c>
      <c r="KM18" s="153" t="e">
        <f>IF(CC18=$TK$5,'Tables - Part 3'!$DA$6,IF(COF!CC18=COF!$TK$6,IF(COF!GH18&lt;'Tables - Part 3'!$CY$6,'Tables - Part 3'!$DA$6,IF(GH18&gt;='Tables - Part 3'!$CY$11,'Tables - Part 3'!$DA$11,((COF!GH18-COF!KA18)*(INDEX('Tables - Part 3'!$DA$6:$DA$11,MATCH(COF!KE18,'Tables - Part 3'!$CY$6:$CY$11,0))-INDEX('Tables - Part 3'!$DA$6:$DA$11,MATCH(COF!KA18,'Tables - Part 3'!$CY$6:$CY$11,0)))/(KE18-KA18)+INDEX('Tables - Part 3'!$DA$6:$DA$16,MATCH(COF!KA18,'Tables - Part 3'!$CY$6:$CY$11,0)))))))</f>
        <v>#N/A</v>
      </c>
      <c r="KN18" s="153" t="e">
        <f>IF(CD18=$TK$5,'Tables - Part 3'!$DA$6,IF(COF!CD18=COF!$TK$6,IF(COF!GI18&lt;'Tables - Part 3'!$CY$6,'Tables - Part 3'!$DA$6,IF(GI18&gt;='Tables - Part 3'!$CY$11,'Tables - Part 3'!$DA$11,((COF!GI18-COF!KB18)*(INDEX('Tables - Part 3'!$DA$6:$DA$11,MATCH(COF!KF18,'Tables - Part 3'!$CY$6:$CY$11,0))-INDEX('Tables - Part 3'!$DA$6:$DA$11,MATCH(COF!KB18,'Tables - Part 3'!$CY$6:$CY$11,0)))/(KF18-KB18)+INDEX('Tables - Part 3'!$DA$6:$DA$16,MATCH(COF!KB18,'Tables - Part 3'!$CY$6:$CY$11,0)))))))</f>
        <v>#N/A</v>
      </c>
      <c r="KO18" s="153">
        <f t="shared" si="280"/>
        <v>0</v>
      </c>
      <c r="KP18" s="153">
        <f t="shared" si="103"/>
        <v>0</v>
      </c>
      <c r="KQ18" s="153">
        <f t="shared" si="104"/>
        <v>0</v>
      </c>
      <c r="KR18" s="153">
        <f t="shared" si="105"/>
        <v>0</v>
      </c>
      <c r="KS18" s="151" t="e">
        <f t="shared" si="208"/>
        <v>#N/A</v>
      </c>
      <c r="KT18" s="151" t="e">
        <f t="shared" si="209"/>
        <v>#N/A</v>
      </c>
      <c r="KU18" s="151" t="e">
        <f t="shared" si="210"/>
        <v>#N/A</v>
      </c>
      <c r="KV18" s="151" t="e">
        <f t="shared" si="211"/>
        <v>#N/A</v>
      </c>
      <c r="KW18" s="151" t="e">
        <f>IF(CA18=$TK$5,'Tables - Part 3'!$CZ$12,IF(COF!CA18=COF!$TK$6,IF(COF!GF18&lt;'Tables - Part 3'!$CY$12,'Tables - Part 3'!$CZ$12,IF(GF18&gt;='Tables - Part 3'!$CY$17,'Tables - Part 3'!$CZ$17,((COF!GF18-COF!JY18)*(INDEX('Tables - Part 3'!$CZ$12:$CZ$17,MATCH(COF!KC18,'Tables - Part 3'!$CY$12:$CY$17,0))-INDEX('Tables - Part 3'!$CZ$12:$CZ$17,MATCH(COF!JY18,'Tables - Part 3'!$CY$12:$CY$17,0)))/(KC18-JY18)+INDEX('Tables - Part 3'!$CZ$12:$CZ$17,MATCH(COF!JY18,'Tables - Part 3'!$CY$12:$CY$17,0)))))))</f>
        <v>#N/A</v>
      </c>
      <c r="KX18" s="151" t="e">
        <f>IF(CB18=$TK$5,'Tables - Part 3'!$CZ$12,IF(COF!CB18=COF!$TK$6,IF(COF!GG18&lt;'Tables - Part 3'!$CY$12,'Tables - Part 3'!$CZ$12,IF(GG18&gt;='Tables - Part 3'!$CY$17,'Tables - Part 3'!$CZ$17,((COF!GG18-COF!JZ18)*(INDEX('Tables - Part 3'!$CZ$12:$CZ$17,MATCH(COF!KD18,'Tables - Part 3'!$CY$12:$CY$17,0))-INDEX('Tables - Part 3'!$CZ$12:$CZ$17,MATCH(COF!JZ18,'Tables - Part 3'!$CY$12:$CY$17,0)))/(KD18-JZ18)+INDEX('Tables - Part 3'!$CZ$12:$CZ$17,MATCH(COF!JZ18,'Tables - Part 3'!$CY$12:$CY$17,0)))))))</f>
        <v>#N/A</v>
      </c>
      <c r="KY18" s="151" t="e">
        <f>IF(CC18=$TK$5,'Tables - Part 3'!$CZ$12,IF(COF!CC18=COF!$TK$6,IF(COF!GH18&lt;'Tables - Part 3'!$CY$12,'Tables - Part 3'!$CZ$12,IF(GH18&gt;='Tables - Part 3'!$CY$17,'Tables - Part 3'!$CZ$17,((COF!GH18-COF!KA18)*(INDEX('Tables - Part 3'!$CZ$12:$CZ$17,MATCH(COF!KE18,'Tables - Part 3'!$CY$12:$CY$17,0))-INDEX('Tables - Part 3'!$CZ$12:$CZ$17,MATCH(COF!KA18,'Tables - Part 3'!$CY$12:$CY$17,0)))/(KE18-KA18)+INDEX('Tables - Part 3'!$CZ$12:$CZ$17,MATCH(COF!KA18,'Tables - Part 3'!$CY$12:$CY$17,0)))))))</f>
        <v>#N/A</v>
      </c>
      <c r="KZ18" s="151" t="e">
        <f>IF(CD18=$TK$5,'Tables - Part 3'!$CZ$12,IF(COF!CD18=COF!$TK$6,IF(COF!GI18&lt;'Tables - Part 3'!$CY$12,'Tables - Part 3'!$CZ$12,IF(GI18&gt;='Tables - Part 3'!$CY$17,'Tables - Part 3'!$CZ$17,((COF!GI18-COF!KB18)*(INDEX('Tables - Part 3'!$CZ$12:$CZ$17,MATCH(COF!KF18,'Tables - Part 3'!$CY$12:$CY$17,0))-INDEX('Tables - Part 3'!$CZ$12:$CZ$17,MATCH(COF!KB18,'Tables - Part 3'!$CY$12:$CY$17,0)))/(KF18-KB18)+INDEX('Tables - Part 3'!$CZ$12:$CZ$17,MATCH(COF!KB18,'Tables - Part 3'!$CY$12:$CY$17,0)))))))</f>
        <v>#N/A</v>
      </c>
      <c r="LA18" s="151" t="e">
        <f>IF(CA18=$TK$5,'Tables - Part 3'!$DA$6,IF(COF!CA18=COF!$TK$6,IF(COF!GF18&lt;'Tables - Part 3'!$CY$6,'Tables - Part 3'!$DA$6,IF(GF18&gt;='Tables - Part 3'!$CY$11,'Tables - Part 3'!$DA$11,((COF!GF18-COF!JY18)*(INDEX('Tables - Part 3'!$DA$6:$DA$11,MATCH(COF!KC18,'Tables - Part 3'!$CY$6:$CY$11,0))-INDEX('Tables - Part 3'!$DA$6:$DA$11,MATCH(COF!JY18,'Tables - Part 3'!$CY$6:$CY$11,0)))/(KC18-JY18)+INDEX('Tables - Part 3'!$DA$5:$DA$16,MATCH(COF!JY18,'Tables - Part 3'!$CY$6:$CY$11,0)))))))</f>
        <v>#N/A</v>
      </c>
      <c r="LB18" s="151" t="e">
        <f>IF(CB18=$TK$5,'Tables - Part 3'!$DA$6,IF(COF!CB18=COF!$TK$6,IF(COF!GG18&lt;'Tables - Part 3'!$CY$6,'Tables - Part 3'!$DA$6,IF(GG18&gt;='Tables - Part 3'!$CY$11,'Tables - Part 3'!$DA$11,((COF!GG18-COF!JZ18)*(INDEX('Tables - Part 3'!$DA$6:$DA$11,MATCH(COF!KD18,'Tables - Part 3'!$CY$6:$CY$11,0))-INDEX('Tables - Part 3'!$DA$6:$DA$11,MATCH(COF!JZ18,'Tables - Part 3'!$CY$6:$CY$11,0)))/(KD18-JZ18)+INDEX('Tables - Part 3'!$DA$5:$DA$16,MATCH(COF!JZ18,'Tables - Part 3'!$CY$6:$CY$11,0)))))))</f>
        <v>#N/A</v>
      </c>
      <c r="LC18" s="151" t="e">
        <f>IF(CC18=$TK$5,'Tables - Part 3'!$DA$6,IF(COF!CC18=COF!$TK$6,IF(COF!GH18&lt;'Tables - Part 3'!$CY$6,'Tables - Part 3'!$DA$6,IF(GH18&gt;='Tables - Part 3'!$CY$11,'Tables - Part 3'!$DA$11,((COF!GH18-COF!KA18)*(INDEX('Tables - Part 3'!$DA$6:$DA$11,MATCH(COF!KE18,'Tables - Part 3'!$CY$6:$CY$11,0))-INDEX('Tables - Part 3'!$DA$6:$DA$11,MATCH(COF!KA18,'Tables - Part 3'!$CY$6:$CY$11,0)))/(KE18-KA18)+INDEX('Tables - Part 3'!$DA$5:$DA$16,MATCH(COF!KA18,'Tables - Part 3'!$CY$6:$CY$11,0)))))))</f>
        <v>#N/A</v>
      </c>
      <c r="LD18" s="151" t="e">
        <f>IF(CD18=$TK$5,'Tables - Part 3'!$DA$6,IF(COF!CD18=COF!$TK$6,IF(COF!GI18&lt;'Tables - Part 3'!$CY$6,'Tables - Part 3'!$DA$6,IF(GI18&gt;='Tables - Part 3'!$CY$11,'Tables - Part 3'!$DA$11,((COF!GI18-COF!KB18)*(INDEX('Tables - Part 3'!$DA$6:$DA$11,MATCH(COF!KF18,'Tables - Part 3'!$CY$6:$CY$11,0))-INDEX('Tables - Part 3'!$DA$6:$DA$11,MATCH(COF!KB18,'Tables - Part 3'!$CY$6:$CY$11,0)))/(KF18-KB18)+INDEX('Tables - Part 3'!$DA$5:$DA$16,MATCH(COF!KB18,'Tables - Part 3'!$CY$6:$CY$11,0)))))))</f>
        <v>#N/A</v>
      </c>
      <c r="LE18" s="154"/>
      <c r="LF18" s="154"/>
      <c r="LG18" s="154"/>
      <c r="LH18" s="154"/>
      <c r="LI18" s="154"/>
      <c r="LJ18" s="154"/>
      <c r="LK18" s="154"/>
      <c r="LL18" s="151" t="e">
        <f t="shared" si="212"/>
        <v>#N/A</v>
      </c>
      <c r="LM18" s="151" t="e">
        <f t="shared" si="213"/>
        <v>#N/A</v>
      </c>
      <c r="LN18" s="151" t="e">
        <f t="shared" si="214"/>
        <v>#N/A</v>
      </c>
      <c r="LO18" s="151" t="e">
        <f t="shared" si="215"/>
        <v>#N/A</v>
      </c>
      <c r="LP18" s="151">
        <f t="shared" si="106"/>
        <v>0</v>
      </c>
      <c r="LQ18" s="502">
        <f>IF($F18='Tables - Part 3'!$B$17,'Tables - Part 3.B'!$C$11*COF!CJ18,0)</f>
        <v>0</v>
      </c>
      <c r="LR18" s="502">
        <f>IF($F18='Tables - Part 3'!$B$17,'Tables - Part 3.B'!$C$11*COF!CK18,0)</f>
        <v>0</v>
      </c>
      <c r="LS18" s="502">
        <f>IF($F18='Tables - Part 3'!$B$17,'Tables - Part 3.B'!$C$11*COF!CL18,0)</f>
        <v>0</v>
      </c>
      <c r="LT18" s="502">
        <f>IF($F18='Tables - Part 3'!$B$17,'Tables - Part 3.B'!$C$11*COF!CM18,0)</f>
        <v>0</v>
      </c>
      <c r="LU18" s="502">
        <f>IF($F18='Tables - Part 3'!$B$17,'Tables - Part 3.B'!$C$12*POWER(COF!CR18,0.6384),0)</f>
        <v>0</v>
      </c>
      <c r="LV18" s="502">
        <f>IF($F18='Tables - Part 3'!$B$17,'Tables - Part 3.B'!$C$12*POWER(COF!CS18,0.6384),0)</f>
        <v>0</v>
      </c>
      <c r="LW18" s="502">
        <f>IF($F18='Tables - Part 3'!$B$17,'Tables - Part 3.B'!$C$12*POWER(COF!CT18,0.6384),0)</f>
        <v>0</v>
      </c>
      <c r="LX18" s="502">
        <f>IF($F18='Tables - Part 3'!$B$17,'Tables - Part 3.B'!$C$12*POWER(COF!CU18,0.6384),0)</f>
        <v>0</v>
      </c>
      <c r="LY18" s="151" t="e">
        <f>MIN(CJ18/'Tables - Part 3.B'!$C$8,1)</f>
        <v>#N/A</v>
      </c>
      <c r="LZ18" s="151" t="e">
        <f>MIN(CK18/'Tables - Part 3.B'!$C$8,1)</f>
        <v>#N/A</v>
      </c>
      <c r="MA18" s="151" t="e">
        <f>MIN(CL18/'Tables - Part 3.B'!$C$8,1)</f>
        <v>#N/A</v>
      </c>
      <c r="MB18" s="151" t="e">
        <f>MIN(CM18/'Tables - Part 3.B'!$C$8,1)</f>
        <v>#N/A</v>
      </c>
      <c r="MC18" s="151" t="e">
        <f t="shared" si="216"/>
        <v>#N/A</v>
      </c>
      <c r="MD18" s="151" t="e">
        <f t="shared" si="107"/>
        <v>#N/A</v>
      </c>
      <c r="ME18" s="151" t="e">
        <f t="shared" si="107"/>
        <v>#N/A</v>
      </c>
      <c r="MF18" s="151" t="e">
        <f t="shared" si="107"/>
        <v>#N/A</v>
      </c>
      <c r="MG18" s="502">
        <f>IF($F18='Tables - Part 3'!$B$18,0.2*'Tables - Part 3.B'!$C$10*$ML18*POWER('Tables - Part 3.B'!$C$7*CJ18,$MM18),0)</f>
        <v>0</v>
      </c>
      <c r="MH18" s="502">
        <f>IF($F18='Tables - Part 3'!$B$18,0.2*'Tables - Part 3.B'!$C$10*$ML18*POWER('Tables - Part 3.B'!$C$7*CK18,$MM18),0)</f>
        <v>0</v>
      </c>
      <c r="MI18" s="502">
        <f>IF($F18='Tables - Part 3'!$B$18,0.2*'Tables - Part 3.B'!$C$10*$ML18*POWER('Tables - Part 3.B'!$C$7*CL18,$MM18),0)</f>
        <v>0</v>
      </c>
      <c r="MJ18" s="502">
        <f>IF($F18='Tables - Part 3'!$B$18,0.2*'Tables - Part 3.B'!$C$10*$ML18*POWER('Tables - Part 3.B'!$C$7*CM18,$MM18),0)</f>
        <v>0</v>
      </c>
      <c r="MK18" s="151">
        <v>0</v>
      </c>
      <c r="ML18" s="151" t="e">
        <f>2696-21.9*'Tables - Part 3.B'!$C$13*(COF!OO18-COF!$TM$5)+1.474*POWER('Tables - Part 3.B'!$C$13*(COF!OO18-COF!$TM$5),2)</f>
        <v>#VALUE!</v>
      </c>
      <c r="MM18" s="151" t="e">
        <f>0.31-0.00032*POWER('Tables - Part 3.B'!$C$13*(COF!OO18-COF!$TM$5)-40,2)</f>
        <v>#VALUE!</v>
      </c>
      <c r="MN18" s="151">
        <v>0</v>
      </c>
      <c r="MO18" s="151">
        <f t="shared" si="217"/>
        <v>0</v>
      </c>
      <c r="MP18" s="151">
        <f t="shared" si="108"/>
        <v>0</v>
      </c>
      <c r="MQ18" s="151">
        <f t="shared" si="108"/>
        <v>0</v>
      </c>
      <c r="MR18" s="151">
        <f t="shared" si="108"/>
        <v>0</v>
      </c>
      <c r="MS18" s="151" t="e">
        <f t="shared" si="218"/>
        <v>#N/A</v>
      </c>
      <c r="MT18" s="151" t="e">
        <f t="shared" si="219"/>
        <v>#N/A</v>
      </c>
      <c r="MU18" s="151" t="e">
        <f t="shared" si="220"/>
        <v>#N/A</v>
      </c>
      <c r="MV18" s="151" t="e">
        <f t="shared" si="221"/>
        <v>#N/A</v>
      </c>
      <c r="MW18" s="151">
        <f t="shared" si="222"/>
        <v>0</v>
      </c>
      <c r="MX18" s="151">
        <f t="shared" si="223"/>
        <v>0</v>
      </c>
      <c r="MY18" s="151">
        <f t="shared" si="224"/>
        <v>0</v>
      </c>
      <c r="MZ18" s="526">
        <f t="shared" si="109"/>
        <v>0</v>
      </c>
      <c r="NA18" s="151" t="e">
        <f>INDEX('Tables - Part 3'!DQ$5:DQ$32,MATCH($E18,'Tables - Part 3'!$DP$5:$DP$32,0))</f>
        <v>#N/A</v>
      </c>
      <c r="NB18" s="151" t="e">
        <f>INDEX('Tables - Part 3'!DR$5:DR$32,MATCH($E18,'Tables - Part 3'!$DP$5:$DP$32,0))</f>
        <v>#N/A</v>
      </c>
      <c r="NC18" s="151" t="e">
        <f>INDEX('Tables - Part 3'!DS$5:DS$32,MATCH($E18,'Tables - Part 3'!$DP$5:$DP$32,0))</f>
        <v>#N/A</v>
      </c>
      <c r="ND18" s="151" t="e">
        <f>INDEX('Tables - Part 3'!DT$5:DT$32,MATCH($E18,'Tables - Part 3'!$DP$5:$DP$32,0))</f>
        <v>#N/A</v>
      </c>
      <c r="NE18" s="151" t="e">
        <f>IF(W18='Tables - Part 3'!$DV$44,COF!X18,IF(OR(COF!X18&lt;&gt;0,COF!X18&lt;&gt;""),COF!X18,INDEX('Tables - Part 3'!$DW$4:$DW$43,MATCH(COF!W18,'Tables - Part 3'!$DV$4:$DV$43,0))))</f>
        <v>#N/A</v>
      </c>
      <c r="NF18" s="151">
        <f t="shared" si="110"/>
        <v>1</v>
      </c>
      <c r="NG18" s="151" t="e">
        <f t="shared" si="225"/>
        <v>#N/A</v>
      </c>
      <c r="NH18" s="151">
        <f t="shared" si="111"/>
        <v>0</v>
      </c>
      <c r="NI18" s="151" t="e">
        <f>INDEX('Tables - Part 3'!EC$5:EC$31,MATCH(COF!$E18,'Tables - Part 3'!$EB$5:$EB$31,0))</f>
        <v>#N/A</v>
      </c>
      <c r="NJ18" s="151" t="e">
        <f>INDEX('Tables - Part 3'!ED$5:ED$31,MATCH(COF!$E18,'Tables - Part 3'!$EB$5:$EB$31,0))</f>
        <v>#N/A</v>
      </c>
      <c r="NK18" s="151" t="e">
        <f>INDEX('Tables - Part 3'!EE$5:EE$31,MATCH(COF!$E18,'Tables - Part 3'!$EB$5:$EB$31,0))</f>
        <v>#N/A</v>
      </c>
      <c r="NL18" s="151" t="e">
        <f>INDEX('Tables - Part 3'!EF$5:EF$31,MATCH(COF!$E18,'Tables - Part 3'!$EB$5:$EB$31,0))</f>
        <v>#N/A</v>
      </c>
      <c r="NM18" s="151">
        <f t="shared" si="112"/>
        <v>1</v>
      </c>
      <c r="NN18" s="151" t="e">
        <f t="shared" si="226"/>
        <v>#N/A</v>
      </c>
      <c r="NO18" s="151" t="e">
        <f t="shared" si="227"/>
        <v>#NUM!</v>
      </c>
      <c r="NP18" s="151" t="e">
        <f t="shared" si="113"/>
        <v>#N/A</v>
      </c>
      <c r="NQ18" s="151">
        <f t="shared" si="114"/>
        <v>0</v>
      </c>
      <c r="NR18" s="151" t="e">
        <f>INDEX('Tables - Part 3'!$EL$4:$EL$37,MATCH(COF!F18,'Tables - Part 3'!$EH$4:$EH$37,0))</f>
        <v>#N/A</v>
      </c>
      <c r="NS18" s="151" t="e">
        <f>CR18*(1-$NR18)*'Tables - Part 3.B'!$C$15/COF!$AS18</f>
        <v>#N/A</v>
      </c>
      <c r="NT18" s="151" t="e">
        <f>CS18*(1-$NR18)*'Tables - Part 3.B'!$C$15/COF!$AS18</f>
        <v>#N/A</v>
      </c>
      <c r="NU18" s="151" t="e">
        <f>CT18*(1-$NR18)*'Tables - Part 3.B'!$C$15/COF!$AS18</f>
        <v>#N/A</v>
      </c>
      <c r="NV18" s="151" t="e">
        <f>CU18*(1-$NR18)*'Tables - Part 3.B'!$C$15/COF!$AS18</f>
        <v>#N/A</v>
      </c>
      <c r="NW18" s="151" t="e">
        <f t="shared" si="115"/>
        <v>#N/A</v>
      </c>
      <c r="NX18" s="542">
        <f t="shared" si="116"/>
        <v>0</v>
      </c>
      <c r="NY18" s="156" t="e">
        <f>0.61*$ON18*$AS18*(BM18/'Tables - Part 3.B'!$C$4)*SQRT((2*$TM$13*($OO18-$TM$5)/$AS18))</f>
        <v>#N/A</v>
      </c>
      <c r="NZ18" s="155" t="e">
        <f>0.61*$ON18*$AS18*(BN18/'Tables - Part 3.B'!$C$4)*SQRT((2*$TM$13*($OO18-$TM$5)/$AS18))</f>
        <v>#N/A</v>
      </c>
      <c r="OA18" s="155" t="e">
        <f>0.61*$ON18*$AS18*(BO18/'Tables - Part 3.B'!$C$4)*SQRT((2*$TM$13*($OO18-$TM$5)/$AS18))</f>
        <v>#N/A</v>
      </c>
      <c r="OB18" s="155" t="e">
        <f>0.61*$ON18*$AS18*(BP18/'Tables - Part 3.B'!$C$4)*SQRT((2*$TM$13*($OO18-$TM$5)/$AS18))</f>
        <v>#N/A</v>
      </c>
      <c r="OC18" s="155" t="e">
        <f>0.61*$ON18*AS18*(32450/'Tables - Part 3.B'!$C$4)*SQRT((2*$TM$13*(OO18-$TM$5)/AS18))</f>
        <v>#N/A</v>
      </c>
      <c r="OD18" s="156" t="e">
        <f>(0.9/'Tables - Part 3.B'!$C$5)*BM18*$OO18*SQRT(($AV18*$AU18*$TM$13/(8.314*$OP18))*POWER(2/($AV18+1),(($AV18+1)/($AV18-1))))</f>
        <v>#VALUE!</v>
      </c>
      <c r="OE18" s="156" t="e">
        <f>(0.9/'Tables - Part 3.B'!$C$5)*BN18*$OO18*SQRT(($AV18*$AU18*$TM$13/(8.314*$OP18))*POWER(2/($AV18+1),(($AV18+1)/($AV18-1))))</f>
        <v>#VALUE!</v>
      </c>
      <c r="OF18" s="156" t="e">
        <f>(0.9/'Tables - Part 3.B'!$C$5)*BO18*$OO18*SQRT(($AV18*$AU18*$TM$13/(8.314*$OP18))*POWER(2/($AV18+1),(($AV18+1)/($AV18-1))))</f>
        <v>#VALUE!</v>
      </c>
      <c r="OG18" s="156" t="e">
        <f>(0.9/'Tables - Part 3.B'!$C$5)*BP18*$OO18*SQRT(($AV18*$AU18*$TM$13/(8.314*$OP18))*POWER(2/($AV18+1),(($AV18+1)/($AV18-1))))</f>
        <v>#VALUE!</v>
      </c>
      <c r="OH18" s="156" t="e">
        <f>(0.9/'Tables - Part 3.B'!$C$5)*32450*$OO18*SQRT(($AV18*$AU18*$TM$13/(8.314*$OP18))*POWER(2/($AV18+1),(($AV18+1)/($AV18-1))))</f>
        <v>#VALUE!</v>
      </c>
      <c r="OI18" s="156" t="e">
        <f>(0.9/'Tables - Part 3.B'!$C$5)*BM18*$OO18*SQRT((($AU18*$TM$13)/(8.314*$OP18))*((2*$AV18)/($AV18-1))*POWER(($TM$5/$OO18),(2/$AV18))*(1-POWER(($TM$5/$OO18),(($AV18-1)/$AV18))))</f>
        <v>#VALUE!</v>
      </c>
      <c r="OJ18" s="156" t="e">
        <f>(0.9/'Tables - Part 3.B'!$C$5)*BN18*$OO18*SQRT((($AU18*$TM$13)/(8.314*$OP18))*((2*$AV18)/($AV18-1))*POWER(($TM$5/$OO18),(2/$AV18))*(1-POWER(($TM$5/$OO18),(($AV18-1)/$AV18))))</f>
        <v>#VALUE!</v>
      </c>
      <c r="OK18" s="156" t="e">
        <f>(0.9/'Tables - Part 3.B'!$C$5)*BO18*$OO18*SQRT((($AU18*$TM$13)/(8.314*$OP18))*((2*$AV18)/($AV18-1))*POWER(($TM$5/$OO18),(2/$AV18))*(1-POWER(($TM$5/$OO18),(($AV18-1)/$AV18))))</f>
        <v>#VALUE!</v>
      </c>
      <c r="OL18" s="156" t="e">
        <f>(0.9/'Tables - Part 3.B'!$C$5)*BP18*$OO18*SQRT((($AU18*$TM$13)/(8.314*$OP18))*((2*$AV18)/($AV18-1))*POWER(($TM$5/$OO18),(2/$AV18))*(1-POWER(($TM$5/$OO18),(($AV18-1)/$AV18))))</f>
        <v>#VALUE!</v>
      </c>
      <c r="OM18" s="156" t="e">
        <f>(0.9/'Tables - Part 3.B'!$C$5)*32450*$OO18*SQRT((($AU18*$TM$13)/(8.314*$OP18))*((2*$AV18)/($AV18-1))*POWER(($TM$5/$OO18),(2/$AV18))*(1-POWER(($TM$5/$OO18),(($AV18-1)/$AV18))))</f>
        <v>#VALUE!</v>
      </c>
      <c r="ON18" s="156">
        <f t="shared" si="117"/>
        <v>1</v>
      </c>
      <c r="OO18" s="157" t="str">
        <f t="shared" si="118"/>
        <v/>
      </c>
      <c r="OP18" s="157" t="str">
        <f t="shared" si="119"/>
        <v/>
      </c>
      <c r="OQ18" s="158" t="e">
        <f t="shared" si="228"/>
        <v>#N/A</v>
      </c>
      <c r="OR18" s="158" t="e">
        <f>INDEX('Tables - Part 3'!$F$4:$R$35,MATCH(COF!$F18,'Tables - Part 3'!$F$4:$F$35,0),COUNTA('Tables - Part 3'!$F$3:$K$3))</f>
        <v>#N/A</v>
      </c>
      <c r="OS18" s="158" t="e">
        <f t="shared" si="229"/>
        <v>#N/A</v>
      </c>
      <c r="OT18" s="158" t="e">
        <f t="shared" si="230"/>
        <v>#N/A</v>
      </c>
      <c r="OU18" s="158" t="e">
        <f t="shared" si="231"/>
        <v>#N/A</v>
      </c>
      <c r="OV18" s="159" t="e">
        <f>INDEX('Tables - Part 3'!$M$4:$Q$35,MATCH(COF!$F18,'Tables - Part 3'!$F$4:$F$35,0),COUNTA('Tables - Part 3'!$M$3))</f>
        <v>#N/A</v>
      </c>
      <c r="OW18" s="159" t="e">
        <f>INDEX('Tables - Part 3'!$M$4:$Q$35,MATCH(COF!$F18,'Tables - Part 3'!$F$4:$F$35,0),COUNTA('Tables - Part 3'!$M$3:$N$3))</f>
        <v>#N/A</v>
      </c>
      <c r="OX18" s="159" t="e">
        <f>INDEX('Tables - Part 3'!$M$4:$Q$35,MATCH(COF!$F18,'Tables - Part 3'!$F$4:$F$35,0),COUNTA('Tables - Part 3'!$M$3:$O$3))</f>
        <v>#N/A</v>
      </c>
      <c r="OY18" s="159" t="e">
        <f>INDEX('Tables - Part 3'!$M$4:$Q$35,MATCH(COF!$F18,'Tables - Part 3'!$F$4:$F$35,0),COUNTA('Tables - Part 3'!$M$3:$P$3))</f>
        <v>#N/A</v>
      </c>
      <c r="OZ18" s="160" t="e">
        <f>INDEX('Tables - Part 3'!$M$4:$Q$35,MATCH(COF!$F18,'Tables - Part 3'!$F$4:$F$35,0),COUNTA('Tables - Part 3'!$M$3:$Q$3))</f>
        <v>#N/A</v>
      </c>
      <c r="PA18" s="162" t="e">
        <f>INDEX('Tables - Part 3'!$I$4:$I$35,MATCH(COF!$F18,'Tables - Part 3'!$F$4:$F$35,0))</f>
        <v>#N/A</v>
      </c>
      <c r="PB18" s="158" t="e">
        <f t="shared" si="120"/>
        <v>#N/A</v>
      </c>
      <c r="PC18" s="158" t="str">
        <f t="shared" si="121"/>
        <v/>
      </c>
      <c r="PD18" s="158" t="e">
        <f>INDEX('Tables - Part 3'!AW$7:AW$31,MATCH(COF!$F18,'Tables - Part 3'!$AU$7:$AU$31,0),1)</f>
        <v>#N/A</v>
      </c>
      <c r="PE18" s="158" t="e">
        <f>INDEX('Tables - Part 3'!AX$7:AX$31,MATCH(COF!$F18,'Tables - Part 3'!$AU$7:$AU$31,0),1)</f>
        <v>#N/A</v>
      </c>
      <c r="PF18" s="158" t="e">
        <f>INDEX('Tables - Part 3'!AY$7:AY$31,MATCH(COF!$F18,'Tables - Part 3'!$AU$7:$AU$31,0),1)</f>
        <v>#N/A</v>
      </c>
      <c r="PG18" s="158" t="e">
        <f>INDEX('Tables - Part 3'!AZ$7:AZ$31,MATCH(COF!$F18,'Tables - Part 3'!$AU$7:$AU$31,0),1)</f>
        <v>#N/A</v>
      </c>
      <c r="PH18" s="158" t="e">
        <f>INDEX('Tables - Part 3'!BA$7:BA$31,MATCH(COF!$F18,'Tables - Part 3'!$AU$7:$AU$31,0),1)</f>
        <v>#N/A</v>
      </c>
      <c r="PI18" s="158" t="e">
        <f>INDEX('Tables - Part 3'!BB$7:BB$31,MATCH(COF!$F18,'Tables - Part 3'!$AU$7:$AU$31,0),1)</f>
        <v>#N/A</v>
      </c>
      <c r="PJ18" s="158" t="e">
        <f>INDEX('Tables - Part 3'!BC$7:BC$31,MATCH(COF!$F18,'Tables - Part 3'!$AU$7:$AU$31,0),1)</f>
        <v>#N/A</v>
      </c>
      <c r="PK18" s="158" t="e">
        <f>INDEX('Tables - Part 3'!BD$7:BD$31,MATCH(COF!$F18,'Tables - Part 3'!$AU$7:$AU$31,0),1)</f>
        <v>#N/A</v>
      </c>
      <c r="PL18" s="158" t="e">
        <f>INDEX('Tables - Part 3'!BE$7:BE$31,MATCH(COF!$F18,'Tables - Part 3'!$AU$7:$AU$31,0),1)</f>
        <v>#N/A</v>
      </c>
      <c r="PM18" s="158" t="e">
        <f>INDEX('Tables - Part 3'!BF$7:BF$31,MATCH(COF!$F18,'Tables - Part 3'!$AU$7:$AU$31,0),1)</f>
        <v>#N/A</v>
      </c>
      <c r="PN18" s="158" t="e">
        <f>INDEX('Tables - Part 3'!BG$7:BG$31,MATCH(COF!$F18,'Tables - Part 3'!$AU$7:$AU$31,0),1)</f>
        <v>#N/A</v>
      </c>
      <c r="PO18" s="158" t="e">
        <f>INDEX('Tables - Part 3'!BH$7:BH$31,MATCH(COF!$F18,'Tables - Part 3'!$AU$7:$AU$31,0),1)</f>
        <v>#N/A</v>
      </c>
      <c r="PP18" s="158" t="e">
        <f>INDEX('Tables - Part 3'!BI$7:BI$31,MATCH(COF!$F18,'Tables - Part 3'!$AU$7:$AU$31,0),1)</f>
        <v>#N/A</v>
      </c>
      <c r="PQ18" s="158" t="e">
        <f>INDEX('Tables - Part 3'!BJ$7:BJ$31,MATCH(COF!$F18,'Tables - Part 3'!$AU$7:$AU$31,0),1)</f>
        <v>#N/A</v>
      </c>
      <c r="PR18" s="158" t="e">
        <f>INDEX('Tables - Part 3'!BK$7:BK$31,MATCH(COF!$F18,'Tables - Part 3'!$AU$7:$AU$31,0),1)</f>
        <v>#N/A</v>
      </c>
      <c r="PS18" s="158" t="e">
        <f>INDEX('Tables - Part 3'!BL$7:BL$31,MATCH(COF!$F18,'Tables - Part 3'!$AU$7:$AU$31,0),1)</f>
        <v>#N/A</v>
      </c>
      <c r="PT18" s="158" t="e">
        <f>INDEX('Tables - Part 3'!BP$7:BP$31,MATCH(COF!$F18,'Tables - Part 3'!$AU$7:$AU$31,0),1)</f>
        <v>#N/A</v>
      </c>
      <c r="PU18" s="158" t="e">
        <f>INDEX('Tables - Part 3'!BQ$7:BQ$31,MATCH(COF!$F18,'Tables - Part 3'!$AU$7:$AU$31,0),1)</f>
        <v>#N/A</v>
      </c>
      <c r="PV18" s="158" t="e">
        <f>INDEX('Tables - Part 3'!BR$7:BR$31,MATCH(COF!$F18,'Tables - Part 3'!$AU$7:$AU$31,0),1)</f>
        <v>#N/A</v>
      </c>
      <c r="PW18" s="158" t="e">
        <f>INDEX('Tables - Part 3'!BS$7:BS$31,MATCH(COF!$F18,'Tables - Part 3'!$AU$7:$AU$31,0),1)</f>
        <v>#N/A</v>
      </c>
      <c r="PX18" s="158" t="e">
        <f>INDEX('Tables - Part 3'!BT$7:BT$31,MATCH(COF!$F18,'Tables - Part 3'!$AU$7:$AU$31,0),1)</f>
        <v>#N/A</v>
      </c>
      <c r="PY18" s="158" t="e">
        <f>INDEX('Tables - Part 3'!BU$7:BU$31,MATCH(COF!$F18,'Tables - Part 3'!$AU$7:$AU$31,0),1)</f>
        <v>#N/A</v>
      </c>
      <c r="PZ18" s="158" t="e">
        <f>INDEX('Tables - Part 3'!BV$7:BV$31,MATCH(COF!$F18,'Tables - Part 3'!$AU$7:$AU$31,0),1)</f>
        <v>#N/A</v>
      </c>
      <c r="QA18" s="158" t="e">
        <f>INDEX('Tables - Part 3'!BW$7:BW$31,MATCH(COF!$F18,'Tables - Part 3'!$AU$7:$AU$31,0),1)</f>
        <v>#N/A</v>
      </c>
      <c r="QB18" s="158" t="e">
        <f>INDEX('Tables - Part 3'!BX$7:BX$31,MATCH(COF!$F18,'Tables - Part 3'!$AU$7:$AU$31,0),1)</f>
        <v>#N/A</v>
      </c>
      <c r="QC18" s="158" t="e">
        <f>INDEX('Tables - Part 3'!BY$7:BY$31,MATCH(COF!$F18,'Tables - Part 3'!$AU$7:$AU$31,0),1)</f>
        <v>#N/A</v>
      </c>
      <c r="QD18" s="158" t="e">
        <f>INDEX('Tables - Part 3'!BZ$7:BZ$31,MATCH(COF!$F18,'Tables - Part 3'!$AU$7:$AU$31,0),1)</f>
        <v>#N/A</v>
      </c>
      <c r="QE18" s="158" t="e">
        <f>INDEX('Tables - Part 3'!CA$7:CA$31,MATCH(COF!$F18,'Tables - Part 3'!$AU$7:$AU$31,0),1)</f>
        <v>#N/A</v>
      </c>
      <c r="QF18" s="158" t="e">
        <f>INDEX('Tables - Part 3'!CB$7:CB$31,MATCH(COF!$F18,'Tables - Part 3'!$AU$7:$AU$31,0),1)</f>
        <v>#N/A</v>
      </c>
      <c r="QG18" s="158" t="e">
        <f>INDEX('Tables - Part 3'!CC$7:CC$31,MATCH(COF!$F18,'Tables - Part 3'!$AU$7:$AU$31,0),1)</f>
        <v>#N/A</v>
      </c>
      <c r="QH18" s="158" t="e">
        <f>INDEX('Tables - Part 3'!CD$7:CD$31,MATCH(COF!$F18,'Tables - Part 3'!$AU$7:$AU$31,0),1)</f>
        <v>#N/A</v>
      </c>
      <c r="QI18" s="158" t="e">
        <f>INDEX('Tables - Part 3'!CE$7:CE$31,MATCH(COF!$F18,'Tables - Part 3'!$AU$7:$AU$31,0),1)</f>
        <v>#N/A</v>
      </c>
      <c r="QJ18" s="151">
        <f>'Tables - Part 5'!$R$4</f>
        <v>3.1749999999999998</v>
      </c>
      <c r="QK18" s="151">
        <f>'Tables - Part 5'!$R$5</f>
        <v>6.35</v>
      </c>
      <c r="QL18" s="151">
        <f>'Tables - Part 5'!$R$6</f>
        <v>50.8</v>
      </c>
      <c r="QM18" s="151">
        <f t="shared" si="122"/>
        <v>0</v>
      </c>
      <c r="QN18" s="151">
        <f t="shared" si="232"/>
        <v>7.9173043608984015</v>
      </c>
      <c r="QO18" s="151">
        <f t="shared" si="233"/>
        <v>31.669217443593606</v>
      </c>
      <c r="QP18" s="151">
        <f t="shared" si="234"/>
        <v>2026.8299163899908</v>
      </c>
      <c r="QQ18" s="151">
        <f t="shared" si="235"/>
        <v>0</v>
      </c>
      <c r="QR18" s="151">
        <f t="shared" si="236"/>
        <v>0</v>
      </c>
      <c r="QS18" s="151">
        <f>'Tables - Part 3.B'!$C$34*0.61*QN18*SQRT(2*$TM$15*QR18)</f>
        <v>0</v>
      </c>
      <c r="QT18" s="151">
        <f>'Tables - Part 3.B'!$C$34*0.61*QO18*SQRT(2*$TM$15*QS18)</f>
        <v>0</v>
      </c>
      <c r="QU18" s="151">
        <f>'Tables - Part 3.B'!$C$34*0.61*QP18*SQRT(2*$TM$15*QT18)</f>
        <v>0</v>
      </c>
      <c r="QV18" s="151">
        <f>'Tables - Part 3.B'!$C$34*0.61*QQ18*SQRT(2*$TM$15*QU18)</f>
        <v>0</v>
      </c>
      <c r="QW18" s="151">
        <f t="shared" si="237"/>
        <v>0</v>
      </c>
      <c r="QX18" s="151">
        <f t="shared" si="238"/>
        <v>0</v>
      </c>
      <c r="QY18" s="151">
        <f t="shared" si="239"/>
        <v>0</v>
      </c>
      <c r="QZ18" s="151">
        <f t="shared" si="240"/>
        <v>0</v>
      </c>
      <c r="RA18" s="151">
        <f t="shared" si="241"/>
        <v>0</v>
      </c>
      <c r="RB18" s="151">
        <f>QX18*'Tables - Part 3.B'!$C$15</f>
        <v>0</v>
      </c>
      <c r="RC18" s="151">
        <f>QY18*'Tables - Part 3.B'!$C$15</f>
        <v>0</v>
      </c>
      <c r="RD18" s="151">
        <f>QZ18*'Tables - Part 3.B'!$C$15</f>
        <v>0</v>
      </c>
      <c r="RE18" s="151">
        <f>RA18*'Tables - Part 3.B'!$C$15</f>
        <v>0</v>
      </c>
      <c r="RF18" s="151" t="e">
        <f t="shared" si="242"/>
        <v>#N/A</v>
      </c>
      <c r="RG18" s="151" t="e">
        <f t="shared" si="243"/>
        <v>#N/A</v>
      </c>
      <c r="RH18" s="151" t="e">
        <f t="shared" si="244"/>
        <v>#N/A</v>
      </c>
      <c r="RI18" s="151" t="e">
        <f t="shared" si="245"/>
        <v>#N/A</v>
      </c>
      <c r="RJ18" s="151">
        <f t="shared" si="246"/>
        <v>0</v>
      </c>
      <c r="RK18" s="151">
        <f t="shared" si="247"/>
        <v>0</v>
      </c>
      <c r="RL18" s="151">
        <f t="shared" si="248"/>
        <v>0</v>
      </c>
      <c r="RM18" s="151">
        <f t="shared" si="249"/>
        <v>0</v>
      </c>
      <c r="RN18" s="151">
        <v>7</v>
      </c>
      <c r="RO18" s="151">
        <v>1</v>
      </c>
      <c r="RP18" s="151">
        <v>1</v>
      </c>
      <c r="RQ18" s="151">
        <v>1</v>
      </c>
      <c r="RR18" s="151" t="e">
        <f t="shared" si="250"/>
        <v>#DIV/0!</v>
      </c>
      <c r="RS18" s="151" t="e">
        <f t="shared" si="251"/>
        <v>#DIV/0!</v>
      </c>
      <c r="RT18" s="151" t="e">
        <f t="shared" si="252"/>
        <v>#DIV/0!</v>
      </c>
      <c r="RU18" s="151" t="e">
        <f t="shared" si="253"/>
        <v>#DIV/0!</v>
      </c>
      <c r="RV18" s="151" t="e">
        <f t="shared" si="254"/>
        <v>#DIV/0!</v>
      </c>
      <c r="RW18" s="151" t="e">
        <f t="shared" si="255"/>
        <v>#DIV/0!</v>
      </c>
      <c r="RX18" s="151" t="e">
        <f t="shared" si="256"/>
        <v>#DIV/0!</v>
      </c>
      <c r="RY18" s="151" t="e">
        <f t="shared" si="257"/>
        <v>#DIV/0!</v>
      </c>
      <c r="RZ18" s="151" t="e">
        <f t="shared" si="258"/>
        <v>#DIV/0!</v>
      </c>
      <c r="SA18" s="151" t="e">
        <f t="shared" si="259"/>
        <v>#DIV/0!</v>
      </c>
      <c r="SB18" s="151" t="e">
        <f t="shared" si="260"/>
        <v>#DIV/0!</v>
      </c>
      <c r="SC18" s="151" t="e">
        <f t="shared" si="261"/>
        <v>#DIV/0!</v>
      </c>
      <c r="SD18" s="151">
        <f t="shared" si="262"/>
        <v>0</v>
      </c>
      <c r="SE18" s="151">
        <f t="shared" si="263"/>
        <v>0</v>
      </c>
      <c r="SF18" s="151">
        <f t="shared" si="264"/>
        <v>0</v>
      </c>
      <c r="SG18" s="151">
        <f t="shared" si="265"/>
        <v>0</v>
      </c>
      <c r="SH18" s="151">
        <f t="shared" si="266"/>
        <v>0</v>
      </c>
      <c r="SI18" s="151">
        <f t="shared" si="267"/>
        <v>0</v>
      </c>
      <c r="SJ18" s="151">
        <f t="shared" si="268"/>
        <v>0</v>
      </c>
      <c r="SK18" s="151">
        <f t="shared" si="269"/>
        <v>0</v>
      </c>
      <c r="SL18" s="542"/>
      <c r="SM18" s="542"/>
      <c r="SN18" s="542"/>
      <c r="SO18" s="151"/>
      <c r="SP18" s="151"/>
      <c r="SQ18" s="151"/>
      <c r="SR18" s="151"/>
      <c r="SS18" s="151"/>
      <c r="ST18" s="151"/>
      <c r="SU18" s="151"/>
      <c r="SV18" s="151"/>
      <c r="SW18" s="151"/>
      <c r="SX18" s="151"/>
      <c r="SY18" s="151"/>
      <c r="SZ18" s="151"/>
      <c r="TA18" s="151"/>
      <c r="TB18" s="151"/>
      <c r="TC18" s="151"/>
      <c r="TD18" s="151"/>
      <c r="TE18" s="542"/>
      <c r="TG18" s="194"/>
      <c r="TH18" s="199">
        <v>0</v>
      </c>
      <c r="TJ18" s="188" t="s">
        <v>482</v>
      </c>
      <c r="TK18" s="189">
        <f>'Tables - Part 3.B'!C9</f>
        <v>55.6</v>
      </c>
      <c r="TM18" s="162" t="s">
        <v>129</v>
      </c>
      <c r="TQ18" s="155" t="s">
        <v>75</v>
      </c>
    </row>
    <row r="19" spans="2:537" x14ac:dyDescent="0.35">
      <c r="B19" s="161"/>
      <c r="C19" s="161"/>
      <c r="D19" s="161"/>
      <c r="E19" s="161"/>
      <c r="F19" s="666"/>
      <c r="G19" s="161"/>
      <c r="H19" s="537"/>
      <c r="I19" s="161"/>
      <c r="J19" s="161"/>
      <c r="K19" s="161"/>
      <c r="L19" s="161"/>
      <c r="M19" s="161"/>
      <c r="N19" s="161"/>
      <c r="O19" s="161"/>
      <c r="P19" s="161"/>
      <c r="Q19" s="161"/>
      <c r="R19" s="161"/>
      <c r="S19" s="667"/>
      <c r="T19" s="161"/>
      <c r="U19" s="161"/>
      <c r="V19" s="161"/>
      <c r="W19" s="161"/>
      <c r="X19" s="537"/>
      <c r="Y19" s="537"/>
      <c r="Z19" s="399"/>
      <c r="AA19" s="537"/>
      <c r="AB19" s="399"/>
      <c r="AC19" s="399"/>
      <c r="AD19" s="399"/>
      <c r="AE19" s="399"/>
      <c r="AF19" s="399"/>
      <c r="AG19" s="399"/>
      <c r="AH19" s="399"/>
      <c r="AI19" s="399"/>
      <c r="AJ19" s="399"/>
      <c r="AK19" s="399"/>
      <c r="AL19" s="399"/>
      <c r="AM19" s="399"/>
      <c r="AN19" s="399"/>
      <c r="AO19" s="399"/>
      <c r="AP19" s="399"/>
      <c r="AQ19" s="151" t="e">
        <f>INDEX('Tables - Part 3'!$J$4:$J$35,MATCH(COF!$F19,'Tables - Part 3'!$F$4:$F$35,0),1)</f>
        <v>#N/A</v>
      </c>
      <c r="AR19" s="151" t="e">
        <f>IF($G19=$TH$7,'Tables - Part 3'!$W$4,IF(AND($AQ19=$TH$7,COF!$PA19&lt;26.67),'Tables - Part 3'!$W$4,'Tables - Part 3'!$W$7))</f>
        <v>#N/A</v>
      </c>
      <c r="AS19" s="150" t="e">
        <f>INDEX('Tables - Part 3'!$F$4:$R$35,MATCH(COF!$F19,'Tables - Part 3'!$F$4:$F$35,0),COUNTA('Tables - Part 3'!$F$3:$H$3))</f>
        <v>#N/A</v>
      </c>
      <c r="AT19" s="279" t="e">
        <f t="shared" si="6"/>
        <v>#VALUE!</v>
      </c>
      <c r="AU19" s="151" t="e">
        <f>INDEX('Tables - Part 3'!$F$4:$R$35,MATCH(COF!$F19,'Tables - Part 3'!$F$4:$F$35,0),COUNTA('Tables - Part 3'!$F$3:$G$3))</f>
        <v>#N/A</v>
      </c>
      <c r="AV19" s="151" t="e">
        <f t="shared" si="131"/>
        <v>#N/A</v>
      </c>
      <c r="AW19" s="151" t="e">
        <f t="shared" si="7"/>
        <v>#N/A</v>
      </c>
      <c r="AX19" s="151" t="e">
        <f>INDEX('Tables - Part 3'!$F$4:$R$35,MATCH(COF!$F19,'Tables - Part 3'!$F$4:$F$35,0),COUNTA('Tables - Part 3'!$F$3:$R$3))+273.15</f>
        <v>#N/A</v>
      </c>
      <c r="AY19" s="151">
        <f t="shared" si="8"/>
        <v>0</v>
      </c>
      <c r="AZ19" s="151" t="e">
        <f t="shared" si="9"/>
        <v>#N/A</v>
      </c>
      <c r="BA19" s="151" t="e">
        <f t="shared" si="132"/>
        <v>#N/A</v>
      </c>
      <c r="BB19" s="151" t="e">
        <f t="shared" si="133"/>
        <v>#N/A</v>
      </c>
      <c r="BC19" s="151" t="e">
        <f t="shared" si="134"/>
        <v>#N/A</v>
      </c>
      <c r="BD19" s="151" t="e">
        <f t="shared" si="135"/>
        <v>#N/A</v>
      </c>
      <c r="BE19" s="151" t="e">
        <f t="shared" si="10"/>
        <v>#N/A</v>
      </c>
      <c r="BF19" s="151" t="e">
        <f t="shared" si="11"/>
        <v>#N/A</v>
      </c>
      <c r="BG19" s="151" t="e">
        <f t="shared" si="12"/>
        <v>#N/A</v>
      </c>
      <c r="BH19" s="151" t="e">
        <f t="shared" si="13"/>
        <v>#N/A</v>
      </c>
      <c r="BI19" s="151">
        <f>'Tables - Part 3'!$AD$4</f>
        <v>6.4</v>
      </c>
      <c r="BJ19" s="151">
        <f>MIN(O19,'Tables - Part 3'!$AD$5)</f>
        <v>25</v>
      </c>
      <c r="BK19" s="151">
        <f>MIN(O19,'Tables - Part 3'!$AD$6)</f>
        <v>102</v>
      </c>
      <c r="BL19" s="151">
        <f>MIN(O19,'Tables - Part 3'!$AD$7)</f>
        <v>406</v>
      </c>
      <c r="BM19" s="151">
        <f t="shared" si="136"/>
        <v>32.169908772759484</v>
      </c>
      <c r="BN19" s="151">
        <f t="shared" si="137"/>
        <v>490.87385212340519</v>
      </c>
      <c r="BO19" s="151">
        <f t="shared" si="138"/>
        <v>8171.2824919870518</v>
      </c>
      <c r="BP19" s="151">
        <f t="shared" si="139"/>
        <v>129461.89166178179</v>
      </c>
      <c r="BQ19" s="151" t="e">
        <f>INDEX('Tables - Part 2'!$D$5:$G$30,MATCH(COF!$E19,'Tables - Part 2'!$C$5:$C$30,0),1)</f>
        <v>#N/A</v>
      </c>
      <c r="BR19" s="571" t="e">
        <f>INDEX('Tables - Part 2'!$D$5:$G$30,MATCH(COF!$E19,'Tables - Part 2'!$C$5:$C$30,0),2)</f>
        <v>#N/A</v>
      </c>
      <c r="BS19" s="571" t="e">
        <f>INDEX('Tables - Part 2'!$D$5:$G$30,MATCH(COF!$E19,'Tables - Part 2'!$C$5:$C$30,0),3)</f>
        <v>#N/A</v>
      </c>
      <c r="BT19" s="151" t="e">
        <f>INDEX('Tables - Part 2'!$D$5:$G$30,MATCH(COF!$E19,'Tables - Part 2'!$C$5:$C$30,0),4)</f>
        <v>#N/A</v>
      </c>
      <c r="BU19" s="151" t="e">
        <f t="shared" si="140"/>
        <v>#N/A</v>
      </c>
      <c r="BV19" s="151" t="e">
        <f t="shared" si="141"/>
        <v>#N/A</v>
      </c>
      <c r="BW19" s="151" t="e">
        <f t="shared" si="142"/>
        <v>#N/A</v>
      </c>
      <c r="BX19" s="151" t="e">
        <f t="shared" si="143"/>
        <v>#N/A</v>
      </c>
      <c r="BY19" s="502" t="e">
        <f t="shared" si="144"/>
        <v>#N/A</v>
      </c>
      <c r="BZ19" s="502" t="e">
        <f t="shared" si="145"/>
        <v>#N/A</v>
      </c>
      <c r="CA19" s="151" t="e">
        <f>IF(OR(BI19&lt;='Tables - Part 3'!$AD$4,BE19&lt;='Tables - Part 3.B'!$C$6,BV19&lt;=25.22),COF!$TK$6,COF!$TK$5)</f>
        <v>#N/A</v>
      </c>
      <c r="CB19" s="151" t="e">
        <f>IF(OR(BJ19&lt;='Tables - Part 3'!$AD$4,BF19&lt;='Tables - Part 3.B'!$C$6,BW19&lt;=25.22),COF!$TK$6,COF!$TK$5)</f>
        <v>#N/A</v>
      </c>
      <c r="CC19" s="151" t="e">
        <f>IF(OR(BK19&lt;='Tables - Part 3'!$AD$4,BG19&lt;='Tables - Part 3.B'!$C$6,BX19&lt;=25.22),COF!$TK$6,COF!$TK$5)</f>
        <v>#N/A</v>
      </c>
      <c r="CD19" s="151" t="e">
        <f>IF(OR(BL19&lt;='Tables - Part 3'!$AD$4,BH19&lt;='Tables - Part 3.B'!$C$6,BY19&lt;=25.22),COF!$TK$6,COF!$TK$5)</f>
        <v>#N/A</v>
      </c>
      <c r="CE19" s="151" t="str">
        <f t="shared" si="146"/>
        <v/>
      </c>
      <c r="CF19" s="151" t="e">
        <f>INDEX('Tables - Part 3'!$AR$4:$AR$12,MATCH(COF!$PC19,'Tables - Part 3'!$AP$4:$AP$12,0),1)</f>
        <v>#N/A</v>
      </c>
      <c r="CG19" s="151" t="e">
        <f>INDEX('Tables - Part 3'!$AR$13:$AR$21,MATCH(COF!$PC19,'Tables - Part 3'!$AP$13:$AP$21,0),1)</f>
        <v>#N/A</v>
      </c>
      <c r="CH19" s="151" t="e">
        <f>INDEX('Tables - Part 3'!$AR$22:$AR$30,MATCH(COF!$PC19,'Tables - Part 3'!$AP$22:$AP$30,0),1)</f>
        <v>#N/A</v>
      </c>
      <c r="CI19" s="151" t="e">
        <f>INDEX('Tables - Part 3'!$AR$22:$AR$30,MATCH(COF!$PC19,'Tables - Part 3'!$AP$22:$AP$30,0),1)</f>
        <v>#N/A</v>
      </c>
      <c r="CJ19" s="151" t="e">
        <f t="shared" si="147"/>
        <v>#N/A</v>
      </c>
      <c r="CK19" s="151" t="e">
        <f t="shared" si="148"/>
        <v>#N/A</v>
      </c>
      <c r="CL19" s="151" t="e">
        <f t="shared" si="149"/>
        <v>#N/A</v>
      </c>
      <c r="CM19" s="151" t="e">
        <f t="shared" si="150"/>
        <v>#N/A</v>
      </c>
      <c r="CN19" s="151" t="e">
        <f t="shared" si="151"/>
        <v>#N/A</v>
      </c>
      <c r="CO19" s="151" t="e">
        <f t="shared" si="152"/>
        <v>#N/A</v>
      </c>
      <c r="CP19" s="151" t="e">
        <f t="shared" si="153"/>
        <v>#N/A</v>
      </c>
      <c r="CQ19" s="151" t="e">
        <f t="shared" si="154"/>
        <v>#N/A</v>
      </c>
      <c r="CR19" s="151" t="e">
        <f t="shared" si="155"/>
        <v>#N/A</v>
      </c>
      <c r="CS19" s="151" t="e">
        <f t="shared" si="156"/>
        <v>#N/A</v>
      </c>
      <c r="CT19" s="151" t="e">
        <f t="shared" si="157"/>
        <v>#N/A</v>
      </c>
      <c r="CU19" s="151" t="e">
        <f t="shared" si="158"/>
        <v>#N/A</v>
      </c>
      <c r="CV19" s="151" t="e">
        <f>INDEX('Tables - Part 3'!$CI$4:$CI$8,MATCH(COF!V19,'Tables - Part 3'!$CG$4:$CG$8,0),1)</f>
        <v>#N/A</v>
      </c>
      <c r="CW19" s="502" t="e">
        <f>IF(CR19&gt;'Tables - Part 3.B'!$C$6,4*LOG10('Tables - Part 3.B'!$C$7*CR19)-15,1)</f>
        <v>#N/A</v>
      </c>
      <c r="CX19" s="502" t="e">
        <f>IF(CS19&gt;'Tables - Part 3.B'!$C$6,4*LOG10('Tables - Part 3.B'!$C$7*CS19)-15,1)</f>
        <v>#N/A</v>
      </c>
      <c r="CY19" s="502" t="e">
        <f>IF(CT19&gt;'Tables - Part 3.B'!$C$6,4*LOG10('Tables - Part 3.B'!$C$7*CT19)-15,1)</f>
        <v>#N/A</v>
      </c>
      <c r="CZ19" s="502" t="e">
        <f>IF(CU19&gt;'Tables - Part 3.B'!$C$6,4*LOG10('Tables - Part 3.B'!$C$7*CU19)-15,1)</f>
        <v>#N/A</v>
      </c>
      <c r="DA19" s="151" t="e">
        <f>INDEX('Tables - Part 3'!$C$4:$C$37,MATCH(COF!$F19,'Tables - Part 3'!$B$4:$B$37,0),1)</f>
        <v>#N/A</v>
      </c>
      <c r="DB19" s="151" t="e">
        <f t="shared" si="159"/>
        <v>#N/A</v>
      </c>
      <c r="DC19" s="151" t="e">
        <f t="shared" si="160"/>
        <v>#N/A</v>
      </c>
      <c r="DD19" s="151" t="e">
        <f t="shared" si="161"/>
        <v>#N/A</v>
      </c>
      <c r="DE19" s="151" t="e">
        <f t="shared" si="162"/>
        <v>#N/A</v>
      </c>
      <c r="DF19" s="151" t="e">
        <f t="shared" si="163"/>
        <v>#N/A</v>
      </c>
      <c r="DG19" s="151" t="e">
        <f t="shared" si="164"/>
        <v>#N/A</v>
      </c>
      <c r="DH19" s="151" t="e">
        <f t="shared" si="165"/>
        <v>#N/A</v>
      </c>
      <c r="DI19" s="151" t="e">
        <f t="shared" si="166"/>
        <v>#N/A</v>
      </c>
      <c r="DJ19" s="151" t="e">
        <f t="shared" si="167"/>
        <v>#N/A</v>
      </c>
      <c r="DK19" s="151" t="e">
        <f t="shared" si="168"/>
        <v>#N/A</v>
      </c>
      <c r="DL19" s="151" t="e">
        <f t="shared" si="169"/>
        <v>#N/A</v>
      </c>
      <c r="DM19" s="151" t="e">
        <f t="shared" si="170"/>
        <v>#N/A</v>
      </c>
      <c r="DN19" s="151" t="e">
        <f t="shared" si="171"/>
        <v>#N/A</v>
      </c>
      <c r="DO19" s="151" t="e">
        <f t="shared" si="172"/>
        <v>#N/A</v>
      </c>
      <c r="DP19" s="151" t="e">
        <f t="shared" si="173"/>
        <v>#N/A</v>
      </c>
      <c r="DQ19" s="151" t="e">
        <f t="shared" si="174"/>
        <v>#N/A</v>
      </c>
      <c r="DR19" s="151" t="e">
        <f t="shared" si="175"/>
        <v>#N/A</v>
      </c>
      <c r="DS19" s="151" t="e">
        <f t="shared" si="176"/>
        <v>#N/A</v>
      </c>
      <c r="DT19" s="151" t="e">
        <f t="shared" si="177"/>
        <v>#N/A</v>
      </c>
      <c r="DU19" s="151" t="e">
        <f t="shared" si="178"/>
        <v>#N/A</v>
      </c>
      <c r="DV19" s="151" t="e">
        <f t="shared" si="179"/>
        <v>#N/A</v>
      </c>
      <c r="DW19" s="151" t="e">
        <f t="shared" si="180"/>
        <v>#N/A</v>
      </c>
      <c r="DX19" s="151" t="e">
        <f t="shared" si="181"/>
        <v>#N/A</v>
      </c>
      <c r="DY19" s="151" t="e">
        <f t="shared" si="182"/>
        <v>#N/A</v>
      </c>
      <c r="DZ19" s="151" t="e">
        <f t="shared" si="183"/>
        <v>#N/A</v>
      </c>
      <c r="EA19" s="151" t="e">
        <f t="shared" si="184"/>
        <v>#N/A</v>
      </c>
      <c r="EB19" s="151" t="e">
        <f t="shared" si="185"/>
        <v>#N/A</v>
      </c>
      <c r="EC19" s="151" t="e">
        <f t="shared" si="186"/>
        <v>#N/A</v>
      </c>
      <c r="ED19" s="151" t="e">
        <f t="shared" si="187"/>
        <v>#N/A</v>
      </c>
      <c r="EE19" s="151" t="e">
        <f t="shared" si="188"/>
        <v>#N/A</v>
      </c>
      <c r="EF19" s="151" t="e">
        <f t="shared" si="189"/>
        <v>#N/A</v>
      </c>
      <c r="EG19" s="151" t="e">
        <f t="shared" si="190"/>
        <v>#N/A</v>
      </c>
      <c r="EH19" s="151" t="e">
        <f>IF(CA19=$TK$5,1,MIN(CJ19/'Tables - Part 3.B'!$C$8,1))</f>
        <v>#N/A</v>
      </c>
      <c r="EI19" s="151" t="e">
        <f>IF(CB19=$TK$5,1,MIN(CK19/'Tables - Part 3.B'!$C$8,1))</f>
        <v>#N/A</v>
      </c>
      <c r="EJ19" s="151" t="e">
        <f>IF(CC19=$TK$5,1,MIN(CL19/'Tables - Part 3.B'!$C$8,1))</f>
        <v>#N/A</v>
      </c>
      <c r="EK19" s="151" t="e">
        <f>IF(CD19=$TK$5,1,MIN(CM19/'Tables - Part 3.B'!$C$8,1))</f>
        <v>#N/A</v>
      </c>
      <c r="EL19" s="151" t="e">
        <f t="shared" si="191"/>
        <v>#VALUE!</v>
      </c>
      <c r="EM19" s="151" t="e">
        <f t="shared" si="48"/>
        <v>#VALUE!</v>
      </c>
      <c r="EN19" s="151" t="e">
        <f t="shared" si="48"/>
        <v>#VALUE!</v>
      </c>
      <c r="EO19" s="151" t="e">
        <f t="shared" si="48"/>
        <v>#VALUE!</v>
      </c>
      <c r="EP19" s="151" t="e">
        <f t="shared" si="192"/>
        <v>#N/A</v>
      </c>
      <c r="EQ19" s="151" t="e">
        <f t="shared" si="49"/>
        <v>#N/A</v>
      </c>
      <c r="ER19" s="151" t="e">
        <f t="shared" si="49"/>
        <v>#N/A</v>
      </c>
      <c r="ES19" s="151" t="e">
        <f t="shared" si="49"/>
        <v>#N/A</v>
      </c>
      <c r="ET19" s="151" t="e">
        <f t="shared" si="193"/>
        <v>#N/A</v>
      </c>
      <c r="EU19" s="151" t="e">
        <f t="shared" si="50"/>
        <v>#N/A</v>
      </c>
      <c r="EV19" s="151" t="e">
        <f t="shared" si="50"/>
        <v>#N/A</v>
      </c>
      <c r="EW19" s="151" t="e">
        <f t="shared" si="50"/>
        <v>#N/A</v>
      </c>
      <c r="EX19" s="151" t="e">
        <f t="shared" si="194"/>
        <v>#N/A</v>
      </c>
      <c r="EY19" s="151" t="e">
        <f t="shared" si="51"/>
        <v>#N/A</v>
      </c>
      <c r="EZ19" s="151" t="e">
        <f t="shared" si="51"/>
        <v>#N/A</v>
      </c>
      <c r="FA19" s="151" t="e">
        <f t="shared" si="51"/>
        <v>#N/A</v>
      </c>
      <c r="FB19" s="151" t="e">
        <f t="shared" si="195"/>
        <v>#N/A</v>
      </c>
      <c r="FC19" s="151" t="e">
        <f t="shared" si="52"/>
        <v>#N/A</v>
      </c>
      <c r="FD19" s="151" t="e">
        <f t="shared" si="52"/>
        <v>#N/A</v>
      </c>
      <c r="FE19" s="151" t="e">
        <f t="shared" si="52"/>
        <v>#N/A</v>
      </c>
      <c r="FF19" s="151" t="e">
        <f t="shared" si="196"/>
        <v>#N/A</v>
      </c>
      <c r="FG19" s="151" t="e">
        <f t="shared" si="53"/>
        <v>#N/A</v>
      </c>
      <c r="FH19" s="151" t="e">
        <f t="shared" si="53"/>
        <v>#N/A</v>
      </c>
      <c r="FI19" s="151" t="e">
        <f t="shared" si="53"/>
        <v>#N/A</v>
      </c>
      <c r="FJ19" s="151" t="e">
        <f t="shared" si="197"/>
        <v>#N/A</v>
      </c>
      <c r="FK19" s="151" t="e">
        <f t="shared" si="54"/>
        <v>#N/A</v>
      </c>
      <c r="FL19" s="151" t="e">
        <f t="shared" si="54"/>
        <v>#N/A</v>
      </c>
      <c r="FM19" s="288" t="e">
        <f t="shared" si="54"/>
        <v>#N/A</v>
      </c>
      <c r="FN19" s="299">
        <f t="shared" si="198"/>
        <v>0</v>
      </c>
      <c r="FO19" s="511">
        <f t="shared" si="199"/>
        <v>0</v>
      </c>
      <c r="FP19" s="150" t="e">
        <f t="shared" si="200"/>
        <v>#N/A</v>
      </c>
      <c r="FQ19" s="151" t="e">
        <f t="shared" si="201"/>
        <v>#N/A</v>
      </c>
      <c r="FR19" s="151" t="e">
        <f t="shared" si="202"/>
        <v>#N/A</v>
      </c>
      <c r="FS19" s="151" t="e">
        <f t="shared" si="203"/>
        <v>#N/A</v>
      </c>
      <c r="FT19" s="151">
        <f t="shared" si="270"/>
        <v>0</v>
      </c>
      <c r="FU19" s="151">
        <f t="shared" si="56"/>
        <v>0</v>
      </c>
      <c r="FV19" s="151">
        <f t="shared" si="57"/>
        <v>0</v>
      </c>
      <c r="FW19" s="151">
        <f t="shared" si="58"/>
        <v>0</v>
      </c>
      <c r="FX19" s="151">
        <f t="shared" si="271"/>
        <v>0</v>
      </c>
      <c r="FY19" s="151">
        <f t="shared" si="60"/>
        <v>0</v>
      </c>
      <c r="FZ19" s="151">
        <f t="shared" si="61"/>
        <v>0</v>
      </c>
      <c r="GA19" s="151">
        <f t="shared" si="62"/>
        <v>0</v>
      </c>
      <c r="GB19" s="151" t="e">
        <f>IF(CA19=$TK$6,'Tables - Part 3.B'!$C$10*(('Tables - Part 3.B'!$C$7*COF!FT19)^COF!GR19*10^COF!GV19),IF(CA19=$TK$5,'Tables - Part 3.B'!$C$10*(('Tables - Part 3.B'!$C$7*COF!FX19)^COF!GR19*10^COF!GV19),0))</f>
        <v>#N/A</v>
      </c>
      <c r="GC19" s="151" t="e">
        <f>IF(CB19=$TK$6,'Tables - Part 3.B'!$C$10*(('Tables - Part 3.B'!$C$7*COF!FU19)^COF!GS19*10^COF!GW19),IF(CB19=$TK$5,'Tables - Part 3.B'!$C$10*(('Tables - Part 3.B'!$C$7*COF!FY19)^COF!GS19*10^COF!GW19),0))</f>
        <v>#N/A</v>
      </c>
      <c r="GD19" s="151" t="e">
        <f>IF(CC19=$TK$6,'Tables - Part 3.B'!$C$10*(('Tables - Part 3.B'!$C$7*COF!FV19)^COF!GT19*10^COF!GX19),IF(CC19=$TK$5,'Tables - Part 3.B'!$C$10*(('Tables - Part 3.B'!$C$7*COF!FZ19)^COF!GT19*10^COF!GX19),0))</f>
        <v>#N/A</v>
      </c>
      <c r="GE19" s="151" t="e">
        <f>IF(CD19=$TK$6,'Tables - Part 3.B'!$C$10*(('Tables - Part 3.B'!$C$7*COF!FW19)^COF!GU19*10^COF!GY19),IF(CD19=$TK$5,'Tables - Part 3.B'!$C$10*(('Tables - Part 3.B'!$C$7*COF!GA19)^COF!GU19*10^COF!GY19),0))</f>
        <v>#N/A</v>
      </c>
      <c r="GF19" s="152" t="e">
        <f t="shared" si="272"/>
        <v>#N/A</v>
      </c>
      <c r="GG19" s="152" t="e">
        <f t="shared" si="63"/>
        <v>#N/A</v>
      </c>
      <c r="GH19" s="152" t="e">
        <f t="shared" si="64"/>
        <v>#N/A</v>
      </c>
      <c r="GI19" s="152" t="e">
        <f t="shared" si="65"/>
        <v>#N/A</v>
      </c>
      <c r="GJ19" s="152" t="e">
        <f>IF(GF19&lt;'Tables - Part 3'!$CK$5,0,LOOKUP(GF19,'Tables - Part 3'!$CK$5:$CK$9))</f>
        <v>#N/A</v>
      </c>
      <c r="GK19" s="152" t="e">
        <f>IF(GG19&lt;'Tables - Part 3'!$CK$5,0,LOOKUP(GG19,'Tables - Part 3'!$CK$5:$CK$9))</f>
        <v>#N/A</v>
      </c>
      <c r="GL19" s="152" t="e">
        <f>IF(GH19&lt;'Tables - Part 3'!$CK$5,0,LOOKUP(GH19,'Tables - Part 3'!$CK$5:$CK$9))</f>
        <v>#N/A</v>
      </c>
      <c r="GM19" s="152" t="e">
        <f>IF(GI19&lt;'Tables - Part 3'!$CK$5,0,LOOKUP(GI19,'Tables - Part 3'!$CK$5:$CK$9))</f>
        <v>#N/A</v>
      </c>
      <c r="GN19" s="152" t="e">
        <f>IF(GF19&lt;'Tables - Part 3'!$CK$5,'Tables - Part 3'!$CK$5,IF(COF!GF19&lt;'Tables - Part 3'!$CK$6,'Tables - Part 3'!$CK$6,IF(COF!GF19&lt;'Tables - Part 3'!$CK$7,'Tables - Part 3'!$CK$7,IF(COF!GF19&lt;'Tables - Part 3'!$CK$8,'Tables - Part 3'!$CK$8,IF(COF!GF19&lt;'Tables - Part 3'!$CK$9,'Tables - Part 3'!$CK$9)))))</f>
        <v>#N/A</v>
      </c>
      <c r="GO19" s="152" t="e">
        <f>IF(GG19&lt;'Tables - Part 3'!$CK$5,'Tables - Part 3'!$CK$5,IF(COF!GG19&lt;'Tables - Part 3'!$CK$6,'Tables - Part 3'!$CK$6,IF(COF!GG19&lt;'Tables - Part 3'!$CK$7,'Tables - Part 3'!$CK$7,IF(COF!GG19&lt;'Tables - Part 3'!$CK$8,'Tables - Part 3'!$CK$8,IF(COF!GG19&lt;'Tables - Part 3'!$CK$9,'Tables - Part 3'!$CK$9)))))</f>
        <v>#N/A</v>
      </c>
      <c r="GP19" s="152" t="e">
        <f>IF(GH19&lt;'Tables - Part 3'!$CK$5,'Tables - Part 3'!$CK$5,IF(COF!GH19&lt;'Tables - Part 3'!$CK$6,'Tables - Part 3'!$CK$6,IF(COF!GH19&lt;'Tables - Part 3'!$CK$7,'Tables - Part 3'!$CK$7,IF(COF!GH19&lt;'Tables - Part 3'!$CK$8,'Tables - Part 3'!$CK$8,IF(COF!GH19&lt;'Tables - Part 3'!$CK$9,'Tables - Part 3'!$CK$9)))))</f>
        <v>#N/A</v>
      </c>
      <c r="GQ19" s="152" t="e">
        <f>IF(GI19&lt;'Tables - Part 3'!$CK$5,'Tables - Part 3'!$CK$5,IF(COF!GI19&lt;'Tables - Part 3'!$CK$6,'Tables - Part 3'!$CK$6,IF(COF!GI19&lt;'Tables - Part 3'!$CK$7,'Tables - Part 3'!$CK$7,IF(COF!GI19&lt;'Tables - Part 3'!$CK$8,'Tables - Part 3'!$CK$8,IF(COF!GI19&lt;'Tables - Part 3'!$CK$9,'Tables - Part 3'!$CK$9)))))</f>
        <v>#N/A</v>
      </c>
      <c r="GR19" s="151" t="e">
        <f>IF(CA19=$TK$5,'Tables - Part 3'!$CL$10,IF(COF!CA19=COF!$TK$6,IF(COF!GF19&lt;'Tables - Part 3'!$CK$5,'Tables - Part 3'!$CL$5,IF(GF19&gt;='Tables - Part 3'!$CK$9,'Tables - Part 3'!$CL$9,((COF!GF19-COF!GJ19)*(INDEX('Tables - Part 3'!$CL$5:$CL$9,MATCH(COF!GN19,'Tables - Part 3'!$CK$5:$CK$9,0))-INDEX('Tables - Part 3'!$CL$5:$CL$9,MATCH(COF!GJ19,'Tables - Part 3'!$CK$5:$CK$9,0)))/(GN19-GJ19)+INDEX('Tables - Part 3'!$CL$5:$CL$9,MATCH(COF!GJ19,'Tables - Part 3'!$CK$5:$CK$9,0)))))))</f>
        <v>#N/A</v>
      </c>
      <c r="GS19" s="151" t="e">
        <f>IF(CB19=$TK$5,'Tables - Part 3'!$CL$10,IF(COF!CB19=COF!$TK$6,IF(COF!GG19&lt;'Tables - Part 3'!$CK$5,'Tables - Part 3'!$CL$5,IF(GG19&gt;='Tables - Part 3'!$CK$9,'Tables - Part 3'!$CL$9,((COF!GG19-COF!GK19)*(INDEX('Tables - Part 3'!$CL$5:$CL$9,MATCH(COF!GO19,'Tables - Part 3'!$CK$5:$CK$9,0))-INDEX('Tables - Part 3'!$CL$5:$CL$9,MATCH(COF!GK19,'Tables - Part 3'!$CK$5:$CK$9,0)))/(GO19-GK19)+INDEX('Tables - Part 3'!$CL$5:$CL$9,MATCH(COF!GK19,'Tables - Part 3'!$CK$5:$CK$9,0)))))))</f>
        <v>#N/A</v>
      </c>
      <c r="GT19" s="151" t="e">
        <f>IF(CC19=$TK$5,'Tables - Part 3'!$CL$10,IF(COF!CC19=COF!$TK$6,IF(COF!GH19&lt;'Tables - Part 3'!$CK$5,'Tables - Part 3'!$CL$5,IF(GH19&gt;='Tables - Part 3'!$CK$9,'Tables - Part 3'!$CL$9,((COF!GH19-COF!GL19)*(INDEX('Tables - Part 3'!$CL$5:$CL$9,MATCH(COF!GP19,'Tables - Part 3'!$CK$5:$CK$9,0))-INDEX('Tables - Part 3'!$CL$5:$CL$9,MATCH(COF!GL19,'Tables - Part 3'!$CK$5:$CK$9,0)))/(GP19-GL19)+INDEX('Tables - Part 3'!$CL$5:$CL$9,MATCH(COF!GL19,'Tables - Part 3'!$CK$5:$CK$9,0)))))))</f>
        <v>#N/A</v>
      </c>
      <c r="GU19" s="151" t="e">
        <f>IF(CD19=$TK$5,'Tables - Part 3'!$CL$10,IF(COF!CD19=COF!$TK$6,IF(COF!GI19&lt;'Tables - Part 3'!$CK$5,'Tables - Part 3'!$CL$5,IF(GI19&gt;='Tables - Part 3'!$CK$9,'Tables - Part 3'!$CL$9,((COF!GI19-COF!GM19)*(INDEX('Tables - Part 3'!$CL$5:$CL$9,MATCH(COF!GQ19,'Tables - Part 3'!$CK$5:$CK$9,0))-INDEX('Tables - Part 3'!$CL$5:$CL$9,MATCH(COF!GM19,'Tables - Part 3'!$CK$5:$CK$9,0)))/(GQ19-GM19)+INDEX('Tables - Part 3'!$CL$5:$CL$9,MATCH(COF!GM19,'Tables - Part 3'!$CK$5:$CK$9,0)))))))</f>
        <v>#N/A</v>
      </c>
      <c r="GV19" s="151" t="e">
        <f>IF(CA19=$TK$5,'Tables - Part 3'!$CM$10,IF(COF!CA19=COF!$TK$6,IF(GF19&lt;'Tables - Part 3'!$CK$5,'Tables - Part 3'!$CM$5,IF(GF19&gt;='Tables - Part 3'!$CK$9,'Tables - Part 3'!$CM$9,((COF!GF19-COF!GJ19)*(INDEX('Tables - Part 3'!$CM$5:$CM$9,MATCH(COF!GN19,'Tables - Part 3'!$CK$5:$CK$9,0))-INDEX('Tables - Part 3'!$CM$5:$CM$9,MATCH(COF!GJ19,'Tables - Part 3'!$CK$5:$CK$9,0)))/(GN19-GJ19)+INDEX('Tables - Part 3'!$CM$5:$CM$9,MATCH(COF!GJ19,'Tables - Part 3'!$CK$5:$CK$9,0)))))))</f>
        <v>#N/A</v>
      </c>
      <c r="GW19" s="151" t="e">
        <f>IF(CB19=$TK$5,'Tables - Part 3'!$CM$10,IF(COF!CB19=COF!$TK$6,IF(GG19&lt;'Tables - Part 3'!$CK$5,'Tables - Part 3'!$CM$5,IF(GG19&gt;='Tables - Part 3'!$CK$9,'Tables - Part 3'!$CM$9,((COF!GG19-COF!GK19)*(INDEX('Tables - Part 3'!$CM$5:$CM$9,MATCH(COF!GO19,'Tables - Part 3'!$CK$5:$CK$9,0))-INDEX('Tables - Part 3'!$CM$5:$CM$9,MATCH(COF!GK19,'Tables - Part 3'!$CK$5:$CK$9,0)))/(GO19-GK19)+INDEX('Tables - Part 3'!$CM$5:$CM$9,MATCH(COF!GK19,'Tables - Part 3'!$CK$5:$CK$9,0)))))))</f>
        <v>#N/A</v>
      </c>
      <c r="GX19" s="151" t="e">
        <f>IF(CC19=$TK$5,'Tables - Part 3'!$CM$10,IF(COF!CC19=COF!$TK$6,IF(GH19&lt;'Tables - Part 3'!$CK$5,'Tables - Part 3'!$CM$5,IF(GH19&gt;='Tables - Part 3'!$CK$9,'Tables - Part 3'!$CM$9,((COF!GH19-COF!GL19)*(INDEX('Tables - Part 3'!$CM$5:$CM$9,MATCH(COF!GP19,'Tables - Part 3'!$CK$5:$CK$9,0))-INDEX('Tables - Part 3'!$CM$5:$CM$9,MATCH(COF!GL19,'Tables - Part 3'!$CK$5:$CK$9,0)))/(GP19-GL19)+INDEX('Tables - Part 3'!$CM$5:$CM$9,MATCH(COF!GL19,'Tables - Part 3'!$CK$5:$CK$9,0)))))))</f>
        <v>#N/A</v>
      </c>
      <c r="GY19" s="151" t="e">
        <f>IF(CD19=$TK$5,'Tables - Part 3'!$CM$10,IF(COF!CD19=COF!$TK$6,IF(GI19&lt;'Tables - Part 3'!$CK$5,'Tables - Part 3'!$CM$5,IF(GI19&gt;='Tables - Part 3'!$CK$9,'Tables - Part 3'!$CM$9,((COF!GI19-COF!GM19)*(INDEX('Tables - Part 3'!$CM$5:$CM$9,MATCH(COF!GQ19,'Tables - Part 3'!$CK$5:$CK$9,0))-INDEX('Tables - Part 3'!$CM$5:$CM$9,MATCH(COF!GM19,'Tables - Part 3'!$CK$5:$CK$9,0)))/(GQ19-GM19)+INDEX('Tables - Part 3'!$CM$5:$CM$9,MATCH(COF!GM19,'Tables - Part 3'!$CK$5:$CK$9,0)))))))</f>
        <v>#N/A</v>
      </c>
      <c r="GZ19" s="151">
        <f t="shared" si="273"/>
        <v>0</v>
      </c>
      <c r="HA19" s="151">
        <f t="shared" si="67"/>
        <v>0</v>
      </c>
      <c r="HB19" s="151">
        <f t="shared" si="68"/>
        <v>0</v>
      </c>
      <c r="HC19" s="151">
        <f t="shared" si="69"/>
        <v>0</v>
      </c>
      <c r="HD19" s="151">
        <f t="shared" si="274"/>
        <v>0</v>
      </c>
      <c r="HE19" s="151">
        <f t="shared" si="71"/>
        <v>0</v>
      </c>
      <c r="HF19" s="151">
        <f t="shared" si="72"/>
        <v>0</v>
      </c>
      <c r="HG19" s="151">
        <f t="shared" si="73"/>
        <v>0</v>
      </c>
      <c r="HH19" s="151" t="e">
        <f>IF(CA19=$TK$6,'Tables - Part 3.B'!$C$10*(('Tables - Part 3.B'!$C$7*COF!GZ19)^COF!HL19*10^COF!HP19),IF(CA19=$TK$5,'Tables - Part 3.B'!$C$10*(('Tables - Part 3.B'!$C$7*COF!HD19)^COF!HL19*10^COF!HP19),0))</f>
        <v>#N/A</v>
      </c>
      <c r="HI19" s="151" t="e">
        <f>IF(CB19=$TK$6,'Tables - Part 3.B'!$C$10*(('Tables - Part 3.B'!$C$7*COF!HA19)^COF!HM19*10^COF!HQ19),IF(CB19=$TK$5,'Tables - Part 3.B'!$C$10*(('Tables - Part 3.B'!$C$7*COF!HE19)^COF!HM19*10^COF!HQ19),0))</f>
        <v>#N/A</v>
      </c>
      <c r="HJ19" s="151" t="e">
        <f>IF(CC19=$TK$6,'Tables - Part 3.B'!$C$10*(('Tables - Part 3.B'!$C$7*COF!HB19)^COF!HN19*10^COF!HR19),IF(CC19=$TK$5,'Tables - Part 3.B'!$C$10*(('Tables - Part 3.B'!$C$7*COF!HF19)^COF!HN19*10^COF!HR19),0))</f>
        <v>#N/A</v>
      </c>
      <c r="HK19" s="151" t="e">
        <f>IF(CD19=$TK$6,'Tables - Part 3.B'!$C$10*(('Tables - Part 3.B'!$C$7*COF!HC19)^COF!HO19*10^COF!HS19),IF(CD19=$TK$5,'Tables - Part 3.B'!$C$10*(('Tables - Part 3.B'!$C$7*COF!HG19)^COF!HO19*10^COF!HS19),0))</f>
        <v>#N/A</v>
      </c>
      <c r="HL19" s="151" t="e">
        <f>IF(CA19=$TK$5,'Tables - Part 3'!$CN$10,IF(COF!CA19=COF!$TK$6,IF(COF!GF19&lt;'Tables - Part 3'!$CK$5,'Tables - Part 3'!$CN$5,IF(GF19&gt;='Tables - Part 3'!$CK$9,'Tables - Part 3'!$CN$9,((COF!GF19-COF!GJ19)*(INDEX('Tables - Part 3'!$CN$5:$CN$9,MATCH(COF!GN19,'Tables - Part 3'!$CK$5:$CK$9,0))-INDEX('Tables - Part 3'!$CN$5:$CN$9,MATCH(COF!GJ19,'Tables - Part 3'!$CK$5:$CK$9,0)))/(GN19-GJ19)+INDEX('Tables - Part 3'!$CN$5:$CN$9,MATCH(COF!GJ19,'Tables - Part 3'!$CK$5:$CK$9,0)))))))</f>
        <v>#N/A</v>
      </c>
      <c r="HM19" s="151" t="e">
        <f>IF(CB19=$TK$5,'Tables - Part 3'!$CN$10,IF(COF!CB19=COF!$TK$6,IF(COF!GG19&lt;'Tables - Part 3'!$CK$5,'Tables - Part 3'!$CN$5,IF(GG19&gt;='Tables - Part 3'!$CK$9,'Tables - Part 3'!$CN$9,((COF!GG19-COF!GK19)*(INDEX('Tables - Part 3'!$CN$5:$CN$9,MATCH(COF!GO19,'Tables - Part 3'!$CK$5:$CK$9,0))-INDEX('Tables - Part 3'!$CN$5:$CN$9,MATCH(COF!GK19,'Tables - Part 3'!$CK$5:$CK$9,0)))/(GO19-GK19)+INDEX('Tables - Part 3'!$CN$5:$CN$9,MATCH(COF!GK19,'Tables - Part 3'!$CK$5:$CK$9,0)))))))</f>
        <v>#N/A</v>
      </c>
      <c r="HN19" s="151" t="e">
        <f>IF(CC19=$TK$5,'Tables - Part 3'!$CN$10,IF(COF!CC19=COF!$TK$6,IF(COF!GH19&lt;'Tables - Part 3'!$CK$5,'Tables - Part 3'!$CN$5,IF(GH19&gt;='Tables - Part 3'!$CK$9,'Tables - Part 3'!$CN$9,((COF!GH19-COF!GL19)*(INDEX('Tables - Part 3'!$CN$5:$CN$9,MATCH(COF!GP19,'Tables - Part 3'!$CK$5:$CK$9,0))-INDEX('Tables - Part 3'!$CN$5:$CN$9,MATCH(COF!GL19,'Tables - Part 3'!$CK$5:$CK$9,0)))/(GP19-GL19)+INDEX('Tables - Part 3'!$CN$5:$CN$9,MATCH(COF!GL19,'Tables - Part 3'!$CK$5:$CK$9,0)))))))</f>
        <v>#N/A</v>
      </c>
      <c r="HO19" s="151" t="e">
        <f>IF(CD19=$TK$5,'Tables - Part 3'!$CN$10,IF(COF!CD19=COF!$TK$6,IF(COF!GI19&lt;'Tables - Part 3'!$CK$5,'Tables - Part 3'!$CN$5,IF(GI19&gt;='Tables - Part 3'!$CK$9,'Tables - Part 3'!$CN$9,((COF!GI19-COF!GM19)*(INDEX('Tables - Part 3'!$CN$5:$CN$9,MATCH(COF!GQ19,'Tables - Part 3'!$CK$5:$CK$9,0))-INDEX('Tables - Part 3'!$CN$5:$CN$9,MATCH(COF!GM19,'Tables - Part 3'!$CK$5:$CK$9,0)))/(GQ19-GM19)+INDEX('Tables - Part 3'!$CN$5:$CN$9,MATCH(COF!GM19,'Tables - Part 3'!$CK$5:$CK$9,0)))))))</f>
        <v>#N/A</v>
      </c>
      <c r="HP19" s="151" t="e">
        <f>IF(CA19=$TK$5,'Tables - Part 3'!$CO$10,IF(COF!CA19=COF!$TK$6,IF(GF19&lt;'Tables - Part 3'!$CK$5,'Tables - Part 3'!$CO$5,IF(GF19&gt;='Tables - Part 3'!$CK$9,'Tables - Part 3'!$CO$9,((COF!GF19-COF!GJ19)*(INDEX('Tables - Part 3'!$CO$5:$CO$9,MATCH(COF!GN19,'Tables - Part 3'!$CK$5:$CK$9,0))-INDEX('Tables - Part 3'!$CO$5:$CO$9,MATCH(COF!GJ19,'Tables - Part 3'!$CK$5:$CK$9,0)))/(GN19-GJ19)+INDEX('Tables - Part 3'!$CO$5:$CO$9,MATCH(COF!GJ19,'Tables - Part 3'!$CK$5:$CK$9,0)))))))</f>
        <v>#N/A</v>
      </c>
      <c r="HQ19" s="151" t="e">
        <f>IF(CB19=$TK$5,'Tables - Part 3'!$CO$10,IF(COF!CB19=COF!$TK$6,IF(GG19&lt;'Tables - Part 3'!$CK$5,'Tables - Part 3'!$CO$5,IF(GG19&gt;='Tables - Part 3'!$CK$9,'Tables - Part 3'!$CO$9,((COF!GG19-COF!GK19)*(INDEX('Tables - Part 3'!$CO$5:$CO$9,MATCH(COF!GO19,'Tables - Part 3'!$CK$5:$CK$9,0))-INDEX('Tables - Part 3'!$CO$5:$CO$9,MATCH(COF!GK19,'Tables - Part 3'!$CK$5:$CK$9,0)))/(GO19-GK19)+INDEX('Tables - Part 3'!$CO$5:$CO$9,MATCH(COF!GK19,'Tables - Part 3'!$CK$5:$CK$9,0)))))))</f>
        <v>#N/A</v>
      </c>
      <c r="HR19" s="151" t="e">
        <f>IF(CC19=$TK$5,'Tables - Part 3'!$CO$10,IF(COF!CC19=COF!$TK$6,IF(GH19&lt;'Tables - Part 3'!$CK$5,'Tables - Part 3'!$CO$5,IF(GH19&gt;='Tables - Part 3'!$CK$9,'Tables - Part 3'!$CO$9,((COF!GH19-COF!GL19)*(INDEX('Tables - Part 3'!$CO$5:$CO$9,MATCH(COF!GP19,'Tables - Part 3'!$CK$5:$CK$9,0))-INDEX('Tables - Part 3'!$CO$5:$CO$9,MATCH(COF!GL19,'Tables - Part 3'!$CK$5:$CK$9,0)))/(GP19-GL19)+INDEX('Tables - Part 3'!$CO$5:$CO$9,MATCH(COF!GL19,'Tables - Part 3'!$CK$5:$CK$9,0)))))))</f>
        <v>#N/A</v>
      </c>
      <c r="HS19" s="151" t="e">
        <f>IF(CD19=$TK$5,'Tables - Part 3'!$CO$10,IF(COF!CD19=COF!$TK$6,IF(GI19&lt;'Tables - Part 3'!$CK$5,'Tables - Part 3'!$CO$5,IF(GI19&gt;='Tables - Part 3'!$CK$9,'Tables - Part 3'!$CO$9,((COF!GI19-COF!GM19)*(INDEX('Tables - Part 3'!$CO$5:$CO$9,MATCH(COF!GQ19,'Tables - Part 3'!$CK$5:$CK$9,0))-INDEX('Tables - Part 3'!$CO$5:$CO$9,MATCH(COF!GM19,'Tables - Part 3'!$CK$5:$CK$9,0)))/(GQ19-GM19)+INDEX('Tables - Part 3'!$CO$5:$CO$9,MATCH(COF!GM19,'Tables - Part 3'!$CK$5:$CK$9,0)))))))</f>
        <v>#N/A</v>
      </c>
      <c r="HT19" s="151">
        <f t="shared" si="275"/>
        <v>0</v>
      </c>
      <c r="HU19" s="151">
        <f t="shared" si="75"/>
        <v>0</v>
      </c>
      <c r="HV19" s="151">
        <f t="shared" si="76"/>
        <v>0</v>
      </c>
      <c r="HW19" s="151">
        <f t="shared" si="77"/>
        <v>0</v>
      </c>
      <c r="HX19" s="151">
        <f t="shared" si="276"/>
        <v>0</v>
      </c>
      <c r="HY19" s="151">
        <f t="shared" si="79"/>
        <v>0</v>
      </c>
      <c r="HZ19" s="151">
        <f t="shared" si="80"/>
        <v>0</v>
      </c>
      <c r="IA19" s="151">
        <f t="shared" si="81"/>
        <v>0</v>
      </c>
      <c r="IB19" s="153" t="e">
        <f t="shared" si="82"/>
        <v>#N/A</v>
      </c>
      <c r="IC19" s="153" t="e">
        <f t="shared" si="83"/>
        <v>#N/A</v>
      </c>
      <c r="ID19" s="153" t="e">
        <f t="shared" si="84"/>
        <v>#N/A</v>
      </c>
      <c r="IE19" s="153" t="e">
        <f t="shared" si="85"/>
        <v>#N/A</v>
      </c>
      <c r="IF19" s="152" t="e">
        <f>IF(GF19&lt;'Tables - Part 3'!$CQ$5,0,LOOKUP(GF19,'Tables - Part 3'!$CQ$5:$CQ$16))</f>
        <v>#N/A</v>
      </c>
      <c r="IG19" s="152" t="e">
        <f>IF(GG19&lt;'Tables - Part 3'!$CQ$5,0,LOOKUP(GG19,'Tables - Part 3'!$CQ$5:$CQ$16))</f>
        <v>#N/A</v>
      </c>
      <c r="IH19" s="152" t="e">
        <f>IF(GH19&lt;'Tables - Part 3'!$CQ$5,0,LOOKUP(GH19,'Tables - Part 3'!$CQ$5:$CQ$16))</f>
        <v>#N/A</v>
      </c>
      <c r="II19" s="152" t="e">
        <f>IF(GI19&lt;'Tables - Part 3'!$CQ$5,0,LOOKUP(GI19,'Tables - Part 3'!$CQ$5:$CQ$16))</f>
        <v>#N/A</v>
      </c>
      <c r="IJ19" s="152" t="e">
        <f>IF(GF19&lt;'Tables - Part 3'!$CQ$5,'Tables - Part 3'!$CQ$5,IF(COF!GF19&lt;'Tables - Part 3'!$CQ$6,'Tables - Part 3'!$CQ$6,IF(COF!GF19&lt;'Tables - Part 3'!$CQ$7,'Tables - Part 3'!$CQ$7,IF(COF!GF19&lt;'Tables - Part 3'!$CQ$8,'Tables - Part 3'!$CQ$8,IF(COF!GF19&lt;'Tables - Part 3'!$CQ$9,'Tables - Part 3'!$CQ$9,IF(COF!GF19&lt;'Tables - Part 3'!$CQ$10,'Tables - Part 3'!$CQ$10,IF(COF!GF19&lt;'Tables - Part 3'!$CQ$11,'Tables - Part 3'!$CQ$11,IF(COF!GF19&lt;'Tables - Part 3'!$CQ$12,'Tables - Part 3'!$CQ$12,IF(COF!GF19&lt;'Tables - Part 3'!$CQ$13,'Tables - Part 3'!$CQ$13,IF(COF!GF19&lt;'Tables - Part 3'!$CQ$14,'Tables - Part 3'!$CQ$14,IF(COF!GF19&lt;'Tables - Part 3'!$CQ$15,'Tables - Part 3'!$CQ$15,IF(COF!GF19&lt;'Tables - Part 3'!$CQ$16,'Tables - Part 3'!$CQ$16))))))))))))</f>
        <v>#N/A</v>
      </c>
      <c r="IK19" s="152" t="e">
        <f>IF(GG19&lt;'Tables - Part 3'!$CQ$5,'Tables - Part 3'!$CQ$5,IF(COF!GG19&lt;'Tables - Part 3'!$CQ$6,'Tables - Part 3'!$CQ$6,IF(COF!GG19&lt;'Tables - Part 3'!$CQ$7,'Tables - Part 3'!$CQ$7,IF(COF!GG19&lt;'Tables - Part 3'!$CQ$8,'Tables - Part 3'!$CQ$8,IF(COF!GG19&lt;'Tables - Part 3'!$CQ$9,'Tables - Part 3'!$CQ$9,IF(COF!GG19&lt;'Tables - Part 3'!$CQ$10,'Tables - Part 3'!$CQ$10,IF(COF!GG19&lt;'Tables - Part 3'!$CQ$11,'Tables - Part 3'!$CQ$11,IF(COF!GG19&lt;'Tables - Part 3'!$CQ$12,'Tables - Part 3'!$CQ$12,IF(COF!GG19&lt;'Tables - Part 3'!$CQ$13,'Tables - Part 3'!$CQ$13,IF(COF!GG19&lt;'Tables - Part 3'!$CQ$14,'Tables - Part 3'!$CQ$14,IF(COF!GG19&lt;'Tables - Part 3'!$CQ$15,'Tables - Part 3'!$CQ$15,IF(COF!GG19&lt;'Tables - Part 3'!$CQ$16,'Tables - Part 3'!$CQ$16))))))))))))</f>
        <v>#N/A</v>
      </c>
      <c r="IL19" s="152" t="e">
        <f>IF(GH19&lt;'Tables - Part 3'!$CQ$5,'Tables - Part 3'!$CQ$5,IF(COF!GH19&lt;'Tables - Part 3'!$CQ$6,'Tables - Part 3'!$CQ$6,IF(COF!GH19&lt;'Tables - Part 3'!$CQ$7,'Tables - Part 3'!$CQ$7,IF(COF!GH19&lt;'Tables - Part 3'!$CQ$8,'Tables - Part 3'!$CQ$8,IF(COF!GH19&lt;'Tables - Part 3'!$CQ$9,'Tables - Part 3'!$CQ$9,IF(COF!GH19&lt;'Tables - Part 3'!$CQ$10,'Tables - Part 3'!$CQ$10,IF(COF!GH19&lt;'Tables - Part 3'!$CQ$11,'Tables - Part 3'!$CQ$11,IF(COF!GH19&lt;'Tables - Part 3'!$CQ$12,'Tables - Part 3'!$CQ$12,IF(COF!GH19&lt;'Tables - Part 3'!$CQ$13,'Tables - Part 3'!$CQ$13,IF(COF!GH19&lt;'Tables - Part 3'!$CQ$14,'Tables - Part 3'!$CQ$14,IF(COF!GH19&lt;'Tables - Part 3'!$CQ$15,'Tables - Part 3'!$CQ$15,IF(COF!GH19&lt;'Tables - Part 3'!$CQ$16,'Tables - Part 3'!$CQ$16))))))))))))</f>
        <v>#N/A</v>
      </c>
      <c r="IM19" s="152" t="e">
        <f>IF(GI19&lt;'Tables - Part 3'!$CQ$5,'Tables - Part 3'!$CQ$5,IF(COF!GI19&lt;'Tables - Part 3'!$CQ$6,'Tables - Part 3'!$CQ$6,IF(COF!GI19&lt;'Tables - Part 3'!$CQ$7,'Tables - Part 3'!$CQ$7,IF(COF!GI19&lt;'Tables - Part 3'!$CQ$8,'Tables - Part 3'!$CQ$8,IF(COF!GI19&lt;'Tables - Part 3'!$CQ$9,'Tables - Part 3'!$CQ$9,IF(COF!GI19&lt;'Tables - Part 3'!$CQ$10,'Tables - Part 3'!$CQ$10,IF(COF!GI19&lt;'Tables - Part 3'!$CQ$11,'Tables - Part 3'!$CQ$11,IF(COF!GI19&lt;'Tables - Part 3'!$CQ$12,'Tables - Part 3'!$CQ$12,IF(COF!GI19&lt;'Tables - Part 3'!$CQ$13,'Tables - Part 3'!$CQ$13,IF(COF!GI19&lt;'Tables - Part 3'!$CQ$14,'Tables - Part 3'!$CQ$14,IF(COF!GI19&lt;'Tables - Part 3'!$CQ$15,'Tables - Part 3'!$CQ$15,IF(COF!GI19&lt;'Tables - Part 3'!$CQ$16,'Tables - Part 3'!$CQ$16))))))))))))</f>
        <v>#N/A</v>
      </c>
      <c r="IN19" s="151" t="e">
        <f>IF(CA19=$TK$5,'Tables - Part 3'!$CR$17,IF(COF!CA19=COF!$TK$6,IF(COF!GF19&lt;'Tables - Part 3'!$CQ$5,'Tables - Part 3'!$CR$5,IF(GF19&gt;='Tables - Part 3'!$CQ$16,'Tables - Part 3'!$CR$16,((COF!GF19-COF!IF19)*(INDEX('Tables - Part 3'!$CR$5:$CR$16,MATCH(COF!IJ19,'Tables - Part 3'!$CQ$5:$CQ$16,0))-INDEX('Tables - Part 3'!$CR$5:$CR$16,MATCH(COF!IF19,'Tables - Part 3'!$CQ$5:$CQ$16,0)))/(IJ19-IF19)+INDEX('Tables - Part 3'!$CR$5:$CR$16,MATCH(COF!IF19,'Tables - Part 3'!$CQ$5:$CQ$16,0)))))))</f>
        <v>#N/A</v>
      </c>
      <c r="IO19" s="151" t="e">
        <f>IF(CB19=$TK$5,'Tables - Part 3'!$CR$17,IF(COF!CB19=COF!$TK$6,IF(COF!GG19&lt;'Tables - Part 3'!$CQ$5,'Tables - Part 3'!$CR$5,IF(GG19&gt;='Tables - Part 3'!$CQ$16,'Tables - Part 3'!$CR$16,((COF!GG19-COF!IG19)*(INDEX('Tables - Part 3'!$CR$5:$CR$16,MATCH(COF!IK19,'Tables - Part 3'!$CQ$5:$CQ$16,0))-INDEX('Tables - Part 3'!$CR$5:$CR$16,MATCH(COF!IG19,'Tables - Part 3'!$CQ$5:$CQ$16,0)))/(IK19-IG19)+INDEX('Tables - Part 3'!$CR$5:$CR$16,MATCH(COF!IG19,'Tables - Part 3'!$CQ$5:$CQ$16,0)))))))</f>
        <v>#N/A</v>
      </c>
      <c r="IP19" s="151" t="e">
        <f>IF(CC19=$TK$5,'Tables - Part 3'!$CR$17,IF(COF!CC19=COF!$TK$6,IF(COF!GH19&lt;'Tables - Part 3'!$CQ$5,'Tables - Part 3'!$CR$5,IF(GH19&gt;='Tables - Part 3'!$CQ$16,'Tables - Part 3'!$CR$16,((COF!GH19-COF!IH19)*(INDEX('Tables - Part 3'!$CR$5:$CR$16,MATCH(COF!IL19,'Tables - Part 3'!$CQ$5:$CQ$16,0))-INDEX('Tables - Part 3'!$CR$5:$CR$16,MATCH(COF!IH19,'Tables - Part 3'!$CQ$5:$CQ$16,0)))/(IL19-IH19)+INDEX('Tables - Part 3'!$CR$5:$CR$16,MATCH(COF!IH19,'Tables - Part 3'!$CQ$5:$CQ$16,0)))))))</f>
        <v>#N/A</v>
      </c>
      <c r="IQ19" s="151" t="e">
        <f>IF(CD19=$TK$5,'Tables - Part 3'!$CR$17,IF(COF!CD19=COF!$TK$6,IF(COF!GI19&lt;'Tables - Part 3'!$CQ$5,'Tables - Part 3'!$CR$5,IF(GI19&gt;='Tables - Part 3'!$CQ$16,'Tables - Part 3'!$CR$16,((COF!GI19-COF!II19)*(INDEX('Tables - Part 3'!$CR$5:$CR$16,MATCH(COF!IM19,'Tables - Part 3'!$CQ$5:$CQ$16,0))-INDEX('Tables - Part 3'!$CR$5:$CR$16,MATCH(COF!II19,'Tables - Part 3'!$CQ$5:$CQ$16,0)))/(IM19-II19)+INDEX('Tables - Part 3'!$CR$5:$CR$16,MATCH(COF!II19,'Tables - Part 3'!$CQ$5:$CQ$16,0)))))))</f>
        <v>#N/A</v>
      </c>
      <c r="IR19" s="151" t="e">
        <f>IF(CA19=$TK$5,'Tables - Part 3'!$CS$17,IF(COF!CA19=COF!$TK$6,IF(COF!GF19&lt;'Tables - Part 3'!$CQ$5,'Tables - Part 3'!$CS$5,IF(GF19&gt;='Tables - Part 3'!$CQ$16,'Tables - Part 3'!$CS$16,((COF!GF19-COF!IF19)*(INDEX('Tables - Part 3'!$CS$5:$CS$16,MATCH(COF!IJ19,'Tables - Part 3'!$CQ$5:$CQ$16,0))-INDEX('Tables - Part 3'!$CS$5:$CS$16,MATCH(COF!IF19,'Tables - Part 3'!$CQ$5:$CQ$16,0)))/(IJ19-IF19)+INDEX('Tables - Part 3'!$CS$5:$CS$16,MATCH(COF!IF19,'Tables - Part 3'!$CQ$5:$CQ$16,0)))))))</f>
        <v>#N/A</v>
      </c>
      <c r="IS19" s="151" t="e">
        <f>IF(CB19=$TK$5,'Tables - Part 3'!$CS$17,IF(COF!CB19=COF!$TK$6,IF(COF!GG19&lt;'Tables - Part 3'!$CQ$5,'Tables - Part 3'!$CS$5,IF(GG19&gt;='Tables - Part 3'!$CQ$16,'Tables - Part 3'!$CS$16,((COF!GG19-COF!IG19)*(INDEX('Tables - Part 3'!$CS$5:$CS$16,MATCH(COF!IK19,'Tables - Part 3'!$CQ$5:$CQ$16,0))-INDEX('Tables - Part 3'!$CS$5:$CS$16,MATCH(COF!IG19,'Tables - Part 3'!$CQ$5:$CQ$16,0)))/(IK19-IG19)+INDEX('Tables - Part 3'!$CS$5:$CS$16,MATCH(COF!IG19,'Tables - Part 3'!$CQ$5:$CQ$16,0)))))))</f>
        <v>#N/A</v>
      </c>
      <c r="IT19" s="151" t="e">
        <f>IF(CC19=$TK$5,'Tables - Part 3'!$CS$17,IF(COF!CC19=COF!$TK$6,IF(COF!GH19&lt;'Tables - Part 3'!$CQ$5,'Tables - Part 3'!$CS$5,IF(GH19&gt;='Tables - Part 3'!$CQ$16,'Tables - Part 3'!$CS$16,((COF!GH19-COF!IH19)*(INDEX('Tables - Part 3'!$CS$5:$CS$16,MATCH(COF!IL19,'Tables - Part 3'!$CQ$5:$CQ$16,0))-INDEX('Tables - Part 3'!$CS$5:$CS$16,MATCH(COF!IH19,'Tables - Part 3'!$CQ$5:$CQ$16,0)))/(IL19-IH19)+INDEX('Tables - Part 3'!$CS$5:$CS$16,MATCH(COF!IH19,'Tables - Part 3'!$CQ$5:$CQ$16,0)))))))</f>
        <v>#N/A</v>
      </c>
      <c r="IU19" s="151" t="e">
        <f>IF(CD19=$TK$5,'Tables - Part 3'!$CS$17,IF(COF!CD19=COF!$TK$6,IF(COF!GI19&lt;'Tables - Part 3'!$CQ$5,'Tables - Part 3'!$CS$5,IF(GI19&gt;='Tables - Part 3'!$CQ$16,'Tables - Part 3'!$CS$16,((COF!GI19-COF!II19)*(INDEX('Tables - Part 3'!$CS$5:$CS$16,MATCH(COF!IM19,'Tables - Part 3'!$CQ$5:$CQ$16,0))-INDEX('Tables - Part 3'!$CS$5:$CS$16,MATCH(COF!II19,'Tables - Part 3'!$CQ$5:$CQ$16,0)))/(IM19-II19)+INDEX('Tables - Part 3'!$CS$5:$CS$16,MATCH(COF!II19,'Tables - Part 3'!$CQ$5:$CQ$16,0)))))))</f>
        <v>#N/A</v>
      </c>
      <c r="IV19" s="151">
        <f t="shared" si="277"/>
        <v>0</v>
      </c>
      <c r="IW19" s="151">
        <f t="shared" si="87"/>
        <v>0</v>
      </c>
      <c r="IX19" s="151">
        <f t="shared" si="88"/>
        <v>0</v>
      </c>
      <c r="IY19" s="151">
        <f t="shared" si="89"/>
        <v>0</v>
      </c>
      <c r="IZ19" s="151">
        <f t="shared" si="278"/>
        <v>0</v>
      </c>
      <c r="JA19" s="151">
        <f t="shared" si="91"/>
        <v>0</v>
      </c>
      <c r="JB19" s="151">
        <f t="shared" si="92"/>
        <v>0</v>
      </c>
      <c r="JC19" s="151">
        <f t="shared" si="93"/>
        <v>0</v>
      </c>
      <c r="JD19" s="151" t="e">
        <f t="shared" si="94"/>
        <v>#N/A</v>
      </c>
      <c r="JE19" s="151" t="e">
        <f t="shared" si="95"/>
        <v>#N/A</v>
      </c>
      <c r="JF19" s="151" t="e">
        <f t="shared" si="96"/>
        <v>#N/A</v>
      </c>
      <c r="JG19" s="151" t="e">
        <f t="shared" si="97"/>
        <v>#N/A</v>
      </c>
      <c r="JH19" s="151" t="e">
        <f>IF(CA19=$TK$5,'Tables - Part 3'!$CT$17,IF(COF!CA19=COF!$TK$6,IF(COF!GF19&lt;'Tables - Part 3'!$CQ$5,'Tables - Part 3'!$CT$5,IF(GF19&gt;='Tables - Part 3'!$CQ$16,'Tables - Part 3'!$CT$16,((COF!GF19-COF!IF19)*(INDEX('Tables - Part 3'!$CT$5:$CT$16,MATCH(COF!IJ19,'Tables - Part 3'!$CQ$5:$CQ$16,0))-INDEX('Tables - Part 3'!$CT$5:$CT$16,MATCH(COF!IF19,'Tables - Part 3'!$CQ$5:$CQ$16,0)))/(IJ19-IF19)+INDEX('Tables - Part 3'!$CT$5:$CT$16,MATCH(COF!IF19,'Tables - Part 3'!$CQ$5:$CQ$16,0)))))))</f>
        <v>#N/A</v>
      </c>
      <c r="JI19" s="151" t="e">
        <f>IF(CB19=$TK$5,'Tables - Part 3'!$CT$17,IF(COF!CB19=COF!$TK$6,IF(COF!GG19&lt;'Tables - Part 3'!$CQ$5,'Tables - Part 3'!$CT$5,IF(GG19&gt;='Tables - Part 3'!$CQ$16,'Tables - Part 3'!$CT$16,((COF!GG19-COF!IG19)*(INDEX('Tables - Part 3'!$CT$5:$CT$16,MATCH(COF!IK19,'Tables - Part 3'!$CQ$5:$CQ$16,0))-INDEX('Tables - Part 3'!$CT$5:$CT$16,MATCH(COF!IG19,'Tables - Part 3'!$CQ$5:$CQ$16,0)))/(IK19-IG19)+INDEX('Tables - Part 3'!$CT$5:$CT$16,MATCH(COF!IG19,'Tables - Part 3'!$CQ$5:$CQ$16,0)))))))</f>
        <v>#N/A</v>
      </c>
      <c r="JJ19" s="151" t="e">
        <f>IF(CC19=$TK$5,'Tables - Part 3'!$CT$17,IF(COF!CC19=COF!$TK$6,IF(COF!GH19&lt;'Tables - Part 3'!$CQ$5,'Tables - Part 3'!$CT$5,IF(GH19&gt;='Tables - Part 3'!$CQ$16,'Tables - Part 3'!$CT$16,((COF!GH19-COF!IH19)*(INDEX('Tables - Part 3'!$CT$5:$CT$16,MATCH(COF!IL19,'Tables - Part 3'!$CQ$5:$CQ$16,0))-INDEX('Tables - Part 3'!$CT$5:$CT$16,MATCH(COF!IH19,'Tables - Part 3'!$CQ$5:$CQ$16,0)))/(IL19-IH19)+INDEX('Tables - Part 3'!$CT$5:$CT$16,MATCH(COF!IH19,'Tables - Part 3'!$CQ$5:$CQ$16,0)))))))</f>
        <v>#N/A</v>
      </c>
      <c r="JK19" s="151" t="e">
        <f>IF(CD19=$TK$5,'Tables - Part 3'!$CT$17,IF(COF!CD19=COF!$TK$6,IF(COF!GI19&lt;'Tables - Part 3'!$CQ$5,'Tables - Part 3'!$CT$5,IF(GI19&gt;='Tables - Part 3'!$CQ$16,'Tables - Part 3'!$CT$16,((COF!GI19-COF!II19)*(INDEX('Tables - Part 3'!$CT$5:$CT$16,MATCH(COF!IM19,'Tables - Part 3'!$CQ$5:$CQ$16,0))-INDEX('Tables - Part 3'!$CT$5:$CT$16,MATCH(COF!II19,'Tables - Part 3'!$CQ$5:$CQ$16,0)))/(IM19-II19)+INDEX('Tables - Part 3'!$CT$5:$CT$16,MATCH(COF!II19,'Tables - Part 3'!$CQ$5:$CQ$16,0)))))))</f>
        <v>#N/A</v>
      </c>
      <c r="JL19" s="151" t="e">
        <f>IF(CA19=$TK$5,'Tables - Part 3'!$CU$17,IF(COF!CA19=COF!$TK$6,IF(COF!GF19&lt;'Tables - Part 3'!$CQ$5,'Tables - Part 3'!$CU$5,IF(GF19&gt;='Tables - Part 3'!$CQ$16,'Tables - Part 3'!$CU$16,((COF!GF19-COF!IF19)*(INDEX('Tables - Part 3'!$CU$5:$CU$16,MATCH(COF!IJ19,'Tables - Part 3'!$CQ$5:$CQ$16,0))-INDEX('Tables - Part 3'!$CU$5:$CU$16,MATCH(COF!IF19,'Tables - Part 3'!$CQ$5:$CQ$16,0)))/(IJ19-IF19)+INDEX('Tables - Part 3'!$CU$5:$CU$16,MATCH(COF!IF19,'Tables - Part 3'!$CQ$5:$CQ$16,0)))))))</f>
        <v>#N/A</v>
      </c>
      <c r="JM19" s="151" t="e">
        <f>IF(CB19=$TK$5,'Tables - Part 3'!$CU$17,IF(COF!CB19=COF!$TK$6,IF(COF!GG19&lt;'Tables - Part 3'!$CQ$5,'Tables - Part 3'!$CU$5,IF(GG19&gt;='Tables - Part 3'!$CQ$16,'Tables - Part 3'!$CU$16,((COF!GG19-COF!IG19)*(INDEX('Tables - Part 3'!$CU$5:$CU$16,MATCH(COF!IK19,'Tables - Part 3'!$CQ$5:$CQ$16,0))-INDEX('Tables - Part 3'!$CU$5:$CU$16,MATCH(COF!IG19,'Tables - Part 3'!$CQ$5:$CQ$16,0)))/(IK19-IG19)+INDEX('Tables - Part 3'!$CU$5:$CU$16,MATCH(COF!IG19,'Tables - Part 3'!$CQ$5:$CQ$16,0)))))))</f>
        <v>#N/A</v>
      </c>
      <c r="JN19" s="151" t="e">
        <f>IF(CC19=$TK$5,'Tables - Part 3'!$CU$17,IF(COF!CC19=COF!$TK$6,IF(COF!GH19&lt;'Tables - Part 3'!$CQ$5,'Tables - Part 3'!$CU$5,IF(GH19&gt;='Tables - Part 3'!$CQ$16,'Tables - Part 3'!$CU$16,((COF!GH19-COF!IH19)*(INDEX('Tables - Part 3'!$CU$5:$CU$16,MATCH(COF!IL19,'Tables - Part 3'!$CQ$5:$CQ$16,0))-INDEX('Tables - Part 3'!$CU$5:$CU$16,MATCH(COF!IH19,'Tables - Part 3'!$CQ$5:$CQ$16,0)))/(IL19-IH19)+INDEX('Tables - Part 3'!$CU$5:$CU$16,MATCH(COF!IH19,'Tables - Part 3'!$CQ$5:$CQ$16,0)))))))</f>
        <v>#N/A</v>
      </c>
      <c r="JO19" s="151" t="e">
        <f>IF(CD19=$TK$5,'Tables - Part 3'!$CU$17,IF(COF!CD19=COF!$TK$6,IF(COF!GI19&lt;'Tables - Part 3'!$CQ$5,'Tables - Part 3'!$CU$5,IF(GI19&gt;='Tables - Part 3'!$CQ$16,'Tables - Part 3'!$CU$16,((COF!GI19-COF!II19)*(INDEX('Tables - Part 3'!$CU$5:$CU$16,MATCH(COF!IM19,'Tables - Part 3'!$CQ$5:$CQ$16,0))-INDEX('Tables - Part 3'!$CU$5:$CU$16,MATCH(COF!II19,'Tables - Part 3'!$CQ$5:$CQ$16,0)))/(IM19-II19)+INDEX('Tables - Part 3'!$CU$5:$CU$16,MATCH(COF!II19,'Tables - Part 3'!$CQ$5:$CQ$16,0)))))))</f>
        <v>#N/A</v>
      </c>
      <c r="JP19" s="282"/>
      <c r="JQ19" s="151">
        <f t="shared" si="279"/>
        <v>0</v>
      </c>
      <c r="JR19" s="151">
        <f t="shared" si="99"/>
        <v>0</v>
      </c>
      <c r="JS19" s="151">
        <f t="shared" si="100"/>
        <v>0</v>
      </c>
      <c r="JT19" s="151">
        <f t="shared" si="101"/>
        <v>0</v>
      </c>
      <c r="JU19" s="151" t="e">
        <f t="shared" si="204"/>
        <v>#N/A</v>
      </c>
      <c r="JV19" s="151" t="e">
        <f t="shared" si="205"/>
        <v>#N/A</v>
      </c>
      <c r="JW19" s="151" t="e">
        <f t="shared" si="206"/>
        <v>#N/A</v>
      </c>
      <c r="JX19" s="151" t="e">
        <f t="shared" si="207"/>
        <v>#N/A</v>
      </c>
      <c r="JY19" s="152" t="e">
        <f>IF(GF19&lt;'Tables - Part 3'!$CY$6,0,LOOKUP(GF19,'Tables - Part 3'!$CY$6:$CY$11))</f>
        <v>#N/A</v>
      </c>
      <c r="JZ19" s="152" t="e">
        <f>IF(GG19&lt;'Tables - Part 3'!$CY$6,0,LOOKUP(GG19,'Tables - Part 3'!$CY$6:$CY$11))</f>
        <v>#N/A</v>
      </c>
      <c r="KA19" s="152" t="e">
        <f>IF(GH19&lt;'Tables - Part 3'!$CY$6,0,LOOKUP(GH19,'Tables - Part 3'!$CY$6:$CY$11))</f>
        <v>#N/A</v>
      </c>
      <c r="KB19" s="152" t="e">
        <f>IF(GI19&lt;'Tables - Part 3'!$CY$6,0,LOOKUP(GI19,'Tables - Part 3'!$CY$6:$CY$11))</f>
        <v>#N/A</v>
      </c>
      <c r="KC19" s="152" t="e">
        <f>IF(GF19&lt;'Tables - Part 3'!$CY$6,'Tables - Part 3'!$CY$6,IF(COF!GF19&lt;'Tables - Part 3'!$CY$7,'Tables - Part 3'!$CY$7,IF(COF!GF19&lt;'Tables - Part 3'!$CY$8,'Tables - Part 3'!$CY$8,IF(COF!GF19&lt;'Tables - Part 3'!$CY$9,'Tables - Part 3'!$CY$9,IF(COF!GF19&lt;'Tables - Part 3'!$CY$10,'Tables - Part 3'!$CY$10,IF(COF!GF19&lt;'Tables - Part 3'!$CY$11,'Tables - Part 3'!$CY$11))))))</f>
        <v>#N/A</v>
      </c>
      <c r="KD19" s="152" t="e">
        <f>IF(GG19&lt;'Tables - Part 3'!$CY$6,'Tables - Part 3'!$CY$6,IF(COF!GG19&lt;'Tables - Part 3'!$CY$7,'Tables - Part 3'!$CY$7,IF(COF!GG19&lt;'Tables - Part 3'!$CY$8,'Tables - Part 3'!$CY$8,IF(COF!GG19&lt;'Tables - Part 3'!$CY$9,'Tables - Part 3'!$CY$9,IF(COF!GG19&lt;'Tables - Part 3'!$CY$10,'Tables - Part 3'!$CY$10,IF(COF!GG19&lt;'Tables - Part 3'!$CY$11,'Tables - Part 3'!$CY$11))))))</f>
        <v>#N/A</v>
      </c>
      <c r="KE19" s="152" t="e">
        <f>IF(GH19&lt;'Tables - Part 3'!$CY$6,'Tables - Part 3'!$CY$6,IF(COF!GH19&lt;'Tables - Part 3'!$CY$7,'Tables - Part 3'!$CY$7,IF(COF!GH19&lt;'Tables - Part 3'!$CY$8,'Tables - Part 3'!$CY$8,IF(COF!GH19&lt;'Tables - Part 3'!$CY$9,'Tables - Part 3'!$CY$9,IF(COF!GH19&lt;'Tables - Part 3'!$CY$10,'Tables - Part 3'!$CY$10,IF(COF!GH19&lt;'Tables - Part 3'!$CY$11,'Tables - Part 3'!$CY$11))))))</f>
        <v>#N/A</v>
      </c>
      <c r="KF19" s="152" t="e">
        <f>IF(GI19&lt;'Tables - Part 3'!$CY$6,'Tables - Part 3'!$CY$6,IF(COF!GI19&lt;'Tables - Part 3'!$CY$7,'Tables - Part 3'!$CY$7,IF(COF!GI19&lt;'Tables - Part 3'!$CY$8,'Tables - Part 3'!$CY$8,IF(COF!GI19&lt;'Tables - Part 3'!$CY$9,'Tables - Part 3'!$CY$9,IF(COF!GI19&lt;'Tables - Part 3'!$CY$10,'Tables - Part 3'!$CY$10,IF(COF!GI19&lt;'Tables - Part 3'!$CY$11,'Tables - Part 3'!$CY$11))))))</f>
        <v>#N/A</v>
      </c>
      <c r="KG19" s="151" t="e">
        <f>IF(CA19=$TK$5,'Tables - Part 3'!$CZ$6,IF(COF!CA19=COF!$TK$6,IF(COF!GF19&lt;'Tables - Part 3'!$CY$6,'Tables - Part 3'!$CZ$6,IF(GF19&gt;='Tables - Part 3'!$CY$11,'Tables - Part 3'!$CZ$11,((COF!GF19-COF!JY19)*(INDEX('Tables - Part 3'!$CZ$6:$CZ$11,MATCH(COF!KC19,'Tables - Part 3'!$CY$6:$CY$11,0))-INDEX('Tables - Part 3'!$CZ$6:$CZ$11,MATCH(COF!JY19,'Tables - Part 3'!$CY$6:$CY$11,0)))/(KC19-JY19)+INDEX('Tables - Part 3'!$CZ$6:$CZ$11,MATCH(COF!JY19,'Tables - Part 3'!$CY$6:$CY$11,0)))))))</f>
        <v>#N/A</v>
      </c>
      <c r="KH19" s="151" t="e">
        <f>IF(CB19=$TK$5,'Tables - Part 3'!$CZ$6,IF(COF!CB19=COF!$TK$6,IF(COF!GG19&lt;'Tables - Part 3'!$CY$6,'Tables - Part 3'!$CZ$6,IF(GG19&gt;='Tables - Part 3'!$CY$11,'Tables - Part 3'!$CZ$11,((COF!GG19-COF!JZ19)*(INDEX('Tables - Part 3'!$CZ$6:$CZ$11,MATCH(COF!KD19,'Tables - Part 3'!$CY$6:$CY$11,0))-INDEX('Tables - Part 3'!$CZ$6:$CZ$11,MATCH(COF!JZ19,'Tables - Part 3'!$CY$6:$CY$11,0)))/(KD19-JZ19)+INDEX('Tables - Part 3'!$CZ$6:$CZ$11,MATCH(COF!JZ19,'Tables - Part 3'!$CY$6:$CY$11,0)))))))</f>
        <v>#N/A</v>
      </c>
      <c r="KI19" s="151" t="e">
        <f>IF(CC19=$TK$5,'Tables - Part 3'!$CZ$6,IF(COF!CC19=COF!$TK$6,IF(COF!GH19&lt;'Tables - Part 3'!$CY$6,'Tables - Part 3'!$CZ$6,IF(GH19&gt;='Tables - Part 3'!$CY$11,'Tables - Part 3'!$CZ$11,((COF!GH19-COF!KA19)*(INDEX('Tables - Part 3'!$CZ$6:$CZ$11,MATCH(COF!KE19,'Tables - Part 3'!$CY$6:$CY$11,0))-INDEX('Tables - Part 3'!$CZ$6:$CZ$11,MATCH(COF!KA19,'Tables - Part 3'!$CY$6:$CY$11,0)))/(KE19-KA19)+INDEX('Tables - Part 3'!$CZ$6:$CZ$11,MATCH(COF!KA19,'Tables - Part 3'!$CY$6:$CY$11,0)))))))</f>
        <v>#N/A</v>
      </c>
      <c r="KJ19" s="151" t="e">
        <f>IF(CD19=$TK$5,'Tables - Part 3'!$CZ$6,IF(COF!CD19=COF!$TK$6,IF(COF!GI19&lt;'Tables - Part 3'!$CY$6,'Tables - Part 3'!$CZ$6,IF(GI19&gt;='Tables - Part 3'!$CY$11,'Tables - Part 3'!$CZ$11,((COF!GI19-COF!KB19)*(INDEX('Tables - Part 3'!$CZ$6:$CZ$11,MATCH(COF!KF19,'Tables - Part 3'!$CY$6:$CY$11,0))-INDEX('Tables - Part 3'!$CZ$6:$CZ$11,MATCH(COF!KB19,'Tables - Part 3'!$CY$6:$CY$11,0)))/(KF19-KB19)+INDEX('Tables - Part 3'!$CZ$6:$CZ$11,MATCH(COF!KB19,'Tables - Part 3'!$CY$6:$CY$11,0)))))))</f>
        <v>#N/A</v>
      </c>
      <c r="KK19" s="153" t="e">
        <f>IF(CA19=$TK$5,'Tables - Part 3'!$DA$6,IF(COF!CA19=COF!$TK$6,IF(COF!GF19&lt;'Tables - Part 3'!$CY$6,'Tables - Part 3'!$DA$6,IF(GF19&gt;='Tables - Part 3'!$CY$11,'Tables - Part 3'!$DA$11,((COF!GF19-COF!JY19)*(INDEX('Tables - Part 3'!$DA$6:$DA$11,MATCH(COF!KC19,'Tables - Part 3'!$CY$6:$CY$11,0))-INDEX('Tables - Part 3'!$DA$6:$DA$11,MATCH(COF!JY19,'Tables - Part 3'!$CY$6:$CY$11,0)))/(KC19-JY19)+INDEX('Tables - Part 3'!$DA$6:$DA$16,MATCH(COF!JY19,'Tables - Part 3'!$CY$6:$CY$11,0)))))))</f>
        <v>#N/A</v>
      </c>
      <c r="KL19" s="153" t="e">
        <f>IF(CB19=$TK$5,'Tables - Part 3'!$DA$6,IF(COF!CB19=COF!$TK$6,IF(COF!GG19&lt;'Tables - Part 3'!$CY$6,'Tables - Part 3'!$DA$6,IF(GG19&gt;='Tables - Part 3'!$CY$11,'Tables - Part 3'!$DA$11,((COF!GG19-COF!JZ19)*(INDEX('Tables - Part 3'!$DA$6:$DA$11,MATCH(COF!KD19,'Tables - Part 3'!$CY$6:$CY$11,0))-INDEX('Tables - Part 3'!$DA$6:$DA$11,MATCH(COF!JZ19,'Tables - Part 3'!$CY$6:$CY$11,0)))/(KD19-JZ19)+INDEX('Tables - Part 3'!$DA$6:$DA$16,MATCH(COF!JZ19,'Tables - Part 3'!$CY$6:$CY$11,0)))))))</f>
        <v>#N/A</v>
      </c>
      <c r="KM19" s="153" t="e">
        <f>IF(CC19=$TK$5,'Tables - Part 3'!$DA$6,IF(COF!CC19=COF!$TK$6,IF(COF!GH19&lt;'Tables - Part 3'!$CY$6,'Tables - Part 3'!$DA$6,IF(GH19&gt;='Tables - Part 3'!$CY$11,'Tables - Part 3'!$DA$11,((COF!GH19-COF!KA19)*(INDEX('Tables - Part 3'!$DA$6:$DA$11,MATCH(COF!KE19,'Tables - Part 3'!$CY$6:$CY$11,0))-INDEX('Tables - Part 3'!$DA$6:$DA$11,MATCH(COF!KA19,'Tables - Part 3'!$CY$6:$CY$11,0)))/(KE19-KA19)+INDEX('Tables - Part 3'!$DA$6:$DA$16,MATCH(COF!KA19,'Tables - Part 3'!$CY$6:$CY$11,0)))))))</f>
        <v>#N/A</v>
      </c>
      <c r="KN19" s="153" t="e">
        <f>IF(CD19=$TK$5,'Tables - Part 3'!$DA$6,IF(COF!CD19=COF!$TK$6,IF(COF!GI19&lt;'Tables - Part 3'!$CY$6,'Tables - Part 3'!$DA$6,IF(GI19&gt;='Tables - Part 3'!$CY$11,'Tables - Part 3'!$DA$11,((COF!GI19-COF!KB19)*(INDEX('Tables - Part 3'!$DA$6:$DA$11,MATCH(COF!KF19,'Tables - Part 3'!$CY$6:$CY$11,0))-INDEX('Tables - Part 3'!$DA$6:$DA$11,MATCH(COF!KB19,'Tables - Part 3'!$CY$6:$CY$11,0)))/(KF19-KB19)+INDEX('Tables - Part 3'!$DA$6:$DA$16,MATCH(COF!KB19,'Tables - Part 3'!$CY$6:$CY$11,0)))))))</f>
        <v>#N/A</v>
      </c>
      <c r="KO19" s="153">
        <f t="shared" si="280"/>
        <v>0</v>
      </c>
      <c r="KP19" s="153">
        <f t="shared" si="103"/>
        <v>0</v>
      </c>
      <c r="KQ19" s="153">
        <f t="shared" si="104"/>
        <v>0</v>
      </c>
      <c r="KR19" s="153">
        <f t="shared" si="105"/>
        <v>0</v>
      </c>
      <c r="KS19" s="151" t="e">
        <f t="shared" si="208"/>
        <v>#N/A</v>
      </c>
      <c r="KT19" s="151" t="e">
        <f t="shared" si="209"/>
        <v>#N/A</v>
      </c>
      <c r="KU19" s="151" t="e">
        <f t="shared" si="210"/>
        <v>#N/A</v>
      </c>
      <c r="KV19" s="151" t="e">
        <f t="shared" si="211"/>
        <v>#N/A</v>
      </c>
      <c r="KW19" s="151" t="e">
        <f>IF(CA19=$TK$5,'Tables - Part 3'!$CZ$12,IF(COF!CA19=COF!$TK$6,IF(COF!GF19&lt;'Tables - Part 3'!$CY$12,'Tables - Part 3'!$CZ$12,IF(GF19&gt;='Tables - Part 3'!$CY$17,'Tables - Part 3'!$CZ$17,((COF!GF19-COF!JY19)*(INDEX('Tables - Part 3'!$CZ$12:$CZ$17,MATCH(COF!KC19,'Tables - Part 3'!$CY$12:$CY$17,0))-INDEX('Tables - Part 3'!$CZ$12:$CZ$17,MATCH(COF!JY19,'Tables - Part 3'!$CY$12:$CY$17,0)))/(KC19-JY19)+INDEX('Tables - Part 3'!$CZ$12:$CZ$17,MATCH(COF!JY19,'Tables - Part 3'!$CY$12:$CY$17,0)))))))</f>
        <v>#N/A</v>
      </c>
      <c r="KX19" s="151" t="e">
        <f>IF(CB19=$TK$5,'Tables - Part 3'!$CZ$12,IF(COF!CB19=COF!$TK$6,IF(COF!GG19&lt;'Tables - Part 3'!$CY$12,'Tables - Part 3'!$CZ$12,IF(GG19&gt;='Tables - Part 3'!$CY$17,'Tables - Part 3'!$CZ$17,((COF!GG19-COF!JZ19)*(INDEX('Tables - Part 3'!$CZ$12:$CZ$17,MATCH(COF!KD19,'Tables - Part 3'!$CY$12:$CY$17,0))-INDEX('Tables - Part 3'!$CZ$12:$CZ$17,MATCH(COF!JZ19,'Tables - Part 3'!$CY$12:$CY$17,0)))/(KD19-JZ19)+INDEX('Tables - Part 3'!$CZ$12:$CZ$17,MATCH(COF!JZ19,'Tables - Part 3'!$CY$12:$CY$17,0)))))))</f>
        <v>#N/A</v>
      </c>
      <c r="KY19" s="151" t="e">
        <f>IF(CC19=$TK$5,'Tables - Part 3'!$CZ$12,IF(COF!CC19=COF!$TK$6,IF(COF!GH19&lt;'Tables - Part 3'!$CY$12,'Tables - Part 3'!$CZ$12,IF(GH19&gt;='Tables - Part 3'!$CY$17,'Tables - Part 3'!$CZ$17,((COF!GH19-COF!KA19)*(INDEX('Tables - Part 3'!$CZ$12:$CZ$17,MATCH(COF!KE19,'Tables - Part 3'!$CY$12:$CY$17,0))-INDEX('Tables - Part 3'!$CZ$12:$CZ$17,MATCH(COF!KA19,'Tables - Part 3'!$CY$12:$CY$17,0)))/(KE19-KA19)+INDEX('Tables - Part 3'!$CZ$12:$CZ$17,MATCH(COF!KA19,'Tables - Part 3'!$CY$12:$CY$17,0)))))))</f>
        <v>#N/A</v>
      </c>
      <c r="KZ19" s="151" t="e">
        <f>IF(CD19=$TK$5,'Tables - Part 3'!$CZ$12,IF(COF!CD19=COF!$TK$6,IF(COF!GI19&lt;'Tables - Part 3'!$CY$12,'Tables - Part 3'!$CZ$12,IF(GI19&gt;='Tables - Part 3'!$CY$17,'Tables - Part 3'!$CZ$17,((COF!GI19-COF!KB19)*(INDEX('Tables - Part 3'!$CZ$12:$CZ$17,MATCH(COF!KF19,'Tables - Part 3'!$CY$12:$CY$17,0))-INDEX('Tables - Part 3'!$CZ$12:$CZ$17,MATCH(COF!KB19,'Tables - Part 3'!$CY$12:$CY$17,0)))/(KF19-KB19)+INDEX('Tables - Part 3'!$CZ$12:$CZ$17,MATCH(COF!KB19,'Tables - Part 3'!$CY$12:$CY$17,0)))))))</f>
        <v>#N/A</v>
      </c>
      <c r="LA19" s="151" t="e">
        <f>IF(CA19=$TK$5,'Tables - Part 3'!$DA$6,IF(COF!CA19=COF!$TK$6,IF(COF!GF19&lt;'Tables - Part 3'!$CY$6,'Tables - Part 3'!$DA$6,IF(GF19&gt;='Tables - Part 3'!$CY$11,'Tables - Part 3'!$DA$11,((COF!GF19-COF!JY19)*(INDEX('Tables - Part 3'!$DA$6:$DA$11,MATCH(COF!KC19,'Tables - Part 3'!$CY$6:$CY$11,0))-INDEX('Tables - Part 3'!$DA$6:$DA$11,MATCH(COF!JY19,'Tables - Part 3'!$CY$6:$CY$11,0)))/(KC19-JY19)+INDEX('Tables - Part 3'!$DA$5:$DA$16,MATCH(COF!JY19,'Tables - Part 3'!$CY$6:$CY$11,0)))))))</f>
        <v>#N/A</v>
      </c>
      <c r="LB19" s="151" t="e">
        <f>IF(CB19=$TK$5,'Tables - Part 3'!$DA$6,IF(COF!CB19=COF!$TK$6,IF(COF!GG19&lt;'Tables - Part 3'!$CY$6,'Tables - Part 3'!$DA$6,IF(GG19&gt;='Tables - Part 3'!$CY$11,'Tables - Part 3'!$DA$11,((COF!GG19-COF!JZ19)*(INDEX('Tables - Part 3'!$DA$6:$DA$11,MATCH(COF!KD19,'Tables - Part 3'!$CY$6:$CY$11,0))-INDEX('Tables - Part 3'!$DA$6:$DA$11,MATCH(COF!JZ19,'Tables - Part 3'!$CY$6:$CY$11,0)))/(KD19-JZ19)+INDEX('Tables - Part 3'!$DA$5:$DA$16,MATCH(COF!JZ19,'Tables - Part 3'!$CY$6:$CY$11,0)))))))</f>
        <v>#N/A</v>
      </c>
      <c r="LC19" s="151" t="e">
        <f>IF(CC19=$TK$5,'Tables - Part 3'!$DA$6,IF(COF!CC19=COF!$TK$6,IF(COF!GH19&lt;'Tables - Part 3'!$CY$6,'Tables - Part 3'!$DA$6,IF(GH19&gt;='Tables - Part 3'!$CY$11,'Tables - Part 3'!$DA$11,((COF!GH19-COF!KA19)*(INDEX('Tables - Part 3'!$DA$6:$DA$11,MATCH(COF!KE19,'Tables - Part 3'!$CY$6:$CY$11,0))-INDEX('Tables - Part 3'!$DA$6:$DA$11,MATCH(COF!KA19,'Tables - Part 3'!$CY$6:$CY$11,0)))/(KE19-KA19)+INDEX('Tables - Part 3'!$DA$5:$DA$16,MATCH(COF!KA19,'Tables - Part 3'!$CY$6:$CY$11,0)))))))</f>
        <v>#N/A</v>
      </c>
      <c r="LD19" s="151" t="e">
        <f>IF(CD19=$TK$5,'Tables - Part 3'!$DA$6,IF(COF!CD19=COF!$TK$6,IF(COF!GI19&lt;'Tables - Part 3'!$CY$6,'Tables - Part 3'!$DA$6,IF(GI19&gt;='Tables - Part 3'!$CY$11,'Tables - Part 3'!$DA$11,((COF!GI19-COF!KB19)*(INDEX('Tables - Part 3'!$DA$6:$DA$11,MATCH(COF!KF19,'Tables - Part 3'!$CY$6:$CY$11,0))-INDEX('Tables - Part 3'!$DA$6:$DA$11,MATCH(COF!KB19,'Tables - Part 3'!$CY$6:$CY$11,0)))/(KF19-KB19)+INDEX('Tables - Part 3'!$DA$5:$DA$16,MATCH(COF!KB19,'Tables - Part 3'!$CY$6:$CY$11,0)))))))</f>
        <v>#N/A</v>
      </c>
      <c r="LE19" s="154"/>
      <c r="LF19" s="154"/>
      <c r="LG19" s="154"/>
      <c r="LH19" s="154"/>
      <c r="LI19" s="154"/>
      <c r="LJ19" s="154"/>
      <c r="LK19" s="154"/>
      <c r="LL19" s="151" t="e">
        <f t="shared" si="212"/>
        <v>#N/A</v>
      </c>
      <c r="LM19" s="151" t="e">
        <f t="shared" si="213"/>
        <v>#N/A</v>
      </c>
      <c r="LN19" s="151" t="e">
        <f t="shared" si="214"/>
        <v>#N/A</v>
      </c>
      <c r="LO19" s="151" t="e">
        <f t="shared" si="215"/>
        <v>#N/A</v>
      </c>
      <c r="LP19" s="151">
        <f t="shared" si="106"/>
        <v>0</v>
      </c>
      <c r="LQ19" s="502">
        <f>IF($F19='Tables - Part 3'!$B$17,'Tables - Part 3.B'!$C$11*COF!CJ19,0)</f>
        <v>0</v>
      </c>
      <c r="LR19" s="502">
        <f>IF($F19='Tables - Part 3'!$B$17,'Tables - Part 3.B'!$C$11*COF!CK19,0)</f>
        <v>0</v>
      </c>
      <c r="LS19" s="502">
        <f>IF($F19='Tables - Part 3'!$B$17,'Tables - Part 3.B'!$C$11*COF!CL19,0)</f>
        <v>0</v>
      </c>
      <c r="LT19" s="502">
        <f>IF($F19='Tables - Part 3'!$B$17,'Tables - Part 3.B'!$C$11*COF!CM19,0)</f>
        <v>0</v>
      </c>
      <c r="LU19" s="502">
        <f>IF($F19='Tables - Part 3'!$B$17,'Tables - Part 3.B'!$C$12*POWER(COF!CR19,0.6384),0)</f>
        <v>0</v>
      </c>
      <c r="LV19" s="502">
        <f>IF($F19='Tables - Part 3'!$B$17,'Tables - Part 3.B'!$C$12*POWER(COF!CS19,0.6384),0)</f>
        <v>0</v>
      </c>
      <c r="LW19" s="502">
        <f>IF($F19='Tables - Part 3'!$B$17,'Tables - Part 3.B'!$C$12*POWER(COF!CT19,0.6384),0)</f>
        <v>0</v>
      </c>
      <c r="LX19" s="502">
        <f>IF($F19='Tables - Part 3'!$B$17,'Tables - Part 3.B'!$C$12*POWER(COF!CU19,0.6384),0)</f>
        <v>0</v>
      </c>
      <c r="LY19" s="151" t="e">
        <f>MIN(CJ19/'Tables - Part 3.B'!$C$8,1)</f>
        <v>#N/A</v>
      </c>
      <c r="LZ19" s="151" t="e">
        <f>MIN(CK19/'Tables - Part 3.B'!$C$8,1)</f>
        <v>#N/A</v>
      </c>
      <c r="MA19" s="151" t="e">
        <f>MIN(CL19/'Tables - Part 3.B'!$C$8,1)</f>
        <v>#N/A</v>
      </c>
      <c r="MB19" s="151" t="e">
        <f>MIN(CM19/'Tables - Part 3.B'!$C$8,1)</f>
        <v>#N/A</v>
      </c>
      <c r="MC19" s="151" t="e">
        <f t="shared" si="216"/>
        <v>#N/A</v>
      </c>
      <c r="MD19" s="151" t="e">
        <f t="shared" si="107"/>
        <v>#N/A</v>
      </c>
      <c r="ME19" s="151" t="e">
        <f t="shared" si="107"/>
        <v>#N/A</v>
      </c>
      <c r="MF19" s="151" t="e">
        <f t="shared" si="107"/>
        <v>#N/A</v>
      </c>
      <c r="MG19" s="502">
        <f>IF($F19='Tables - Part 3'!$B$18,0.2*'Tables - Part 3.B'!$C$10*$ML19*POWER('Tables - Part 3.B'!$C$7*CJ19,$MM19),0)</f>
        <v>0</v>
      </c>
      <c r="MH19" s="502">
        <f>IF($F19='Tables - Part 3'!$B$18,0.2*'Tables - Part 3.B'!$C$10*$ML19*POWER('Tables - Part 3.B'!$C$7*CK19,$MM19),0)</f>
        <v>0</v>
      </c>
      <c r="MI19" s="502">
        <f>IF($F19='Tables - Part 3'!$B$18,0.2*'Tables - Part 3.B'!$C$10*$ML19*POWER('Tables - Part 3.B'!$C$7*CL19,$MM19),0)</f>
        <v>0</v>
      </c>
      <c r="MJ19" s="502">
        <f>IF($F19='Tables - Part 3'!$B$18,0.2*'Tables - Part 3.B'!$C$10*$ML19*POWER('Tables - Part 3.B'!$C$7*CM19,$MM19),0)</f>
        <v>0</v>
      </c>
      <c r="MK19" s="151">
        <v>0</v>
      </c>
      <c r="ML19" s="151" t="e">
        <f>2696-21.9*'Tables - Part 3.B'!$C$13*(COF!OO19-COF!$TM$5)+1.474*POWER('Tables - Part 3.B'!$C$13*(COF!OO19-COF!$TM$5),2)</f>
        <v>#VALUE!</v>
      </c>
      <c r="MM19" s="151" t="e">
        <f>0.31-0.00032*POWER('Tables - Part 3.B'!$C$13*(COF!OO19-COF!$TM$5)-40,2)</f>
        <v>#VALUE!</v>
      </c>
      <c r="MN19" s="151">
        <v>0</v>
      </c>
      <c r="MO19" s="151">
        <f t="shared" si="217"/>
        <v>0</v>
      </c>
      <c r="MP19" s="151">
        <f t="shared" si="108"/>
        <v>0</v>
      </c>
      <c r="MQ19" s="151">
        <f t="shared" si="108"/>
        <v>0</v>
      </c>
      <c r="MR19" s="151">
        <f t="shared" si="108"/>
        <v>0</v>
      </c>
      <c r="MS19" s="151" t="e">
        <f t="shared" si="218"/>
        <v>#N/A</v>
      </c>
      <c r="MT19" s="151" t="e">
        <f t="shared" si="219"/>
        <v>#N/A</v>
      </c>
      <c r="MU19" s="151" t="e">
        <f t="shared" si="220"/>
        <v>#N/A</v>
      </c>
      <c r="MV19" s="151" t="e">
        <f t="shared" si="221"/>
        <v>#N/A</v>
      </c>
      <c r="MW19" s="151">
        <f t="shared" si="222"/>
        <v>0</v>
      </c>
      <c r="MX19" s="151">
        <f t="shared" si="223"/>
        <v>0</v>
      </c>
      <c r="MY19" s="151">
        <f t="shared" si="224"/>
        <v>0</v>
      </c>
      <c r="MZ19" s="526">
        <f t="shared" si="109"/>
        <v>0</v>
      </c>
      <c r="NA19" s="151" t="e">
        <f>INDEX('Tables - Part 3'!DQ$5:DQ$32,MATCH($E19,'Tables - Part 3'!$DP$5:$DP$32,0))</f>
        <v>#N/A</v>
      </c>
      <c r="NB19" s="151" t="e">
        <f>INDEX('Tables - Part 3'!DR$5:DR$32,MATCH($E19,'Tables - Part 3'!$DP$5:$DP$32,0))</f>
        <v>#N/A</v>
      </c>
      <c r="NC19" s="151" t="e">
        <f>INDEX('Tables - Part 3'!DS$5:DS$32,MATCH($E19,'Tables - Part 3'!$DP$5:$DP$32,0))</f>
        <v>#N/A</v>
      </c>
      <c r="ND19" s="151" t="e">
        <f>INDEX('Tables - Part 3'!DT$5:DT$32,MATCH($E19,'Tables - Part 3'!$DP$5:$DP$32,0))</f>
        <v>#N/A</v>
      </c>
      <c r="NE19" s="151" t="e">
        <f>IF(W19='Tables - Part 3'!$DV$44,COF!X19,IF(OR(COF!X19&lt;&gt;0,COF!X19&lt;&gt;""),COF!X19,INDEX('Tables - Part 3'!$DW$4:$DW$43,MATCH(COF!W19,'Tables - Part 3'!$DV$4:$DV$43,0))))</f>
        <v>#N/A</v>
      </c>
      <c r="NF19" s="151">
        <f t="shared" si="110"/>
        <v>1</v>
      </c>
      <c r="NG19" s="151" t="e">
        <f t="shared" si="225"/>
        <v>#N/A</v>
      </c>
      <c r="NH19" s="151">
        <f t="shared" si="111"/>
        <v>0</v>
      </c>
      <c r="NI19" s="151" t="e">
        <f>INDEX('Tables - Part 3'!EC$5:EC$31,MATCH(COF!$E19,'Tables - Part 3'!$EB$5:$EB$31,0))</f>
        <v>#N/A</v>
      </c>
      <c r="NJ19" s="151" t="e">
        <f>INDEX('Tables - Part 3'!ED$5:ED$31,MATCH(COF!$E19,'Tables - Part 3'!$EB$5:$EB$31,0))</f>
        <v>#N/A</v>
      </c>
      <c r="NK19" s="151" t="e">
        <f>INDEX('Tables - Part 3'!EE$5:EE$31,MATCH(COF!$E19,'Tables - Part 3'!$EB$5:$EB$31,0))</f>
        <v>#N/A</v>
      </c>
      <c r="NL19" s="151" t="e">
        <f>INDEX('Tables - Part 3'!EF$5:EF$31,MATCH(COF!$E19,'Tables - Part 3'!$EB$5:$EB$31,0))</f>
        <v>#N/A</v>
      </c>
      <c r="NM19" s="151">
        <f t="shared" si="112"/>
        <v>1</v>
      </c>
      <c r="NN19" s="151" t="e">
        <f t="shared" si="226"/>
        <v>#N/A</v>
      </c>
      <c r="NO19" s="151" t="e">
        <f t="shared" si="227"/>
        <v>#NUM!</v>
      </c>
      <c r="NP19" s="151" t="e">
        <f t="shared" si="113"/>
        <v>#N/A</v>
      </c>
      <c r="NQ19" s="151">
        <f t="shared" si="114"/>
        <v>0</v>
      </c>
      <c r="NR19" s="151" t="e">
        <f>INDEX('Tables - Part 3'!$EL$4:$EL$37,MATCH(COF!F19,'Tables - Part 3'!$EH$4:$EH$37,0))</f>
        <v>#N/A</v>
      </c>
      <c r="NS19" s="151" t="e">
        <f>CR19*(1-$NR19)*'Tables - Part 3.B'!$C$15/COF!$AS19</f>
        <v>#N/A</v>
      </c>
      <c r="NT19" s="151" t="e">
        <f>CS19*(1-$NR19)*'Tables - Part 3.B'!$C$15/COF!$AS19</f>
        <v>#N/A</v>
      </c>
      <c r="NU19" s="151" t="e">
        <f>CT19*(1-$NR19)*'Tables - Part 3.B'!$C$15/COF!$AS19</f>
        <v>#N/A</v>
      </c>
      <c r="NV19" s="151" t="e">
        <f>CU19*(1-$NR19)*'Tables - Part 3.B'!$C$15/COF!$AS19</f>
        <v>#N/A</v>
      </c>
      <c r="NW19" s="151" t="e">
        <f t="shared" si="115"/>
        <v>#N/A</v>
      </c>
      <c r="NX19" s="542">
        <f t="shared" si="116"/>
        <v>0</v>
      </c>
      <c r="NY19" s="156" t="e">
        <f>0.61*$ON19*$AS19*(BM19/'Tables - Part 3.B'!$C$4)*SQRT((2*$TM$13*($OO19-$TM$5)/$AS19))</f>
        <v>#N/A</v>
      </c>
      <c r="NZ19" s="155" t="e">
        <f>0.61*$ON19*$AS19*(BN19/'Tables - Part 3.B'!$C$4)*SQRT((2*$TM$13*($OO19-$TM$5)/$AS19))</f>
        <v>#N/A</v>
      </c>
      <c r="OA19" s="155" t="e">
        <f>0.61*$ON19*$AS19*(BO19/'Tables - Part 3.B'!$C$4)*SQRT((2*$TM$13*($OO19-$TM$5)/$AS19))</f>
        <v>#N/A</v>
      </c>
      <c r="OB19" s="155" t="e">
        <f>0.61*$ON19*$AS19*(BP19/'Tables - Part 3.B'!$C$4)*SQRT((2*$TM$13*($OO19-$TM$5)/$AS19))</f>
        <v>#N/A</v>
      </c>
      <c r="OC19" s="155" t="e">
        <f>0.61*$ON19*AS19*(32450/'Tables - Part 3.B'!$C$4)*SQRT((2*$TM$13*(OO19-$TM$5)/AS19))</f>
        <v>#N/A</v>
      </c>
      <c r="OD19" s="156" t="e">
        <f>(0.9/'Tables - Part 3.B'!$C$5)*BM19*$OO19*SQRT(($AV19*$AU19*$TM$13/(8.314*$OP19))*POWER(2/($AV19+1),(($AV19+1)/($AV19-1))))</f>
        <v>#VALUE!</v>
      </c>
      <c r="OE19" s="156" t="e">
        <f>(0.9/'Tables - Part 3.B'!$C$5)*BN19*$OO19*SQRT(($AV19*$AU19*$TM$13/(8.314*$OP19))*POWER(2/($AV19+1),(($AV19+1)/($AV19-1))))</f>
        <v>#VALUE!</v>
      </c>
      <c r="OF19" s="156" t="e">
        <f>(0.9/'Tables - Part 3.B'!$C$5)*BO19*$OO19*SQRT(($AV19*$AU19*$TM$13/(8.314*$OP19))*POWER(2/($AV19+1),(($AV19+1)/($AV19-1))))</f>
        <v>#VALUE!</v>
      </c>
      <c r="OG19" s="156" t="e">
        <f>(0.9/'Tables - Part 3.B'!$C$5)*BP19*$OO19*SQRT(($AV19*$AU19*$TM$13/(8.314*$OP19))*POWER(2/($AV19+1),(($AV19+1)/($AV19-1))))</f>
        <v>#VALUE!</v>
      </c>
      <c r="OH19" s="156" t="e">
        <f>(0.9/'Tables - Part 3.B'!$C$5)*32450*$OO19*SQRT(($AV19*$AU19*$TM$13/(8.314*$OP19))*POWER(2/($AV19+1),(($AV19+1)/($AV19-1))))</f>
        <v>#VALUE!</v>
      </c>
      <c r="OI19" s="156" t="e">
        <f>(0.9/'Tables - Part 3.B'!$C$5)*BM19*$OO19*SQRT((($AU19*$TM$13)/(8.314*$OP19))*((2*$AV19)/($AV19-1))*POWER(($TM$5/$OO19),(2/$AV19))*(1-POWER(($TM$5/$OO19),(($AV19-1)/$AV19))))</f>
        <v>#VALUE!</v>
      </c>
      <c r="OJ19" s="156" t="e">
        <f>(0.9/'Tables - Part 3.B'!$C$5)*BN19*$OO19*SQRT((($AU19*$TM$13)/(8.314*$OP19))*((2*$AV19)/($AV19-1))*POWER(($TM$5/$OO19),(2/$AV19))*(1-POWER(($TM$5/$OO19),(($AV19-1)/$AV19))))</f>
        <v>#VALUE!</v>
      </c>
      <c r="OK19" s="156" t="e">
        <f>(0.9/'Tables - Part 3.B'!$C$5)*BO19*$OO19*SQRT((($AU19*$TM$13)/(8.314*$OP19))*((2*$AV19)/($AV19-1))*POWER(($TM$5/$OO19),(2/$AV19))*(1-POWER(($TM$5/$OO19),(($AV19-1)/$AV19))))</f>
        <v>#VALUE!</v>
      </c>
      <c r="OL19" s="156" t="e">
        <f>(0.9/'Tables - Part 3.B'!$C$5)*BP19*$OO19*SQRT((($AU19*$TM$13)/(8.314*$OP19))*((2*$AV19)/($AV19-1))*POWER(($TM$5/$OO19),(2/$AV19))*(1-POWER(($TM$5/$OO19),(($AV19-1)/$AV19))))</f>
        <v>#VALUE!</v>
      </c>
      <c r="OM19" s="156" t="e">
        <f>(0.9/'Tables - Part 3.B'!$C$5)*32450*$OO19*SQRT((($AU19*$TM$13)/(8.314*$OP19))*((2*$AV19)/($AV19-1))*POWER(($TM$5/$OO19),(2/$AV19))*(1-POWER(($TM$5/$OO19),(($AV19-1)/$AV19))))</f>
        <v>#VALUE!</v>
      </c>
      <c r="ON19" s="156">
        <f t="shared" si="117"/>
        <v>1</v>
      </c>
      <c r="OO19" s="157" t="str">
        <f t="shared" si="118"/>
        <v/>
      </c>
      <c r="OP19" s="157" t="str">
        <f t="shared" si="119"/>
        <v/>
      </c>
      <c r="OQ19" s="158" t="e">
        <f t="shared" si="228"/>
        <v>#N/A</v>
      </c>
      <c r="OR19" s="158" t="e">
        <f>INDEX('Tables - Part 3'!$F$4:$R$35,MATCH(COF!$F19,'Tables - Part 3'!$F$4:$F$35,0),COUNTA('Tables - Part 3'!$F$3:$K$3))</f>
        <v>#N/A</v>
      </c>
      <c r="OS19" s="158" t="e">
        <f t="shared" si="229"/>
        <v>#N/A</v>
      </c>
      <c r="OT19" s="158" t="e">
        <f t="shared" si="230"/>
        <v>#N/A</v>
      </c>
      <c r="OU19" s="158" t="e">
        <f t="shared" si="231"/>
        <v>#N/A</v>
      </c>
      <c r="OV19" s="159" t="e">
        <f>INDEX('Tables - Part 3'!$M$4:$Q$35,MATCH(COF!$F19,'Tables - Part 3'!$F$4:$F$35,0),COUNTA('Tables - Part 3'!$M$3))</f>
        <v>#N/A</v>
      </c>
      <c r="OW19" s="159" t="e">
        <f>INDEX('Tables - Part 3'!$M$4:$Q$35,MATCH(COF!$F19,'Tables - Part 3'!$F$4:$F$35,0),COUNTA('Tables - Part 3'!$M$3:$N$3))</f>
        <v>#N/A</v>
      </c>
      <c r="OX19" s="159" t="e">
        <f>INDEX('Tables - Part 3'!$M$4:$Q$35,MATCH(COF!$F19,'Tables - Part 3'!$F$4:$F$35,0),COUNTA('Tables - Part 3'!$M$3:$O$3))</f>
        <v>#N/A</v>
      </c>
      <c r="OY19" s="159" t="e">
        <f>INDEX('Tables - Part 3'!$M$4:$Q$35,MATCH(COF!$F19,'Tables - Part 3'!$F$4:$F$35,0),COUNTA('Tables - Part 3'!$M$3:$P$3))</f>
        <v>#N/A</v>
      </c>
      <c r="OZ19" s="160" t="e">
        <f>INDEX('Tables - Part 3'!$M$4:$Q$35,MATCH(COF!$F19,'Tables - Part 3'!$F$4:$F$35,0),COUNTA('Tables - Part 3'!$M$3:$Q$3))</f>
        <v>#N/A</v>
      </c>
      <c r="PA19" s="162" t="e">
        <f>INDEX('Tables - Part 3'!$I$4:$I$35,MATCH(COF!$F19,'Tables - Part 3'!$F$4:$F$35,0))</f>
        <v>#N/A</v>
      </c>
      <c r="PB19" s="158" t="e">
        <f t="shared" si="120"/>
        <v>#N/A</v>
      </c>
      <c r="PC19" s="158" t="str">
        <f t="shared" si="121"/>
        <v/>
      </c>
      <c r="PD19" s="158" t="e">
        <f>INDEX('Tables - Part 3'!AW$7:AW$31,MATCH(COF!$F19,'Tables - Part 3'!$AU$7:$AU$31,0),1)</f>
        <v>#N/A</v>
      </c>
      <c r="PE19" s="158" t="e">
        <f>INDEX('Tables - Part 3'!AX$7:AX$31,MATCH(COF!$F19,'Tables - Part 3'!$AU$7:$AU$31,0),1)</f>
        <v>#N/A</v>
      </c>
      <c r="PF19" s="158" t="e">
        <f>INDEX('Tables - Part 3'!AY$7:AY$31,MATCH(COF!$F19,'Tables - Part 3'!$AU$7:$AU$31,0),1)</f>
        <v>#N/A</v>
      </c>
      <c r="PG19" s="158" t="e">
        <f>INDEX('Tables - Part 3'!AZ$7:AZ$31,MATCH(COF!$F19,'Tables - Part 3'!$AU$7:$AU$31,0),1)</f>
        <v>#N/A</v>
      </c>
      <c r="PH19" s="158" t="e">
        <f>INDEX('Tables - Part 3'!BA$7:BA$31,MATCH(COF!$F19,'Tables - Part 3'!$AU$7:$AU$31,0),1)</f>
        <v>#N/A</v>
      </c>
      <c r="PI19" s="158" t="e">
        <f>INDEX('Tables - Part 3'!BB$7:BB$31,MATCH(COF!$F19,'Tables - Part 3'!$AU$7:$AU$31,0),1)</f>
        <v>#N/A</v>
      </c>
      <c r="PJ19" s="158" t="e">
        <f>INDEX('Tables - Part 3'!BC$7:BC$31,MATCH(COF!$F19,'Tables - Part 3'!$AU$7:$AU$31,0),1)</f>
        <v>#N/A</v>
      </c>
      <c r="PK19" s="158" t="e">
        <f>INDEX('Tables - Part 3'!BD$7:BD$31,MATCH(COF!$F19,'Tables - Part 3'!$AU$7:$AU$31,0),1)</f>
        <v>#N/A</v>
      </c>
      <c r="PL19" s="158" t="e">
        <f>INDEX('Tables - Part 3'!BE$7:BE$31,MATCH(COF!$F19,'Tables - Part 3'!$AU$7:$AU$31,0),1)</f>
        <v>#N/A</v>
      </c>
      <c r="PM19" s="158" t="e">
        <f>INDEX('Tables - Part 3'!BF$7:BF$31,MATCH(COF!$F19,'Tables - Part 3'!$AU$7:$AU$31,0),1)</f>
        <v>#N/A</v>
      </c>
      <c r="PN19" s="158" t="e">
        <f>INDEX('Tables - Part 3'!BG$7:BG$31,MATCH(COF!$F19,'Tables - Part 3'!$AU$7:$AU$31,0),1)</f>
        <v>#N/A</v>
      </c>
      <c r="PO19" s="158" t="e">
        <f>INDEX('Tables - Part 3'!BH$7:BH$31,MATCH(COF!$F19,'Tables - Part 3'!$AU$7:$AU$31,0),1)</f>
        <v>#N/A</v>
      </c>
      <c r="PP19" s="158" t="e">
        <f>INDEX('Tables - Part 3'!BI$7:BI$31,MATCH(COF!$F19,'Tables - Part 3'!$AU$7:$AU$31,0),1)</f>
        <v>#N/A</v>
      </c>
      <c r="PQ19" s="158" t="e">
        <f>INDEX('Tables - Part 3'!BJ$7:BJ$31,MATCH(COF!$F19,'Tables - Part 3'!$AU$7:$AU$31,0),1)</f>
        <v>#N/A</v>
      </c>
      <c r="PR19" s="158" t="e">
        <f>INDEX('Tables - Part 3'!BK$7:BK$31,MATCH(COF!$F19,'Tables - Part 3'!$AU$7:$AU$31,0),1)</f>
        <v>#N/A</v>
      </c>
      <c r="PS19" s="158" t="e">
        <f>INDEX('Tables - Part 3'!BL$7:BL$31,MATCH(COF!$F19,'Tables - Part 3'!$AU$7:$AU$31,0),1)</f>
        <v>#N/A</v>
      </c>
      <c r="PT19" s="158" t="e">
        <f>INDEX('Tables - Part 3'!BP$7:BP$31,MATCH(COF!$F19,'Tables - Part 3'!$AU$7:$AU$31,0),1)</f>
        <v>#N/A</v>
      </c>
      <c r="PU19" s="158" t="e">
        <f>INDEX('Tables - Part 3'!BQ$7:BQ$31,MATCH(COF!$F19,'Tables - Part 3'!$AU$7:$AU$31,0),1)</f>
        <v>#N/A</v>
      </c>
      <c r="PV19" s="158" t="e">
        <f>INDEX('Tables - Part 3'!BR$7:BR$31,MATCH(COF!$F19,'Tables - Part 3'!$AU$7:$AU$31,0),1)</f>
        <v>#N/A</v>
      </c>
      <c r="PW19" s="158" t="e">
        <f>INDEX('Tables - Part 3'!BS$7:BS$31,MATCH(COF!$F19,'Tables - Part 3'!$AU$7:$AU$31,0),1)</f>
        <v>#N/A</v>
      </c>
      <c r="PX19" s="158" t="e">
        <f>INDEX('Tables - Part 3'!BT$7:BT$31,MATCH(COF!$F19,'Tables - Part 3'!$AU$7:$AU$31,0),1)</f>
        <v>#N/A</v>
      </c>
      <c r="PY19" s="158" t="e">
        <f>INDEX('Tables - Part 3'!BU$7:BU$31,MATCH(COF!$F19,'Tables - Part 3'!$AU$7:$AU$31,0),1)</f>
        <v>#N/A</v>
      </c>
      <c r="PZ19" s="158" t="e">
        <f>INDEX('Tables - Part 3'!BV$7:BV$31,MATCH(COF!$F19,'Tables - Part 3'!$AU$7:$AU$31,0),1)</f>
        <v>#N/A</v>
      </c>
      <c r="QA19" s="158" t="e">
        <f>INDEX('Tables - Part 3'!BW$7:BW$31,MATCH(COF!$F19,'Tables - Part 3'!$AU$7:$AU$31,0),1)</f>
        <v>#N/A</v>
      </c>
      <c r="QB19" s="158" t="e">
        <f>INDEX('Tables - Part 3'!BX$7:BX$31,MATCH(COF!$F19,'Tables - Part 3'!$AU$7:$AU$31,0),1)</f>
        <v>#N/A</v>
      </c>
      <c r="QC19" s="158" t="e">
        <f>INDEX('Tables - Part 3'!BY$7:BY$31,MATCH(COF!$F19,'Tables - Part 3'!$AU$7:$AU$31,0),1)</f>
        <v>#N/A</v>
      </c>
      <c r="QD19" s="158" t="e">
        <f>INDEX('Tables - Part 3'!BZ$7:BZ$31,MATCH(COF!$F19,'Tables - Part 3'!$AU$7:$AU$31,0),1)</f>
        <v>#N/A</v>
      </c>
      <c r="QE19" s="158" t="e">
        <f>INDEX('Tables - Part 3'!CA$7:CA$31,MATCH(COF!$F19,'Tables - Part 3'!$AU$7:$AU$31,0),1)</f>
        <v>#N/A</v>
      </c>
      <c r="QF19" s="158" t="e">
        <f>INDEX('Tables - Part 3'!CB$7:CB$31,MATCH(COF!$F19,'Tables - Part 3'!$AU$7:$AU$31,0),1)</f>
        <v>#N/A</v>
      </c>
      <c r="QG19" s="158" t="e">
        <f>INDEX('Tables - Part 3'!CC$7:CC$31,MATCH(COF!$F19,'Tables - Part 3'!$AU$7:$AU$31,0),1)</f>
        <v>#N/A</v>
      </c>
      <c r="QH19" s="158" t="e">
        <f>INDEX('Tables - Part 3'!CD$7:CD$31,MATCH(COF!$F19,'Tables - Part 3'!$AU$7:$AU$31,0),1)</f>
        <v>#N/A</v>
      </c>
      <c r="QI19" s="158" t="e">
        <f>INDEX('Tables - Part 3'!CE$7:CE$31,MATCH(COF!$F19,'Tables - Part 3'!$AU$7:$AU$31,0),1)</f>
        <v>#N/A</v>
      </c>
      <c r="QJ19" s="151">
        <f>'Tables - Part 5'!$R$4</f>
        <v>3.1749999999999998</v>
      </c>
      <c r="QK19" s="151">
        <f>'Tables - Part 5'!$R$5</f>
        <v>6.35</v>
      </c>
      <c r="QL19" s="151">
        <f>'Tables - Part 5'!$R$6</f>
        <v>50.8</v>
      </c>
      <c r="QM19" s="151">
        <f t="shared" si="122"/>
        <v>0</v>
      </c>
      <c r="QN19" s="151">
        <f t="shared" si="232"/>
        <v>7.9173043608984015</v>
      </c>
      <c r="QO19" s="151">
        <f t="shared" si="233"/>
        <v>31.669217443593606</v>
      </c>
      <c r="QP19" s="151">
        <f t="shared" si="234"/>
        <v>2026.8299163899908</v>
      </c>
      <c r="QQ19" s="151">
        <f t="shared" si="235"/>
        <v>0</v>
      </c>
      <c r="QR19" s="151">
        <f t="shared" si="236"/>
        <v>0</v>
      </c>
      <c r="QS19" s="151">
        <f>'Tables - Part 3.B'!$C$34*0.61*QN19*SQRT(2*$TM$15*QR19)</f>
        <v>0</v>
      </c>
      <c r="QT19" s="151">
        <f>'Tables - Part 3.B'!$C$34*0.61*QO19*SQRT(2*$TM$15*QS19)</f>
        <v>0</v>
      </c>
      <c r="QU19" s="151">
        <f>'Tables - Part 3.B'!$C$34*0.61*QP19*SQRT(2*$TM$15*QT19)</f>
        <v>0</v>
      </c>
      <c r="QV19" s="151">
        <f>'Tables - Part 3.B'!$C$34*0.61*QQ19*SQRT(2*$TM$15*QU19)</f>
        <v>0</v>
      </c>
      <c r="QW19" s="151">
        <f t="shared" si="237"/>
        <v>0</v>
      </c>
      <c r="QX19" s="151">
        <f t="shared" si="238"/>
        <v>0</v>
      </c>
      <c r="QY19" s="151">
        <f t="shared" si="239"/>
        <v>0</v>
      </c>
      <c r="QZ19" s="151">
        <f t="shared" si="240"/>
        <v>0</v>
      </c>
      <c r="RA19" s="151">
        <f t="shared" si="241"/>
        <v>0</v>
      </c>
      <c r="RB19" s="151">
        <f>QX19*'Tables - Part 3.B'!$C$15</f>
        <v>0</v>
      </c>
      <c r="RC19" s="151">
        <f>QY19*'Tables - Part 3.B'!$C$15</f>
        <v>0</v>
      </c>
      <c r="RD19" s="151">
        <f>QZ19*'Tables - Part 3.B'!$C$15</f>
        <v>0</v>
      </c>
      <c r="RE19" s="151">
        <f>RA19*'Tables - Part 3.B'!$C$15</f>
        <v>0</v>
      </c>
      <c r="RF19" s="151" t="e">
        <f t="shared" si="242"/>
        <v>#N/A</v>
      </c>
      <c r="RG19" s="151" t="e">
        <f t="shared" si="243"/>
        <v>#N/A</v>
      </c>
      <c r="RH19" s="151" t="e">
        <f t="shared" si="244"/>
        <v>#N/A</v>
      </c>
      <c r="RI19" s="151" t="e">
        <f t="shared" si="245"/>
        <v>#N/A</v>
      </c>
      <c r="RJ19" s="151">
        <f t="shared" si="246"/>
        <v>0</v>
      </c>
      <c r="RK19" s="151">
        <f t="shared" si="247"/>
        <v>0</v>
      </c>
      <c r="RL19" s="151">
        <f t="shared" si="248"/>
        <v>0</v>
      </c>
      <c r="RM19" s="151">
        <f t="shared" si="249"/>
        <v>0</v>
      </c>
      <c r="RN19" s="151">
        <v>7</v>
      </c>
      <c r="RO19" s="151">
        <v>1</v>
      </c>
      <c r="RP19" s="151">
        <v>1</v>
      </c>
      <c r="RQ19" s="151">
        <v>1</v>
      </c>
      <c r="RR19" s="151" t="e">
        <f t="shared" si="250"/>
        <v>#DIV/0!</v>
      </c>
      <c r="RS19" s="151" t="e">
        <f t="shared" si="251"/>
        <v>#DIV/0!</v>
      </c>
      <c r="RT19" s="151" t="e">
        <f t="shared" si="252"/>
        <v>#DIV/0!</v>
      </c>
      <c r="RU19" s="151" t="e">
        <f t="shared" si="253"/>
        <v>#DIV/0!</v>
      </c>
      <c r="RV19" s="151" t="e">
        <f t="shared" si="254"/>
        <v>#DIV/0!</v>
      </c>
      <c r="RW19" s="151" t="e">
        <f t="shared" si="255"/>
        <v>#DIV/0!</v>
      </c>
      <c r="RX19" s="151" t="e">
        <f t="shared" si="256"/>
        <v>#DIV/0!</v>
      </c>
      <c r="RY19" s="151" t="e">
        <f t="shared" si="257"/>
        <v>#DIV/0!</v>
      </c>
      <c r="RZ19" s="151" t="e">
        <f t="shared" si="258"/>
        <v>#DIV/0!</v>
      </c>
      <c r="SA19" s="151" t="e">
        <f t="shared" si="259"/>
        <v>#DIV/0!</v>
      </c>
      <c r="SB19" s="151" t="e">
        <f t="shared" si="260"/>
        <v>#DIV/0!</v>
      </c>
      <c r="SC19" s="151" t="e">
        <f t="shared" si="261"/>
        <v>#DIV/0!</v>
      </c>
      <c r="SD19" s="151">
        <f t="shared" si="262"/>
        <v>0</v>
      </c>
      <c r="SE19" s="151">
        <f t="shared" si="263"/>
        <v>0</v>
      </c>
      <c r="SF19" s="151">
        <f t="shared" si="264"/>
        <v>0</v>
      </c>
      <c r="SG19" s="151">
        <f t="shared" si="265"/>
        <v>0</v>
      </c>
      <c r="SH19" s="151">
        <f t="shared" si="266"/>
        <v>0</v>
      </c>
      <c r="SI19" s="151">
        <f t="shared" si="267"/>
        <v>0</v>
      </c>
      <c r="SJ19" s="151">
        <f t="shared" si="268"/>
        <v>0</v>
      </c>
      <c r="SK19" s="151">
        <f t="shared" si="269"/>
        <v>0</v>
      </c>
      <c r="SL19" s="542"/>
      <c r="SM19" s="542"/>
      <c r="SN19" s="542"/>
      <c r="SO19" s="151"/>
      <c r="SP19" s="151"/>
      <c r="SQ19" s="151"/>
      <c r="SR19" s="151"/>
      <c r="SS19" s="151"/>
      <c r="ST19" s="151"/>
      <c r="SU19" s="151"/>
      <c r="SV19" s="151"/>
      <c r="SW19" s="151"/>
      <c r="SX19" s="151"/>
      <c r="SY19" s="151"/>
      <c r="SZ19" s="151"/>
      <c r="TA19" s="151"/>
      <c r="TB19" s="151"/>
      <c r="TC19" s="151"/>
      <c r="TD19" s="151"/>
      <c r="TE19" s="542"/>
      <c r="TQ19" s="194" t="s">
        <v>71</v>
      </c>
    </row>
    <row r="20" spans="2:537" x14ac:dyDescent="0.35">
      <c r="B20" s="161"/>
      <c r="C20" s="161"/>
      <c r="D20" s="161"/>
      <c r="E20" s="161"/>
      <c r="F20" s="666"/>
      <c r="G20" s="161"/>
      <c r="H20" s="537"/>
      <c r="I20" s="161"/>
      <c r="J20" s="161"/>
      <c r="K20" s="161"/>
      <c r="L20" s="161"/>
      <c r="M20" s="161"/>
      <c r="N20" s="161"/>
      <c r="O20" s="161"/>
      <c r="P20" s="161"/>
      <c r="Q20" s="161"/>
      <c r="R20" s="161"/>
      <c r="S20" s="667"/>
      <c r="T20" s="161"/>
      <c r="U20" s="161"/>
      <c r="V20" s="161"/>
      <c r="W20" s="161"/>
      <c r="X20" s="537"/>
      <c r="Y20" s="537"/>
      <c r="Z20" s="399"/>
      <c r="AA20" s="537"/>
      <c r="AB20" s="399"/>
      <c r="AC20" s="399"/>
      <c r="AD20" s="399"/>
      <c r="AE20" s="399"/>
      <c r="AF20" s="399"/>
      <c r="AG20" s="399"/>
      <c r="AH20" s="399"/>
      <c r="AI20" s="399"/>
      <c r="AJ20" s="399"/>
      <c r="AK20" s="399"/>
      <c r="AL20" s="399"/>
      <c r="AM20" s="399"/>
      <c r="AN20" s="399"/>
      <c r="AO20" s="399"/>
      <c r="AP20" s="399"/>
      <c r="AQ20" s="151" t="e">
        <f>INDEX('Tables - Part 3'!$J$4:$J$35,MATCH(COF!$F20,'Tables - Part 3'!$F$4:$F$35,0),1)</f>
        <v>#N/A</v>
      </c>
      <c r="AR20" s="151" t="e">
        <f>IF($G20=$TH$7,'Tables - Part 3'!$W$4,IF(AND($AQ20=$TH$7,COF!$PA20&lt;26.67),'Tables - Part 3'!$W$4,'Tables - Part 3'!$W$7))</f>
        <v>#N/A</v>
      </c>
      <c r="AS20" s="150" t="e">
        <f>INDEX('Tables - Part 3'!$F$4:$R$35,MATCH(COF!$F20,'Tables - Part 3'!$F$4:$F$35,0),COUNTA('Tables - Part 3'!$F$3:$H$3))</f>
        <v>#N/A</v>
      </c>
      <c r="AT20" s="279" t="e">
        <f t="shared" si="6"/>
        <v>#VALUE!</v>
      </c>
      <c r="AU20" s="151" t="e">
        <f>INDEX('Tables - Part 3'!$F$4:$R$35,MATCH(COF!$F20,'Tables - Part 3'!$F$4:$F$35,0),COUNTA('Tables - Part 3'!$F$3:$G$3))</f>
        <v>#N/A</v>
      </c>
      <c r="AV20" s="151" t="e">
        <f t="shared" si="131"/>
        <v>#N/A</v>
      </c>
      <c r="AW20" s="151" t="e">
        <f t="shared" si="7"/>
        <v>#N/A</v>
      </c>
      <c r="AX20" s="151" t="e">
        <f>INDEX('Tables - Part 3'!$F$4:$R$35,MATCH(COF!$F20,'Tables - Part 3'!$F$4:$F$35,0),COUNTA('Tables - Part 3'!$F$3:$R$3))+273.15</f>
        <v>#N/A</v>
      </c>
      <c r="AY20" s="151">
        <f t="shared" si="8"/>
        <v>0</v>
      </c>
      <c r="AZ20" s="151" t="e">
        <f t="shared" si="9"/>
        <v>#N/A</v>
      </c>
      <c r="BA20" s="151" t="e">
        <f t="shared" si="132"/>
        <v>#N/A</v>
      </c>
      <c r="BB20" s="151" t="e">
        <f t="shared" si="133"/>
        <v>#N/A</v>
      </c>
      <c r="BC20" s="151" t="e">
        <f t="shared" si="134"/>
        <v>#N/A</v>
      </c>
      <c r="BD20" s="151" t="e">
        <f t="shared" si="135"/>
        <v>#N/A</v>
      </c>
      <c r="BE20" s="151" t="e">
        <f t="shared" si="10"/>
        <v>#N/A</v>
      </c>
      <c r="BF20" s="151" t="e">
        <f t="shared" si="11"/>
        <v>#N/A</v>
      </c>
      <c r="BG20" s="151" t="e">
        <f t="shared" si="12"/>
        <v>#N/A</v>
      </c>
      <c r="BH20" s="151" t="e">
        <f t="shared" si="13"/>
        <v>#N/A</v>
      </c>
      <c r="BI20" s="151">
        <f>'Tables - Part 3'!$AD$4</f>
        <v>6.4</v>
      </c>
      <c r="BJ20" s="151">
        <f>MIN(O20,'Tables - Part 3'!$AD$5)</f>
        <v>25</v>
      </c>
      <c r="BK20" s="151">
        <f>MIN(O20,'Tables - Part 3'!$AD$6)</f>
        <v>102</v>
      </c>
      <c r="BL20" s="151">
        <f>MIN(O20,'Tables - Part 3'!$AD$7)</f>
        <v>406</v>
      </c>
      <c r="BM20" s="151">
        <f t="shared" si="136"/>
        <v>32.169908772759484</v>
      </c>
      <c r="BN20" s="151">
        <f t="shared" si="137"/>
        <v>490.87385212340519</v>
      </c>
      <c r="BO20" s="151">
        <f t="shared" si="138"/>
        <v>8171.2824919870518</v>
      </c>
      <c r="BP20" s="151">
        <f t="shared" si="139"/>
        <v>129461.89166178179</v>
      </c>
      <c r="BQ20" s="151" t="e">
        <f>INDEX('Tables - Part 2'!$D$5:$G$30,MATCH(COF!$E20,'Tables - Part 2'!$C$5:$C$30,0),1)</f>
        <v>#N/A</v>
      </c>
      <c r="BR20" s="571" t="e">
        <f>INDEX('Tables - Part 2'!$D$5:$G$30,MATCH(COF!$E20,'Tables - Part 2'!$C$5:$C$30,0),2)</f>
        <v>#N/A</v>
      </c>
      <c r="BS20" s="571" t="e">
        <f>INDEX('Tables - Part 2'!$D$5:$G$30,MATCH(COF!$E20,'Tables - Part 2'!$C$5:$C$30,0),3)</f>
        <v>#N/A</v>
      </c>
      <c r="BT20" s="151" t="e">
        <f>INDEX('Tables - Part 2'!$D$5:$G$30,MATCH(COF!$E20,'Tables - Part 2'!$C$5:$C$30,0),4)</f>
        <v>#N/A</v>
      </c>
      <c r="BU20" s="151" t="e">
        <f t="shared" si="140"/>
        <v>#N/A</v>
      </c>
      <c r="BV20" s="151" t="e">
        <f t="shared" si="141"/>
        <v>#N/A</v>
      </c>
      <c r="BW20" s="151" t="e">
        <f t="shared" si="142"/>
        <v>#N/A</v>
      </c>
      <c r="BX20" s="151" t="e">
        <f t="shared" si="143"/>
        <v>#N/A</v>
      </c>
      <c r="BY20" s="502" t="e">
        <f t="shared" si="144"/>
        <v>#N/A</v>
      </c>
      <c r="BZ20" s="502" t="e">
        <f t="shared" si="145"/>
        <v>#N/A</v>
      </c>
      <c r="CA20" s="151" t="e">
        <f>IF(OR(BI20&lt;='Tables - Part 3'!$AD$4,BE20&lt;='Tables - Part 3.B'!$C$6,BV20&lt;=25.22),COF!$TK$6,COF!$TK$5)</f>
        <v>#N/A</v>
      </c>
      <c r="CB20" s="151" t="e">
        <f>IF(OR(BJ20&lt;='Tables - Part 3'!$AD$4,BF20&lt;='Tables - Part 3.B'!$C$6,BW20&lt;=25.22),COF!$TK$6,COF!$TK$5)</f>
        <v>#N/A</v>
      </c>
      <c r="CC20" s="151" t="e">
        <f>IF(OR(BK20&lt;='Tables - Part 3'!$AD$4,BG20&lt;='Tables - Part 3.B'!$C$6,BX20&lt;=25.22),COF!$TK$6,COF!$TK$5)</f>
        <v>#N/A</v>
      </c>
      <c r="CD20" s="151" t="e">
        <f>IF(OR(BL20&lt;='Tables - Part 3'!$AD$4,BH20&lt;='Tables - Part 3.B'!$C$6,BY20&lt;=25.22),COF!$TK$6,COF!$TK$5)</f>
        <v>#N/A</v>
      </c>
      <c r="CE20" s="151" t="str">
        <f t="shared" si="146"/>
        <v/>
      </c>
      <c r="CF20" s="151" t="e">
        <f>INDEX('Tables - Part 3'!$AR$4:$AR$12,MATCH(COF!$PC20,'Tables - Part 3'!$AP$4:$AP$12,0),1)</f>
        <v>#N/A</v>
      </c>
      <c r="CG20" s="151" t="e">
        <f>INDEX('Tables - Part 3'!$AR$13:$AR$21,MATCH(COF!$PC20,'Tables - Part 3'!$AP$13:$AP$21,0),1)</f>
        <v>#N/A</v>
      </c>
      <c r="CH20" s="151" t="e">
        <f>INDEX('Tables - Part 3'!$AR$22:$AR$30,MATCH(COF!$PC20,'Tables - Part 3'!$AP$22:$AP$30,0),1)</f>
        <v>#N/A</v>
      </c>
      <c r="CI20" s="151" t="e">
        <f>INDEX('Tables - Part 3'!$AR$22:$AR$30,MATCH(COF!$PC20,'Tables - Part 3'!$AP$22:$AP$30,0),1)</f>
        <v>#N/A</v>
      </c>
      <c r="CJ20" s="151" t="e">
        <f t="shared" si="147"/>
        <v>#N/A</v>
      </c>
      <c r="CK20" s="151" t="e">
        <f t="shared" si="148"/>
        <v>#N/A</v>
      </c>
      <c r="CL20" s="151" t="e">
        <f t="shared" si="149"/>
        <v>#N/A</v>
      </c>
      <c r="CM20" s="151" t="e">
        <f t="shared" si="150"/>
        <v>#N/A</v>
      </c>
      <c r="CN20" s="151" t="e">
        <f t="shared" si="151"/>
        <v>#N/A</v>
      </c>
      <c r="CO20" s="151" t="e">
        <f t="shared" si="152"/>
        <v>#N/A</v>
      </c>
      <c r="CP20" s="151" t="e">
        <f t="shared" si="153"/>
        <v>#N/A</v>
      </c>
      <c r="CQ20" s="151" t="e">
        <f t="shared" si="154"/>
        <v>#N/A</v>
      </c>
      <c r="CR20" s="151" t="e">
        <f t="shared" si="155"/>
        <v>#N/A</v>
      </c>
      <c r="CS20" s="151" t="e">
        <f t="shared" si="156"/>
        <v>#N/A</v>
      </c>
      <c r="CT20" s="151" t="e">
        <f t="shared" si="157"/>
        <v>#N/A</v>
      </c>
      <c r="CU20" s="151" t="e">
        <f t="shared" si="158"/>
        <v>#N/A</v>
      </c>
      <c r="CV20" s="151" t="e">
        <f>INDEX('Tables - Part 3'!$CI$4:$CI$8,MATCH(COF!V20,'Tables - Part 3'!$CG$4:$CG$8,0),1)</f>
        <v>#N/A</v>
      </c>
      <c r="CW20" s="502" t="e">
        <f>IF(CR20&gt;'Tables - Part 3.B'!$C$6,4*LOG10('Tables - Part 3.B'!$C$7*CR20)-15,1)</f>
        <v>#N/A</v>
      </c>
      <c r="CX20" s="502" t="e">
        <f>IF(CS20&gt;'Tables - Part 3.B'!$C$6,4*LOG10('Tables - Part 3.B'!$C$7*CS20)-15,1)</f>
        <v>#N/A</v>
      </c>
      <c r="CY20" s="502" t="e">
        <f>IF(CT20&gt;'Tables - Part 3.B'!$C$6,4*LOG10('Tables - Part 3.B'!$C$7*CT20)-15,1)</f>
        <v>#N/A</v>
      </c>
      <c r="CZ20" s="502" t="e">
        <f>IF(CU20&gt;'Tables - Part 3.B'!$C$6,4*LOG10('Tables - Part 3.B'!$C$7*CU20)-15,1)</f>
        <v>#N/A</v>
      </c>
      <c r="DA20" s="151" t="e">
        <f>INDEX('Tables - Part 3'!$C$4:$C$37,MATCH(COF!$F20,'Tables - Part 3'!$B$4:$B$37,0),1)</f>
        <v>#N/A</v>
      </c>
      <c r="DB20" s="151" t="e">
        <f t="shared" si="159"/>
        <v>#N/A</v>
      </c>
      <c r="DC20" s="151" t="e">
        <f t="shared" si="160"/>
        <v>#N/A</v>
      </c>
      <c r="DD20" s="151" t="e">
        <f t="shared" si="161"/>
        <v>#N/A</v>
      </c>
      <c r="DE20" s="151" t="e">
        <f t="shared" si="162"/>
        <v>#N/A</v>
      </c>
      <c r="DF20" s="151" t="e">
        <f t="shared" si="163"/>
        <v>#N/A</v>
      </c>
      <c r="DG20" s="151" t="e">
        <f t="shared" si="164"/>
        <v>#N/A</v>
      </c>
      <c r="DH20" s="151" t="e">
        <f t="shared" si="165"/>
        <v>#N/A</v>
      </c>
      <c r="DI20" s="151" t="e">
        <f t="shared" si="166"/>
        <v>#N/A</v>
      </c>
      <c r="DJ20" s="151" t="e">
        <f t="shared" si="167"/>
        <v>#N/A</v>
      </c>
      <c r="DK20" s="151" t="e">
        <f t="shared" si="168"/>
        <v>#N/A</v>
      </c>
      <c r="DL20" s="151" t="e">
        <f t="shared" si="169"/>
        <v>#N/A</v>
      </c>
      <c r="DM20" s="151" t="e">
        <f t="shared" si="170"/>
        <v>#N/A</v>
      </c>
      <c r="DN20" s="151" t="e">
        <f t="shared" si="171"/>
        <v>#N/A</v>
      </c>
      <c r="DO20" s="151" t="e">
        <f t="shared" si="172"/>
        <v>#N/A</v>
      </c>
      <c r="DP20" s="151" t="e">
        <f t="shared" si="173"/>
        <v>#N/A</v>
      </c>
      <c r="DQ20" s="151" t="e">
        <f t="shared" si="174"/>
        <v>#N/A</v>
      </c>
      <c r="DR20" s="151" t="e">
        <f t="shared" si="175"/>
        <v>#N/A</v>
      </c>
      <c r="DS20" s="151" t="e">
        <f t="shared" si="176"/>
        <v>#N/A</v>
      </c>
      <c r="DT20" s="151" t="e">
        <f t="shared" si="177"/>
        <v>#N/A</v>
      </c>
      <c r="DU20" s="151" t="e">
        <f t="shared" si="178"/>
        <v>#N/A</v>
      </c>
      <c r="DV20" s="151" t="e">
        <f t="shared" si="179"/>
        <v>#N/A</v>
      </c>
      <c r="DW20" s="151" t="e">
        <f t="shared" si="180"/>
        <v>#N/A</v>
      </c>
      <c r="DX20" s="151" t="e">
        <f t="shared" si="181"/>
        <v>#N/A</v>
      </c>
      <c r="DY20" s="151" t="e">
        <f t="shared" si="182"/>
        <v>#N/A</v>
      </c>
      <c r="DZ20" s="151" t="e">
        <f t="shared" si="183"/>
        <v>#N/A</v>
      </c>
      <c r="EA20" s="151" t="e">
        <f t="shared" si="184"/>
        <v>#N/A</v>
      </c>
      <c r="EB20" s="151" t="e">
        <f t="shared" si="185"/>
        <v>#N/A</v>
      </c>
      <c r="EC20" s="151" t="e">
        <f t="shared" si="186"/>
        <v>#N/A</v>
      </c>
      <c r="ED20" s="151" t="e">
        <f t="shared" si="187"/>
        <v>#N/A</v>
      </c>
      <c r="EE20" s="151" t="e">
        <f t="shared" si="188"/>
        <v>#N/A</v>
      </c>
      <c r="EF20" s="151" t="e">
        <f t="shared" si="189"/>
        <v>#N/A</v>
      </c>
      <c r="EG20" s="151" t="e">
        <f t="shared" si="190"/>
        <v>#N/A</v>
      </c>
      <c r="EH20" s="151" t="e">
        <f>IF(CA20=$TK$5,1,MIN(CJ20/'Tables - Part 3.B'!$C$8,1))</f>
        <v>#N/A</v>
      </c>
      <c r="EI20" s="151" t="e">
        <f>IF(CB20=$TK$5,1,MIN(CK20/'Tables - Part 3.B'!$C$8,1))</f>
        <v>#N/A</v>
      </c>
      <c r="EJ20" s="151" t="e">
        <f>IF(CC20=$TK$5,1,MIN(CL20/'Tables - Part 3.B'!$C$8,1))</f>
        <v>#N/A</v>
      </c>
      <c r="EK20" s="151" t="e">
        <f>IF(CD20=$TK$5,1,MIN(CM20/'Tables - Part 3.B'!$C$8,1))</f>
        <v>#N/A</v>
      </c>
      <c r="EL20" s="151" t="e">
        <f t="shared" si="191"/>
        <v>#VALUE!</v>
      </c>
      <c r="EM20" s="151" t="e">
        <f t="shared" si="48"/>
        <v>#VALUE!</v>
      </c>
      <c r="EN20" s="151" t="e">
        <f t="shared" si="48"/>
        <v>#VALUE!</v>
      </c>
      <c r="EO20" s="151" t="e">
        <f t="shared" si="48"/>
        <v>#VALUE!</v>
      </c>
      <c r="EP20" s="151" t="e">
        <f t="shared" si="192"/>
        <v>#N/A</v>
      </c>
      <c r="EQ20" s="151" t="e">
        <f t="shared" si="49"/>
        <v>#N/A</v>
      </c>
      <c r="ER20" s="151" t="e">
        <f t="shared" si="49"/>
        <v>#N/A</v>
      </c>
      <c r="ES20" s="151" t="e">
        <f t="shared" si="49"/>
        <v>#N/A</v>
      </c>
      <c r="ET20" s="151" t="e">
        <f t="shared" si="193"/>
        <v>#N/A</v>
      </c>
      <c r="EU20" s="151" t="e">
        <f t="shared" si="50"/>
        <v>#N/A</v>
      </c>
      <c r="EV20" s="151" t="e">
        <f t="shared" si="50"/>
        <v>#N/A</v>
      </c>
      <c r="EW20" s="151" t="e">
        <f t="shared" si="50"/>
        <v>#N/A</v>
      </c>
      <c r="EX20" s="151" t="e">
        <f t="shared" si="194"/>
        <v>#N/A</v>
      </c>
      <c r="EY20" s="151" t="e">
        <f t="shared" si="51"/>
        <v>#N/A</v>
      </c>
      <c r="EZ20" s="151" t="e">
        <f t="shared" si="51"/>
        <v>#N/A</v>
      </c>
      <c r="FA20" s="151" t="e">
        <f t="shared" si="51"/>
        <v>#N/A</v>
      </c>
      <c r="FB20" s="151" t="e">
        <f t="shared" si="195"/>
        <v>#N/A</v>
      </c>
      <c r="FC20" s="151" t="e">
        <f t="shared" si="52"/>
        <v>#N/A</v>
      </c>
      <c r="FD20" s="151" t="e">
        <f t="shared" si="52"/>
        <v>#N/A</v>
      </c>
      <c r="FE20" s="151" t="e">
        <f t="shared" si="52"/>
        <v>#N/A</v>
      </c>
      <c r="FF20" s="151" t="e">
        <f t="shared" si="196"/>
        <v>#N/A</v>
      </c>
      <c r="FG20" s="151" t="e">
        <f t="shared" si="53"/>
        <v>#N/A</v>
      </c>
      <c r="FH20" s="151" t="e">
        <f t="shared" si="53"/>
        <v>#N/A</v>
      </c>
      <c r="FI20" s="151" t="e">
        <f t="shared" si="53"/>
        <v>#N/A</v>
      </c>
      <c r="FJ20" s="151" t="e">
        <f t="shared" si="197"/>
        <v>#N/A</v>
      </c>
      <c r="FK20" s="151" t="e">
        <f t="shared" si="54"/>
        <v>#N/A</v>
      </c>
      <c r="FL20" s="151" t="e">
        <f t="shared" si="54"/>
        <v>#N/A</v>
      </c>
      <c r="FM20" s="288" t="e">
        <f t="shared" si="54"/>
        <v>#N/A</v>
      </c>
      <c r="FN20" s="299">
        <f t="shared" si="198"/>
        <v>0</v>
      </c>
      <c r="FO20" s="511">
        <f t="shared" si="199"/>
        <v>0</v>
      </c>
      <c r="FP20" s="150" t="e">
        <f t="shared" si="200"/>
        <v>#N/A</v>
      </c>
      <c r="FQ20" s="151" t="e">
        <f t="shared" si="201"/>
        <v>#N/A</v>
      </c>
      <c r="FR20" s="151" t="e">
        <f t="shared" si="202"/>
        <v>#N/A</v>
      </c>
      <c r="FS20" s="151" t="e">
        <f t="shared" si="203"/>
        <v>#N/A</v>
      </c>
      <c r="FT20" s="151">
        <f t="shared" si="270"/>
        <v>0</v>
      </c>
      <c r="FU20" s="151">
        <f t="shared" si="56"/>
        <v>0</v>
      </c>
      <c r="FV20" s="151">
        <f t="shared" si="57"/>
        <v>0</v>
      </c>
      <c r="FW20" s="151">
        <f t="shared" si="58"/>
        <v>0</v>
      </c>
      <c r="FX20" s="151">
        <f t="shared" si="271"/>
        <v>0</v>
      </c>
      <c r="FY20" s="151">
        <f t="shared" si="60"/>
        <v>0</v>
      </c>
      <c r="FZ20" s="151">
        <f t="shared" si="61"/>
        <v>0</v>
      </c>
      <c r="GA20" s="151">
        <f t="shared" si="62"/>
        <v>0</v>
      </c>
      <c r="GB20" s="151" t="e">
        <f>IF(CA20=$TK$6,'Tables - Part 3.B'!$C$10*(('Tables - Part 3.B'!$C$7*COF!FT20)^COF!GR20*10^COF!GV20),IF(CA20=$TK$5,'Tables - Part 3.B'!$C$10*(('Tables - Part 3.B'!$C$7*COF!FX20)^COF!GR20*10^COF!GV20),0))</f>
        <v>#N/A</v>
      </c>
      <c r="GC20" s="151" t="e">
        <f>IF(CB20=$TK$6,'Tables - Part 3.B'!$C$10*(('Tables - Part 3.B'!$C$7*COF!FU20)^COF!GS20*10^COF!GW20),IF(CB20=$TK$5,'Tables - Part 3.B'!$C$10*(('Tables - Part 3.B'!$C$7*COF!FY20)^COF!GS20*10^COF!GW20),0))</f>
        <v>#N/A</v>
      </c>
      <c r="GD20" s="151" t="e">
        <f>IF(CC20=$TK$6,'Tables - Part 3.B'!$C$10*(('Tables - Part 3.B'!$C$7*COF!FV20)^COF!GT20*10^COF!GX20),IF(CC20=$TK$5,'Tables - Part 3.B'!$C$10*(('Tables - Part 3.B'!$C$7*COF!FZ20)^COF!GT20*10^COF!GX20),0))</f>
        <v>#N/A</v>
      </c>
      <c r="GE20" s="151" t="e">
        <f>IF(CD20=$TK$6,'Tables - Part 3.B'!$C$10*(('Tables - Part 3.B'!$C$7*COF!FW20)^COF!GU20*10^COF!GY20),IF(CD20=$TK$5,'Tables - Part 3.B'!$C$10*(('Tables - Part 3.B'!$C$7*COF!GA20)^COF!GU20*10^COF!GY20),0))</f>
        <v>#N/A</v>
      </c>
      <c r="GF20" s="152" t="e">
        <f t="shared" si="272"/>
        <v>#N/A</v>
      </c>
      <c r="GG20" s="152" t="e">
        <f t="shared" si="63"/>
        <v>#N/A</v>
      </c>
      <c r="GH20" s="152" t="e">
        <f t="shared" si="64"/>
        <v>#N/A</v>
      </c>
      <c r="GI20" s="152" t="e">
        <f t="shared" si="65"/>
        <v>#N/A</v>
      </c>
      <c r="GJ20" s="152" t="e">
        <f>IF(GF20&lt;'Tables - Part 3'!$CK$5,0,LOOKUP(GF20,'Tables - Part 3'!$CK$5:$CK$9))</f>
        <v>#N/A</v>
      </c>
      <c r="GK20" s="152" t="e">
        <f>IF(GG20&lt;'Tables - Part 3'!$CK$5,0,LOOKUP(GG20,'Tables - Part 3'!$CK$5:$CK$9))</f>
        <v>#N/A</v>
      </c>
      <c r="GL20" s="152" t="e">
        <f>IF(GH20&lt;'Tables - Part 3'!$CK$5,0,LOOKUP(GH20,'Tables - Part 3'!$CK$5:$CK$9))</f>
        <v>#N/A</v>
      </c>
      <c r="GM20" s="152" t="e">
        <f>IF(GI20&lt;'Tables - Part 3'!$CK$5,0,LOOKUP(GI20,'Tables - Part 3'!$CK$5:$CK$9))</f>
        <v>#N/A</v>
      </c>
      <c r="GN20" s="152" t="e">
        <f>IF(GF20&lt;'Tables - Part 3'!$CK$5,'Tables - Part 3'!$CK$5,IF(COF!GF20&lt;'Tables - Part 3'!$CK$6,'Tables - Part 3'!$CK$6,IF(COF!GF20&lt;'Tables - Part 3'!$CK$7,'Tables - Part 3'!$CK$7,IF(COF!GF20&lt;'Tables - Part 3'!$CK$8,'Tables - Part 3'!$CK$8,IF(COF!GF20&lt;'Tables - Part 3'!$CK$9,'Tables - Part 3'!$CK$9)))))</f>
        <v>#N/A</v>
      </c>
      <c r="GO20" s="152" t="e">
        <f>IF(GG20&lt;'Tables - Part 3'!$CK$5,'Tables - Part 3'!$CK$5,IF(COF!GG20&lt;'Tables - Part 3'!$CK$6,'Tables - Part 3'!$CK$6,IF(COF!GG20&lt;'Tables - Part 3'!$CK$7,'Tables - Part 3'!$CK$7,IF(COF!GG20&lt;'Tables - Part 3'!$CK$8,'Tables - Part 3'!$CK$8,IF(COF!GG20&lt;'Tables - Part 3'!$CK$9,'Tables - Part 3'!$CK$9)))))</f>
        <v>#N/A</v>
      </c>
      <c r="GP20" s="152" t="e">
        <f>IF(GH20&lt;'Tables - Part 3'!$CK$5,'Tables - Part 3'!$CK$5,IF(COF!GH20&lt;'Tables - Part 3'!$CK$6,'Tables - Part 3'!$CK$6,IF(COF!GH20&lt;'Tables - Part 3'!$CK$7,'Tables - Part 3'!$CK$7,IF(COF!GH20&lt;'Tables - Part 3'!$CK$8,'Tables - Part 3'!$CK$8,IF(COF!GH20&lt;'Tables - Part 3'!$CK$9,'Tables - Part 3'!$CK$9)))))</f>
        <v>#N/A</v>
      </c>
      <c r="GQ20" s="152" t="e">
        <f>IF(GI20&lt;'Tables - Part 3'!$CK$5,'Tables - Part 3'!$CK$5,IF(COF!GI20&lt;'Tables - Part 3'!$CK$6,'Tables - Part 3'!$CK$6,IF(COF!GI20&lt;'Tables - Part 3'!$CK$7,'Tables - Part 3'!$CK$7,IF(COF!GI20&lt;'Tables - Part 3'!$CK$8,'Tables - Part 3'!$CK$8,IF(COF!GI20&lt;'Tables - Part 3'!$CK$9,'Tables - Part 3'!$CK$9)))))</f>
        <v>#N/A</v>
      </c>
      <c r="GR20" s="151" t="e">
        <f>IF(CA20=$TK$5,'Tables - Part 3'!$CL$10,IF(COF!CA20=COF!$TK$6,IF(COF!GF20&lt;'Tables - Part 3'!$CK$5,'Tables - Part 3'!$CL$5,IF(GF20&gt;='Tables - Part 3'!$CK$9,'Tables - Part 3'!$CL$9,((COF!GF20-COF!GJ20)*(INDEX('Tables - Part 3'!$CL$5:$CL$9,MATCH(COF!GN20,'Tables - Part 3'!$CK$5:$CK$9,0))-INDEX('Tables - Part 3'!$CL$5:$CL$9,MATCH(COF!GJ20,'Tables - Part 3'!$CK$5:$CK$9,0)))/(GN20-GJ20)+INDEX('Tables - Part 3'!$CL$5:$CL$9,MATCH(COF!GJ20,'Tables - Part 3'!$CK$5:$CK$9,0)))))))</f>
        <v>#N/A</v>
      </c>
      <c r="GS20" s="151" t="e">
        <f>IF(CB20=$TK$5,'Tables - Part 3'!$CL$10,IF(COF!CB20=COF!$TK$6,IF(COF!GG20&lt;'Tables - Part 3'!$CK$5,'Tables - Part 3'!$CL$5,IF(GG20&gt;='Tables - Part 3'!$CK$9,'Tables - Part 3'!$CL$9,((COF!GG20-COF!GK20)*(INDEX('Tables - Part 3'!$CL$5:$CL$9,MATCH(COF!GO20,'Tables - Part 3'!$CK$5:$CK$9,0))-INDEX('Tables - Part 3'!$CL$5:$CL$9,MATCH(COF!GK20,'Tables - Part 3'!$CK$5:$CK$9,0)))/(GO20-GK20)+INDEX('Tables - Part 3'!$CL$5:$CL$9,MATCH(COF!GK20,'Tables - Part 3'!$CK$5:$CK$9,0)))))))</f>
        <v>#N/A</v>
      </c>
      <c r="GT20" s="151" t="e">
        <f>IF(CC20=$TK$5,'Tables - Part 3'!$CL$10,IF(COF!CC20=COF!$TK$6,IF(COF!GH20&lt;'Tables - Part 3'!$CK$5,'Tables - Part 3'!$CL$5,IF(GH20&gt;='Tables - Part 3'!$CK$9,'Tables - Part 3'!$CL$9,((COF!GH20-COF!GL20)*(INDEX('Tables - Part 3'!$CL$5:$CL$9,MATCH(COF!GP20,'Tables - Part 3'!$CK$5:$CK$9,0))-INDEX('Tables - Part 3'!$CL$5:$CL$9,MATCH(COF!GL20,'Tables - Part 3'!$CK$5:$CK$9,0)))/(GP20-GL20)+INDEX('Tables - Part 3'!$CL$5:$CL$9,MATCH(COF!GL20,'Tables - Part 3'!$CK$5:$CK$9,0)))))))</f>
        <v>#N/A</v>
      </c>
      <c r="GU20" s="151" t="e">
        <f>IF(CD20=$TK$5,'Tables - Part 3'!$CL$10,IF(COF!CD20=COF!$TK$6,IF(COF!GI20&lt;'Tables - Part 3'!$CK$5,'Tables - Part 3'!$CL$5,IF(GI20&gt;='Tables - Part 3'!$CK$9,'Tables - Part 3'!$CL$9,((COF!GI20-COF!GM20)*(INDEX('Tables - Part 3'!$CL$5:$CL$9,MATCH(COF!GQ20,'Tables - Part 3'!$CK$5:$CK$9,0))-INDEX('Tables - Part 3'!$CL$5:$CL$9,MATCH(COF!GM20,'Tables - Part 3'!$CK$5:$CK$9,0)))/(GQ20-GM20)+INDEX('Tables - Part 3'!$CL$5:$CL$9,MATCH(COF!GM20,'Tables - Part 3'!$CK$5:$CK$9,0)))))))</f>
        <v>#N/A</v>
      </c>
      <c r="GV20" s="151" t="e">
        <f>IF(CA20=$TK$5,'Tables - Part 3'!$CM$10,IF(COF!CA20=COF!$TK$6,IF(GF20&lt;'Tables - Part 3'!$CK$5,'Tables - Part 3'!$CM$5,IF(GF20&gt;='Tables - Part 3'!$CK$9,'Tables - Part 3'!$CM$9,((COF!GF20-COF!GJ20)*(INDEX('Tables - Part 3'!$CM$5:$CM$9,MATCH(COF!GN20,'Tables - Part 3'!$CK$5:$CK$9,0))-INDEX('Tables - Part 3'!$CM$5:$CM$9,MATCH(COF!GJ20,'Tables - Part 3'!$CK$5:$CK$9,0)))/(GN20-GJ20)+INDEX('Tables - Part 3'!$CM$5:$CM$9,MATCH(COF!GJ20,'Tables - Part 3'!$CK$5:$CK$9,0)))))))</f>
        <v>#N/A</v>
      </c>
      <c r="GW20" s="151" t="e">
        <f>IF(CB20=$TK$5,'Tables - Part 3'!$CM$10,IF(COF!CB20=COF!$TK$6,IF(GG20&lt;'Tables - Part 3'!$CK$5,'Tables - Part 3'!$CM$5,IF(GG20&gt;='Tables - Part 3'!$CK$9,'Tables - Part 3'!$CM$9,((COF!GG20-COF!GK20)*(INDEX('Tables - Part 3'!$CM$5:$CM$9,MATCH(COF!GO20,'Tables - Part 3'!$CK$5:$CK$9,0))-INDEX('Tables - Part 3'!$CM$5:$CM$9,MATCH(COF!GK20,'Tables - Part 3'!$CK$5:$CK$9,0)))/(GO20-GK20)+INDEX('Tables - Part 3'!$CM$5:$CM$9,MATCH(COF!GK20,'Tables - Part 3'!$CK$5:$CK$9,0)))))))</f>
        <v>#N/A</v>
      </c>
      <c r="GX20" s="151" t="e">
        <f>IF(CC20=$TK$5,'Tables - Part 3'!$CM$10,IF(COF!CC20=COF!$TK$6,IF(GH20&lt;'Tables - Part 3'!$CK$5,'Tables - Part 3'!$CM$5,IF(GH20&gt;='Tables - Part 3'!$CK$9,'Tables - Part 3'!$CM$9,((COF!GH20-COF!GL20)*(INDEX('Tables - Part 3'!$CM$5:$CM$9,MATCH(COF!GP20,'Tables - Part 3'!$CK$5:$CK$9,0))-INDEX('Tables - Part 3'!$CM$5:$CM$9,MATCH(COF!GL20,'Tables - Part 3'!$CK$5:$CK$9,0)))/(GP20-GL20)+INDEX('Tables - Part 3'!$CM$5:$CM$9,MATCH(COF!GL20,'Tables - Part 3'!$CK$5:$CK$9,0)))))))</f>
        <v>#N/A</v>
      </c>
      <c r="GY20" s="151" t="e">
        <f>IF(CD20=$TK$5,'Tables - Part 3'!$CM$10,IF(COF!CD20=COF!$TK$6,IF(GI20&lt;'Tables - Part 3'!$CK$5,'Tables - Part 3'!$CM$5,IF(GI20&gt;='Tables - Part 3'!$CK$9,'Tables - Part 3'!$CM$9,((COF!GI20-COF!GM20)*(INDEX('Tables - Part 3'!$CM$5:$CM$9,MATCH(COF!GQ20,'Tables - Part 3'!$CK$5:$CK$9,0))-INDEX('Tables - Part 3'!$CM$5:$CM$9,MATCH(COF!GM20,'Tables - Part 3'!$CK$5:$CK$9,0)))/(GQ20-GM20)+INDEX('Tables - Part 3'!$CM$5:$CM$9,MATCH(COF!GM20,'Tables - Part 3'!$CK$5:$CK$9,0)))))))</f>
        <v>#N/A</v>
      </c>
      <c r="GZ20" s="151">
        <f t="shared" si="273"/>
        <v>0</v>
      </c>
      <c r="HA20" s="151">
        <f t="shared" si="67"/>
        <v>0</v>
      </c>
      <c r="HB20" s="151">
        <f t="shared" si="68"/>
        <v>0</v>
      </c>
      <c r="HC20" s="151">
        <f t="shared" si="69"/>
        <v>0</v>
      </c>
      <c r="HD20" s="151">
        <f t="shared" si="274"/>
        <v>0</v>
      </c>
      <c r="HE20" s="151">
        <f t="shared" si="71"/>
        <v>0</v>
      </c>
      <c r="HF20" s="151">
        <f t="shared" si="72"/>
        <v>0</v>
      </c>
      <c r="HG20" s="151">
        <f t="shared" si="73"/>
        <v>0</v>
      </c>
      <c r="HH20" s="151" t="e">
        <f>IF(CA20=$TK$6,'Tables - Part 3.B'!$C$10*(('Tables - Part 3.B'!$C$7*COF!GZ20)^COF!HL20*10^COF!HP20),IF(CA20=$TK$5,'Tables - Part 3.B'!$C$10*(('Tables - Part 3.B'!$C$7*COF!HD20)^COF!HL20*10^COF!HP20),0))</f>
        <v>#N/A</v>
      </c>
      <c r="HI20" s="151" t="e">
        <f>IF(CB20=$TK$6,'Tables - Part 3.B'!$C$10*(('Tables - Part 3.B'!$C$7*COF!HA20)^COF!HM20*10^COF!HQ20),IF(CB20=$TK$5,'Tables - Part 3.B'!$C$10*(('Tables - Part 3.B'!$C$7*COF!HE20)^COF!HM20*10^COF!HQ20),0))</f>
        <v>#N/A</v>
      </c>
      <c r="HJ20" s="151" t="e">
        <f>IF(CC20=$TK$6,'Tables - Part 3.B'!$C$10*(('Tables - Part 3.B'!$C$7*COF!HB20)^COF!HN20*10^COF!HR20),IF(CC20=$TK$5,'Tables - Part 3.B'!$C$10*(('Tables - Part 3.B'!$C$7*COF!HF20)^COF!HN20*10^COF!HR20),0))</f>
        <v>#N/A</v>
      </c>
      <c r="HK20" s="151" t="e">
        <f>IF(CD20=$TK$6,'Tables - Part 3.B'!$C$10*(('Tables - Part 3.B'!$C$7*COF!HC20)^COF!HO20*10^COF!HS20),IF(CD20=$TK$5,'Tables - Part 3.B'!$C$10*(('Tables - Part 3.B'!$C$7*COF!HG20)^COF!HO20*10^COF!HS20),0))</f>
        <v>#N/A</v>
      </c>
      <c r="HL20" s="151" t="e">
        <f>IF(CA20=$TK$5,'Tables - Part 3'!$CN$10,IF(COF!CA20=COF!$TK$6,IF(COF!GF20&lt;'Tables - Part 3'!$CK$5,'Tables - Part 3'!$CN$5,IF(GF20&gt;='Tables - Part 3'!$CK$9,'Tables - Part 3'!$CN$9,((COF!GF20-COF!GJ20)*(INDEX('Tables - Part 3'!$CN$5:$CN$9,MATCH(COF!GN20,'Tables - Part 3'!$CK$5:$CK$9,0))-INDEX('Tables - Part 3'!$CN$5:$CN$9,MATCH(COF!GJ20,'Tables - Part 3'!$CK$5:$CK$9,0)))/(GN20-GJ20)+INDEX('Tables - Part 3'!$CN$5:$CN$9,MATCH(COF!GJ20,'Tables - Part 3'!$CK$5:$CK$9,0)))))))</f>
        <v>#N/A</v>
      </c>
      <c r="HM20" s="151" t="e">
        <f>IF(CB20=$TK$5,'Tables - Part 3'!$CN$10,IF(COF!CB20=COF!$TK$6,IF(COF!GG20&lt;'Tables - Part 3'!$CK$5,'Tables - Part 3'!$CN$5,IF(GG20&gt;='Tables - Part 3'!$CK$9,'Tables - Part 3'!$CN$9,((COF!GG20-COF!GK20)*(INDEX('Tables - Part 3'!$CN$5:$CN$9,MATCH(COF!GO20,'Tables - Part 3'!$CK$5:$CK$9,0))-INDEX('Tables - Part 3'!$CN$5:$CN$9,MATCH(COF!GK20,'Tables - Part 3'!$CK$5:$CK$9,0)))/(GO20-GK20)+INDEX('Tables - Part 3'!$CN$5:$CN$9,MATCH(COF!GK20,'Tables - Part 3'!$CK$5:$CK$9,0)))))))</f>
        <v>#N/A</v>
      </c>
      <c r="HN20" s="151" t="e">
        <f>IF(CC20=$TK$5,'Tables - Part 3'!$CN$10,IF(COF!CC20=COF!$TK$6,IF(COF!GH20&lt;'Tables - Part 3'!$CK$5,'Tables - Part 3'!$CN$5,IF(GH20&gt;='Tables - Part 3'!$CK$9,'Tables - Part 3'!$CN$9,((COF!GH20-COF!GL20)*(INDEX('Tables - Part 3'!$CN$5:$CN$9,MATCH(COF!GP20,'Tables - Part 3'!$CK$5:$CK$9,0))-INDEX('Tables - Part 3'!$CN$5:$CN$9,MATCH(COF!GL20,'Tables - Part 3'!$CK$5:$CK$9,0)))/(GP20-GL20)+INDEX('Tables - Part 3'!$CN$5:$CN$9,MATCH(COF!GL20,'Tables - Part 3'!$CK$5:$CK$9,0)))))))</f>
        <v>#N/A</v>
      </c>
      <c r="HO20" s="151" t="e">
        <f>IF(CD20=$TK$5,'Tables - Part 3'!$CN$10,IF(COF!CD20=COF!$TK$6,IF(COF!GI20&lt;'Tables - Part 3'!$CK$5,'Tables - Part 3'!$CN$5,IF(GI20&gt;='Tables - Part 3'!$CK$9,'Tables - Part 3'!$CN$9,((COF!GI20-COF!GM20)*(INDEX('Tables - Part 3'!$CN$5:$CN$9,MATCH(COF!GQ20,'Tables - Part 3'!$CK$5:$CK$9,0))-INDEX('Tables - Part 3'!$CN$5:$CN$9,MATCH(COF!GM20,'Tables - Part 3'!$CK$5:$CK$9,0)))/(GQ20-GM20)+INDEX('Tables - Part 3'!$CN$5:$CN$9,MATCH(COF!GM20,'Tables - Part 3'!$CK$5:$CK$9,0)))))))</f>
        <v>#N/A</v>
      </c>
      <c r="HP20" s="151" t="e">
        <f>IF(CA20=$TK$5,'Tables - Part 3'!$CO$10,IF(COF!CA20=COF!$TK$6,IF(GF20&lt;'Tables - Part 3'!$CK$5,'Tables - Part 3'!$CO$5,IF(GF20&gt;='Tables - Part 3'!$CK$9,'Tables - Part 3'!$CO$9,((COF!GF20-COF!GJ20)*(INDEX('Tables - Part 3'!$CO$5:$CO$9,MATCH(COF!GN20,'Tables - Part 3'!$CK$5:$CK$9,0))-INDEX('Tables - Part 3'!$CO$5:$CO$9,MATCH(COF!GJ20,'Tables - Part 3'!$CK$5:$CK$9,0)))/(GN20-GJ20)+INDEX('Tables - Part 3'!$CO$5:$CO$9,MATCH(COF!GJ20,'Tables - Part 3'!$CK$5:$CK$9,0)))))))</f>
        <v>#N/A</v>
      </c>
      <c r="HQ20" s="151" t="e">
        <f>IF(CB20=$TK$5,'Tables - Part 3'!$CO$10,IF(COF!CB20=COF!$TK$6,IF(GG20&lt;'Tables - Part 3'!$CK$5,'Tables - Part 3'!$CO$5,IF(GG20&gt;='Tables - Part 3'!$CK$9,'Tables - Part 3'!$CO$9,((COF!GG20-COF!GK20)*(INDEX('Tables - Part 3'!$CO$5:$CO$9,MATCH(COF!GO20,'Tables - Part 3'!$CK$5:$CK$9,0))-INDEX('Tables - Part 3'!$CO$5:$CO$9,MATCH(COF!GK20,'Tables - Part 3'!$CK$5:$CK$9,0)))/(GO20-GK20)+INDEX('Tables - Part 3'!$CO$5:$CO$9,MATCH(COF!GK20,'Tables - Part 3'!$CK$5:$CK$9,0)))))))</f>
        <v>#N/A</v>
      </c>
      <c r="HR20" s="151" t="e">
        <f>IF(CC20=$TK$5,'Tables - Part 3'!$CO$10,IF(COF!CC20=COF!$TK$6,IF(GH20&lt;'Tables - Part 3'!$CK$5,'Tables - Part 3'!$CO$5,IF(GH20&gt;='Tables - Part 3'!$CK$9,'Tables - Part 3'!$CO$9,((COF!GH20-COF!GL20)*(INDEX('Tables - Part 3'!$CO$5:$CO$9,MATCH(COF!GP20,'Tables - Part 3'!$CK$5:$CK$9,0))-INDEX('Tables - Part 3'!$CO$5:$CO$9,MATCH(COF!GL20,'Tables - Part 3'!$CK$5:$CK$9,0)))/(GP20-GL20)+INDEX('Tables - Part 3'!$CO$5:$CO$9,MATCH(COF!GL20,'Tables - Part 3'!$CK$5:$CK$9,0)))))))</f>
        <v>#N/A</v>
      </c>
      <c r="HS20" s="151" t="e">
        <f>IF(CD20=$TK$5,'Tables - Part 3'!$CO$10,IF(COF!CD20=COF!$TK$6,IF(GI20&lt;'Tables - Part 3'!$CK$5,'Tables - Part 3'!$CO$5,IF(GI20&gt;='Tables - Part 3'!$CK$9,'Tables - Part 3'!$CO$9,((COF!GI20-COF!GM20)*(INDEX('Tables - Part 3'!$CO$5:$CO$9,MATCH(COF!GQ20,'Tables - Part 3'!$CK$5:$CK$9,0))-INDEX('Tables - Part 3'!$CO$5:$CO$9,MATCH(COF!GM20,'Tables - Part 3'!$CK$5:$CK$9,0)))/(GQ20-GM20)+INDEX('Tables - Part 3'!$CO$5:$CO$9,MATCH(COF!GM20,'Tables - Part 3'!$CK$5:$CK$9,0)))))))</f>
        <v>#N/A</v>
      </c>
      <c r="HT20" s="151">
        <f t="shared" si="275"/>
        <v>0</v>
      </c>
      <c r="HU20" s="151">
        <f t="shared" si="75"/>
        <v>0</v>
      </c>
      <c r="HV20" s="151">
        <f t="shared" si="76"/>
        <v>0</v>
      </c>
      <c r="HW20" s="151">
        <f t="shared" si="77"/>
        <v>0</v>
      </c>
      <c r="HX20" s="151">
        <f t="shared" si="276"/>
        <v>0</v>
      </c>
      <c r="HY20" s="151">
        <f t="shared" si="79"/>
        <v>0</v>
      </c>
      <c r="HZ20" s="151">
        <f t="shared" si="80"/>
        <v>0</v>
      </c>
      <c r="IA20" s="151">
        <f t="shared" si="81"/>
        <v>0</v>
      </c>
      <c r="IB20" s="153" t="e">
        <f t="shared" si="82"/>
        <v>#N/A</v>
      </c>
      <c r="IC20" s="153" t="e">
        <f t="shared" si="83"/>
        <v>#N/A</v>
      </c>
      <c r="ID20" s="153" t="e">
        <f t="shared" si="84"/>
        <v>#N/A</v>
      </c>
      <c r="IE20" s="153" t="e">
        <f t="shared" si="85"/>
        <v>#N/A</v>
      </c>
      <c r="IF20" s="152" t="e">
        <f>IF(GF20&lt;'Tables - Part 3'!$CQ$5,0,LOOKUP(GF20,'Tables - Part 3'!$CQ$5:$CQ$16))</f>
        <v>#N/A</v>
      </c>
      <c r="IG20" s="152" t="e">
        <f>IF(GG20&lt;'Tables - Part 3'!$CQ$5,0,LOOKUP(GG20,'Tables - Part 3'!$CQ$5:$CQ$16))</f>
        <v>#N/A</v>
      </c>
      <c r="IH20" s="152" t="e">
        <f>IF(GH20&lt;'Tables - Part 3'!$CQ$5,0,LOOKUP(GH20,'Tables - Part 3'!$CQ$5:$CQ$16))</f>
        <v>#N/A</v>
      </c>
      <c r="II20" s="152" t="e">
        <f>IF(GI20&lt;'Tables - Part 3'!$CQ$5,0,LOOKUP(GI20,'Tables - Part 3'!$CQ$5:$CQ$16))</f>
        <v>#N/A</v>
      </c>
      <c r="IJ20" s="152" t="e">
        <f>IF(GF20&lt;'Tables - Part 3'!$CQ$5,'Tables - Part 3'!$CQ$5,IF(COF!GF20&lt;'Tables - Part 3'!$CQ$6,'Tables - Part 3'!$CQ$6,IF(COF!GF20&lt;'Tables - Part 3'!$CQ$7,'Tables - Part 3'!$CQ$7,IF(COF!GF20&lt;'Tables - Part 3'!$CQ$8,'Tables - Part 3'!$CQ$8,IF(COF!GF20&lt;'Tables - Part 3'!$CQ$9,'Tables - Part 3'!$CQ$9,IF(COF!GF20&lt;'Tables - Part 3'!$CQ$10,'Tables - Part 3'!$CQ$10,IF(COF!GF20&lt;'Tables - Part 3'!$CQ$11,'Tables - Part 3'!$CQ$11,IF(COF!GF20&lt;'Tables - Part 3'!$CQ$12,'Tables - Part 3'!$CQ$12,IF(COF!GF20&lt;'Tables - Part 3'!$CQ$13,'Tables - Part 3'!$CQ$13,IF(COF!GF20&lt;'Tables - Part 3'!$CQ$14,'Tables - Part 3'!$CQ$14,IF(COF!GF20&lt;'Tables - Part 3'!$CQ$15,'Tables - Part 3'!$CQ$15,IF(COF!GF20&lt;'Tables - Part 3'!$CQ$16,'Tables - Part 3'!$CQ$16))))))))))))</f>
        <v>#N/A</v>
      </c>
      <c r="IK20" s="152" t="e">
        <f>IF(GG20&lt;'Tables - Part 3'!$CQ$5,'Tables - Part 3'!$CQ$5,IF(COF!GG20&lt;'Tables - Part 3'!$CQ$6,'Tables - Part 3'!$CQ$6,IF(COF!GG20&lt;'Tables - Part 3'!$CQ$7,'Tables - Part 3'!$CQ$7,IF(COF!GG20&lt;'Tables - Part 3'!$CQ$8,'Tables - Part 3'!$CQ$8,IF(COF!GG20&lt;'Tables - Part 3'!$CQ$9,'Tables - Part 3'!$CQ$9,IF(COF!GG20&lt;'Tables - Part 3'!$CQ$10,'Tables - Part 3'!$CQ$10,IF(COF!GG20&lt;'Tables - Part 3'!$CQ$11,'Tables - Part 3'!$CQ$11,IF(COF!GG20&lt;'Tables - Part 3'!$CQ$12,'Tables - Part 3'!$CQ$12,IF(COF!GG20&lt;'Tables - Part 3'!$CQ$13,'Tables - Part 3'!$CQ$13,IF(COF!GG20&lt;'Tables - Part 3'!$CQ$14,'Tables - Part 3'!$CQ$14,IF(COF!GG20&lt;'Tables - Part 3'!$CQ$15,'Tables - Part 3'!$CQ$15,IF(COF!GG20&lt;'Tables - Part 3'!$CQ$16,'Tables - Part 3'!$CQ$16))))))))))))</f>
        <v>#N/A</v>
      </c>
      <c r="IL20" s="152" t="e">
        <f>IF(GH20&lt;'Tables - Part 3'!$CQ$5,'Tables - Part 3'!$CQ$5,IF(COF!GH20&lt;'Tables - Part 3'!$CQ$6,'Tables - Part 3'!$CQ$6,IF(COF!GH20&lt;'Tables - Part 3'!$CQ$7,'Tables - Part 3'!$CQ$7,IF(COF!GH20&lt;'Tables - Part 3'!$CQ$8,'Tables - Part 3'!$CQ$8,IF(COF!GH20&lt;'Tables - Part 3'!$CQ$9,'Tables - Part 3'!$CQ$9,IF(COF!GH20&lt;'Tables - Part 3'!$CQ$10,'Tables - Part 3'!$CQ$10,IF(COF!GH20&lt;'Tables - Part 3'!$CQ$11,'Tables - Part 3'!$CQ$11,IF(COF!GH20&lt;'Tables - Part 3'!$CQ$12,'Tables - Part 3'!$CQ$12,IF(COF!GH20&lt;'Tables - Part 3'!$CQ$13,'Tables - Part 3'!$CQ$13,IF(COF!GH20&lt;'Tables - Part 3'!$CQ$14,'Tables - Part 3'!$CQ$14,IF(COF!GH20&lt;'Tables - Part 3'!$CQ$15,'Tables - Part 3'!$CQ$15,IF(COF!GH20&lt;'Tables - Part 3'!$CQ$16,'Tables - Part 3'!$CQ$16))))))))))))</f>
        <v>#N/A</v>
      </c>
      <c r="IM20" s="152" t="e">
        <f>IF(GI20&lt;'Tables - Part 3'!$CQ$5,'Tables - Part 3'!$CQ$5,IF(COF!GI20&lt;'Tables - Part 3'!$CQ$6,'Tables - Part 3'!$CQ$6,IF(COF!GI20&lt;'Tables - Part 3'!$CQ$7,'Tables - Part 3'!$CQ$7,IF(COF!GI20&lt;'Tables - Part 3'!$CQ$8,'Tables - Part 3'!$CQ$8,IF(COF!GI20&lt;'Tables - Part 3'!$CQ$9,'Tables - Part 3'!$CQ$9,IF(COF!GI20&lt;'Tables - Part 3'!$CQ$10,'Tables - Part 3'!$CQ$10,IF(COF!GI20&lt;'Tables - Part 3'!$CQ$11,'Tables - Part 3'!$CQ$11,IF(COF!GI20&lt;'Tables - Part 3'!$CQ$12,'Tables - Part 3'!$CQ$12,IF(COF!GI20&lt;'Tables - Part 3'!$CQ$13,'Tables - Part 3'!$CQ$13,IF(COF!GI20&lt;'Tables - Part 3'!$CQ$14,'Tables - Part 3'!$CQ$14,IF(COF!GI20&lt;'Tables - Part 3'!$CQ$15,'Tables - Part 3'!$CQ$15,IF(COF!GI20&lt;'Tables - Part 3'!$CQ$16,'Tables - Part 3'!$CQ$16))))))))))))</f>
        <v>#N/A</v>
      </c>
      <c r="IN20" s="151" t="e">
        <f>IF(CA20=$TK$5,'Tables - Part 3'!$CR$17,IF(COF!CA20=COF!$TK$6,IF(COF!GF20&lt;'Tables - Part 3'!$CQ$5,'Tables - Part 3'!$CR$5,IF(GF20&gt;='Tables - Part 3'!$CQ$16,'Tables - Part 3'!$CR$16,((COF!GF20-COF!IF20)*(INDEX('Tables - Part 3'!$CR$5:$CR$16,MATCH(COF!IJ20,'Tables - Part 3'!$CQ$5:$CQ$16,0))-INDEX('Tables - Part 3'!$CR$5:$CR$16,MATCH(COF!IF20,'Tables - Part 3'!$CQ$5:$CQ$16,0)))/(IJ20-IF20)+INDEX('Tables - Part 3'!$CR$5:$CR$16,MATCH(COF!IF20,'Tables - Part 3'!$CQ$5:$CQ$16,0)))))))</f>
        <v>#N/A</v>
      </c>
      <c r="IO20" s="151" t="e">
        <f>IF(CB20=$TK$5,'Tables - Part 3'!$CR$17,IF(COF!CB20=COF!$TK$6,IF(COF!GG20&lt;'Tables - Part 3'!$CQ$5,'Tables - Part 3'!$CR$5,IF(GG20&gt;='Tables - Part 3'!$CQ$16,'Tables - Part 3'!$CR$16,((COF!GG20-COF!IG20)*(INDEX('Tables - Part 3'!$CR$5:$CR$16,MATCH(COF!IK20,'Tables - Part 3'!$CQ$5:$CQ$16,0))-INDEX('Tables - Part 3'!$CR$5:$CR$16,MATCH(COF!IG20,'Tables - Part 3'!$CQ$5:$CQ$16,0)))/(IK20-IG20)+INDEX('Tables - Part 3'!$CR$5:$CR$16,MATCH(COF!IG20,'Tables - Part 3'!$CQ$5:$CQ$16,0)))))))</f>
        <v>#N/A</v>
      </c>
      <c r="IP20" s="151" t="e">
        <f>IF(CC20=$TK$5,'Tables - Part 3'!$CR$17,IF(COF!CC20=COF!$TK$6,IF(COF!GH20&lt;'Tables - Part 3'!$CQ$5,'Tables - Part 3'!$CR$5,IF(GH20&gt;='Tables - Part 3'!$CQ$16,'Tables - Part 3'!$CR$16,((COF!GH20-COF!IH20)*(INDEX('Tables - Part 3'!$CR$5:$CR$16,MATCH(COF!IL20,'Tables - Part 3'!$CQ$5:$CQ$16,0))-INDEX('Tables - Part 3'!$CR$5:$CR$16,MATCH(COF!IH20,'Tables - Part 3'!$CQ$5:$CQ$16,0)))/(IL20-IH20)+INDEX('Tables - Part 3'!$CR$5:$CR$16,MATCH(COF!IH20,'Tables - Part 3'!$CQ$5:$CQ$16,0)))))))</f>
        <v>#N/A</v>
      </c>
      <c r="IQ20" s="151" t="e">
        <f>IF(CD20=$TK$5,'Tables - Part 3'!$CR$17,IF(COF!CD20=COF!$TK$6,IF(COF!GI20&lt;'Tables - Part 3'!$CQ$5,'Tables - Part 3'!$CR$5,IF(GI20&gt;='Tables - Part 3'!$CQ$16,'Tables - Part 3'!$CR$16,((COF!GI20-COF!II20)*(INDEX('Tables - Part 3'!$CR$5:$CR$16,MATCH(COF!IM20,'Tables - Part 3'!$CQ$5:$CQ$16,0))-INDEX('Tables - Part 3'!$CR$5:$CR$16,MATCH(COF!II20,'Tables - Part 3'!$CQ$5:$CQ$16,0)))/(IM20-II20)+INDEX('Tables - Part 3'!$CR$5:$CR$16,MATCH(COF!II20,'Tables - Part 3'!$CQ$5:$CQ$16,0)))))))</f>
        <v>#N/A</v>
      </c>
      <c r="IR20" s="151" t="e">
        <f>IF(CA20=$TK$5,'Tables - Part 3'!$CS$17,IF(COF!CA20=COF!$TK$6,IF(COF!GF20&lt;'Tables - Part 3'!$CQ$5,'Tables - Part 3'!$CS$5,IF(GF20&gt;='Tables - Part 3'!$CQ$16,'Tables - Part 3'!$CS$16,((COF!GF20-COF!IF20)*(INDEX('Tables - Part 3'!$CS$5:$CS$16,MATCH(COF!IJ20,'Tables - Part 3'!$CQ$5:$CQ$16,0))-INDEX('Tables - Part 3'!$CS$5:$CS$16,MATCH(COF!IF20,'Tables - Part 3'!$CQ$5:$CQ$16,0)))/(IJ20-IF20)+INDEX('Tables - Part 3'!$CS$5:$CS$16,MATCH(COF!IF20,'Tables - Part 3'!$CQ$5:$CQ$16,0)))))))</f>
        <v>#N/A</v>
      </c>
      <c r="IS20" s="151" t="e">
        <f>IF(CB20=$TK$5,'Tables - Part 3'!$CS$17,IF(COF!CB20=COF!$TK$6,IF(COF!GG20&lt;'Tables - Part 3'!$CQ$5,'Tables - Part 3'!$CS$5,IF(GG20&gt;='Tables - Part 3'!$CQ$16,'Tables - Part 3'!$CS$16,((COF!GG20-COF!IG20)*(INDEX('Tables - Part 3'!$CS$5:$CS$16,MATCH(COF!IK20,'Tables - Part 3'!$CQ$5:$CQ$16,0))-INDEX('Tables - Part 3'!$CS$5:$CS$16,MATCH(COF!IG20,'Tables - Part 3'!$CQ$5:$CQ$16,0)))/(IK20-IG20)+INDEX('Tables - Part 3'!$CS$5:$CS$16,MATCH(COF!IG20,'Tables - Part 3'!$CQ$5:$CQ$16,0)))))))</f>
        <v>#N/A</v>
      </c>
      <c r="IT20" s="151" t="e">
        <f>IF(CC20=$TK$5,'Tables - Part 3'!$CS$17,IF(COF!CC20=COF!$TK$6,IF(COF!GH20&lt;'Tables - Part 3'!$CQ$5,'Tables - Part 3'!$CS$5,IF(GH20&gt;='Tables - Part 3'!$CQ$16,'Tables - Part 3'!$CS$16,((COF!GH20-COF!IH20)*(INDEX('Tables - Part 3'!$CS$5:$CS$16,MATCH(COF!IL20,'Tables - Part 3'!$CQ$5:$CQ$16,0))-INDEX('Tables - Part 3'!$CS$5:$CS$16,MATCH(COF!IH20,'Tables - Part 3'!$CQ$5:$CQ$16,0)))/(IL20-IH20)+INDEX('Tables - Part 3'!$CS$5:$CS$16,MATCH(COF!IH20,'Tables - Part 3'!$CQ$5:$CQ$16,0)))))))</f>
        <v>#N/A</v>
      </c>
      <c r="IU20" s="151" t="e">
        <f>IF(CD20=$TK$5,'Tables - Part 3'!$CS$17,IF(COF!CD20=COF!$TK$6,IF(COF!GI20&lt;'Tables - Part 3'!$CQ$5,'Tables - Part 3'!$CS$5,IF(GI20&gt;='Tables - Part 3'!$CQ$16,'Tables - Part 3'!$CS$16,((COF!GI20-COF!II20)*(INDEX('Tables - Part 3'!$CS$5:$CS$16,MATCH(COF!IM20,'Tables - Part 3'!$CQ$5:$CQ$16,0))-INDEX('Tables - Part 3'!$CS$5:$CS$16,MATCH(COF!II20,'Tables - Part 3'!$CQ$5:$CQ$16,0)))/(IM20-II20)+INDEX('Tables - Part 3'!$CS$5:$CS$16,MATCH(COF!II20,'Tables - Part 3'!$CQ$5:$CQ$16,0)))))))</f>
        <v>#N/A</v>
      </c>
      <c r="IV20" s="151">
        <f t="shared" si="277"/>
        <v>0</v>
      </c>
      <c r="IW20" s="151">
        <f t="shared" si="87"/>
        <v>0</v>
      </c>
      <c r="IX20" s="151">
        <f t="shared" si="88"/>
        <v>0</v>
      </c>
      <c r="IY20" s="151">
        <f t="shared" si="89"/>
        <v>0</v>
      </c>
      <c r="IZ20" s="151">
        <f t="shared" si="278"/>
        <v>0</v>
      </c>
      <c r="JA20" s="151">
        <f t="shared" si="91"/>
        <v>0</v>
      </c>
      <c r="JB20" s="151">
        <f t="shared" si="92"/>
        <v>0</v>
      </c>
      <c r="JC20" s="151">
        <f t="shared" si="93"/>
        <v>0</v>
      </c>
      <c r="JD20" s="151" t="e">
        <f t="shared" si="94"/>
        <v>#N/A</v>
      </c>
      <c r="JE20" s="151" t="e">
        <f t="shared" si="95"/>
        <v>#N/A</v>
      </c>
      <c r="JF20" s="151" t="e">
        <f t="shared" si="96"/>
        <v>#N/A</v>
      </c>
      <c r="JG20" s="151" t="e">
        <f t="shared" si="97"/>
        <v>#N/A</v>
      </c>
      <c r="JH20" s="151" t="e">
        <f>IF(CA20=$TK$5,'Tables - Part 3'!$CT$17,IF(COF!CA20=COF!$TK$6,IF(COF!GF20&lt;'Tables - Part 3'!$CQ$5,'Tables - Part 3'!$CT$5,IF(GF20&gt;='Tables - Part 3'!$CQ$16,'Tables - Part 3'!$CT$16,((COF!GF20-COF!IF20)*(INDEX('Tables - Part 3'!$CT$5:$CT$16,MATCH(COF!IJ20,'Tables - Part 3'!$CQ$5:$CQ$16,0))-INDEX('Tables - Part 3'!$CT$5:$CT$16,MATCH(COF!IF20,'Tables - Part 3'!$CQ$5:$CQ$16,0)))/(IJ20-IF20)+INDEX('Tables - Part 3'!$CT$5:$CT$16,MATCH(COF!IF20,'Tables - Part 3'!$CQ$5:$CQ$16,0)))))))</f>
        <v>#N/A</v>
      </c>
      <c r="JI20" s="151" t="e">
        <f>IF(CB20=$TK$5,'Tables - Part 3'!$CT$17,IF(COF!CB20=COF!$TK$6,IF(COF!GG20&lt;'Tables - Part 3'!$CQ$5,'Tables - Part 3'!$CT$5,IF(GG20&gt;='Tables - Part 3'!$CQ$16,'Tables - Part 3'!$CT$16,((COF!GG20-COF!IG20)*(INDEX('Tables - Part 3'!$CT$5:$CT$16,MATCH(COF!IK20,'Tables - Part 3'!$CQ$5:$CQ$16,0))-INDEX('Tables - Part 3'!$CT$5:$CT$16,MATCH(COF!IG20,'Tables - Part 3'!$CQ$5:$CQ$16,0)))/(IK20-IG20)+INDEX('Tables - Part 3'!$CT$5:$CT$16,MATCH(COF!IG20,'Tables - Part 3'!$CQ$5:$CQ$16,0)))))))</f>
        <v>#N/A</v>
      </c>
      <c r="JJ20" s="151" t="e">
        <f>IF(CC20=$TK$5,'Tables - Part 3'!$CT$17,IF(COF!CC20=COF!$TK$6,IF(COF!GH20&lt;'Tables - Part 3'!$CQ$5,'Tables - Part 3'!$CT$5,IF(GH20&gt;='Tables - Part 3'!$CQ$16,'Tables - Part 3'!$CT$16,((COF!GH20-COF!IH20)*(INDEX('Tables - Part 3'!$CT$5:$CT$16,MATCH(COF!IL20,'Tables - Part 3'!$CQ$5:$CQ$16,0))-INDEX('Tables - Part 3'!$CT$5:$CT$16,MATCH(COF!IH20,'Tables - Part 3'!$CQ$5:$CQ$16,0)))/(IL20-IH20)+INDEX('Tables - Part 3'!$CT$5:$CT$16,MATCH(COF!IH20,'Tables - Part 3'!$CQ$5:$CQ$16,0)))))))</f>
        <v>#N/A</v>
      </c>
      <c r="JK20" s="151" t="e">
        <f>IF(CD20=$TK$5,'Tables - Part 3'!$CT$17,IF(COF!CD20=COF!$TK$6,IF(COF!GI20&lt;'Tables - Part 3'!$CQ$5,'Tables - Part 3'!$CT$5,IF(GI20&gt;='Tables - Part 3'!$CQ$16,'Tables - Part 3'!$CT$16,((COF!GI20-COF!II20)*(INDEX('Tables - Part 3'!$CT$5:$CT$16,MATCH(COF!IM20,'Tables - Part 3'!$CQ$5:$CQ$16,0))-INDEX('Tables - Part 3'!$CT$5:$CT$16,MATCH(COF!II20,'Tables - Part 3'!$CQ$5:$CQ$16,0)))/(IM20-II20)+INDEX('Tables - Part 3'!$CT$5:$CT$16,MATCH(COF!II20,'Tables - Part 3'!$CQ$5:$CQ$16,0)))))))</f>
        <v>#N/A</v>
      </c>
      <c r="JL20" s="151" t="e">
        <f>IF(CA20=$TK$5,'Tables - Part 3'!$CU$17,IF(COF!CA20=COF!$TK$6,IF(COF!GF20&lt;'Tables - Part 3'!$CQ$5,'Tables - Part 3'!$CU$5,IF(GF20&gt;='Tables - Part 3'!$CQ$16,'Tables - Part 3'!$CU$16,((COF!GF20-COF!IF20)*(INDEX('Tables - Part 3'!$CU$5:$CU$16,MATCH(COF!IJ20,'Tables - Part 3'!$CQ$5:$CQ$16,0))-INDEX('Tables - Part 3'!$CU$5:$CU$16,MATCH(COF!IF20,'Tables - Part 3'!$CQ$5:$CQ$16,0)))/(IJ20-IF20)+INDEX('Tables - Part 3'!$CU$5:$CU$16,MATCH(COF!IF20,'Tables - Part 3'!$CQ$5:$CQ$16,0)))))))</f>
        <v>#N/A</v>
      </c>
      <c r="JM20" s="151" t="e">
        <f>IF(CB20=$TK$5,'Tables - Part 3'!$CU$17,IF(COF!CB20=COF!$TK$6,IF(COF!GG20&lt;'Tables - Part 3'!$CQ$5,'Tables - Part 3'!$CU$5,IF(GG20&gt;='Tables - Part 3'!$CQ$16,'Tables - Part 3'!$CU$16,((COF!GG20-COF!IG20)*(INDEX('Tables - Part 3'!$CU$5:$CU$16,MATCH(COF!IK20,'Tables - Part 3'!$CQ$5:$CQ$16,0))-INDEX('Tables - Part 3'!$CU$5:$CU$16,MATCH(COF!IG20,'Tables - Part 3'!$CQ$5:$CQ$16,0)))/(IK20-IG20)+INDEX('Tables - Part 3'!$CU$5:$CU$16,MATCH(COF!IG20,'Tables - Part 3'!$CQ$5:$CQ$16,0)))))))</f>
        <v>#N/A</v>
      </c>
      <c r="JN20" s="151" t="e">
        <f>IF(CC20=$TK$5,'Tables - Part 3'!$CU$17,IF(COF!CC20=COF!$TK$6,IF(COF!GH20&lt;'Tables - Part 3'!$CQ$5,'Tables - Part 3'!$CU$5,IF(GH20&gt;='Tables - Part 3'!$CQ$16,'Tables - Part 3'!$CU$16,((COF!GH20-COF!IH20)*(INDEX('Tables - Part 3'!$CU$5:$CU$16,MATCH(COF!IL20,'Tables - Part 3'!$CQ$5:$CQ$16,0))-INDEX('Tables - Part 3'!$CU$5:$CU$16,MATCH(COF!IH20,'Tables - Part 3'!$CQ$5:$CQ$16,0)))/(IL20-IH20)+INDEX('Tables - Part 3'!$CU$5:$CU$16,MATCH(COF!IH20,'Tables - Part 3'!$CQ$5:$CQ$16,0)))))))</f>
        <v>#N/A</v>
      </c>
      <c r="JO20" s="151" t="e">
        <f>IF(CD20=$TK$5,'Tables - Part 3'!$CU$17,IF(COF!CD20=COF!$TK$6,IF(COF!GI20&lt;'Tables - Part 3'!$CQ$5,'Tables - Part 3'!$CU$5,IF(GI20&gt;='Tables - Part 3'!$CQ$16,'Tables - Part 3'!$CU$16,((COF!GI20-COF!II20)*(INDEX('Tables - Part 3'!$CU$5:$CU$16,MATCH(COF!IM20,'Tables - Part 3'!$CQ$5:$CQ$16,0))-INDEX('Tables - Part 3'!$CU$5:$CU$16,MATCH(COF!II20,'Tables - Part 3'!$CQ$5:$CQ$16,0)))/(IM20-II20)+INDEX('Tables - Part 3'!$CU$5:$CU$16,MATCH(COF!II20,'Tables - Part 3'!$CQ$5:$CQ$16,0)))))))</f>
        <v>#N/A</v>
      </c>
      <c r="JP20" s="282"/>
      <c r="JQ20" s="151">
        <f t="shared" si="279"/>
        <v>0</v>
      </c>
      <c r="JR20" s="151">
        <f t="shared" si="99"/>
        <v>0</v>
      </c>
      <c r="JS20" s="151">
        <f t="shared" si="100"/>
        <v>0</v>
      </c>
      <c r="JT20" s="151">
        <f t="shared" si="101"/>
        <v>0</v>
      </c>
      <c r="JU20" s="151" t="e">
        <f t="shared" si="204"/>
        <v>#N/A</v>
      </c>
      <c r="JV20" s="151" t="e">
        <f t="shared" si="205"/>
        <v>#N/A</v>
      </c>
      <c r="JW20" s="151" t="e">
        <f t="shared" si="206"/>
        <v>#N/A</v>
      </c>
      <c r="JX20" s="151" t="e">
        <f t="shared" si="207"/>
        <v>#N/A</v>
      </c>
      <c r="JY20" s="152" t="e">
        <f>IF(GF20&lt;'Tables - Part 3'!$CY$6,0,LOOKUP(GF20,'Tables - Part 3'!$CY$6:$CY$11))</f>
        <v>#N/A</v>
      </c>
      <c r="JZ20" s="152" t="e">
        <f>IF(GG20&lt;'Tables - Part 3'!$CY$6,0,LOOKUP(GG20,'Tables - Part 3'!$CY$6:$CY$11))</f>
        <v>#N/A</v>
      </c>
      <c r="KA20" s="152" t="e">
        <f>IF(GH20&lt;'Tables - Part 3'!$CY$6,0,LOOKUP(GH20,'Tables - Part 3'!$CY$6:$CY$11))</f>
        <v>#N/A</v>
      </c>
      <c r="KB20" s="152" t="e">
        <f>IF(GI20&lt;'Tables - Part 3'!$CY$6,0,LOOKUP(GI20,'Tables - Part 3'!$CY$6:$CY$11))</f>
        <v>#N/A</v>
      </c>
      <c r="KC20" s="152" t="e">
        <f>IF(GF20&lt;'Tables - Part 3'!$CY$6,'Tables - Part 3'!$CY$6,IF(COF!GF20&lt;'Tables - Part 3'!$CY$7,'Tables - Part 3'!$CY$7,IF(COF!GF20&lt;'Tables - Part 3'!$CY$8,'Tables - Part 3'!$CY$8,IF(COF!GF20&lt;'Tables - Part 3'!$CY$9,'Tables - Part 3'!$CY$9,IF(COF!GF20&lt;'Tables - Part 3'!$CY$10,'Tables - Part 3'!$CY$10,IF(COF!GF20&lt;'Tables - Part 3'!$CY$11,'Tables - Part 3'!$CY$11))))))</f>
        <v>#N/A</v>
      </c>
      <c r="KD20" s="152" t="e">
        <f>IF(GG20&lt;'Tables - Part 3'!$CY$6,'Tables - Part 3'!$CY$6,IF(COF!GG20&lt;'Tables - Part 3'!$CY$7,'Tables - Part 3'!$CY$7,IF(COF!GG20&lt;'Tables - Part 3'!$CY$8,'Tables - Part 3'!$CY$8,IF(COF!GG20&lt;'Tables - Part 3'!$CY$9,'Tables - Part 3'!$CY$9,IF(COF!GG20&lt;'Tables - Part 3'!$CY$10,'Tables - Part 3'!$CY$10,IF(COF!GG20&lt;'Tables - Part 3'!$CY$11,'Tables - Part 3'!$CY$11))))))</f>
        <v>#N/A</v>
      </c>
      <c r="KE20" s="152" t="e">
        <f>IF(GH20&lt;'Tables - Part 3'!$CY$6,'Tables - Part 3'!$CY$6,IF(COF!GH20&lt;'Tables - Part 3'!$CY$7,'Tables - Part 3'!$CY$7,IF(COF!GH20&lt;'Tables - Part 3'!$CY$8,'Tables - Part 3'!$CY$8,IF(COF!GH20&lt;'Tables - Part 3'!$CY$9,'Tables - Part 3'!$CY$9,IF(COF!GH20&lt;'Tables - Part 3'!$CY$10,'Tables - Part 3'!$CY$10,IF(COF!GH20&lt;'Tables - Part 3'!$CY$11,'Tables - Part 3'!$CY$11))))))</f>
        <v>#N/A</v>
      </c>
      <c r="KF20" s="152" t="e">
        <f>IF(GI20&lt;'Tables - Part 3'!$CY$6,'Tables - Part 3'!$CY$6,IF(COF!GI20&lt;'Tables - Part 3'!$CY$7,'Tables - Part 3'!$CY$7,IF(COF!GI20&lt;'Tables - Part 3'!$CY$8,'Tables - Part 3'!$CY$8,IF(COF!GI20&lt;'Tables - Part 3'!$CY$9,'Tables - Part 3'!$CY$9,IF(COF!GI20&lt;'Tables - Part 3'!$CY$10,'Tables - Part 3'!$CY$10,IF(COF!GI20&lt;'Tables - Part 3'!$CY$11,'Tables - Part 3'!$CY$11))))))</f>
        <v>#N/A</v>
      </c>
      <c r="KG20" s="151" t="e">
        <f>IF(CA20=$TK$5,'Tables - Part 3'!$CZ$6,IF(COF!CA20=COF!$TK$6,IF(COF!GF20&lt;'Tables - Part 3'!$CY$6,'Tables - Part 3'!$CZ$6,IF(GF20&gt;='Tables - Part 3'!$CY$11,'Tables - Part 3'!$CZ$11,((COF!GF20-COF!JY20)*(INDEX('Tables - Part 3'!$CZ$6:$CZ$11,MATCH(COF!KC20,'Tables - Part 3'!$CY$6:$CY$11,0))-INDEX('Tables - Part 3'!$CZ$6:$CZ$11,MATCH(COF!JY20,'Tables - Part 3'!$CY$6:$CY$11,0)))/(KC20-JY20)+INDEX('Tables - Part 3'!$CZ$6:$CZ$11,MATCH(COF!JY20,'Tables - Part 3'!$CY$6:$CY$11,0)))))))</f>
        <v>#N/A</v>
      </c>
      <c r="KH20" s="151" t="e">
        <f>IF(CB20=$TK$5,'Tables - Part 3'!$CZ$6,IF(COF!CB20=COF!$TK$6,IF(COF!GG20&lt;'Tables - Part 3'!$CY$6,'Tables - Part 3'!$CZ$6,IF(GG20&gt;='Tables - Part 3'!$CY$11,'Tables - Part 3'!$CZ$11,((COF!GG20-COF!JZ20)*(INDEX('Tables - Part 3'!$CZ$6:$CZ$11,MATCH(COF!KD20,'Tables - Part 3'!$CY$6:$CY$11,0))-INDEX('Tables - Part 3'!$CZ$6:$CZ$11,MATCH(COF!JZ20,'Tables - Part 3'!$CY$6:$CY$11,0)))/(KD20-JZ20)+INDEX('Tables - Part 3'!$CZ$6:$CZ$11,MATCH(COF!JZ20,'Tables - Part 3'!$CY$6:$CY$11,0)))))))</f>
        <v>#N/A</v>
      </c>
      <c r="KI20" s="151" t="e">
        <f>IF(CC20=$TK$5,'Tables - Part 3'!$CZ$6,IF(COF!CC20=COF!$TK$6,IF(COF!GH20&lt;'Tables - Part 3'!$CY$6,'Tables - Part 3'!$CZ$6,IF(GH20&gt;='Tables - Part 3'!$CY$11,'Tables - Part 3'!$CZ$11,((COF!GH20-COF!KA20)*(INDEX('Tables - Part 3'!$CZ$6:$CZ$11,MATCH(COF!KE20,'Tables - Part 3'!$CY$6:$CY$11,0))-INDEX('Tables - Part 3'!$CZ$6:$CZ$11,MATCH(COF!KA20,'Tables - Part 3'!$CY$6:$CY$11,0)))/(KE20-KA20)+INDEX('Tables - Part 3'!$CZ$6:$CZ$11,MATCH(COF!KA20,'Tables - Part 3'!$CY$6:$CY$11,0)))))))</f>
        <v>#N/A</v>
      </c>
      <c r="KJ20" s="151" t="e">
        <f>IF(CD20=$TK$5,'Tables - Part 3'!$CZ$6,IF(COF!CD20=COF!$TK$6,IF(COF!GI20&lt;'Tables - Part 3'!$CY$6,'Tables - Part 3'!$CZ$6,IF(GI20&gt;='Tables - Part 3'!$CY$11,'Tables - Part 3'!$CZ$11,((COF!GI20-COF!KB20)*(INDEX('Tables - Part 3'!$CZ$6:$CZ$11,MATCH(COF!KF20,'Tables - Part 3'!$CY$6:$CY$11,0))-INDEX('Tables - Part 3'!$CZ$6:$CZ$11,MATCH(COF!KB20,'Tables - Part 3'!$CY$6:$CY$11,0)))/(KF20-KB20)+INDEX('Tables - Part 3'!$CZ$6:$CZ$11,MATCH(COF!KB20,'Tables - Part 3'!$CY$6:$CY$11,0)))))))</f>
        <v>#N/A</v>
      </c>
      <c r="KK20" s="153" t="e">
        <f>IF(CA20=$TK$5,'Tables - Part 3'!$DA$6,IF(COF!CA20=COF!$TK$6,IF(COF!GF20&lt;'Tables - Part 3'!$CY$6,'Tables - Part 3'!$DA$6,IF(GF20&gt;='Tables - Part 3'!$CY$11,'Tables - Part 3'!$DA$11,((COF!GF20-COF!JY20)*(INDEX('Tables - Part 3'!$DA$6:$DA$11,MATCH(COF!KC20,'Tables - Part 3'!$CY$6:$CY$11,0))-INDEX('Tables - Part 3'!$DA$6:$DA$11,MATCH(COF!JY20,'Tables - Part 3'!$CY$6:$CY$11,0)))/(KC20-JY20)+INDEX('Tables - Part 3'!$DA$6:$DA$16,MATCH(COF!JY20,'Tables - Part 3'!$CY$6:$CY$11,0)))))))</f>
        <v>#N/A</v>
      </c>
      <c r="KL20" s="153" t="e">
        <f>IF(CB20=$TK$5,'Tables - Part 3'!$DA$6,IF(COF!CB20=COF!$TK$6,IF(COF!GG20&lt;'Tables - Part 3'!$CY$6,'Tables - Part 3'!$DA$6,IF(GG20&gt;='Tables - Part 3'!$CY$11,'Tables - Part 3'!$DA$11,((COF!GG20-COF!JZ20)*(INDEX('Tables - Part 3'!$DA$6:$DA$11,MATCH(COF!KD20,'Tables - Part 3'!$CY$6:$CY$11,0))-INDEX('Tables - Part 3'!$DA$6:$DA$11,MATCH(COF!JZ20,'Tables - Part 3'!$CY$6:$CY$11,0)))/(KD20-JZ20)+INDEX('Tables - Part 3'!$DA$6:$DA$16,MATCH(COF!JZ20,'Tables - Part 3'!$CY$6:$CY$11,0)))))))</f>
        <v>#N/A</v>
      </c>
      <c r="KM20" s="153" t="e">
        <f>IF(CC20=$TK$5,'Tables - Part 3'!$DA$6,IF(COF!CC20=COF!$TK$6,IF(COF!GH20&lt;'Tables - Part 3'!$CY$6,'Tables - Part 3'!$DA$6,IF(GH20&gt;='Tables - Part 3'!$CY$11,'Tables - Part 3'!$DA$11,((COF!GH20-COF!KA20)*(INDEX('Tables - Part 3'!$DA$6:$DA$11,MATCH(COF!KE20,'Tables - Part 3'!$CY$6:$CY$11,0))-INDEX('Tables - Part 3'!$DA$6:$DA$11,MATCH(COF!KA20,'Tables - Part 3'!$CY$6:$CY$11,0)))/(KE20-KA20)+INDEX('Tables - Part 3'!$DA$6:$DA$16,MATCH(COF!KA20,'Tables - Part 3'!$CY$6:$CY$11,0)))))))</f>
        <v>#N/A</v>
      </c>
      <c r="KN20" s="153" t="e">
        <f>IF(CD20=$TK$5,'Tables - Part 3'!$DA$6,IF(COF!CD20=COF!$TK$6,IF(COF!GI20&lt;'Tables - Part 3'!$CY$6,'Tables - Part 3'!$DA$6,IF(GI20&gt;='Tables - Part 3'!$CY$11,'Tables - Part 3'!$DA$11,((COF!GI20-COF!KB20)*(INDEX('Tables - Part 3'!$DA$6:$DA$11,MATCH(COF!KF20,'Tables - Part 3'!$CY$6:$CY$11,0))-INDEX('Tables - Part 3'!$DA$6:$DA$11,MATCH(COF!KB20,'Tables - Part 3'!$CY$6:$CY$11,0)))/(KF20-KB20)+INDEX('Tables - Part 3'!$DA$6:$DA$16,MATCH(COF!KB20,'Tables - Part 3'!$CY$6:$CY$11,0)))))))</f>
        <v>#N/A</v>
      </c>
      <c r="KO20" s="153">
        <f t="shared" si="280"/>
        <v>0</v>
      </c>
      <c r="KP20" s="153">
        <f t="shared" si="103"/>
        <v>0</v>
      </c>
      <c r="KQ20" s="153">
        <f t="shared" si="104"/>
        <v>0</v>
      </c>
      <c r="KR20" s="153">
        <f t="shared" si="105"/>
        <v>0</v>
      </c>
      <c r="KS20" s="151" t="e">
        <f t="shared" si="208"/>
        <v>#N/A</v>
      </c>
      <c r="KT20" s="151" t="e">
        <f t="shared" si="209"/>
        <v>#N/A</v>
      </c>
      <c r="KU20" s="151" t="e">
        <f t="shared" si="210"/>
        <v>#N/A</v>
      </c>
      <c r="KV20" s="151" t="e">
        <f t="shared" si="211"/>
        <v>#N/A</v>
      </c>
      <c r="KW20" s="151" t="e">
        <f>IF(CA20=$TK$5,'Tables - Part 3'!$CZ$12,IF(COF!CA20=COF!$TK$6,IF(COF!GF20&lt;'Tables - Part 3'!$CY$12,'Tables - Part 3'!$CZ$12,IF(GF20&gt;='Tables - Part 3'!$CY$17,'Tables - Part 3'!$CZ$17,((COF!GF20-COF!JY20)*(INDEX('Tables - Part 3'!$CZ$12:$CZ$17,MATCH(COF!KC20,'Tables - Part 3'!$CY$12:$CY$17,0))-INDEX('Tables - Part 3'!$CZ$12:$CZ$17,MATCH(COF!JY20,'Tables - Part 3'!$CY$12:$CY$17,0)))/(KC20-JY20)+INDEX('Tables - Part 3'!$CZ$12:$CZ$17,MATCH(COF!JY20,'Tables - Part 3'!$CY$12:$CY$17,0)))))))</f>
        <v>#N/A</v>
      </c>
      <c r="KX20" s="151" t="e">
        <f>IF(CB20=$TK$5,'Tables - Part 3'!$CZ$12,IF(COF!CB20=COF!$TK$6,IF(COF!GG20&lt;'Tables - Part 3'!$CY$12,'Tables - Part 3'!$CZ$12,IF(GG20&gt;='Tables - Part 3'!$CY$17,'Tables - Part 3'!$CZ$17,((COF!GG20-COF!JZ20)*(INDEX('Tables - Part 3'!$CZ$12:$CZ$17,MATCH(COF!KD20,'Tables - Part 3'!$CY$12:$CY$17,0))-INDEX('Tables - Part 3'!$CZ$12:$CZ$17,MATCH(COF!JZ20,'Tables - Part 3'!$CY$12:$CY$17,0)))/(KD20-JZ20)+INDEX('Tables - Part 3'!$CZ$12:$CZ$17,MATCH(COF!JZ20,'Tables - Part 3'!$CY$12:$CY$17,0)))))))</f>
        <v>#N/A</v>
      </c>
      <c r="KY20" s="151" t="e">
        <f>IF(CC20=$TK$5,'Tables - Part 3'!$CZ$12,IF(COF!CC20=COF!$TK$6,IF(COF!GH20&lt;'Tables - Part 3'!$CY$12,'Tables - Part 3'!$CZ$12,IF(GH20&gt;='Tables - Part 3'!$CY$17,'Tables - Part 3'!$CZ$17,((COF!GH20-COF!KA20)*(INDEX('Tables - Part 3'!$CZ$12:$CZ$17,MATCH(COF!KE20,'Tables - Part 3'!$CY$12:$CY$17,0))-INDEX('Tables - Part 3'!$CZ$12:$CZ$17,MATCH(COF!KA20,'Tables - Part 3'!$CY$12:$CY$17,0)))/(KE20-KA20)+INDEX('Tables - Part 3'!$CZ$12:$CZ$17,MATCH(COF!KA20,'Tables - Part 3'!$CY$12:$CY$17,0)))))))</f>
        <v>#N/A</v>
      </c>
      <c r="KZ20" s="151" t="e">
        <f>IF(CD20=$TK$5,'Tables - Part 3'!$CZ$12,IF(COF!CD20=COF!$TK$6,IF(COF!GI20&lt;'Tables - Part 3'!$CY$12,'Tables - Part 3'!$CZ$12,IF(GI20&gt;='Tables - Part 3'!$CY$17,'Tables - Part 3'!$CZ$17,((COF!GI20-COF!KB20)*(INDEX('Tables - Part 3'!$CZ$12:$CZ$17,MATCH(COF!KF20,'Tables - Part 3'!$CY$12:$CY$17,0))-INDEX('Tables - Part 3'!$CZ$12:$CZ$17,MATCH(COF!KB20,'Tables - Part 3'!$CY$12:$CY$17,0)))/(KF20-KB20)+INDEX('Tables - Part 3'!$CZ$12:$CZ$17,MATCH(COF!KB20,'Tables - Part 3'!$CY$12:$CY$17,0)))))))</f>
        <v>#N/A</v>
      </c>
      <c r="LA20" s="151" t="e">
        <f>IF(CA20=$TK$5,'Tables - Part 3'!$DA$6,IF(COF!CA20=COF!$TK$6,IF(COF!GF20&lt;'Tables - Part 3'!$CY$6,'Tables - Part 3'!$DA$6,IF(GF20&gt;='Tables - Part 3'!$CY$11,'Tables - Part 3'!$DA$11,((COF!GF20-COF!JY20)*(INDEX('Tables - Part 3'!$DA$6:$DA$11,MATCH(COF!KC20,'Tables - Part 3'!$CY$6:$CY$11,0))-INDEX('Tables - Part 3'!$DA$6:$DA$11,MATCH(COF!JY20,'Tables - Part 3'!$CY$6:$CY$11,0)))/(KC20-JY20)+INDEX('Tables - Part 3'!$DA$5:$DA$16,MATCH(COF!JY20,'Tables - Part 3'!$CY$6:$CY$11,0)))))))</f>
        <v>#N/A</v>
      </c>
      <c r="LB20" s="151" t="e">
        <f>IF(CB20=$TK$5,'Tables - Part 3'!$DA$6,IF(COF!CB20=COF!$TK$6,IF(COF!GG20&lt;'Tables - Part 3'!$CY$6,'Tables - Part 3'!$DA$6,IF(GG20&gt;='Tables - Part 3'!$CY$11,'Tables - Part 3'!$DA$11,((COF!GG20-COF!JZ20)*(INDEX('Tables - Part 3'!$DA$6:$DA$11,MATCH(COF!KD20,'Tables - Part 3'!$CY$6:$CY$11,0))-INDEX('Tables - Part 3'!$DA$6:$DA$11,MATCH(COF!JZ20,'Tables - Part 3'!$CY$6:$CY$11,0)))/(KD20-JZ20)+INDEX('Tables - Part 3'!$DA$5:$DA$16,MATCH(COF!JZ20,'Tables - Part 3'!$CY$6:$CY$11,0)))))))</f>
        <v>#N/A</v>
      </c>
      <c r="LC20" s="151" t="e">
        <f>IF(CC20=$TK$5,'Tables - Part 3'!$DA$6,IF(COF!CC20=COF!$TK$6,IF(COF!GH20&lt;'Tables - Part 3'!$CY$6,'Tables - Part 3'!$DA$6,IF(GH20&gt;='Tables - Part 3'!$CY$11,'Tables - Part 3'!$DA$11,((COF!GH20-COF!KA20)*(INDEX('Tables - Part 3'!$DA$6:$DA$11,MATCH(COF!KE20,'Tables - Part 3'!$CY$6:$CY$11,0))-INDEX('Tables - Part 3'!$DA$6:$DA$11,MATCH(COF!KA20,'Tables - Part 3'!$CY$6:$CY$11,0)))/(KE20-KA20)+INDEX('Tables - Part 3'!$DA$5:$DA$16,MATCH(COF!KA20,'Tables - Part 3'!$CY$6:$CY$11,0)))))))</f>
        <v>#N/A</v>
      </c>
      <c r="LD20" s="151" t="e">
        <f>IF(CD20=$TK$5,'Tables - Part 3'!$DA$6,IF(COF!CD20=COF!$TK$6,IF(COF!GI20&lt;'Tables - Part 3'!$CY$6,'Tables - Part 3'!$DA$6,IF(GI20&gt;='Tables - Part 3'!$CY$11,'Tables - Part 3'!$DA$11,((COF!GI20-COF!KB20)*(INDEX('Tables - Part 3'!$DA$6:$DA$11,MATCH(COF!KF20,'Tables - Part 3'!$CY$6:$CY$11,0))-INDEX('Tables - Part 3'!$DA$6:$DA$11,MATCH(COF!KB20,'Tables - Part 3'!$CY$6:$CY$11,0)))/(KF20-KB20)+INDEX('Tables - Part 3'!$DA$5:$DA$16,MATCH(COF!KB20,'Tables - Part 3'!$CY$6:$CY$11,0)))))))</f>
        <v>#N/A</v>
      </c>
      <c r="LE20" s="154"/>
      <c r="LF20" s="154"/>
      <c r="LG20" s="154"/>
      <c r="LH20" s="154"/>
      <c r="LI20" s="154"/>
      <c r="LJ20" s="154"/>
      <c r="LK20" s="154"/>
      <c r="LL20" s="151" t="e">
        <f t="shared" si="212"/>
        <v>#N/A</v>
      </c>
      <c r="LM20" s="151" t="e">
        <f t="shared" si="213"/>
        <v>#N/A</v>
      </c>
      <c r="LN20" s="151" t="e">
        <f t="shared" si="214"/>
        <v>#N/A</v>
      </c>
      <c r="LO20" s="151" t="e">
        <f t="shared" si="215"/>
        <v>#N/A</v>
      </c>
      <c r="LP20" s="151">
        <f t="shared" si="106"/>
        <v>0</v>
      </c>
      <c r="LQ20" s="502">
        <f>IF($F20='Tables - Part 3'!$B$17,'Tables - Part 3.B'!$C$11*COF!CJ20,0)</f>
        <v>0</v>
      </c>
      <c r="LR20" s="502">
        <f>IF($F20='Tables - Part 3'!$B$17,'Tables - Part 3.B'!$C$11*COF!CK20,0)</f>
        <v>0</v>
      </c>
      <c r="LS20" s="502">
        <f>IF($F20='Tables - Part 3'!$B$17,'Tables - Part 3.B'!$C$11*COF!CL20,0)</f>
        <v>0</v>
      </c>
      <c r="LT20" s="502">
        <f>IF($F20='Tables - Part 3'!$B$17,'Tables - Part 3.B'!$C$11*COF!CM20,0)</f>
        <v>0</v>
      </c>
      <c r="LU20" s="502">
        <f>IF($F20='Tables - Part 3'!$B$17,'Tables - Part 3.B'!$C$12*POWER(COF!CR20,0.6384),0)</f>
        <v>0</v>
      </c>
      <c r="LV20" s="502">
        <f>IF($F20='Tables - Part 3'!$B$17,'Tables - Part 3.B'!$C$12*POWER(COF!CS20,0.6384),0)</f>
        <v>0</v>
      </c>
      <c r="LW20" s="502">
        <f>IF($F20='Tables - Part 3'!$B$17,'Tables - Part 3.B'!$C$12*POWER(COF!CT20,0.6384),0)</f>
        <v>0</v>
      </c>
      <c r="LX20" s="502">
        <f>IF($F20='Tables - Part 3'!$B$17,'Tables - Part 3.B'!$C$12*POWER(COF!CU20,0.6384),0)</f>
        <v>0</v>
      </c>
      <c r="LY20" s="151" t="e">
        <f>MIN(CJ20/'Tables - Part 3.B'!$C$8,1)</f>
        <v>#N/A</v>
      </c>
      <c r="LZ20" s="151" t="e">
        <f>MIN(CK20/'Tables - Part 3.B'!$C$8,1)</f>
        <v>#N/A</v>
      </c>
      <c r="MA20" s="151" t="e">
        <f>MIN(CL20/'Tables - Part 3.B'!$C$8,1)</f>
        <v>#N/A</v>
      </c>
      <c r="MB20" s="151" t="e">
        <f>MIN(CM20/'Tables - Part 3.B'!$C$8,1)</f>
        <v>#N/A</v>
      </c>
      <c r="MC20" s="151" t="e">
        <f t="shared" si="216"/>
        <v>#N/A</v>
      </c>
      <c r="MD20" s="151" t="e">
        <f t="shared" si="107"/>
        <v>#N/A</v>
      </c>
      <c r="ME20" s="151" t="e">
        <f t="shared" si="107"/>
        <v>#N/A</v>
      </c>
      <c r="MF20" s="151" t="e">
        <f t="shared" si="107"/>
        <v>#N/A</v>
      </c>
      <c r="MG20" s="502">
        <f>IF($F20='Tables - Part 3'!$B$18,0.2*'Tables - Part 3.B'!$C$10*$ML20*POWER('Tables - Part 3.B'!$C$7*CJ20,$MM20),0)</f>
        <v>0</v>
      </c>
      <c r="MH20" s="502">
        <f>IF($F20='Tables - Part 3'!$B$18,0.2*'Tables - Part 3.B'!$C$10*$ML20*POWER('Tables - Part 3.B'!$C$7*CK20,$MM20),0)</f>
        <v>0</v>
      </c>
      <c r="MI20" s="502">
        <f>IF($F20='Tables - Part 3'!$B$18,0.2*'Tables - Part 3.B'!$C$10*$ML20*POWER('Tables - Part 3.B'!$C$7*CL20,$MM20),0)</f>
        <v>0</v>
      </c>
      <c r="MJ20" s="502">
        <f>IF($F20='Tables - Part 3'!$B$18,0.2*'Tables - Part 3.B'!$C$10*$ML20*POWER('Tables - Part 3.B'!$C$7*CM20,$MM20),0)</f>
        <v>0</v>
      </c>
      <c r="MK20" s="151">
        <v>0</v>
      </c>
      <c r="ML20" s="151" t="e">
        <f>2696-21.9*'Tables - Part 3.B'!$C$13*(COF!OO20-COF!$TM$5)+1.474*POWER('Tables - Part 3.B'!$C$13*(COF!OO20-COF!$TM$5),2)</f>
        <v>#VALUE!</v>
      </c>
      <c r="MM20" s="151" t="e">
        <f>0.31-0.00032*POWER('Tables - Part 3.B'!$C$13*(COF!OO20-COF!$TM$5)-40,2)</f>
        <v>#VALUE!</v>
      </c>
      <c r="MN20" s="151">
        <v>0</v>
      </c>
      <c r="MO20" s="151">
        <f t="shared" si="217"/>
        <v>0</v>
      </c>
      <c r="MP20" s="151">
        <f t="shared" si="108"/>
        <v>0</v>
      </c>
      <c r="MQ20" s="151">
        <f t="shared" si="108"/>
        <v>0</v>
      </c>
      <c r="MR20" s="151">
        <f t="shared" si="108"/>
        <v>0</v>
      </c>
      <c r="MS20" s="151" t="e">
        <f t="shared" si="218"/>
        <v>#N/A</v>
      </c>
      <c r="MT20" s="151" t="e">
        <f t="shared" si="219"/>
        <v>#N/A</v>
      </c>
      <c r="MU20" s="151" t="e">
        <f t="shared" si="220"/>
        <v>#N/A</v>
      </c>
      <c r="MV20" s="151" t="e">
        <f t="shared" si="221"/>
        <v>#N/A</v>
      </c>
      <c r="MW20" s="151">
        <f t="shared" si="222"/>
        <v>0</v>
      </c>
      <c r="MX20" s="151">
        <f t="shared" si="223"/>
        <v>0</v>
      </c>
      <c r="MY20" s="151">
        <f t="shared" si="224"/>
        <v>0</v>
      </c>
      <c r="MZ20" s="526">
        <f t="shared" si="109"/>
        <v>0</v>
      </c>
      <c r="NA20" s="151" t="e">
        <f>INDEX('Tables - Part 3'!DQ$5:DQ$32,MATCH($E20,'Tables - Part 3'!$DP$5:$DP$32,0))</f>
        <v>#N/A</v>
      </c>
      <c r="NB20" s="151" t="e">
        <f>INDEX('Tables - Part 3'!DR$5:DR$32,MATCH($E20,'Tables - Part 3'!$DP$5:$DP$32,0))</f>
        <v>#N/A</v>
      </c>
      <c r="NC20" s="151" t="e">
        <f>INDEX('Tables - Part 3'!DS$5:DS$32,MATCH($E20,'Tables - Part 3'!$DP$5:$DP$32,0))</f>
        <v>#N/A</v>
      </c>
      <c r="ND20" s="151" t="e">
        <f>INDEX('Tables - Part 3'!DT$5:DT$32,MATCH($E20,'Tables - Part 3'!$DP$5:$DP$32,0))</f>
        <v>#N/A</v>
      </c>
      <c r="NE20" s="151" t="e">
        <f>IF(W20='Tables - Part 3'!$DV$44,COF!X20,IF(OR(COF!X20&lt;&gt;0,COF!X20&lt;&gt;""),COF!X20,INDEX('Tables - Part 3'!$DW$4:$DW$43,MATCH(COF!W20,'Tables - Part 3'!$DV$4:$DV$43,0))))</f>
        <v>#N/A</v>
      </c>
      <c r="NF20" s="151">
        <f t="shared" si="110"/>
        <v>1</v>
      </c>
      <c r="NG20" s="151" t="e">
        <f t="shared" si="225"/>
        <v>#N/A</v>
      </c>
      <c r="NH20" s="151">
        <f t="shared" si="111"/>
        <v>0</v>
      </c>
      <c r="NI20" s="151" t="e">
        <f>INDEX('Tables - Part 3'!EC$5:EC$31,MATCH(COF!$E20,'Tables - Part 3'!$EB$5:$EB$31,0))</f>
        <v>#N/A</v>
      </c>
      <c r="NJ20" s="151" t="e">
        <f>INDEX('Tables - Part 3'!ED$5:ED$31,MATCH(COF!$E20,'Tables - Part 3'!$EB$5:$EB$31,0))</f>
        <v>#N/A</v>
      </c>
      <c r="NK20" s="151" t="e">
        <f>INDEX('Tables - Part 3'!EE$5:EE$31,MATCH(COF!$E20,'Tables - Part 3'!$EB$5:$EB$31,0))</f>
        <v>#N/A</v>
      </c>
      <c r="NL20" s="151" t="e">
        <f>INDEX('Tables - Part 3'!EF$5:EF$31,MATCH(COF!$E20,'Tables - Part 3'!$EB$5:$EB$31,0))</f>
        <v>#N/A</v>
      </c>
      <c r="NM20" s="151">
        <f t="shared" si="112"/>
        <v>1</v>
      </c>
      <c r="NN20" s="151" t="e">
        <f t="shared" si="226"/>
        <v>#N/A</v>
      </c>
      <c r="NO20" s="151" t="e">
        <f t="shared" si="227"/>
        <v>#NUM!</v>
      </c>
      <c r="NP20" s="151" t="e">
        <f t="shared" si="113"/>
        <v>#N/A</v>
      </c>
      <c r="NQ20" s="151">
        <f t="shared" si="114"/>
        <v>0</v>
      </c>
      <c r="NR20" s="151" t="e">
        <f>INDEX('Tables - Part 3'!$EL$4:$EL$37,MATCH(COF!F20,'Tables - Part 3'!$EH$4:$EH$37,0))</f>
        <v>#N/A</v>
      </c>
      <c r="NS20" s="151" t="e">
        <f>CR20*(1-$NR20)*'Tables - Part 3.B'!$C$15/COF!$AS20</f>
        <v>#N/A</v>
      </c>
      <c r="NT20" s="151" t="e">
        <f>CS20*(1-$NR20)*'Tables - Part 3.B'!$C$15/COF!$AS20</f>
        <v>#N/A</v>
      </c>
      <c r="NU20" s="151" t="e">
        <f>CT20*(1-$NR20)*'Tables - Part 3.B'!$C$15/COF!$AS20</f>
        <v>#N/A</v>
      </c>
      <c r="NV20" s="151" t="e">
        <f>CU20*(1-$NR20)*'Tables - Part 3.B'!$C$15/COF!$AS20</f>
        <v>#N/A</v>
      </c>
      <c r="NW20" s="151" t="e">
        <f t="shared" si="115"/>
        <v>#N/A</v>
      </c>
      <c r="NX20" s="542">
        <f t="shared" si="116"/>
        <v>0</v>
      </c>
      <c r="NY20" s="156" t="e">
        <f>0.61*$ON20*$AS20*(BM20/'Tables - Part 3.B'!$C$4)*SQRT((2*$TM$13*($OO20-$TM$5)/$AS20))</f>
        <v>#N/A</v>
      </c>
      <c r="NZ20" s="155" t="e">
        <f>0.61*$ON20*$AS20*(BN20/'Tables - Part 3.B'!$C$4)*SQRT((2*$TM$13*($OO20-$TM$5)/$AS20))</f>
        <v>#N/A</v>
      </c>
      <c r="OA20" s="155" t="e">
        <f>0.61*$ON20*$AS20*(BO20/'Tables - Part 3.B'!$C$4)*SQRT((2*$TM$13*($OO20-$TM$5)/$AS20))</f>
        <v>#N/A</v>
      </c>
      <c r="OB20" s="155" t="e">
        <f>0.61*$ON20*$AS20*(BP20/'Tables - Part 3.B'!$C$4)*SQRT((2*$TM$13*($OO20-$TM$5)/$AS20))</f>
        <v>#N/A</v>
      </c>
      <c r="OC20" s="155" t="e">
        <f>0.61*$ON20*AS20*(32450/'Tables - Part 3.B'!$C$4)*SQRT((2*$TM$13*(OO20-$TM$5)/AS20))</f>
        <v>#N/A</v>
      </c>
      <c r="OD20" s="156" t="e">
        <f>(0.9/'Tables - Part 3.B'!$C$5)*BM20*$OO20*SQRT(($AV20*$AU20*$TM$13/(8.314*$OP20))*POWER(2/($AV20+1),(($AV20+1)/($AV20-1))))</f>
        <v>#VALUE!</v>
      </c>
      <c r="OE20" s="156" t="e">
        <f>(0.9/'Tables - Part 3.B'!$C$5)*BN20*$OO20*SQRT(($AV20*$AU20*$TM$13/(8.314*$OP20))*POWER(2/($AV20+1),(($AV20+1)/($AV20-1))))</f>
        <v>#VALUE!</v>
      </c>
      <c r="OF20" s="156" t="e">
        <f>(0.9/'Tables - Part 3.B'!$C$5)*BO20*$OO20*SQRT(($AV20*$AU20*$TM$13/(8.314*$OP20))*POWER(2/($AV20+1),(($AV20+1)/($AV20-1))))</f>
        <v>#VALUE!</v>
      </c>
      <c r="OG20" s="156" t="e">
        <f>(0.9/'Tables - Part 3.B'!$C$5)*BP20*$OO20*SQRT(($AV20*$AU20*$TM$13/(8.314*$OP20))*POWER(2/($AV20+1),(($AV20+1)/($AV20-1))))</f>
        <v>#VALUE!</v>
      </c>
      <c r="OH20" s="156" t="e">
        <f>(0.9/'Tables - Part 3.B'!$C$5)*32450*$OO20*SQRT(($AV20*$AU20*$TM$13/(8.314*$OP20))*POWER(2/($AV20+1),(($AV20+1)/($AV20-1))))</f>
        <v>#VALUE!</v>
      </c>
      <c r="OI20" s="156" t="e">
        <f>(0.9/'Tables - Part 3.B'!$C$5)*BM20*$OO20*SQRT((($AU20*$TM$13)/(8.314*$OP20))*((2*$AV20)/($AV20-1))*POWER(($TM$5/$OO20),(2/$AV20))*(1-POWER(($TM$5/$OO20),(($AV20-1)/$AV20))))</f>
        <v>#VALUE!</v>
      </c>
      <c r="OJ20" s="156" t="e">
        <f>(0.9/'Tables - Part 3.B'!$C$5)*BN20*$OO20*SQRT((($AU20*$TM$13)/(8.314*$OP20))*((2*$AV20)/($AV20-1))*POWER(($TM$5/$OO20),(2/$AV20))*(1-POWER(($TM$5/$OO20),(($AV20-1)/$AV20))))</f>
        <v>#VALUE!</v>
      </c>
      <c r="OK20" s="156" t="e">
        <f>(0.9/'Tables - Part 3.B'!$C$5)*BO20*$OO20*SQRT((($AU20*$TM$13)/(8.314*$OP20))*((2*$AV20)/($AV20-1))*POWER(($TM$5/$OO20),(2/$AV20))*(1-POWER(($TM$5/$OO20),(($AV20-1)/$AV20))))</f>
        <v>#VALUE!</v>
      </c>
      <c r="OL20" s="156" t="e">
        <f>(0.9/'Tables - Part 3.B'!$C$5)*BP20*$OO20*SQRT((($AU20*$TM$13)/(8.314*$OP20))*((2*$AV20)/($AV20-1))*POWER(($TM$5/$OO20),(2/$AV20))*(1-POWER(($TM$5/$OO20),(($AV20-1)/$AV20))))</f>
        <v>#VALUE!</v>
      </c>
      <c r="OM20" s="156" t="e">
        <f>(0.9/'Tables - Part 3.B'!$C$5)*32450*$OO20*SQRT((($AU20*$TM$13)/(8.314*$OP20))*((2*$AV20)/($AV20-1))*POWER(($TM$5/$OO20),(2/$AV20))*(1-POWER(($TM$5/$OO20),(($AV20-1)/$AV20))))</f>
        <v>#VALUE!</v>
      </c>
      <c r="ON20" s="156">
        <f t="shared" si="117"/>
        <v>1</v>
      </c>
      <c r="OO20" s="157" t="str">
        <f t="shared" si="118"/>
        <v/>
      </c>
      <c r="OP20" s="157" t="str">
        <f t="shared" si="119"/>
        <v/>
      </c>
      <c r="OQ20" s="158" t="e">
        <f t="shared" si="228"/>
        <v>#N/A</v>
      </c>
      <c r="OR20" s="158" t="e">
        <f>INDEX('Tables - Part 3'!$F$4:$R$35,MATCH(COF!$F20,'Tables - Part 3'!$F$4:$F$35,0),COUNTA('Tables - Part 3'!$F$3:$K$3))</f>
        <v>#N/A</v>
      </c>
      <c r="OS20" s="158" t="e">
        <f t="shared" si="229"/>
        <v>#N/A</v>
      </c>
      <c r="OT20" s="158" t="e">
        <f t="shared" si="230"/>
        <v>#N/A</v>
      </c>
      <c r="OU20" s="158" t="e">
        <f t="shared" si="231"/>
        <v>#N/A</v>
      </c>
      <c r="OV20" s="159" t="e">
        <f>INDEX('Tables - Part 3'!$M$4:$Q$35,MATCH(COF!$F20,'Tables - Part 3'!$F$4:$F$35,0),COUNTA('Tables - Part 3'!$M$3))</f>
        <v>#N/A</v>
      </c>
      <c r="OW20" s="159" t="e">
        <f>INDEX('Tables - Part 3'!$M$4:$Q$35,MATCH(COF!$F20,'Tables - Part 3'!$F$4:$F$35,0),COUNTA('Tables - Part 3'!$M$3:$N$3))</f>
        <v>#N/A</v>
      </c>
      <c r="OX20" s="159" t="e">
        <f>INDEX('Tables - Part 3'!$M$4:$Q$35,MATCH(COF!$F20,'Tables - Part 3'!$F$4:$F$35,0),COUNTA('Tables - Part 3'!$M$3:$O$3))</f>
        <v>#N/A</v>
      </c>
      <c r="OY20" s="159" t="e">
        <f>INDEX('Tables - Part 3'!$M$4:$Q$35,MATCH(COF!$F20,'Tables - Part 3'!$F$4:$F$35,0),COUNTA('Tables - Part 3'!$M$3:$P$3))</f>
        <v>#N/A</v>
      </c>
      <c r="OZ20" s="160" t="e">
        <f>INDEX('Tables - Part 3'!$M$4:$Q$35,MATCH(COF!$F20,'Tables - Part 3'!$F$4:$F$35,0),COUNTA('Tables - Part 3'!$M$3:$Q$3))</f>
        <v>#N/A</v>
      </c>
      <c r="PA20" s="162" t="e">
        <f>INDEX('Tables - Part 3'!$I$4:$I$35,MATCH(COF!$F20,'Tables - Part 3'!$F$4:$F$35,0))</f>
        <v>#N/A</v>
      </c>
      <c r="PB20" s="158" t="e">
        <f t="shared" si="120"/>
        <v>#N/A</v>
      </c>
      <c r="PC20" s="158" t="str">
        <f t="shared" si="121"/>
        <v/>
      </c>
      <c r="PD20" s="158" t="e">
        <f>INDEX('Tables - Part 3'!AW$7:AW$31,MATCH(COF!$F20,'Tables - Part 3'!$AU$7:$AU$31,0),1)</f>
        <v>#N/A</v>
      </c>
      <c r="PE20" s="158" t="e">
        <f>INDEX('Tables - Part 3'!AX$7:AX$31,MATCH(COF!$F20,'Tables - Part 3'!$AU$7:$AU$31,0),1)</f>
        <v>#N/A</v>
      </c>
      <c r="PF20" s="158" t="e">
        <f>INDEX('Tables - Part 3'!AY$7:AY$31,MATCH(COF!$F20,'Tables - Part 3'!$AU$7:$AU$31,0),1)</f>
        <v>#N/A</v>
      </c>
      <c r="PG20" s="158" t="e">
        <f>INDEX('Tables - Part 3'!AZ$7:AZ$31,MATCH(COF!$F20,'Tables - Part 3'!$AU$7:$AU$31,0),1)</f>
        <v>#N/A</v>
      </c>
      <c r="PH20" s="158" t="e">
        <f>INDEX('Tables - Part 3'!BA$7:BA$31,MATCH(COF!$F20,'Tables - Part 3'!$AU$7:$AU$31,0),1)</f>
        <v>#N/A</v>
      </c>
      <c r="PI20" s="158" t="e">
        <f>INDEX('Tables - Part 3'!BB$7:BB$31,MATCH(COF!$F20,'Tables - Part 3'!$AU$7:$AU$31,0),1)</f>
        <v>#N/A</v>
      </c>
      <c r="PJ20" s="158" t="e">
        <f>INDEX('Tables - Part 3'!BC$7:BC$31,MATCH(COF!$F20,'Tables - Part 3'!$AU$7:$AU$31,0),1)</f>
        <v>#N/A</v>
      </c>
      <c r="PK20" s="158" t="e">
        <f>INDEX('Tables - Part 3'!BD$7:BD$31,MATCH(COF!$F20,'Tables - Part 3'!$AU$7:$AU$31,0),1)</f>
        <v>#N/A</v>
      </c>
      <c r="PL20" s="158" t="e">
        <f>INDEX('Tables - Part 3'!BE$7:BE$31,MATCH(COF!$F20,'Tables - Part 3'!$AU$7:$AU$31,0),1)</f>
        <v>#N/A</v>
      </c>
      <c r="PM20" s="158" t="e">
        <f>INDEX('Tables - Part 3'!BF$7:BF$31,MATCH(COF!$F20,'Tables - Part 3'!$AU$7:$AU$31,0),1)</f>
        <v>#N/A</v>
      </c>
      <c r="PN20" s="158" t="e">
        <f>INDEX('Tables - Part 3'!BG$7:BG$31,MATCH(COF!$F20,'Tables - Part 3'!$AU$7:$AU$31,0),1)</f>
        <v>#N/A</v>
      </c>
      <c r="PO20" s="158" t="e">
        <f>INDEX('Tables - Part 3'!BH$7:BH$31,MATCH(COF!$F20,'Tables - Part 3'!$AU$7:$AU$31,0),1)</f>
        <v>#N/A</v>
      </c>
      <c r="PP20" s="158" t="e">
        <f>INDEX('Tables - Part 3'!BI$7:BI$31,MATCH(COF!$F20,'Tables - Part 3'!$AU$7:$AU$31,0),1)</f>
        <v>#N/A</v>
      </c>
      <c r="PQ20" s="158" t="e">
        <f>INDEX('Tables - Part 3'!BJ$7:BJ$31,MATCH(COF!$F20,'Tables - Part 3'!$AU$7:$AU$31,0),1)</f>
        <v>#N/A</v>
      </c>
      <c r="PR20" s="158" t="e">
        <f>INDEX('Tables - Part 3'!BK$7:BK$31,MATCH(COF!$F20,'Tables - Part 3'!$AU$7:$AU$31,0),1)</f>
        <v>#N/A</v>
      </c>
      <c r="PS20" s="158" t="e">
        <f>INDEX('Tables - Part 3'!BL$7:BL$31,MATCH(COF!$F20,'Tables - Part 3'!$AU$7:$AU$31,0),1)</f>
        <v>#N/A</v>
      </c>
      <c r="PT20" s="158" t="e">
        <f>INDEX('Tables - Part 3'!BP$7:BP$31,MATCH(COF!$F20,'Tables - Part 3'!$AU$7:$AU$31,0),1)</f>
        <v>#N/A</v>
      </c>
      <c r="PU20" s="158" t="e">
        <f>INDEX('Tables - Part 3'!BQ$7:BQ$31,MATCH(COF!$F20,'Tables - Part 3'!$AU$7:$AU$31,0),1)</f>
        <v>#N/A</v>
      </c>
      <c r="PV20" s="158" t="e">
        <f>INDEX('Tables - Part 3'!BR$7:BR$31,MATCH(COF!$F20,'Tables - Part 3'!$AU$7:$AU$31,0),1)</f>
        <v>#N/A</v>
      </c>
      <c r="PW20" s="158" t="e">
        <f>INDEX('Tables - Part 3'!BS$7:BS$31,MATCH(COF!$F20,'Tables - Part 3'!$AU$7:$AU$31,0),1)</f>
        <v>#N/A</v>
      </c>
      <c r="PX20" s="158" t="e">
        <f>INDEX('Tables - Part 3'!BT$7:BT$31,MATCH(COF!$F20,'Tables - Part 3'!$AU$7:$AU$31,0),1)</f>
        <v>#N/A</v>
      </c>
      <c r="PY20" s="158" t="e">
        <f>INDEX('Tables - Part 3'!BU$7:BU$31,MATCH(COF!$F20,'Tables - Part 3'!$AU$7:$AU$31,0),1)</f>
        <v>#N/A</v>
      </c>
      <c r="PZ20" s="158" t="e">
        <f>INDEX('Tables - Part 3'!BV$7:BV$31,MATCH(COF!$F20,'Tables - Part 3'!$AU$7:$AU$31,0),1)</f>
        <v>#N/A</v>
      </c>
      <c r="QA20" s="158" t="e">
        <f>INDEX('Tables - Part 3'!BW$7:BW$31,MATCH(COF!$F20,'Tables - Part 3'!$AU$7:$AU$31,0),1)</f>
        <v>#N/A</v>
      </c>
      <c r="QB20" s="158" t="e">
        <f>INDEX('Tables - Part 3'!BX$7:BX$31,MATCH(COF!$F20,'Tables - Part 3'!$AU$7:$AU$31,0),1)</f>
        <v>#N/A</v>
      </c>
      <c r="QC20" s="158" t="e">
        <f>INDEX('Tables - Part 3'!BY$7:BY$31,MATCH(COF!$F20,'Tables - Part 3'!$AU$7:$AU$31,0),1)</f>
        <v>#N/A</v>
      </c>
      <c r="QD20" s="158" t="e">
        <f>INDEX('Tables - Part 3'!BZ$7:BZ$31,MATCH(COF!$F20,'Tables - Part 3'!$AU$7:$AU$31,0),1)</f>
        <v>#N/A</v>
      </c>
      <c r="QE20" s="158" t="e">
        <f>INDEX('Tables - Part 3'!CA$7:CA$31,MATCH(COF!$F20,'Tables - Part 3'!$AU$7:$AU$31,0),1)</f>
        <v>#N/A</v>
      </c>
      <c r="QF20" s="158" t="e">
        <f>INDEX('Tables - Part 3'!CB$7:CB$31,MATCH(COF!$F20,'Tables - Part 3'!$AU$7:$AU$31,0),1)</f>
        <v>#N/A</v>
      </c>
      <c r="QG20" s="158" t="e">
        <f>INDEX('Tables - Part 3'!CC$7:CC$31,MATCH(COF!$F20,'Tables - Part 3'!$AU$7:$AU$31,0),1)</f>
        <v>#N/A</v>
      </c>
      <c r="QH20" s="158" t="e">
        <f>INDEX('Tables - Part 3'!CD$7:CD$31,MATCH(COF!$F20,'Tables - Part 3'!$AU$7:$AU$31,0),1)</f>
        <v>#N/A</v>
      </c>
      <c r="QI20" s="158" t="e">
        <f>INDEX('Tables - Part 3'!CE$7:CE$31,MATCH(COF!$F20,'Tables - Part 3'!$AU$7:$AU$31,0),1)</f>
        <v>#N/A</v>
      </c>
      <c r="QJ20" s="151">
        <f>'Tables - Part 5'!$R$4</f>
        <v>3.1749999999999998</v>
      </c>
      <c r="QK20" s="151">
        <f>'Tables - Part 5'!$R$5</f>
        <v>6.35</v>
      </c>
      <c r="QL20" s="151">
        <f>'Tables - Part 5'!$R$6</f>
        <v>50.8</v>
      </c>
      <c r="QM20" s="151">
        <f t="shared" si="122"/>
        <v>0</v>
      </c>
      <c r="QN20" s="151">
        <f t="shared" si="232"/>
        <v>7.9173043608984015</v>
      </c>
      <c r="QO20" s="151">
        <f t="shared" si="233"/>
        <v>31.669217443593606</v>
      </c>
      <c r="QP20" s="151">
        <f t="shared" si="234"/>
        <v>2026.8299163899908</v>
      </c>
      <c r="QQ20" s="151">
        <f t="shared" si="235"/>
        <v>0</v>
      </c>
      <c r="QR20" s="151">
        <f t="shared" si="236"/>
        <v>0</v>
      </c>
      <c r="QS20" s="151">
        <f>'Tables - Part 3.B'!$C$34*0.61*QN20*SQRT(2*$TM$15*QR20)</f>
        <v>0</v>
      </c>
      <c r="QT20" s="151">
        <f>'Tables - Part 3.B'!$C$34*0.61*QO20*SQRT(2*$TM$15*QS20)</f>
        <v>0</v>
      </c>
      <c r="QU20" s="151">
        <f>'Tables - Part 3.B'!$C$34*0.61*QP20*SQRT(2*$TM$15*QT20)</f>
        <v>0</v>
      </c>
      <c r="QV20" s="151">
        <f>'Tables - Part 3.B'!$C$34*0.61*QQ20*SQRT(2*$TM$15*QU20)</f>
        <v>0</v>
      </c>
      <c r="QW20" s="151">
        <f t="shared" si="237"/>
        <v>0</v>
      </c>
      <c r="QX20" s="151">
        <f t="shared" si="238"/>
        <v>0</v>
      </c>
      <c r="QY20" s="151">
        <f t="shared" si="239"/>
        <v>0</v>
      </c>
      <c r="QZ20" s="151">
        <f t="shared" si="240"/>
        <v>0</v>
      </c>
      <c r="RA20" s="151">
        <f t="shared" si="241"/>
        <v>0</v>
      </c>
      <c r="RB20" s="151">
        <f>QX20*'Tables - Part 3.B'!$C$15</f>
        <v>0</v>
      </c>
      <c r="RC20" s="151">
        <f>QY20*'Tables - Part 3.B'!$C$15</f>
        <v>0</v>
      </c>
      <c r="RD20" s="151">
        <f>QZ20*'Tables - Part 3.B'!$C$15</f>
        <v>0</v>
      </c>
      <c r="RE20" s="151">
        <f>RA20*'Tables - Part 3.B'!$C$15</f>
        <v>0</v>
      </c>
      <c r="RF20" s="151" t="e">
        <f t="shared" si="242"/>
        <v>#N/A</v>
      </c>
      <c r="RG20" s="151" t="e">
        <f t="shared" si="243"/>
        <v>#N/A</v>
      </c>
      <c r="RH20" s="151" t="e">
        <f t="shared" si="244"/>
        <v>#N/A</v>
      </c>
      <c r="RI20" s="151" t="e">
        <f t="shared" si="245"/>
        <v>#N/A</v>
      </c>
      <c r="RJ20" s="151">
        <f t="shared" si="246"/>
        <v>0</v>
      </c>
      <c r="RK20" s="151">
        <f t="shared" si="247"/>
        <v>0</v>
      </c>
      <c r="RL20" s="151">
        <f t="shared" si="248"/>
        <v>0</v>
      </c>
      <c r="RM20" s="151">
        <f t="shared" si="249"/>
        <v>0</v>
      </c>
      <c r="RN20" s="151">
        <v>7</v>
      </c>
      <c r="RO20" s="151">
        <v>1</v>
      </c>
      <c r="RP20" s="151">
        <v>1</v>
      </c>
      <c r="RQ20" s="151">
        <v>1</v>
      </c>
      <c r="RR20" s="151" t="e">
        <f t="shared" si="250"/>
        <v>#DIV/0!</v>
      </c>
      <c r="RS20" s="151" t="e">
        <f t="shared" si="251"/>
        <v>#DIV/0!</v>
      </c>
      <c r="RT20" s="151" t="e">
        <f t="shared" si="252"/>
        <v>#DIV/0!</v>
      </c>
      <c r="RU20" s="151" t="e">
        <f t="shared" si="253"/>
        <v>#DIV/0!</v>
      </c>
      <c r="RV20" s="151" t="e">
        <f t="shared" si="254"/>
        <v>#DIV/0!</v>
      </c>
      <c r="RW20" s="151" t="e">
        <f t="shared" si="255"/>
        <v>#DIV/0!</v>
      </c>
      <c r="RX20" s="151" t="e">
        <f t="shared" si="256"/>
        <v>#DIV/0!</v>
      </c>
      <c r="RY20" s="151" t="e">
        <f t="shared" si="257"/>
        <v>#DIV/0!</v>
      </c>
      <c r="RZ20" s="151" t="e">
        <f t="shared" si="258"/>
        <v>#DIV/0!</v>
      </c>
      <c r="SA20" s="151" t="e">
        <f t="shared" si="259"/>
        <v>#DIV/0!</v>
      </c>
      <c r="SB20" s="151" t="e">
        <f t="shared" si="260"/>
        <v>#DIV/0!</v>
      </c>
      <c r="SC20" s="151" t="e">
        <f t="shared" si="261"/>
        <v>#DIV/0!</v>
      </c>
      <c r="SD20" s="151">
        <f t="shared" si="262"/>
        <v>0</v>
      </c>
      <c r="SE20" s="151">
        <f t="shared" si="263"/>
        <v>0</v>
      </c>
      <c r="SF20" s="151">
        <f t="shared" si="264"/>
        <v>0</v>
      </c>
      <c r="SG20" s="151">
        <f t="shared" si="265"/>
        <v>0</v>
      </c>
      <c r="SH20" s="151">
        <f t="shared" si="266"/>
        <v>0</v>
      </c>
      <c r="SI20" s="151">
        <f t="shared" si="267"/>
        <v>0</v>
      </c>
      <c r="SJ20" s="151">
        <f t="shared" si="268"/>
        <v>0</v>
      </c>
      <c r="SK20" s="151">
        <f t="shared" si="269"/>
        <v>0</v>
      </c>
      <c r="SL20" s="542"/>
      <c r="SM20" s="542"/>
      <c r="SN20" s="542"/>
      <c r="SO20" s="151"/>
      <c r="SP20" s="151"/>
      <c r="SQ20" s="151"/>
      <c r="SR20" s="151"/>
      <c r="SS20" s="151"/>
      <c r="ST20" s="151"/>
      <c r="SU20" s="151"/>
      <c r="SV20" s="151"/>
      <c r="SW20" s="151"/>
      <c r="SX20" s="151"/>
      <c r="SY20" s="151"/>
      <c r="SZ20" s="151"/>
      <c r="TA20" s="151"/>
      <c r="TB20" s="151"/>
      <c r="TC20" s="151"/>
      <c r="TD20" s="151"/>
      <c r="TE20" s="542"/>
    </row>
    <row r="21" spans="2:537" x14ac:dyDescent="0.35">
      <c r="B21" s="161"/>
      <c r="C21" s="161"/>
      <c r="D21" s="161"/>
      <c r="E21" s="161"/>
      <c r="F21" s="161"/>
      <c r="G21" s="161"/>
      <c r="H21" s="537"/>
      <c r="I21" s="161"/>
      <c r="J21" s="161"/>
      <c r="K21" s="161"/>
      <c r="L21" s="161"/>
      <c r="M21" s="161"/>
      <c r="N21" s="161"/>
      <c r="O21" s="161"/>
      <c r="P21" s="161"/>
      <c r="Q21" s="161"/>
      <c r="R21" s="161"/>
      <c r="S21" s="161"/>
      <c r="T21" s="161"/>
      <c r="U21" s="161"/>
      <c r="V21" s="161"/>
      <c r="W21" s="161"/>
      <c r="X21" s="537"/>
      <c r="Y21" s="537"/>
      <c r="Z21" s="399"/>
      <c r="AA21" s="537"/>
      <c r="AB21" s="399"/>
      <c r="AC21" s="399"/>
      <c r="AD21" s="399"/>
      <c r="AE21" s="399"/>
      <c r="AF21" s="399"/>
      <c r="AG21" s="399"/>
      <c r="AH21" s="399"/>
      <c r="AI21" s="399"/>
      <c r="AJ21" s="399"/>
      <c r="AK21" s="399"/>
      <c r="AL21" s="399"/>
      <c r="AM21" s="399"/>
      <c r="AN21" s="399"/>
      <c r="AO21" s="399"/>
      <c r="AP21" s="399"/>
      <c r="AQ21" s="151" t="e">
        <f>INDEX('Tables - Part 3'!$J$4:$J$35,MATCH(COF!$F21,'Tables - Part 3'!$F$4:$F$35,0),1)</f>
        <v>#N/A</v>
      </c>
      <c r="AR21" s="151" t="e">
        <f>IF($G21=$TH$7,'Tables - Part 3'!$W$4,IF(AND($AQ21=$TH$7,COF!$PA21&lt;26.67),'Tables - Part 3'!$W$4,'Tables - Part 3'!$W$7))</f>
        <v>#N/A</v>
      </c>
      <c r="AS21" s="150" t="e">
        <f>INDEX('Tables - Part 3'!$F$4:$R$35,MATCH(COF!$F21,'Tables - Part 3'!$F$4:$F$35,0),COUNTA('Tables - Part 3'!$F$3:$H$3))</f>
        <v>#N/A</v>
      </c>
      <c r="AT21" s="279" t="e">
        <f t="shared" si="6"/>
        <v>#VALUE!</v>
      </c>
      <c r="AU21" s="151" t="e">
        <f>INDEX('Tables - Part 3'!$F$4:$R$35,MATCH(COF!$F21,'Tables - Part 3'!$F$4:$F$35,0),COUNTA('Tables - Part 3'!$F$3:$G$3))</f>
        <v>#N/A</v>
      </c>
      <c r="AV21" s="151" t="e">
        <f t="shared" si="131"/>
        <v>#N/A</v>
      </c>
      <c r="AW21" s="151" t="e">
        <f t="shared" si="7"/>
        <v>#N/A</v>
      </c>
      <c r="AX21" s="151" t="e">
        <f>INDEX('Tables - Part 3'!$F$4:$R$35,MATCH(COF!$F21,'Tables - Part 3'!$F$4:$F$35,0),COUNTA('Tables - Part 3'!$F$3:$R$3))+273.15</f>
        <v>#N/A</v>
      </c>
      <c r="AY21" s="151">
        <f t="shared" si="8"/>
        <v>0</v>
      </c>
      <c r="AZ21" s="151" t="e">
        <f t="shared" si="9"/>
        <v>#N/A</v>
      </c>
      <c r="BA21" s="151" t="e">
        <f t="shared" si="132"/>
        <v>#N/A</v>
      </c>
      <c r="BB21" s="151" t="e">
        <f t="shared" si="133"/>
        <v>#N/A</v>
      </c>
      <c r="BC21" s="151" t="e">
        <f t="shared" si="134"/>
        <v>#N/A</v>
      </c>
      <c r="BD21" s="151" t="e">
        <f t="shared" si="135"/>
        <v>#N/A</v>
      </c>
      <c r="BE21" s="151" t="e">
        <f t="shared" si="10"/>
        <v>#N/A</v>
      </c>
      <c r="BF21" s="151" t="e">
        <f t="shared" si="11"/>
        <v>#N/A</v>
      </c>
      <c r="BG21" s="151" t="e">
        <f t="shared" si="12"/>
        <v>#N/A</v>
      </c>
      <c r="BH21" s="151" t="e">
        <f t="shared" si="13"/>
        <v>#N/A</v>
      </c>
      <c r="BI21" s="151">
        <f>'Tables - Part 3'!$AD$4</f>
        <v>6.4</v>
      </c>
      <c r="BJ21" s="151">
        <f>MIN(O21,'Tables - Part 3'!$AD$5)</f>
        <v>25</v>
      </c>
      <c r="BK21" s="151">
        <f>MIN(O21,'Tables - Part 3'!$AD$6)</f>
        <v>102</v>
      </c>
      <c r="BL21" s="151">
        <f>MIN(O21,'Tables - Part 3'!$AD$7)</f>
        <v>406</v>
      </c>
      <c r="BM21" s="151">
        <f t="shared" si="136"/>
        <v>32.169908772759484</v>
      </c>
      <c r="BN21" s="151">
        <f t="shared" si="137"/>
        <v>490.87385212340519</v>
      </c>
      <c r="BO21" s="151">
        <f t="shared" si="138"/>
        <v>8171.2824919870518</v>
      </c>
      <c r="BP21" s="151">
        <f t="shared" si="139"/>
        <v>129461.89166178179</v>
      </c>
      <c r="BQ21" s="151" t="e">
        <f>INDEX('Tables - Part 2'!$D$5:$G$30,MATCH(COF!$E21,'Tables - Part 2'!$C$5:$C$30,0),1)</f>
        <v>#N/A</v>
      </c>
      <c r="BR21" s="571" t="e">
        <f>INDEX('Tables - Part 2'!$D$5:$G$30,MATCH(COF!$E21,'Tables - Part 2'!$C$5:$C$30,0),2)</f>
        <v>#N/A</v>
      </c>
      <c r="BS21" s="571" t="e">
        <f>INDEX('Tables - Part 2'!$D$5:$G$30,MATCH(COF!$E21,'Tables - Part 2'!$C$5:$C$30,0),3)</f>
        <v>#N/A</v>
      </c>
      <c r="BT21" s="151" t="e">
        <f>INDEX('Tables - Part 2'!$D$5:$G$30,MATCH(COF!$E21,'Tables - Part 2'!$C$5:$C$30,0),4)</f>
        <v>#N/A</v>
      </c>
      <c r="BU21" s="151" t="e">
        <f t="shared" si="140"/>
        <v>#N/A</v>
      </c>
      <c r="BV21" s="151" t="e">
        <f t="shared" si="141"/>
        <v>#N/A</v>
      </c>
      <c r="BW21" s="151" t="e">
        <f t="shared" si="142"/>
        <v>#N/A</v>
      </c>
      <c r="BX21" s="151" t="e">
        <f t="shared" si="143"/>
        <v>#N/A</v>
      </c>
      <c r="BY21" s="502" t="e">
        <f t="shared" si="144"/>
        <v>#N/A</v>
      </c>
      <c r="BZ21" s="502" t="e">
        <f t="shared" si="145"/>
        <v>#N/A</v>
      </c>
      <c r="CA21" s="151" t="e">
        <f>IF(OR(BI21&lt;='Tables - Part 3'!$AD$4,BE21&lt;='Tables - Part 3.B'!$C$6,BV21&lt;=25.22),COF!$TK$6,COF!$TK$5)</f>
        <v>#N/A</v>
      </c>
      <c r="CB21" s="151" t="e">
        <f>IF(OR(BJ21&lt;='Tables - Part 3'!$AD$4,BF21&lt;='Tables - Part 3.B'!$C$6,BW21&lt;=25.22),COF!$TK$6,COF!$TK$5)</f>
        <v>#N/A</v>
      </c>
      <c r="CC21" s="151" t="e">
        <f>IF(OR(BK21&lt;='Tables - Part 3'!$AD$4,BG21&lt;='Tables - Part 3.B'!$C$6,BX21&lt;=25.22),COF!$TK$6,COF!$TK$5)</f>
        <v>#N/A</v>
      </c>
      <c r="CD21" s="151" t="e">
        <f>IF(OR(BL21&lt;='Tables - Part 3'!$AD$4,BH21&lt;='Tables - Part 3.B'!$C$6,BY21&lt;=25.22),COF!$TK$6,COF!$TK$5)</f>
        <v>#N/A</v>
      </c>
      <c r="CE21" s="151" t="str">
        <f t="shared" si="146"/>
        <v/>
      </c>
      <c r="CF21" s="151" t="e">
        <f>INDEX('Tables - Part 3'!$AR$4:$AR$12,MATCH(COF!$PC21,'Tables - Part 3'!$AP$4:$AP$12,0),1)</f>
        <v>#N/A</v>
      </c>
      <c r="CG21" s="151" t="e">
        <f>INDEX('Tables - Part 3'!$AR$13:$AR$21,MATCH(COF!$PC21,'Tables - Part 3'!$AP$13:$AP$21,0),1)</f>
        <v>#N/A</v>
      </c>
      <c r="CH21" s="151" t="e">
        <f>INDEX('Tables - Part 3'!$AR$22:$AR$30,MATCH(COF!$PC21,'Tables - Part 3'!$AP$22:$AP$30,0),1)</f>
        <v>#N/A</v>
      </c>
      <c r="CI21" s="151" t="e">
        <f>INDEX('Tables - Part 3'!$AR$22:$AR$30,MATCH(COF!$PC21,'Tables - Part 3'!$AP$22:$AP$30,0),1)</f>
        <v>#N/A</v>
      </c>
      <c r="CJ21" s="151" t="e">
        <f t="shared" si="147"/>
        <v>#N/A</v>
      </c>
      <c r="CK21" s="151" t="e">
        <f t="shared" si="148"/>
        <v>#N/A</v>
      </c>
      <c r="CL21" s="151" t="e">
        <f t="shared" si="149"/>
        <v>#N/A</v>
      </c>
      <c r="CM21" s="151" t="e">
        <f t="shared" si="150"/>
        <v>#N/A</v>
      </c>
      <c r="CN21" s="151" t="e">
        <f t="shared" si="151"/>
        <v>#N/A</v>
      </c>
      <c r="CO21" s="151" t="e">
        <f t="shared" si="152"/>
        <v>#N/A</v>
      </c>
      <c r="CP21" s="151" t="e">
        <f t="shared" si="153"/>
        <v>#N/A</v>
      </c>
      <c r="CQ21" s="151" t="e">
        <f t="shared" si="154"/>
        <v>#N/A</v>
      </c>
      <c r="CR21" s="151" t="e">
        <f t="shared" si="155"/>
        <v>#N/A</v>
      </c>
      <c r="CS21" s="151" t="e">
        <f t="shared" si="156"/>
        <v>#N/A</v>
      </c>
      <c r="CT21" s="151" t="e">
        <f t="shared" si="157"/>
        <v>#N/A</v>
      </c>
      <c r="CU21" s="151" t="e">
        <f t="shared" si="158"/>
        <v>#N/A</v>
      </c>
      <c r="CV21" s="151" t="e">
        <f>INDEX('Tables - Part 3'!$CI$4:$CI$8,MATCH(COF!V21,'Tables - Part 3'!$CG$4:$CG$8,0),1)</f>
        <v>#N/A</v>
      </c>
      <c r="CW21" s="502" t="e">
        <f>IF(CR21&gt;'Tables - Part 3.B'!$C$6,4*LOG10('Tables - Part 3.B'!$C$7*CR21)-15,1)</f>
        <v>#N/A</v>
      </c>
      <c r="CX21" s="502" t="e">
        <f>IF(CS21&gt;'Tables - Part 3.B'!$C$6,4*LOG10('Tables - Part 3.B'!$C$7*CS21)-15,1)</f>
        <v>#N/A</v>
      </c>
      <c r="CY21" s="502" t="e">
        <f>IF(CT21&gt;'Tables - Part 3.B'!$C$6,4*LOG10('Tables - Part 3.B'!$C$7*CT21)-15,1)</f>
        <v>#N/A</v>
      </c>
      <c r="CZ21" s="502" t="e">
        <f>IF(CU21&gt;'Tables - Part 3.B'!$C$6,4*LOG10('Tables - Part 3.B'!$C$7*CU21)-15,1)</f>
        <v>#N/A</v>
      </c>
      <c r="DA21" s="151" t="e">
        <f>INDEX('Tables - Part 3'!$C$4:$C$37,MATCH(COF!$F21,'Tables - Part 3'!$B$4:$B$37,0),1)</f>
        <v>#N/A</v>
      </c>
      <c r="DB21" s="151" t="e">
        <f t="shared" si="159"/>
        <v>#N/A</v>
      </c>
      <c r="DC21" s="151" t="e">
        <f t="shared" si="160"/>
        <v>#N/A</v>
      </c>
      <c r="DD21" s="151" t="e">
        <f t="shared" si="161"/>
        <v>#N/A</v>
      </c>
      <c r="DE21" s="151" t="e">
        <f t="shared" si="162"/>
        <v>#N/A</v>
      </c>
      <c r="DF21" s="151" t="e">
        <f t="shared" si="163"/>
        <v>#N/A</v>
      </c>
      <c r="DG21" s="151" t="e">
        <f t="shared" si="164"/>
        <v>#N/A</v>
      </c>
      <c r="DH21" s="151" t="e">
        <f t="shared" si="165"/>
        <v>#N/A</v>
      </c>
      <c r="DI21" s="151" t="e">
        <f t="shared" si="166"/>
        <v>#N/A</v>
      </c>
      <c r="DJ21" s="151" t="e">
        <f t="shared" si="167"/>
        <v>#N/A</v>
      </c>
      <c r="DK21" s="151" t="e">
        <f t="shared" si="168"/>
        <v>#N/A</v>
      </c>
      <c r="DL21" s="151" t="e">
        <f t="shared" si="169"/>
        <v>#N/A</v>
      </c>
      <c r="DM21" s="151" t="e">
        <f t="shared" si="170"/>
        <v>#N/A</v>
      </c>
      <c r="DN21" s="151" t="e">
        <f t="shared" si="171"/>
        <v>#N/A</v>
      </c>
      <c r="DO21" s="151" t="e">
        <f t="shared" si="172"/>
        <v>#N/A</v>
      </c>
      <c r="DP21" s="151" t="e">
        <f t="shared" si="173"/>
        <v>#N/A</v>
      </c>
      <c r="DQ21" s="151" t="e">
        <f t="shared" si="174"/>
        <v>#N/A</v>
      </c>
      <c r="DR21" s="151" t="e">
        <f t="shared" si="175"/>
        <v>#N/A</v>
      </c>
      <c r="DS21" s="151" t="e">
        <f t="shared" si="176"/>
        <v>#N/A</v>
      </c>
      <c r="DT21" s="151" t="e">
        <f t="shared" si="177"/>
        <v>#N/A</v>
      </c>
      <c r="DU21" s="151" t="e">
        <f t="shared" si="178"/>
        <v>#N/A</v>
      </c>
      <c r="DV21" s="151" t="e">
        <f t="shared" si="179"/>
        <v>#N/A</v>
      </c>
      <c r="DW21" s="151" t="e">
        <f t="shared" si="180"/>
        <v>#N/A</v>
      </c>
      <c r="DX21" s="151" t="e">
        <f t="shared" si="181"/>
        <v>#N/A</v>
      </c>
      <c r="DY21" s="151" t="e">
        <f t="shared" si="182"/>
        <v>#N/A</v>
      </c>
      <c r="DZ21" s="151" t="e">
        <f t="shared" si="183"/>
        <v>#N/A</v>
      </c>
      <c r="EA21" s="151" t="e">
        <f t="shared" si="184"/>
        <v>#N/A</v>
      </c>
      <c r="EB21" s="151" t="e">
        <f t="shared" si="185"/>
        <v>#N/A</v>
      </c>
      <c r="EC21" s="151" t="e">
        <f t="shared" si="186"/>
        <v>#N/A</v>
      </c>
      <c r="ED21" s="151" t="e">
        <f t="shared" si="187"/>
        <v>#N/A</v>
      </c>
      <c r="EE21" s="151" t="e">
        <f t="shared" si="188"/>
        <v>#N/A</v>
      </c>
      <c r="EF21" s="151" t="e">
        <f t="shared" si="189"/>
        <v>#N/A</v>
      </c>
      <c r="EG21" s="151" t="e">
        <f t="shared" si="190"/>
        <v>#N/A</v>
      </c>
      <c r="EH21" s="151" t="e">
        <f>IF(CA21=$TK$5,1,MIN(CJ21/'Tables - Part 3.B'!$C$8,1))</f>
        <v>#N/A</v>
      </c>
      <c r="EI21" s="151" t="e">
        <f>IF(CB21=$TK$5,1,MIN(CK21/'Tables - Part 3.B'!$C$8,1))</f>
        <v>#N/A</v>
      </c>
      <c r="EJ21" s="151" t="e">
        <f>IF(CC21=$TK$5,1,MIN(CL21/'Tables - Part 3.B'!$C$8,1))</f>
        <v>#N/A</v>
      </c>
      <c r="EK21" s="151" t="e">
        <f>IF(CD21=$TK$5,1,MIN(CM21/'Tables - Part 3.B'!$C$8,1))</f>
        <v>#N/A</v>
      </c>
      <c r="EL21" s="151" t="e">
        <f t="shared" si="191"/>
        <v>#VALUE!</v>
      </c>
      <c r="EM21" s="151" t="e">
        <f t="shared" si="48"/>
        <v>#VALUE!</v>
      </c>
      <c r="EN21" s="151" t="e">
        <f t="shared" si="48"/>
        <v>#VALUE!</v>
      </c>
      <c r="EO21" s="151" t="e">
        <f t="shared" si="48"/>
        <v>#VALUE!</v>
      </c>
      <c r="EP21" s="151" t="e">
        <f t="shared" si="192"/>
        <v>#N/A</v>
      </c>
      <c r="EQ21" s="151" t="e">
        <f t="shared" si="49"/>
        <v>#N/A</v>
      </c>
      <c r="ER21" s="151" t="e">
        <f t="shared" si="49"/>
        <v>#N/A</v>
      </c>
      <c r="ES21" s="151" t="e">
        <f t="shared" si="49"/>
        <v>#N/A</v>
      </c>
      <c r="ET21" s="151" t="e">
        <f t="shared" si="193"/>
        <v>#N/A</v>
      </c>
      <c r="EU21" s="151" t="e">
        <f t="shared" si="50"/>
        <v>#N/A</v>
      </c>
      <c r="EV21" s="151" t="e">
        <f t="shared" si="50"/>
        <v>#N/A</v>
      </c>
      <c r="EW21" s="151" t="e">
        <f t="shared" si="50"/>
        <v>#N/A</v>
      </c>
      <c r="EX21" s="151" t="e">
        <f t="shared" si="194"/>
        <v>#N/A</v>
      </c>
      <c r="EY21" s="151" t="e">
        <f t="shared" si="51"/>
        <v>#N/A</v>
      </c>
      <c r="EZ21" s="151" t="e">
        <f t="shared" si="51"/>
        <v>#N/A</v>
      </c>
      <c r="FA21" s="151" t="e">
        <f t="shared" si="51"/>
        <v>#N/A</v>
      </c>
      <c r="FB21" s="151" t="e">
        <f t="shared" si="195"/>
        <v>#N/A</v>
      </c>
      <c r="FC21" s="151" t="e">
        <f t="shared" si="52"/>
        <v>#N/A</v>
      </c>
      <c r="FD21" s="151" t="e">
        <f t="shared" si="52"/>
        <v>#N/A</v>
      </c>
      <c r="FE21" s="151" t="e">
        <f t="shared" si="52"/>
        <v>#N/A</v>
      </c>
      <c r="FF21" s="151" t="e">
        <f t="shared" si="196"/>
        <v>#N/A</v>
      </c>
      <c r="FG21" s="151" t="e">
        <f t="shared" si="53"/>
        <v>#N/A</v>
      </c>
      <c r="FH21" s="151" t="e">
        <f t="shared" si="53"/>
        <v>#N/A</v>
      </c>
      <c r="FI21" s="151" t="e">
        <f t="shared" si="53"/>
        <v>#N/A</v>
      </c>
      <c r="FJ21" s="151" t="e">
        <f t="shared" si="197"/>
        <v>#N/A</v>
      </c>
      <c r="FK21" s="151" t="e">
        <f t="shared" si="54"/>
        <v>#N/A</v>
      </c>
      <c r="FL21" s="151" t="e">
        <f t="shared" si="54"/>
        <v>#N/A</v>
      </c>
      <c r="FM21" s="288" t="e">
        <f t="shared" si="54"/>
        <v>#N/A</v>
      </c>
      <c r="FN21" s="299">
        <f t="shared" si="198"/>
        <v>0</v>
      </c>
      <c r="FO21" s="511">
        <f t="shared" si="199"/>
        <v>0</v>
      </c>
      <c r="FP21" s="150" t="e">
        <f t="shared" si="200"/>
        <v>#N/A</v>
      </c>
      <c r="FQ21" s="151" t="e">
        <f t="shared" si="201"/>
        <v>#N/A</v>
      </c>
      <c r="FR21" s="151" t="e">
        <f t="shared" si="202"/>
        <v>#N/A</v>
      </c>
      <c r="FS21" s="151" t="e">
        <f t="shared" si="203"/>
        <v>#N/A</v>
      </c>
      <c r="FT21" s="151">
        <f t="shared" si="55"/>
        <v>0</v>
      </c>
      <c r="FU21" s="151">
        <f t="shared" si="56"/>
        <v>0</v>
      </c>
      <c r="FV21" s="151">
        <f t="shared" si="57"/>
        <v>0</v>
      </c>
      <c r="FW21" s="151">
        <f t="shared" si="58"/>
        <v>0</v>
      </c>
      <c r="FX21" s="151">
        <f t="shared" si="59"/>
        <v>0</v>
      </c>
      <c r="FY21" s="151">
        <f t="shared" si="60"/>
        <v>0</v>
      </c>
      <c r="FZ21" s="151">
        <f t="shared" si="61"/>
        <v>0</v>
      </c>
      <c r="GA21" s="151">
        <f t="shared" si="62"/>
        <v>0</v>
      </c>
      <c r="GB21" s="151" t="e">
        <f>IF(CA21=$TK$6,'Tables - Part 3.B'!$C$10*(('Tables - Part 3.B'!$C$7*COF!FT21)^COF!GR21*10^COF!GV21),IF(CA21=$TK$5,'Tables - Part 3.B'!$C$10*(('Tables - Part 3.B'!$C$7*COF!FX21)^COF!GR21*10^COF!GV21),0))</f>
        <v>#N/A</v>
      </c>
      <c r="GC21" s="151" t="e">
        <f>IF(CB21=$TK$6,'Tables - Part 3.B'!$C$10*(('Tables - Part 3.B'!$C$7*COF!FU21)^COF!GS21*10^COF!GW21),IF(CB21=$TK$5,'Tables - Part 3.B'!$C$10*(('Tables - Part 3.B'!$C$7*COF!FY21)^COF!GS21*10^COF!GW21),0))</f>
        <v>#N/A</v>
      </c>
      <c r="GD21" s="151" t="e">
        <f>IF(CC21=$TK$6,'Tables - Part 3.B'!$C$10*(('Tables - Part 3.B'!$C$7*COF!FV21)^COF!GT21*10^COF!GX21),IF(CC21=$TK$5,'Tables - Part 3.B'!$C$10*(('Tables - Part 3.B'!$C$7*COF!FZ21)^COF!GT21*10^COF!GX21),0))</f>
        <v>#N/A</v>
      </c>
      <c r="GE21" s="151" t="e">
        <f>IF(CD21=$TK$6,'Tables - Part 3.B'!$C$10*(('Tables - Part 3.B'!$C$7*COF!FW21)^COF!GU21*10^COF!GY21),IF(CD21=$TK$5,'Tables - Part 3.B'!$C$10*(('Tables - Part 3.B'!$C$7*COF!GA21)^COF!GU21*10^COF!GY21),0))</f>
        <v>#N/A</v>
      </c>
      <c r="GF21" s="152" t="e">
        <f t="shared" si="272"/>
        <v>#N/A</v>
      </c>
      <c r="GG21" s="152" t="e">
        <f t="shared" si="63"/>
        <v>#N/A</v>
      </c>
      <c r="GH21" s="152" t="e">
        <f t="shared" si="64"/>
        <v>#N/A</v>
      </c>
      <c r="GI21" s="152" t="e">
        <f t="shared" si="65"/>
        <v>#N/A</v>
      </c>
      <c r="GJ21" s="152" t="e">
        <f>IF(GF21&lt;'Tables - Part 3'!$CK$5,0,LOOKUP(GF21,'Tables - Part 3'!$CK$5:$CK$9))</f>
        <v>#N/A</v>
      </c>
      <c r="GK21" s="152" t="e">
        <f>IF(GG21&lt;'Tables - Part 3'!$CK$5,0,LOOKUP(GG21,'Tables - Part 3'!$CK$5:$CK$9))</f>
        <v>#N/A</v>
      </c>
      <c r="GL21" s="152" t="e">
        <f>IF(GH21&lt;'Tables - Part 3'!$CK$5,0,LOOKUP(GH21,'Tables - Part 3'!$CK$5:$CK$9))</f>
        <v>#N/A</v>
      </c>
      <c r="GM21" s="152" t="e">
        <f>IF(GI21&lt;'Tables - Part 3'!$CK$5,0,LOOKUP(GI21,'Tables - Part 3'!$CK$5:$CK$9))</f>
        <v>#N/A</v>
      </c>
      <c r="GN21" s="152" t="e">
        <f>IF(GF21&lt;'Tables - Part 3'!$CK$5,'Tables - Part 3'!$CK$5,IF(COF!GF21&lt;'Tables - Part 3'!$CK$6,'Tables - Part 3'!$CK$6,IF(COF!GF21&lt;'Tables - Part 3'!$CK$7,'Tables - Part 3'!$CK$7,IF(COF!GF21&lt;'Tables - Part 3'!$CK$8,'Tables - Part 3'!$CK$8,IF(COF!GF21&lt;'Tables - Part 3'!$CK$9,'Tables - Part 3'!$CK$9)))))</f>
        <v>#N/A</v>
      </c>
      <c r="GO21" s="152" t="e">
        <f>IF(GG21&lt;'Tables - Part 3'!$CK$5,'Tables - Part 3'!$CK$5,IF(COF!GG21&lt;'Tables - Part 3'!$CK$6,'Tables - Part 3'!$CK$6,IF(COF!GG21&lt;'Tables - Part 3'!$CK$7,'Tables - Part 3'!$CK$7,IF(COF!GG21&lt;'Tables - Part 3'!$CK$8,'Tables - Part 3'!$CK$8,IF(COF!GG21&lt;'Tables - Part 3'!$CK$9,'Tables - Part 3'!$CK$9)))))</f>
        <v>#N/A</v>
      </c>
      <c r="GP21" s="152" t="e">
        <f>IF(GH21&lt;'Tables - Part 3'!$CK$5,'Tables - Part 3'!$CK$5,IF(COF!GH21&lt;'Tables - Part 3'!$CK$6,'Tables - Part 3'!$CK$6,IF(COF!GH21&lt;'Tables - Part 3'!$CK$7,'Tables - Part 3'!$CK$7,IF(COF!GH21&lt;'Tables - Part 3'!$CK$8,'Tables - Part 3'!$CK$8,IF(COF!GH21&lt;'Tables - Part 3'!$CK$9,'Tables - Part 3'!$CK$9)))))</f>
        <v>#N/A</v>
      </c>
      <c r="GQ21" s="152" t="e">
        <f>IF(GI21&lt;'Tables - Part 3'!$CK$5,'Tables - Part 3'!$CK$5,IF(COF!GI21&lt;'Tables - Part 3'!$CK$6,'Tables - Part 3'!$CK$6,IF(COF!GI21&lt;'Tables - Part 3'!$CK$7,'Tables - Part 3'!$CK$7,IF(COF!GI21&lt;'Tables - Part 3'!$CK$8,'Tables - Part 3'!$CK$8,IF(COF!GI21&lt;'Tables - Part 3'!$CK$9,'Tables - Part 3'!$CK$9)))))</f>
        <v>#N/A</v>
      </c>
      <c r="GR21" s="151" t="e">
        <f>IF(CA21=$TK$5,'Tables - Part 3'!$CL$10,IF(COF!CA21=COF!$TK$6,IF(COF!GF21&lt;'Tables - Part 3'!$CK$5,'Tables - Part 3'!$CL$5,IF(GF21&gt;='Tables - Part 3'!$CK$9,'Tables - Part 3'!$CL$9,((COF!GF21-COF!GJ21)*(INDEX('Tables - Part 3'!$CL$5:$CL$9,MATCH(COF!GN21,'Tables - Part 3'!$CK$5:$CK$9,0))-INDEX('Tables - Part 3'!$CL$5:$CL$9,MATCH(COF!GJ21,'Tables - Part 3'!$CK$5:$CK$9,0)))/(GN21-GJ21)+INDEX('Tables - Part 3'!$CL$5:$CL$9,MATCH(COF!GJ21,'Tables - Part 3'!$CK$5:$CK$9,0)))))))</f>
        <v>#N/A</v>
      </c>
      <c r="GS21" s="151" t="e">
        <f>IF(CB21=$TK$5,'Tables - Part 3'!$CL$10,IF(COF!CB21=COF!$TK$6,IF(COF!GG21&lt;'Tables - Part 3'!$CK$5,'Tables - Part 3'!$CL$5,IF(GG21&gt;='Tables - Part 3'!$CK$9,'Tables - Part 3'!$CL$9,((COF!GG21-COF!GK21)*(INDEX('Tables - Part 3'!$CL$5:$CL$9,MATCH(COF!GO21,'Tables - Part 3'!$CK$5:$CK$9,0))-INDEX('Tables - Part 3'!$CL$5:$CL$9,MATCH(COF!GK21,'Tables - Part 3'!$CK$5:$CK$9,0)))/(GO21-GK21)+INDEX('Tables - Part 3'!$CL$5:$CL$9,MATCH(COF!GK21,'Tables - Part 3'!$CK$5:$CK$9,0)))))))</f>
        <v>#N/A</v>
      </c>
      <c r="GT21" s="151" t="e">
        <f>IF(CC21=$TK$5,'Tables - Part 3'!$CL$10,IF(COF!CC21=COF!$TK$6,IF(COF!GH21&lt;'Tables - Part 3'!$CK$5,'Tables - Part 3'!$CL$5,IF(GH21&gt;='Tables - Part 3'!$CK$9,'Tables - Part 3'!$CL$9,((COF!GH21-COF!GL21)*(INDEX('Tables - Part 3'!$CL$5:$CL$9,MATCH(COF!GP21,'Tables - Part 3'!$CK$5:$CK$9,0))-INDEX('Tables - Part 3'!$CL$5:$CL$9,MATCH(COF!GL21,'Tables - Part 3'!$CK$5:$CK$9,0)))/(GP21-GL21)+INDEX('Tables - Part 3'!$CL$5:$CL$9,MATCH(COF!GL21,'Tables - Part 3'!$CK$5:$CK$9,0)))))))</f>
        <v>#N/A</v>
      </c>
      <c r="GU21" s="151" t="e">
        <f>IF(CD21=$TK$5,'Tables - Part 3'!$CL$10,IF(COF!CD21=COF!$TK$6,IF(COF!GI21&lt;'Tables - Part 3'!$CK$5,'Tables - Part 3'!$CL$5,IF(GI21&gt;='Tables - Part 3'!$CK$9,'Tables - Part 3'!$CL$9,((COF!GI21-COF!GM21)*(INDEX('Tables - Part 3'!$CL$5:$CL$9,MATCH(COF!GQ21,'Tables - Part 3'!$CK$5:$CK$9,0))-INDEX('Tables - Part 3'!$CL$5:$CL$9,MATCH(COF!GM21,'Tables - Part 3'!$CK$5:$CK$9,0)))/(GQ21-GM21)+INDEX('Tables - Part 3'!$CL$5:$CL$9,MATCH(COF!GM21,'Tables - Part 3'!$CK$5:$CK$9,0)))))))</f>
        <v>#N/A</v>
      </c>
      <c r="GV21" s="151" t="e">
        <f>IF(CA21=$TK$5,'Tables - Part 3'!$CM$10,IF(COF!CA21=COF!$TK$6,IF(GF21&lt;'Tables - Part 3'!$CK$5,'Tables - Part 3'!$CM$5,IF(GF21&gt;='Tables - Part 3'!$CK$9,'Tables - Part 3'!$CM$9,((COF!GF21-COF!GJ21)*(INDEX('Tables - Part 3'!$CM$5:$CM$9,MATCH(COF!GN21,'Tables - Part 3'!$CK$5:$CK$9,0))-INDEX('Tables - Part 3'!$CM$5:$CM$9,MATCH(COF!GJ21,'Tables - Part 3'!$CK$5:$CK$9,0)))/(GN21-GJ21)+INDEX('Tables - Part 3'!$CM$5:$CM$9,MATCH(COF!GJ21,'Tables - Part 3'!$CK$5:$CK$9,0)))))))</f>
        <v>#N/A</v>
      </c>
      <c r="GW21" s="151" t="e">
        <f>IF(CB21=$TK$5,'Tables - Part 3'!$CM$10,IF(COF!CB21=COF!$TK$6,IF(GG21&lt;'Tables - Part 3'!$CK$5,'Tables - Part 3'!$CM$5,IF(GG21&gt;='Tables - Part 3'!$CK$9,'Tables - Part 3'!$CM$9,((COF!GG21-COF!GK21)*(INDEX('Tables - Part 3'!$CM$5:$CM$9,MATCH(COF!GO21,'Tables - Part 3'!$CK$5:$CK$9,0))-INDEX('Tables - Part 3'!$CM$5:$CM$9,MATCH(COF!GK21,'Tables - Part 3'!$CK$5:$CK$9,0)))/(GO21-GK21)+INDEX('Tables - Part 3'!$CM$5:$CM$9,MATCH(COF!GK21,'Tables - Part 3'!$CK$5:$CK$9,0)))))))</f>
        <v>#N/A</v>
      </c>
      <c r="GX21" s="151" t="e">
        <f>IF(CC21=$TK$5,'Tables - Part 3'!$CM$10,IF(COF!CC21=COF!$TK$6,IF(GH21&lt;'Tables - Part 3'!$CK$5,'Tables - Part 3'!$CM$5,IF(GH21&gt;='Tables - Part 3'!$CK$9,'Tables - Part 3'!$CM$9,((COF!GH21-COF!GL21)*(INDEX('Tables - Part 3'!$CM$5:$CM$9,MATCH(COF!GP21,'Tables - Part 3'!$CK$5:$CK$9,0))-INDEX('Tables - Part 3'!$CM$5:$CM$9,MATCH(COF!GL21,'Tables - Part 3'!$CK$5:$CK$9,0)))/(GP21-GL21)+INDEX('Tables - Part 3'!$CM$5:$CM$9,MATCH(COF!GL21,'Tables - Part 3'!$CK$5:$CK$9,0)))))))</f>
        <v>#N/A</v>
      </c>
      <c r="GY21" s="151" t="e">
        <f>IF(CD21=$TK$5,'Tables - Part 3'!$CM$10,IF(COF!CD21=COF!$TK$6,IF(GI21&lt;'Tables - Part 3'!$CK$5,'Tables - Part 3'!$CM$5,IF(GI21&gt;='Tables - Part 3'!$CK$9,'Tables - Part 3'!$CM$9,((COF!GI21-COF!GM21)*(INDEX('Tables - Part 3'!$CM$5:$CM$9,MATCH(COF!GQ21,'Tables - Part 3'!$CK$5:$CK$9,0))-INDEX('Tables - Part 3'!$CM$5:$CM$9,MATCH(COF!GM21,'Tables - Part 3'!$CK$5:$CK$9,0)))/(GQ21-GM21)+INDEX('Tables - Part 3'!$CM$5:$CM$9,MATCH(COF!GM21,'Tables - Part 3'!$CK$5:$CK$9,0)))))))</f>
        <v>#N/A</v>
      </c>
      <c r="GZ21" s="151">
        <f t="shared" si="66"/>
        <v>0</v>
      </c>
      <c r="HA21" s="151">
        <f t="shared" si="67"/>
        <v>0</v>
      </c>
      <c r="HB21" s="151">
        <f t="shared" si="68"/>
        <v>0</v>
      </c>
      <c r="HC21" s="151">
        <f t="shared" si="69"/>
        <v>0</v>
      </c>
      <c r="HD21" s="151">
        <f t="shared" si="70"/>
        <v>0</v>
      </c>
      <c r="HE21" s="151">
        <f t="shared" si="71"/>
        <v>0</v>
      </c>
      <c r="HF21" s="151">
        <f t="shared" si="72"/>
        <v>0</v>
      </c>
      <c r="HG21" s="151">
        <f t="shared" si="73"/>
        <v>0</v>
      </c>
      <c r="HH21" s="151" t="e">
        <f>IF(CA21=$TK$6,'Tables - Part 3.B'!$C$10*(('Tables - Part 3.B'!$C$7*COF!GZ21)^COF!HL21*10^COF!HP21),IF(CA21=$TK$5,'Tables - Part 3.B'!$C$10*(('Tables - Part 3.B'!$C$7*COF!HD21)^COF!HL21*10^COF!HP21),0))</f>
        <v>#N/A</v>
      </c>
      <c r="HI21" s="151" t="e">
        <f>IF(CB21=$TK$6,'Tables - Part 3.B'!$C$10*(('Tables - Part 3.B'!$C$7*COF!HA21)^COF!HM21*10^COF!HQ21),IF(CB21=$TK$5,'Tables - Part 3.B'!$C$10*(('Tables - Part 3.B'!$C$7*COF!HE21)^COF!HM21*10^COF!HQ21),0))</f>
        <v>#N/A</v>
      </c>
      <c r="HJ21" s="151" t="e">
        <f>IF(CC21=$TK$6,'Tables - Part 3.B'!$C$10*(('Tables - Part 3.B'!$C$7*COF!HB21)^COF!HN21*10^COF!HR21),IF(CC21=$TK$5,'Tables - Part 3.B'!$C$10*(('Tables - Part 3.B'!$C$7*COF!HF21)^COF!HN21*10^COF!HR21),0))</f>
        <v>#N/A</v>
      </c>
      <c r="HK21" s="151" t="e">
        <f>IF(CD21=$TK$6,'Tables - Part 3.B'!$C$10*(('Tables - Part 3.B'!$C$7*COF!HC21)^COF!HO21*10^COF!HS21),IF(CD21=$TK$5,'Tables - Part 3.B'!$C$10*(('Tables - Part 3.B'!$C$7*COF!HG21)^COF!HO21*10^COF!HS21),0))</f>
        <v>#N/A</v>
      </c>
      <c r="HL21" s="151" t="e">
        <f>IF(CA21=$TK$5,'Tables - Part 3'!$CN$10,IF(COF!CA21=COF!$TK$6,IF(COF!GF21&lt;'Tables - Part 3'!$CK$5,'Tables - Part 3'!$CN$5,IF(GF21&gt;='Tables - Part 3'!$CK$9,'Tables - Part 3'!$CN$9,((COF!GF21-COF!GJ21)*(INDEX('Tables - Part 3'!$CN$5:$CN$9,MATCH(COF!GN21,'Tables - Part 3'!$CK$5:$CK$9,0))-INDEX('Tables - Part 3'!$CN$5:$CN$9,MATCH(COF!GJ21,'Tables - Part 3'!$CK$5:$CK$9,0)))/(GN21-GJ21)+INDEX('Tables - Part 3'!$CN$5:$CN$9,MATCH(COF!GJ21,'Tables - Part 3'!$CK$5:$CK$9,0)))))))</f>
        <v>#N/A</v>
      </c>
      <c r="HM21" s="151" t="e">
        <f>IF(CB21=$TK$5,'Tables - Part 3'!$CN$10,IF(COF!CB21=COF!$TK$6,IF(COF!GG21&lt;'Tables - Part 3'!$CK$5,'Tables - Part 3'!$CN$5,IF(GG21&gt;='Tables - Part 3'!$CK$9,'Tables - Part 3'!$CN$9,((COF!GG21-COF!GK21)*(INDEX('Tables - Part 3'!$CN$5:$CN$9,MATCH(COF!GO21,'Tables - Part 3'!$CK$5:$CK$9,0))-INDEX('Tables - Part 3'!$CN$5:$CN$9,MATCH(COF!GK21,'Tables - Part 3'!$CK$5:$CK$9,0)))/(GO21-GK21)+INDEX('Tables - Part 3'!$CN$5:$CN$9,MATCH(COF!GK21,'Tables - Part 3'!$CK$5:$CK$9,0)))))))</f>
        <v>#N/A</v>
      </c>
      <c r="HN21" s="151" t="e">
        <f>IF(CC21=$TK$5,'Tables - Part 3'!$CN$10,IF(COF!CC21=COF!$TK$6,IF(COF!GH21&lt;'Tables - Part 3'!$CK$5,'Tables - Part 3'!$CN$5,IF(GH21&gt;='Tables - Part 3'!$CK$9,'Tables - Part 3'!$CN$9,((COF!GH21-COF!GL21)*(INDEX('Tables - Part 3'!$CN$5:$CN$9,MATCH(COF!GP21,'Tables - Part 3'!$CK$5:$CK$9,0))-INDEX('Tables - Part 3'!$CN$5:$CN$9,MATCH(COF!GL21,'Tables - Part 3'!$CK$5:$CK$9,0)))/(GP21-GL21)+INDEX('Tables - Part 3'!$CN$5:$CN$9,MATCH(COF!GL21,'Tables - Part 3'!$CK$5:$CK$9,0)))))))</f>
        <v>#N/A</v>
      </c>
      <c r="HO21" s="151" t="e">
        <f>IF(CD21=$TK$5,'Tables - Part 3'!$CN$10,IF(COF!CD21=COF!$TK$6,IF(COF!GI21&lt;'Tables - Part 3'!$CK$5,'Tables - Part 3'!$CN$5,IF(GI21&gt;='Tables - Part 3'!$CK$9,'Tables - Part 3'!$CN$9,((COF!GI21-COF!GM21)*(INDEX('Tables - Part 3'!$CN$5:$CN$9,MATCH(COF!GQ21,'Tables - Part 3'!$CK$5:$CK$9,0))-INDEX('Tables - Part 3'!$CN$5:$CN$9,MATCH(COF!GM21,'Tables - Part 3'!$CK$5:$CK$9,0)))/(GQ21-GM21)+INDEX('Tables - Part 3'!$CN$5:$CN$9,MATCH(COF!GM21,'Tables - Part 3'!$CK$5:$CK$9,0)))))))</f>
        <v>#N/A</v>
      </c>
      <c r="HP21" s="151" t="e">
        <f>IF(CA21=$TK$5,'Tables - Part 3'!$CO$10,IF(COF!CA21=COF!$TK$6,IF(GF21&lt;'Tables - Part 3'!$CK$5,'Tables - Part 3'!$CO$5,IF(GF21&gt;='Tables - Part 3'!$CK$9,'Tables - Part 3'!$CO$9,((COF!GF21-COF!GJ21)*(INDEX('Tables - Part 3'!$CO$5:$CO$9,MATCH(COF!GN21,'Tables - Part 3'!$CK$5:$CK$9,0))-INDEX('Tables - Part 3'!$CO$5:$CO$9,MATCH(COF!GJ21,'Tables - Part 3'!$CK$5:$CK$9,0)))/(GN21-GJ21)+INDEX('Tables - Part 3'!$CO$5:$CO$9,MATCH(COF!GJ21,'Tables - Part 3'!$CK$5:$CK$9,0)))))))</f>
        <v>#N/A</v>
      </c>
      <c r="HQ21" s="151" t="e">
        <f>IF(CB21=$TK$5,'Tables - Part 3'!$CO$10,IF(COF!CB21=COF!$TK$6,IF(GG21&lt;'Tables - Part 3'!$CK$5,'Tables - Part 3'!$CO$5,IF(GG21&gt;='Tables - Part 3'!$CK$9,'Tables - Part 3'!$CO$9,((COF!GG21-COF!GK21)*(INDEX('Tables - Part 3'!$CO$5:$CO$9,MATCH(COF!GO21,'Tables - Part 3'!$CK$5:$CK$9,0))-INDEX('Tables - Part 3'!$CO$5:$CO$9,MATCH(COF!GK21,'Tables - Part 3'!$CK$5:$CK$9,0)))/(GO21-GK21)+INDEX('Tables - Part 3'!$CO$5:$CO$9,MATCH(COF!GK21,'Tables - Part 3'!$CK$5:$CK$9,0)))))))</f>
        <v>#N/A</v>
      </c>
      <c r="HR21" s="151" t="e">
        <f>IF(CC21=$TK$5,'Tables - Part 3'!$CO$10,IF(COF!CC21=COF!$TK$6,IF(GH21&lt;'Tables - Part 3'!$CK$5,'Tables - Part 3'!$CO$5,IF(GH21&gt;='Tables - Part 3'!$CK$9,'Tables - Part 3'!$CO$9,((COF!GH21-COF!GL21)*(INDEX('Tables - Part 3'!$CO$5:$CO$9,MATCH(COF!GP21,'Tables - Part 3'!$CK$5:$CK$9,0))-INDEX('Tables - Part 3'!$CO$5:$CO$9,MATCH(COF!GL21,'Tables - Part 3'!$CK$5:$CK$9,0)))/(GP21-GL21)+INDEX('Tables - Part 3'!$CO$5:$CO$9,MATCH(COF!GL21,'Tables - Part 3'!$CK$5:$CK$9,0)))))))</f>
        <v>#N/A</v>
      </c>
      <c r="HS21" s="151" t="e">
        <f>IF(CD21=$TK$5,'Tables - Part 3'!$CO$10,IF(COF!CD21=COF!$TK$6,IF(GI21&lt;'Tables - Part 3'!$CK$5,'Tables - Part 3'!$CO$5,IF(GI21&gt;='Tables - Part 3'!$CK$9,'Tables - Part 3'!$CO$9,((COF!GI21-COF!GM21)*(INDEX('Tables - Part 3'!$CO$5:$CO$9,MATCH(COF!GQ21,'Tables - Part 3'!$CK$5:$CK$9,0))-INDEX('Tables - Part 3'!$CO$5:$CO$9,MATCH(COF!GM21,'Tables - Part 3'!$CK$5:$CK$9,0)))/(GQ21-GM21)+INDEX('Tables - Part 3'!$CO$5:$CO$9,MATCH(COF!GM21,'Tables - Part 3'!$CK$5:$CK$9,0)))))))</f>
        <v>#N/A</v>
      </c>
      <c r="HT21" s="151">
        <f t="shared" si="74"/>
        <v>0</v>
      </c>
      <c r="HU21" s="151">
        <f t="shared" si="75"/>
        <v>0</v>
      </c>
      <c r="HV21" s="151">
        <f t="shared" si="76"/>
        <v>0</v>
      </c>
      <c r="HW21" s="151">
        <f t="shared" si="77"/>
        <v>0</v>
      </c>
      <c r="HX21" s="151">
        <f t="shared" si="78"/>
        <v>0</v>
      </c>
      <c r="HY21" s="151">
        <f t="shared" si="79"/>
        <v>0</v>
      </c>
      <c r="HZ21" s="151">
        <f t="shared" si="80"/>
        <v>0</v>
      </c>
      <c r="IA21" s="151">
        <f t="shared" si="81"/>
        <v>0</v>
      </c>
      <c r="IB21" s="153" t="e">
        <f t="shared" si="82"/>
        <v>#N/A</v>
      </c>
      <c r="IC21" s="153" t="e">
        <f t="shared" si="83"/>
        <v>#N/A</v>
      </c>
      <c r="ID21" s="153" t="e">
        <f t="shared" si="84"/>
        <v>#N/A</v>
      </c>
      <c r="IE21" s="153" t="e">
        <f t="shared" si="85"/>
        <v>#N/A</v>
      </c>
      <c r="IF21" s="152" t="e">
        <f>IF(GF21&lt;'Tables - Part 3'!$CQ$5,0,LOOKUP(GF21,'Tables - Part 3'!$CQ$5:$CQ$16))</f>
        <v>#N/A</v>
      </c>
      <c r="IG21" s="152" t="e">
        <f>IF(GG21&lt;'Tables - Part 3'!$CQ$5,0,LOOKUP(GG21,'Tables - Part 3'!$CQ$5:$CQ$16))</f>
        <v>#N/A</v>
      </c>
      <c r="IH21" s="152" t="e">
        <f>IF(GH21&lt;'Tables - Part 3'!$CQ$5,0,LOOKUP(GH21,'Tables - Part 3'!$CQ$5:$CQ$16))</f>
        <v>#N/A</v>
      </c>
      <c r="II21" s="152" t="e">
        <f>IF(GI21&lt;'Tables - Part 3'!$CQ$5,0,LOOKUP(GI21,'Tables - Part 3'!$CQ$5:$CQ$16))</f>
        <v>#N/A</v>
      </c>
      <c r="IJ21" s="152" t="e">
        <f>IF(GF21&lt;'Tables - Part 3'!$CQ$5,'Tables - Part 3'!$CQ$5,IF(COF!GF21&lt;'Tables - Part 3'!$CQ$6,'Tables - Part 3'!$CQ$6,IF(COF!GF21&lt;'Tables - Part 3'!$CQ$7,'Tables - Part 3'!$CQ$7,IF(COF!GF21&lt;'Tables - Part 3'!$CQ$8,'Tables - Part 3'!$CQ$8,IF(COF!GF21&lt;'Tables - Part 3'!$CQ$9,'Tables - Part 3'!$CQ$9,IF(COF!GF21&lt;'Tables - Part 3'!$CQ$10,'Tables - Part 3'!$CQ$10,IF(COF!GF21&lt;'Tables - Part 3'!$CQ$11,'Tables - Part 3'!$CQ$11,IF(COF!GF21&lt;'Tables - Part 3'!$CQ$12,'Tables - Part 3'!$CQ$12,IF(COF!GF21&lt;'Tables - Part 3'!$CQ$13,'Tables - Part 3'!$CQ$13,IF(COF!GF21&lt;'Tables - Part 3'!$CQ$14,'Tables - Part 3'!$CQ$14,IF(COF!GF21&lt;'Tables - Part 3'!$CQ$15,'Tables - Part 3'!$CQ$15,IF(COF!GF21&lt;'Tables - Part 3'!$CQ$16,'Tables - Part 3'!$CQ$16))))))))))))</f>
        <v>#N/A</v>
      </c>
      <c r="IK21" s="152" t="e">
        <f>IF(GG21&lt;'Tables - Part 3'!$CQ$5,'Tables - Part 3'!$CQ$5,IF(COF!GG21&lt;'Tables - Part 3'!$CQ$6,'Tables - Part 3'!$CQ$6,IF(COF!GG21&lt;'Tables - Part 3'!$CQ$7,'Tables - Part 3'!$CQ$7,IF(COF!GG21&lt;'Tables - Part 3'!$CQ$8,'Tables - Part 3'!$CQ$8,IF(COF!GG21&lt;'Tables - Part 3'!$CQ$9,'Tables - Part 3'!$CQ$9,IF(COF!GG21&lt;'Tables - Part 3'!$CQ$10,'Tables - Part 3'!$CQ$10,IF(COF!GG21&lt;'Tables - Part 3'!$CQ$11,'Tables - Part 3'!$CQ$11,IF(COF!GG21&lt;'Tables - Part 3'!$CQ$12,'Tables - Part 3'!$CQ$12,IF(COF!GG21&lt;'Tables - Part 3'!$CQ$13,'Tables - Part 3'!$CQ$13,IF(COF!GG21&lt;'Tables - Part 3'!$CQ$14,'Tables - Part 3'!$CQ$14,IF(COF!GG21&lt;'Tables - Part 3'!$CQ$15,'Tables - Part 3'!$CQ$15,IF(COF!GG21&lt;'Tables - Part 3'!$CQ$16,'Tables - Part 3'!$CQ$16))))))))))))</f>
        <v>#N/A</v>
      </c>
      <c r="IL21" s="152" t="e">
        <f>IF(GH21&lt;'Tables - Part 3'!$CQ$5,'Tables - Part 3'!$CQ$5,IF(COF!GH21&lt;'Tables - Part 3'!$CQ$6,'Tables - Part 3'!$CQ$6,IF(COF!GH21&lt;'Tables - Part 3'!$CQ$7,'Tables - Part 3'!$CQ$7,IF(COF!GH21&lt;'Tables - Part 3'!$CQ$8,'Tables - Part 3'!$CQ$8,IF(COF!GH21&lt;'Tables - Part 3'!$CQ$9,'Tables - Part 3'!$CQ$9,IF(COF!GH21&lt;'Tables - Part 3'!$CQ$10,'Tables - Part 3'!$CQ$10,IF(COF!GH21&lt;'Tables - Part 3'!$CQ$11,'Tables - Part 3'!$CQ$11,IF(COF!GH21&lt;'Tables - Part 3'!$CQ$12,'Tables - Part 3'!$CQ$12,IF(COF!GH21&lt;'Tables - Part 3'!$CQ$13,'Tables - Part 3'!$CQ$13,IF(COF!GH21&lt;'Tables - Part 3'!$CQ$14,'Tables - Part 3'!$CQ$14,IF(COF!GH21&lt;'Tables - Part 3'!$CQ$15,'Tables - Part 3'!$CQ$15,IF(COF!GH21&lt;'Tables - Part 3'!$CQ$16,'Tables - Part 3'!$CQ$16))))))))))))</f>
        <v>#N/A</v>
      </c>
      <c r="IM21" s="152" t="e">
        <f>IF(GI21&lt;'Tables - Part 3'!$CQ$5,'Tables - Part 3'!$CQ$5,IF(COF!GI21&lt;'Tables - Part 3'!$CQ$6,'Tables - Part 3'!$CQ$6,IF(COF!GI21&lt;'Tables - Part 3'!$CQ$7,'Tables - Part 3'!$CQ$7,IF(COF!GI21&lt;'Tables - Part 3'!$CQ$8,'Tables - Part 3'!$CQ$8,IF(COF!GI21&lt;'Tables - Part 3'!$CQ$9,'Tables - Part 3'!$CQ$9,IF(COF!GI21&lt;'Tables - Part 3'!$CQ$10,'Tables - Part 3'!$CQ$10,IF(COF!GI21&lt;'Tables - Part 3'!$CQ$11,'Tables - Part 3'!$CQ$11,IF(COF!GI21&lt;'Tables - Part 3'!$CQ$12,'Tables - Part 3'!$CQ$12,IF(COF!GI21&lt;'Tables - Part 3'!$CQ$13,'Tables - Part 3'!$CQ$13,IF(COF!GI21&lt;'Tables - Part 3'!$CQ$14,'Tables - Part 3'!$CQ$14,IF(COF!GI21&lt;'Tables - Part 3'!$CQ$15,'Tables - Part 3'!$CQ$15,IF(COF!GI21&lt;'Tables - Part 3'!$CQ$16,'Tables - Part 3'!$CQ$16))))))))))))</f>
        <v>#N/A</v>
      </c>
      <c r="IN21" s="151" t="e">
        <f>IF(CA21=$TK$5,'Tables - Part 3'!$CR$17,IF(COF!CA21=COF!$TK$6,IF(COF!GF21&lt;'Tables - Part 3'!$CQ$5,'Tables - Part 3'!$CR$5,IF(GF21&gt;='Tables - Part 3'!$CQ$16,'Tables - Part 3'!$CR$16,((COF!GF21-COF!IF21)*(INDEX('Tables - Part 3'!$CR$5:$CR$16,MATCH(COF!IJ21,'Tables - Part 3'!$CQ$5:$CQ$16,0))-INDEX('Tables - Part 3'!$CR$5:$CR$16,MATCH(COF!IF21,'Tables - Part 3'!$CQ$5:$CQ$16,0)))/(IJ21-IF21)+INDEX('Tables - Part 3'!$CR$5:$CR$16,MATCH(COF!IF21,'Tables - Part 3'!$CQ$5:$CQ$16,0)))))))</f>
        <v>#N/A</v>
      </c>
      <c r="IO21" s="151" t="e">
        <f>IF(CB21=$TK$5,'Tables - Part 3'!$CR$17,IF(COF!CB21=COF!$TK$6,IF(COF!GG21&lt;'Tables - Part 3'!$CQ$5,'Tables - Part 3'!$CR$5,IF(GG21&gt;='Tables - Part 3'!$CQ$16,'Tables - Part 3'!$CR$16,((COF!GG21-COF!IG21)*(INDEX('Tables - Part 3'!$CR$5:$CR$16,MATCH(COF!IK21,'Tables - Part 3'!$CQ$5:$CQ$16,0))-INDEX('Tables - Part 3'!$CR$5:$CR$16,MATCH(COF!IG21,'Tables - Part 3'!$CQ$5:$CQ$16,0)))/(IK21-IG21)+INDEX('Tables - Part 3'!$CR$5:$CR$16,MATCH(COF!IG21,'Tables - Part 3'!$CQ$5:$CQ$16,0)))))))</f>
        <v>#N/A</v>
      </c>
      <c r="IP21" s="151" t="e">
        <f>IF(CC21=$TK$5,'Tables - Part 3'!$CR$17,IF(COF!CC21=COF!$TK$6,IF(COF!GH21&lt;'Tables - Part 3'!$CQ$5,'Tables - Part 3'!$CR$5,IF(GH21&gt;='Tables - Part 3'!$CQ$16,'Tables - Part 3'!$CR$16,((COF!GH21-COF!IH21)*(INDEX('Tables - Part 3'!$CR$5:$CR$16,MATCH(COF!IL21,'Tables - Part 3'!$CQ$5:$CQ$16,0))-INDEX('Tables - Part 3'!$CR$5:$CR$16,MATCH(COF!IH21,'Tables - Part 3'!$CQ$5:$CQ$16,0)))/(IL21-IH21)+INDEX('Tables - Part 3'!$CR$5:$CR$16,MATCH(COF!IH21,'Tables - Part 3'!$CQ$5:$CQ$16,0)))))))</f>
        <v>#N/A</v>
      </c>
      <c r="IQ21" s="151" t="e">
        <f>IF(CD21=$TK$5,'Tables - Part 3'!$CR$17,IF(COF!CD21=COF!$TK$6,IF(COF!GI21&lt;'Tables - Part 3'!$CQ$5,'Tables - Part 3'!$CR$5,IF(GI21&gt;='Tables - Part 3'!$CQ$16,'Tables - Part 3'!$CR$16,((COF!GI21-COF!II21)*(INDEX('Tables - Part 3'!$CR$5:$CR$16,MATCH(COF!IM21,'Tables - Part 3'!$CQ$5:$CQ$16,0))-INDEX('Tables - Part 3'!$CR$5:$CR$16,MATCH(COF!II21,'Tables - Part 3'!$CQ$5:$CQ$16,0)))/(IM21-II21)+INDEX('Tables - Part 3'!$CR$5:$CR$16,MATCH(COF!II21,'Tables - Part 3'!$CQ$5:$CQ$16,0)))))))</f>
        <v>#N/A</v>
      </c>
      <c r="IR21" s="151" t="e">
        <f>IF(CA21=$TK$5,'Tables - Part 3'!$CS$17,IF(COF!CA21=COF!$TK$6,IF(COF!GF21&lt;'Tables - Part 3'!$CQ$5,'Tables - Part 3'!$CS$5,IF(GF21&gt;='Tables - Part 3'!$CQ$16,'Tables - Part 3'!$CS$16,((COF!GF21-COF!IF21)*(INDEX('Tables - Part 3'!$CS$5:$CS$16,MATCH(COF!IJ21,'Tables - Part 3'!$CQ$5:$CQ$16,0))-INDEX('Tables - Part 3'!$CS$5:$CS$16,MATCH(COF!IF21,'Tables - Part 3'!$CQ$5:$CQ$16,0)))/(IJ21-IF21)+INDEX('Tables - Part 3'!$CS$5:$CS$16,MATCH(COF!IF21,'Tables - Part 3'!$CQ$5:$CQ$16,0)))))))</f>
        <v>#N/A</v>
      </c>
      <c r="IS21" s="151" t="e">
        <f>IF(CB21=$TK$5,'Tables - Part 3'!$CS$17,IF(COF!CB21=COF!$TK$6,IF(COF!GG21&lt;'Tables - Part 3'!$CQ$5,'Tables - Part 3'!$CS$5,IF(GG21&gt;='Tables - Part 3'!$CQ$16,'Tables - Part 3'!$CS$16,((COF!GG21-COF!IG21)*(INDEX('Tables - Part 3'!$CS$5:$CS$16,MATCH(COF!IK21,'Tables - Part 3'!$CQ$5:$CQ$16,0))-INDEX('Tables - Part 3'!$CS$5:$CS$16,MATCH(COF!IG21,'Tables - Part 3'!$CQ$5:$CQ$16,0)))/(IK21-IG21)+INDEX('Tables - Part 3'!$CS$5:$CS$16,MATCH(COF!IG21,'Tables - Part 3'!$CQ$5:$CQ$16,0)))))))</f>
        <v>#N/A</v>
      </c>
      <c r="IT21" s="151" t="e">
        <f>IF(CC21=$TK$5,'Tables - Part 3'!$CS$17,IF(COF!CC21=COF!$TK$6,IF(COF!GH21&lt;'Tables - Part 3'!$CQ$5,'Tables - Part 3'!$CS$5,IF(GH21&gt;='Tables - Part 3'!$CQ$16,'Tables - Part 3'!$CS$16,((COF!GH21-COF!IH21)*(INDEX('Tables - Part 3'!$CS$5:$CS$16,MATCH(COF!IL21,'Tables - Part 3'!$CQ$5:$CQ$16,0))-INDEX('Tables - Part 3'!$CS$5:$CS$16,MATCH(COF!IH21,'Tables - Part 3'!$CQ$5:$CQ$16,0)))/(IL21-IH21)+INDEX('Tables - Part 3'!$CS$5:$CS$16,MATCH(COF!IH21,'Tables - Part 3'!$CQ$5:$CQ$16,0)))))))</f>
        <v>#N/A</v>
      </c>
      <c r="IU21" s="151" t="e">
        <f>IF(CD21=$TK$5,'Tables - Part 3'!$CS$17,IF(COF!CD21=COF!$TK$6,IF(COF!GI21&lt;'Tables - Part 3'!$CQ$5,'Tables - Part 3'!$CS$5,IF(GI21&gt;='Tables - Part 3'!$CQ$16,'Tables - Part 3'!$CS$16,((COF!GI21-COF!II21)*(INDEX('Tables - Part 3'!$CS$5:$CS$16,MATCH(COF!IM21,'Tables - Part 3'!$CQ$5:$CQ$16,0))-INDEX('Tables - Part 3'!$CS$5:$CS$16,MATCH(COF!II21,'Tables - Part 3'!$CQ$5:$CQ$16,0)))/(IM21-II21)+INDEX('Tables - Part 3'!$CS$5:$CS$16,MATCH(COF!II21,'Tables - Part 3'!$CQ$5:$CQ$16,0)))))))</f>
        <v>#N/A</v>
      </c>
      <c r="IV21" s="151">
        <f t="shared" si="86"/>
        <v>0</v>
      </c>
      <c r="IW21" s="151">
        <f t="shared" si="87"/>
        <v>0</v>
      </c>
      <c r="IX21" s="151">
        <f t="shared" si="88"/>
        <v>0</v>
      </c>
      <c r="IY21" s="151">
        <f t="shared" si="89"/>
        <v>0</v>
      </c>
      <c r="IZ21" s="151">
        <f t="shared" si="90"/>
        <v>0</v>
      </c>
      <c r="JA21" s="151">
        <f t="shared" si="91"/>
        <v>0</v>
      </c>
      <c r="JB21" s="151">
        <f t="shared" si="92"/>
        <v>0</v>
      </c>
      <c r="JC21" s="151">
        <f t="shared" si="93"/>
        <v>0</v>
      </c>
      <c r="JD21" s="151" t="e">
        <f t="shared" si="94"/>
        <v>#N/A</v>
      </c>
      <c r="JE21" s="151" t="e">
        <f t="shared" si="95"/>
        <v>#N/A</v>
      </c>
      <c r="JF21" s="151" t="e">
        <f t="shared" si="96"/>
        <v>#N/A</v>
      </c>
      <c r="JG21" s="151" t="e">
        <f t="shared" si="97"/>
        <v>#N/A</v>
      </c>
      <c r="JH21" s="151" t="e">
        <f>IF(CA21=$TK$5,'Tables - Part 3'!$CT$17,IF(COF!CA21=COF!$TK$6,IF(COF!GF21&lt;'Tables - Part 3'!$CQ$5,'Tables - Part 3'!$CT$5,IF(GF21&gt;='Tables - Part 3'!$CQ$16,'Tables - Part 3'!$CT$16,((COF!GF21-COF!IF21)*(INDEX('Tables - Part 3'!$CT$5:$CT$16,MATCH(COF!IJ21,'Tables - Part 3'!$CQ$5:$CQ$16,0))-INDEX('Tables - Part 3'!$CT$5:$CT$16,MATCH(COF!IF21,'Tables - Part 3'!$CQ$5:$CQ$16,0)))/(IJ21-IF21)+INDEX('Tables - Part 3'!$CT$5:$CT$16,MATCH(COF!IF21,'Tables - Part 3'!$CQ$5:$CQ$16,0)))))))</f>
        <v>#N/A</v>
      </c>
      <c r="JI21" s="151" t="e">
        <f>IF(CB21=$TK$5,'Tables - Part 3'!$CT$17,IF(COF!CB21=COF!$TK$6,IF(COF!GG21&lt;'Tables - Part 3'!$CQ$5,'Tables - Part 3'!$CT$5,IF(GG21&gt;='Tables - Part 3'!$CQ$16,'Tables - Part 3'!$CT$16,((COF!GG21-COF!IG21)*(INDEX('Tables - Part 3'!$CT$5:$CT$16,MATCH(COF!IK21,'Tables - Part 3'!$CQ$5:$CQ$16,0))-INDEX('Tables - Part 3'!$CT$5:$CT$16,MATCH(COF!IG21,'Tables - Part 3'!$CQ$5:$CQ$16,0)))/(IK21-IG21)+INDEX('Tables - Part 3'!$CT$5:$CT$16,MATCH(COF!IG21,'Tables - Part 3'!$CQ$5:$CQ$16,0)))))))</f>
        <v>#N/A</v>
      </c>
      <c r="JJ21" s="151" t="e">
        <f>IF(CC21=$TK$5,'Tables - Part 3'!$CT$17,IF(COF!CC21=COF!$TK$6,IF(COF!GH21&lt;'Tables - Part 3'!$CQ$5,'Tables - Part 3'!$CT$5,IF(GH21&gt;='Tables - Part 3'!$CQ$16,'Tables - Part 3'!$CT$16,((COF!GH21-COF!IH21)*(INDEX('Tables - Part 3'!$CT$5:$CT$16,MATCH(COF!IL21,'Tables - Part 3'!$CQ$5:$CQ$16,0))-INDEX('Tables - Part 3'!$CT$5:$CT$16,MATCH(COF!IH21,'Tables - Part 3'!$CQ$5:$CQ$16,0)))/(IL21-IH21)+INDEX('Tables - Part 3'!$CT$5:$CT$16,MATCH(COF!IH21,'Tables - Part 3'!$CQ$5:$CQ$16,0)))))))</f>
        <v>#N/A</v>
      </c>
      <c r="JK21" s="151" t="e">
        <f>IF(CD21=$TK$5,'Tables - Part 3'!$CT$17,IF(COF!CD21=COF!$TK$6,IF(COF!GI21&lt;'Tables - Part 3'!$CQ$5,'Tables - Part 3'!$CT$5,IF(GI21&gt;='Tables - Part 3'!$CQ$16,'Tables - Part 3'!$CT$16,((COF!GI21-COF!II21)*(INDEX('Tables - Part 3'!$CT$5:$CT$16,MATCH(COF!IM21,'Tables - Part 3'!$CQ$5:$CQ$16,0))-INDEX('Tables - Part 3'!$CT$5:$CT$16,MATCH(COF!II21,'Tables - Part 3'!$CQ$5:$CQ$16,0)))/(IM21-II21)+INDEX('Tables - Part 3'!$CT$5:$CT$16,MATCH(COF!II21,'Tables - Part 3'!$CQ$5:$CQ$16,0)))))))</f>
        <v>#N/A</v>
      </c>
      <c r="JL21" s="151" t="e">
        <f>IF(CA21=$TK$5,'Tables - Part 3'!$CU$17,IF(COF!CA21=COF!$TK$6,IF(COF!GF21&lt;'Tables - Part 3'!$CQ$5,'Tables - Part 3'!$CU$5,IF(GF21&gt;='Tables - Part 3'!$CQ$16,'Tables - Part 3'!$CU$16,((COF!GF21-COF!IF21)*(INDEX('Tables - Part 3'!$CU$5:$CU$16,MATCH(COF!IJ21,'Tables - Part 3'!$CQ$5:$CQ$16,0))-INDEX('Tables - Part 3'!$CU$5:$CU$16,MATCH(COF!IF21,'Tables - Part 3'!$CQ$5:$CQ$16,0)))/(IJ21-IF21)+INDEX('Tables - Part 3'!$CU$5:$CU$16,MATCH(COF!IF21,'Tables - Part 3'!$CQ$5:$CQ$16,0)))))))</f>
        <v>#N/A</v>
      </c>
      <c r="JM21" s="151" t="e">
        <f>IF(CB21=$TK$5,'Tables - Part 3'!$CU$17,IF(COF!CB21=COF!$TK$6,IF(COF!GG21&lt;'Tables - Part 3'!$CQ$5,'Tables - Part 3'!$CU$5,IF(GG21&gt;='Tables - Part 3'!$CQ$16,'Tables - Part 3'!$CU$16,((COF!GG21-COF!IG21)*(INDEX('Tables - Part 3'!$CU$5:$CU$16,MATCH(COF!IK21,'Tables - Part 3'!$CQ$5:$CQ$16,0))-INDEX('Tables - Part 3'!$CU$5:$CU$16,MATCH(COF!IG21,'Tables - Part 3'!$CQ$5:$CQ$16,0)))/(IK21-IG21)+INDEX('Tables - Part 3'!$CU$5:$CU$16,MATCH(COF!IG21,'Tables - Part 3'!$CQ$5:$CQ$16,0)))))))</f>
        <v>#N/A</v>
      </c>
      <c r="JN21" s="151" t="e">
        <f>IF(CC21=$TK$5,'Tables - Part 3'!$CU$17,IF(COF!CC21=COF!$TK$6,IF(COF!GH21&lt;'Tables - Part 3'!$CQ$5,'Tables - Part 3'!$CU$5,IF(GH21&gt;='Tables - Part 3'!$CQ$16,'Tables - Part 3'!$CU$16,((COF!GH21-COF!IH21)*(INDEX('Tables - Part 3'!$CU$5:$CU$16,MATCH(COF!IL21,'Tables - Part 3'!$CQ$5:$CQ$16,0))-INDEX('Tables - Part 3'!$CU$5:$CU$16,MATCH(COF!IH21,'Tables - Part 3'!$CQ$5:$CQ$16,0)))/(IL21-IH21)+INDEX('Tables - Part 3'!$CU$5:$CU$16,MATCH(COF!IH21,'Tables - Part 3'!$CQ$5:$CQ$16,0)))))))</f>
        <v>#N/A</v>
      </c>
      <c r="JO21" s="151" t="e">
        <f>IF(CD21=$TK$5,'Tables - Part 3'!$CU$17,IF(COF!CD21=COF!$TK$6,IF(COF!GI21&lt;'Tables - Part 3'!$CQ$5,'Tables - Part 3'!$CU$5,IF(GI21&gt;='Tables - Part 3'!$CQ$16,'Tables - Part 3'!$CU$16,((COF!GI21-COF!II21)*(INDEX('Tables - Part 3'!$CU$5:$CU$16,MATCH(COF!IM21,'Tables - Part 3'!$CQ$5:$CQ$16,0))-INDEX('Tables - Part 3'!$CU$5:$CU$16,MATCH(COF!II21,'Tables - Part 3'!$CQ$5:$CQ$16,0)))/(IM21-II21)+INDEX('Tables - Part 3'!$CU$5:$CU$16,MATCH(COF!II21,'Tables - Part 3'!$CQ$5:$CQ$16,0)))))))</f>
        <v>#N/A</v>
      </c>
      <c r="JP21" s="282"/>
      <c r="JQ21" s="151">
        <f t="shared" si="98"/>
        <v>0</v>
      </c>
      <c r="JR21" s="151">
        <f t="shared" si="99"/>
        <v>0</v>
      </c>
      <c r="JS21" s="151">
        <f t="shared" si="100"/>
        <v>0</v>
      </c>
      <c r="JT21" s="151">
        <f t="shared" si="101"/>
        <v>0</v>
      </c>
      <c r="JU21" s="151" t="e">
        <f t="shared" si="204"/>
        <v>#N/A</v>
      </c>
      <c r="JV21" s="151" t="e">
        <f t="shared" si="205"/>
        <v>#N/A</v>
      </c>
      <c r="JW21" s="151" t="e">
        <f t="shared" si="206"/>
        <v>#N/A</v>
      </c>
      <c r="JX21" s="151" t="e">
        <f t="shared" si="207"/>
        <v>#N/A</v>
      </c>
      <c r="JY21" s="152" t="e">
        <f>IF(GF21&lt;'Tables - Part 3'!$CY$6,0,LOOKUP(GF21,'Tables - Part 3'!$CY$6:$CY$11))</f>
        <v>#N/A</v>
      </c>
      <c r="JZ21" s="152" t="e">
        <f>IF(GG21&lt;'Tables - Part 3'!$CY$6,0,LOOKUP(GG21,'Tables - Part 3'!$CY$6:$CY$11))</f>
        <v>#N/A</v>
      </c>
      <c r="KA21" s="152" t="e">
        <f>IF(GH21&lt;'Tables - Part 3'!$CY$6,0,LOOKUP(GH21,'Tables - Part 3'!$CY$6:$CY$11))</f>
        <v>#N/A</v>
      </c>
      <c r="KB21" s="152" t="e">
        <f>IF(GI21&lt;'Tables - Part 3'!$CY$6,0,LOOKUP(GI21,'Tables - Part 3'!$CY$6:$CY$11))</f>
        <v>#N/A</v>
      </c>
      <c r="KC21" s="152" t="e">
        <f>IF(GF21&lt;'Tables - Part 3'!$CY$6,'Tables - Part 3'!$CY$6,IF(COF!GF21&lt;'Tables - Part 3'!$CY$7,'Tables - Part 3'!$CY$7,IF(COF!GF21&lt;'Tables - Part 3'!$CY$8,'Tables - Part 3'!$CY$8,IF(COF!GF21&lt;'Tables - Part 3'!$CY$9,'Tables - Part 3'!$CY$9,IF(COF!GF21&lt;'Tables - Part 3'!$CY$10,'Tables - Part 3'!$CY$10,IF(COF!GF21&lt;'Tables - Part 3'!$CY$11,'Tables - Part 3'!$CY$11))))))</f>
        <v>#N/A</v>
      </c>
      <c r="KD21" s="152" t="e">
        <f>IF(GG21&lt;'Tables - Part 3'!$CY$6,'Tables - Part 3'!$CY$6,IF(COF!GG21&lt;'Tables - Part 3'!$CY$7,'Tables - Part 3'!$CY$7,IF(COF!GG21&lt;'Tables - Part 3'!$CY$8,'Tables - Part 3'!$CY$8,IF(COF!GG21&lt;'Tables - Part 3'!$CY$9,'Tables - Part 3'!$CY$9,IF(COF!GG21&lt;'Tables - Part 3'!$CY$10,'Tables - Part 3'!$CY$10,IF(COF!GG21&lt;'Tables - Part 3'!$CY$11,'Tables - Part 3'!$CY$11))))))</f>
        <v>#N/A</v>
      </c>
      <c r="KE21" s="152" t="e">
        <f>IF(GH21&lt;'Tables - Part 3'!$CY$6,'Tables - Part 3'!$CY$6,IF(COF!GH21&lt;'Tables - Part 3'!$CY$7,'Tables - Part 3'!$CY$7,IF(COF!GH21&lt;'Tables - Part 3'!$CY$8,'Tables - Part 3'!$CY$8,IF(COF!GH21&lt;'Tables - Part 3'!$CY$9,'Tables - Part 3'!$CY$9,IF(COF!GH21&lt;'Tables - Part 3'!$CY$10,'Tables - Part 3'!$CY$10,IF(COF!GH21&lt;'Tables - Part 3'!$CY$11,'Tables - Part 3'!$CY$11))))))</f>
        <v>#N/A</v>
      </c>
      <c r="KF21" s="152" t="e">
        <f>IF(GI21&lt;'Tables - Part 3'!$CY$6,'Tables - Part 3'!$CY$6,IF(COF!GI21&lt;'Tables - Part 3'!$CY$7,'Tables - Part 3'!$CY$7,IF(COF!GI21&lt;'Tables - Part 3'!$CY$8,'Tables - Part 3'!$CY$8,IF(COF!GI21&lt;'Tables - Part 3'!$CY$9,'Tables - Part 3'!$CY$9,IF(COF!GI21&lt;'Tables - Part 3'!$CY$10,'Tables - Part 3'!$CY$10,IF(COF!GI21&lt;'Tables - Part 3'!$CY$11,'Tables - Part 3'!$CY$11))))))</f>
        <v>#N/A</v>
      </c>
      <c r="KG21" s="151" t="e">
        <f>IF(CA21=$TK$5,'Tables - Part 3'!$CZ$6,IF(COF!CA21=COF!$TK$6,IF(COF!GF21&lt;'Tables - Part 3'!$CY$6,'Tables - Part 3'!$CZ$6,IF(GF21&gt;='Tables - Part 3'!$CY$11,'Tables - Part 3'!$CZ$11,((COF!GF21-COF!JY21)*(INDEX('Tables - Part 3'!$CZ$6:$CZ$11,MATCH(COF!KC21,'Tables - Part 3'!$CY$6:$CY$11,0))-INDEX('Tables - Part 3'!$CZ$6:$CZ$11,MATCH(COF!JY21,'Tables - Part 3'!$CY$6:$CY$11,0)))/(KC21-JY21)+INDEX('Tables - Part 3'!$CZ$6:$CZ$11,MATCH(COF!JY21,'Tables - Part 3'!$CY$6:$CY$11,0)))))))</f>
        <v>#N/A</v>
      </c>
      <c r="KH21" s="151" t="e">
        <f>IF(CB21=$TK$5,'Tables - Part 3'!$CZ$6,IF(COF!CB21=COF!$TK$6,IF(COF!GG21&lt;'Tables - Part 3'!$CY$6,'Tables - Part 3'!$CZ$6,IF(GG21&gt;='Tables - Part 3'!$CY$11,'Tables - Part 3'!$CZ$11,((COF!GG21-COF!JZ21)*(INDEX('Tables - Part 3'!$CZ$6:$CZ$11,MATCH(COF!KD21,'Tables - Part 3'!$CY$6:$CY$11,0))-INDEX('Tables - Part 3'!$CZ$6:$CZ$11,MATCH(COF!JZ21,'Tables - Part 3'!$CY$6:$CY$11,0)))/(KD21-JZ21)+INDEX('Tables - Part 3'!$CZ$6:$CZ$11,MATCH(COF!JZ21,'Tables - Part 3'!$CY$6:$CY$11,0)))))))</f>
        <v>#N/A</v>
      </c>
      <c r="KI21" s="151" t="e">
        <f>IF(CC21=$TK$5,'Tables - Part 3'!$CZ$6,IF(COF!CC21=COF!$TK$6,IF(COF!GH21&lt;'Tables - Part 3'!$CY$6,'Tables - Part 3'!$CZ$6,IF(GH21&gt;='Tables - Part 3'!$CY$11,'Tables - Part 3'!$CZ$11,((COF!GH21-COF!KA21)*(INDEX('Tables - Part 3'!$CZ$6:$CZ$11,MATCH(COF!KE21,'Tables - Part 3'!$CY$6:$CY$11,0))-INDEX('Tables - Part 3'!$CZ$6:$CZ$11,MATCH(COF!KA21,'Tables - Part 3'!$CY$6:$CY$11,0)))/(KE21-KA21)+INDEX('Tables - Part 3'!$CZ$6:$CZ$11,MATCH(COF!KA21,'Tables - Part 3'!$CY$6:$CY$11,0)))))))</f>
        <v>#N/A</v>
      </c>
      <c r="KJ21" s="151" t="e">
        <f>IF(CD21=$TK$5,'Tables - Part 3'!$CZ$6,IF(COF!CD21=COF!$TK$6,IF(COF!GI21&lt;'Tables - Part 3'!$CY$6,'Tables - Part 3'!$CZ$6,IF(GI21&gt;='Tables - Part 3'!$CY$11,'Tables - Part 3'!$CZ$11,((COF!GI21-COF!KB21)*(INDEX('Tables - Part 3'!$CZ$6:$CZ$11,MATCH(COF!KF21,'Tables - Part 3'!$CY$6:$CY$11,0))-INDEX('Tables - Part 3'!$CZ$6:$CZ$11,MATCH(COF!KB21,'Tables - Part 3'!$CY$6:$CY$11,0)))/(KF21-KB21)+INDEX('Tables - Part 3'!$CZ$6:$CZ$11,MATCH(COF!KB21,'Tables - Part 3'!$CY$6:$CY$11,0)))))))</f>
        <v>#N/A</v>
      </c>
      <c r="KK21" s="153" t="e">
        <f>IF(CA21=$TK$5,'Tables - Part 3'!$DA$6,IF(COF!CA21=COF!$TK$6,IF(COF!GF21&lt;'Tables - Part 3'!$CY$6,'Tables - Part 3'!$DA$6,IF(GF21&gt;='Tables - Part 3'!$CY$11,'Tables - Part 3'!$DA$11,((COF!GF21-COF!JY21)*(INDEX('Tables - Part 3'!$DA$6:$DA$11,MATCH(COF!KC21,'Tables - Part 3'!$CY$6:$CY$11,0))-INDEX('Tables - Part 3'!$DA$6:$DA$11,MATCH(COF!JY21,'Tables - Part 3'!$CY$6:$CY$11,0)))/(KC21-JY21)+INDEX('Tables - Part 3'!$DA$6:$DA$16,MATCH(COF!JY21,'Tables - Part 3'!$CY$6:$CY$11,0)))))))</f>
        <v>#N/A</v>
      </c>
      <c r="KL21" s="153" t="e">
        <f>IF(CB21=$TK$5,'Tables - Part 3'!$DA$6,IF(COF!CB21=COF!$TK$6,IF(COF!GG21&lt;'Tables - Part 3'!$CY$6,'Tables - Part 3'!$DA$6,IF(GG21&gt;='Tables - Part 3'!$CY$11,'Tables - Part 3'!$DA$11,((COF!GG21-COF!JZ21)*(INDEX('Tables - Part 3'!$DA$6:$DA$11,MATCH(COF!KD21,'Tables - Part 3'!$CY$6:$CY$11,0))-INDEX('Tables - Part 3'!$DA$6:$DA$11,MATCH(COF!JZ21,'Tables - Part 3'!$CY$6:$CY$11,0)))/(KD21-JZ21)+INDEX('Tables - Part 3'!$DA$6:$DA$16,MATCH(COF!JZ21,'Tables - Part 3'!$CY$6:$CY$11,0)))))))</f>
        <v>#N/A</v>
      </c>
      <c r="KM21" s="153" t="e">
        <f>IF(CC21=$TK$5,'Tables - Part 3'!$DA$6,IF(COF!CC21=COF!$TK$6,IF(COF!GH21&lt;'Tables - Part 3'!$CY$6,'Tables - Part 3'!$DA$6,IF(GH21&gt;='Tables - Part 3'!$CY$11,'Tables - Part 3'!$DA$11,((COF!GH21-COF!KA21)*(INDEX('Tables - Part 3'!$DA$6:$DA$11,MATCH(COF!KE21,'Tables - Part 3'!$CY$6:$CY$11,0))-INDEX('Tables - Part 3'!$DA$6:$DA$11,MATCH(COF!KA21,'Tables - Part 3'!$CY$6:$CY$11,0)))/(KE21-KA21)+INDEX('Tables - Part 3'!$DA$6:$DA$16,MATCH(COF!KA21,'Tables - Part 3'!$CY$6:$CY$11,0)))))))</f>
        <v>#N/A</v>
      </c>
      <c r="KN21" s="153" t="e">
        <f>IF(CD21=$TK$5,'Tables - Part 3'!$DA$6,IF(COF!CD21=COF!$TK$6,IF(COF!GI21&lt;'Tables - Part 3'!$CY$6,'Tables - Part 3'!$DA$6,IF(GI21&gt;='Tables - Part 3'!$CY$11,'Tables - Part 3'!$DA$11,((COF!GI21-COF!KB21)*(INDEX('Tables - Part 3'!$DA$6:$DA$11,MATCH(COF!KF21,'Tables - Part 3'!$CY$6:$CY$11,0))-INDEX('Tables - Part 3'!$DA$6:$DA$11,MATCH(COF!KB21,'Tables - Part 3'!$CY$6:$CY$11,0)))/(KF21-KB21)+INDEX('Tables - Part 3'!$DA$6:$DA$16,MATCH(COF!KB21,'Tables - Part 3'!$CY$6:$CY$11,0)))))))</f>
        <v>#N/A</v>
      </c>
      <c r="KO21" s="153">
        <f t="shared" si="102"/>
        <v>0</v>
      </c>
      <c r="KP21" s="153">
        <f t="shared" si="103"/>
        <v>0</v>
      </c>
      <c r="KQ21" s="153">
        <f t="shared" si="104"/>
        <v>0</v>
      </c>
      <c r="KR21" s="153">
        <f t="shared" si="105"/>
        <v>0</v>
      </c>
      <c r="KS21" s="151" t="e">
        <f t="shared" si="208"/>
        <v>#N/A</v>
      </c>
      <c r="KT21" s="151" t="e">
        <f t="shared" si="209"/>
        <v>#N/A</v>
      </c>
      <c r="KU21" s="151" t="e">
        <f t="shared" si="210"/>
        <v>#N/A</v>
      </c>
      <c r="KV21" s="151" t="e">
        <f t="shared" si="211"/>
        <v>#N/A</v>
      </c>
      <c r="KW21" s="151" t="e">
        <f>IF(CA21=$TK$5,'Tables - Part 3'!$CZ$12,IF(COF!CA21=COF!$TK$6,IF(COF!GF21&lt;'Tables - Part 3'!$CY$12,'Tables - Part 3'!$CZ$12,IF(GF21&gt;='Tables - Part 3'!$CY$17,'Tables - Part 3'!$CZ$17,((COF!GF21-COF!JY21)*(INDEX('Tables - Part 3'!$CZ$12:$CZ$17,MATCH(COF!KC21,'Tables - Part 3'!$CY$12:$CY$17,0))-INDEX('Tables - Part 3'!$CZ$12:$CZ$17,MATCH(COF!JY21,'Tables - Part 3'!$CY$12:$CY$17,0)))/(KC21-JY21)+INDEX('Tables - Part 3'!$CZ$12:$CZ$17,MATCH(COF!JY21,'Tables - Part 3'!$CY$12:$CY$17,0)))))))</f>
        <v>#N/A</v>
      </c>
      <c r="KX21" s="151" t="e">
        <f>IF(CB21=$TK$5,'Tables - Part 3'!$CZ$12,IF(COF!CB21=COF!$TK$6,IF(COF!GG21&lt;'Tables - Part 3'!$CY$12,'Tables - Part 3'!$CZ$12,IF(GG21&gt;='Tables - Part 3'!$CY$17,'Tables - Part 3'!$CZ$17,((COF!GG21-COF!JZ21)*(INDEX('Tables - Part 3'!$CZ$12:$CZ$17,MATCH(COF!KD21,'Tables - Part 3'!$CY$12:$CY$17,0))-INDEX('Tables - Part 3'!$CZ$12:$CZ$17,MATCH(COF!JZ21,'Tables - Part 3'!$CY$12:$CY$17,0)))/(KD21-JZ21)+INDEX('Tables - Part 3'!$CZ$12:$CZ$17,MATCH(COF!JZ21,'Tables - Part 3'!$CY$12:$CY$17,0)))))))</f>
        <v>#N/A</v>
      </c>
      <c r="KY21" s="151" t="e">
        <f>IF(CC21=$TK$5,'Tables - Part 3'!$CZ$12,IF(COF!CC21=COF!$TK$6,IF(COF!GH21&lt;'Tables - Part 3'!$CY$12,'Tables - Part 3'!$CZ$12,IF(GH21&gt;='Tables - Part 3'!$CY$17,'Tables - Part 3'!$CZ$17,((COF!GH21-COF!KA21)*(INDEX('Tables - Part 3'!$CZ$12:$CZ$17,MATCH(COF!KE21,'Tables - Part 3'!$CY$12:$CY$17,0))-INDEX('Tables - Part 3'!$CZ$12:$CZ$17,MATCH(COF!KA21,'Tables - Part 3'!$CY$12:$CY$17,0)))/(KE21-KA21)+INDEX('Tables - Part 3'!$CZ$12:$CZ$17,MATCH(COF!KA21,'Tables - Part 3'!$CY$12:$CY$17,0)))))))</f>
        <v>#N/A</v>
      </c>
      <c r="KZ21" s="151" t="e">
        <f>IF(CD21=$TK$5,'Tables - Part 3'!$CZ$12,IF(COF!CD21=COF!$TK$6,IF(COF!GI21&lt;'Tables - Part 3'!$CY$12,'Tables - Part 3'!$CZ$12,IF(GI21&gt;='Tables - Part 3'!$CY$17,'Tables - Part 3'!$CZ$17,((COF!GI21-COF!KB21)*(INDEX('Tables - Part 3'!$CZ$12:$CZ$17,MATCH(COF!KF21,'Tables - Part 3'!$CY$12:$CY$17,0))-INDEX('Tables - Part 3'!$CZ$12:$CZ$17,MATCH(COF!KB21,'Tables - Part 3'!$CY$12:$CY$17,0)))/(KF21-KB21)+INDEX('Tables - Part 3'!$CZ$12:$CZ$17,MATCH(COF!KB21,'Tables - Part 3'!$CY$12:$CY$17,0)))))))</f>
        <v>#N/A</v>
      </c>
      <c r="LA21" s="151" t="e">
        <f>IF(CA21=$TK$5,'Tables - Part 3'!$DA$6,IF(COF!CA21=COF!$TK$6,IF(COF!GF21&lt;'Tables - Part 3'!$CY$6,'Tables - Part 3'!$DA$6,IF(GF21&gt;='Tables - Part 3'!$CY$11,'Tables - Part 3'!$DA$11,((COF!GF21-COF!JY21)*(INDEX('Tables - Part 3'!$DA$6:$DA$11,MATCH(COF!KC21,'Tables - Part 3'!$CY$6:$CY$11,0))-INDEX('Tables - Part 3'!$DA$6:$DA$11,MATCH(COF!JY21,'Tables - Part 3'!$CY$6:$CY$11,0)))/(KC21-JY21)+INDEX('Tables - Part 3'!$DA$5:$DA$16,MATCH(COF!JY21,'Tables - Part 3'!$CY$6:$CY$11,0)))))))</f>
        <v>#N/A</v>
      </c>
      <c r="LB21" s="151" t="e">
        <f>IF(CB21=$TK$5,'Tables - Part 3'!$DA$6,IF(COF!CB21=COF!$TK$6,IF(COF!GG21&lt;'Tables - Part 3'!$CY$6,'Tables - Part 3'!$DA$6,IF(GG21&gt;='Tables - Part 3'!$CY$11,'Tables - Part 3'!$DA$11,((COF!GG21-COF!JZ21)*(INDEX('Tables - Part 3'!$DA$6:$DA$11,MATCH(COF!KD21,'Tables - Part 3'!$CY$6:$CY$11,0))-INDEX('Tables - Part 3'!$DA$6:$DA$11,MATCH(COF!JZ21,'Tables - Part 3'!$CY$6:$CY$11,0)))/(KD21-JZ21)+INDEX('Tables - Part 3'!$DA$5:$DA$16,MATCH(COF!JZ21,'Tables - Part 3'!$CY$6:$CY$11,0)))))))</f>
        <v>#N/A</v>
      </c>
      <c r="LC21" s="151" t="e">
        <f>IF(CC21=$TK$5,'Tables - Part 3'!$DA$6,IF(COF!CC21=COF!$TK$6,IF(COF!GH21&lt;'Tables - Part 3'!$CY$6,'Tables - Part 3'!$DA$6,IF(GH21&gt;='Tables - Part 3'!$CY$11,'Tables - Part 3'!$DA$11,((COF!GH21-COF!KA21)*(INDEX('Tables - Part 3'!$DA$6:$DA$11,MATCH(COF!KE21,'Tables - Part 3'!$CY$6:$CY$11,0))-INDEX('Tables - Part 3'!$DA$6:$DA$11,MATCH(COF!KA21,'Tables - Part 3'!$CY$6:$CY$11,0)))/(KE21-KA21)+INDEX('Tables - Part 3'!$DA$5:$DA$16,MATCH(COF!KA21,'Tables - Part 3'!$CY$6:$CY$11,0)))))))</f>
        <v>#N/A</v>
      </c>
      <c r="LD21" s="151" t="e">
        <f>IF(CD21=$TK$5,'Tables - Part 3'!$DA$6,IF(COF!CD21=COF!$TK$6,IF(COF!GI21&lt;'Tables - Part 3'!$CY$6,'Tables - Part 3'!$DA$6,IF(GI21&gt;='Tables - Part 3'!$CY$11,'Tables - Part 3'!$DA$11,((COF!GI21-COF!KB21)*(INDEX('Tables - Part 3'!$DA$6:$DA$11,MATCH(COF!KF21,'Tables - Part 3'!$CY$6:$CY$11,0))-INDEX('Tables - Part 3'!$DA$6:$DA$11,MATCH(COF!KB21,'Tables - Part 3'!$CY$6:$CY$11,0)))/(KF21-KB21)+INDEX('Tables - Part 3'!$DA$5:$DA$16,MATCH(COF!KB21,'Tables - Part 3'!$CY$6:$CY$11,0)))))))</f>
        <v>#N/A</v>
      </c>
      <c r="LE21" s="154"/>
      <c r="LF21" s="154"/>
      <c r="LG21" s="154"/>
      <c r="LH21" s="154"/>
      <c r="LI21" s="154"/>
      <c r="LJ21" s="154"/>
      <c r="LK21" s="154"/>
      <c r="LL21" s="151" t="e">
        <f t="shared" si="212"/>
        <v>#N/A</v>
      </c>
      <c r="LM21" s="151" t="e">
        <f t="shared" si="213"/>
        <v>#N/A</v>
      </c>
      <c r="LN21" s="151" t="e">
        <f t="shared" si="214"/>
        <v>#N/A</v>
      </c>
      <c r="LO21" s="151" t="e">
        <f t="shared" si="215"/>
        <v>#N/A</v>
      </c>
      <c r="LP21" s="151">
        <f t="shared" si="106"/>
        <v>0</v>
      </c>
      <c r="LQ21" s="502">
        <f>IF($F21='Tables - Part 3'!$B$17,'Tables - Part 3.B'!$C$11*COF!CJ21,0)</f>
        <v>0</v>
      </c>
      <c r="LR21" s="502">
        <f>IF($F21='Tables - Part 3'!$B$17,'Tables - Part 3.B'!$C$11*COF!CK21,0)</f>
        <v>0</v>
      </c>
      <c r="LS21" s="502">
        <f>IF($F21='Tables - Part 3'!$B$17,'Tables - Part 3.B'!$C$11*COF!CL21,0)</f>
        <v>0</v>
      </c>
      <c r="LT21" s="502">
        <f>IF($F21='Tables - Part 3'!$B$17,'Tables - Part 3.B'!$C$11*COF!CM21,0)</f>
        <v>0</v>
      </c>
      <c r="LU21" s="502">
        <f>IF($F21='Tables - Part 3'!$B$17,'Tables - Part 3.B'!$C$12*POWER(COF!CR21,0.6384),0)</f>
        <v>0</v>
      </c>
      <c r="LV21" s="502">
        <f>IF($F21='Tables - Part 3'!$B$17,'Tables - Part 3.B'!$C$12*POWER(COF!CS21,0.6384),0)</f>
        <v>0</v>
      </c>
      <c r="LW21" s="502">
        <f>IF($F21='Tables - Part 3'!$B$17,'Tables - Part 3.B'!$C$12*POWER(COF!CT21,0.6384),0)</f>
        <v>0</v>
      </c>
      <c r="LX21" s="502">
        <f>IF($F21='Tables - Part 3'!$B$17,'Tables - Part 3.B'!$C$12*POWER(COF!CU21,0.6384),0)</f>
        <v>0</v>
      </c>
      <c r="LY21" s="151" t="e">
        <f>MIN(CJ21/'Tables - Part 3.B'!$C$8,1)</f>
        <v>#N/A</v>
      </c>
      <c r="LZ21" s="151" t="e">
        <f>MIN(CK21/'Tables - Part 3.B'!$C$8,1)</f>
        <v>#N/A</v>
      </c>
      <c r="MA21" s="151" t="e">
        <f>MIN(CL21/'Tables - Part 3.B'!$C$8,1)</f>
        <v>#N/A</v>
      </c>
      <c r="MB21" s="151" t="e">
        <f>MIN(CM21/'Tables - Part 3.B'!$C$8,1)</f>
        <v>#N/A</v>
      </c>
      <c r="MC21" s="151" t="e">
        <f t="shared" si="216"/>
        <v>#N/A</v>
      </c>
      <c r="MD21" s="151" t="e">
        <f t="shared" si="107"/>
        <v>#N/A</v>
      </c>
      <c r="ME21" s="151" t="e">
        <f t="shared" si="107"/>
        <v>#N/A</v>
      </c>
      <c r="MF21" s="151" t="e">
        <f t="shared" si="107"/>
        <v>#N/A</v>
      </c>
      <c r="MG21" s="502">
        <f>IF($F21='Tables - Part 3'!$B$18,0.2*'Tables - Part 3.B'!$C$10*$ML21*POWER('Tables - Part 3.B'!$C$7*CJ21,$MM21),0)</f>
        <v>0</v>
      </c>
      <c r="MH21" s="502">
        <f>IF($F21='Tables - Part 3'!$B$18,0.2*'Tables - Part 3.B'!$C$10*$ML21*POWER('Tables - Part 3.B'!$C$7*CK21,$MM21),0)</f>
        <v>0</v>
      </c>
      <c r="MI21" s="502">
        <f>IF($F21='Tables - Part 3'!$B$18,0.2*'Tables - Part 3.B'!$C$10*$ML21*POWER('Tables - Part 3.B'!$C$7*CL21,$MM21),0)</f>
        <v>0</v>
      </c>
      <c r="MJ21" s="502">
        <f>IF($F21='Tables - Part 3'!$B$18,0.2*'Tables - Part 3.B'!$C$10*$ML21*POWER('Tables - Part 3.B'!$C$7*CM21,$MM21),0)</f>
        <v>0</v>
      </c>
      <c r="MK21" s="151">
        <v>0</v>
      </c>
      <c r="ML21" s="151" t="e">
        <f>2696-21.9*'Tables - Part 3.B'!$C$13*(COF!OO21-COF!$TM$5)+1.474*POWER('Tables - Part 3.B'!$C$13*(COF!OO21-COF!$TM$5),2)</f>
        <v>#VALUE!</v>
      </c>
      <c r="MM21" s="151" t="e">
        <f>0.31-0.00032*POWER('Tables - Part 3.B'!$C$13*(COF!OO21-COF!$TM$5)-40,2)</f>
        <v>#VALUE!</v>
      </c>
      <c r="MN21" s="151">
        <v>0</v>
      </c>
      <c r="MO21" s="151">
        <f t="shared" si="217"/>
        <v>0</v>
      </c>
      <c r="MP21" s="151">
        <f t="shared" si="108"/>
        <v>0</v>
      </c>
      <c r="MQ21" s="151">
        <f t="shared" si="108"/>
        <v>0</v>
      </c>
      <c r="MR21" s="151">
        <f t="shared" si="108"/>
        <v>0</v>
      </c>
      <c r="MS21" s="151" t="e">
        <f t="shared" si="218"/>
        <v>#N/A</v>
      </c>
      <c r="MT21" s="151" t="e">
        <f t="shared" si="219"/>
        <v>#N/A</v>
      </c>
      <c r="MU21" s="151" t="e">
        <f t="shared" si="220"/>
        <v>#N/A</v>
      </c>
      <c r="MV21" s="151" t="e">
        <f t="shared" si="221"/>
        <v>#N/A</v>
      </c>
      <c r="MW21" s="151">
        <f t="shared" si="222"/>
        <v>0</v>
      </c>
      <c r="MX21" s="151">
        <f t="shared" si="223"/>
        <v>0</v>
      </c>
      <c r="MY21" s="151">
        <f t="shared" si="224"/>
        <v>0</v>
      </c>
      <c r="MZ21" s="526">
        <f t="shared" si="109"/>
        <v>0</v>
      </c>
      <c r="NA21" s="151" t="e">
        <f>INDEX('Tables - Part 3'!DQ$5:DQ$32,MATCH($E21,'Tables - Part 3'!$DP$5:$DP$32,0))</f>
        <v>#N/A</v>
      </c>
      <c r="NB21" s="151" t="e">
        <f>INDEX('Tables - Part 3'!DR$5:DR$32,MATCH($E21,'Tables - Part 3'!$DP$5:$DP$32,0))</f>
        <v>#N/A</v>
      </c>
      <c r="NC21" s="151" t="e">
        <f>INDEX('Tables - Part 3'!DS$5:DS$32,MATCH($E21,'Tables - Part 3'!$DP$5:$DP$32,0))</f>
        <v>#N/A</v>
      </c>
      <c r="ND21" s="151" t="e">
        <f>INDEX('Tables - Part 3'!DT$5:DT$32,MATCH($E21,'Tables - Part 3'!$DP$5:$DP$32,0))</f>
        <v>#N/A</v>
      </c>
      <c r="NE21" s="151" t="e">
        <f>IF(W21='Tables - Part 3'!$DV$44,COF!X21,IF(OR(COF!X21&lt;&gt;0,COF!X21&lt;&gt;""),COF!X21,INDEX('Tables - Part 3'!$DW$4:$DW$43,MATCH(COF!W21,'Tables - Part 3'!$DV$4:$DV$43,0))))</f>
        <v>#N/A</v>
      </c>
      <c r="NF21" s="151">
        <f t="shared" si="110"/>
        <v>1</v>
      </c>
      <c r="NG21" s="151" t="e">
        <f t="shared" si="225"/>
        <v>#N/A</v>
      </c>
      <c r="NH21" s="151">
        <f t="shared" si="111"/>
        <v>0</v>
      </c>
      <c r="NI21" s="151" t="e">
        <f>INDEX('Tables - Part 3'!EC$5:EC$31,MATCH(COF!$E21,'Tables - Part 3'!$EB$5:$EB$31,0))</f>
        <v>#N/A</v>
      </c>
      <c r="NJ21" s="151" t="e">
        <f>INDEX('Tables - Part 3'!ED$5:ED$31,MATCH(COF!$E21,'Tables - Part 3'!$EB$5:$EB$31,0))</f>
        <v>#N/A</v>
      </c>
      <c r="NK21" s="151" t="e">
        <f>INDEX('Tables - Part 3'!EE$5:EE$31,MATCH(COF!$E21,'Tables - Part 3'!$EB$5:$EB$31,0))</f>
        <v>#N/A</v>
      </c>
      <c r="NL21" s="151" t="e">
        <f>INDEX('Tables - Part 3'!EF$5:EF$31,MATCH(COF!$E21,'Tables - Part 3'!$EB$5:$EB$31,0))</f>
        <v>#N/A</v>
      </c>
      <c r="NM21" s="151">
        <f t="shared" si="112"/>
        <v>1</v>
      </c>
      <c r="NN21" s="151" t="e">
        <f t="shared" si="226"/>
        <v>#N/A</v>
      </c>
      <c r="NO21" s="151" t="e">
        <f t="shared" si="227"/>
        <v>#NUM!</v>
      </c>
      <c r="NP21" s="151" t="e">
        <f t="shared" si="113"/>
        <v>#N/A</v>
      </c>
      <c r="NQ21" s="151">
        <f t="shared" si="114"/>
        <v>0</v>
      </c>
      <c r="NR21" s="151" t="e">
        <f>INDEX('Tables - Part 3'!$EL$4:$EL$37,MATCH(COF!F21,'Tables - Part 3'!$EH$4:$EH$37,0))</f>
        <v>#N/A</v>
      </c>
      <c r="NS21" s="151" t="e">
        <f>CR21*(1-$NR21)*'Tables - Part 3.B'!$C$15/COF!$AS21</f>
        <v>#N/A</v>
      </c>
      <c r="NT21" s="151" t="e">
        <f>CS21*(1-$NR21)*'Tables - Part 3.B'!$C$15/COF!$AS21</f>
        <v>#N/A</v>
      </c>
      <c r="NU21" s="151" t="e">
        <f>CT21*(1-$NR21)*'Tables - Part 3.B'!$C$15/COF!$AS21</f>
        <v>#N/A</v>
      </c>
      <c r="NV21" s="151" t="e">
        <f>CU21*(1-$NR21)*'Tables - Part 3.B'!$C$15/COF!$AS21</f>
        <v>#N/A</v>
      </c>
      <c r="NW21" s="151" t="e">
        <f t="shared" si="115"/>
        <v>#N/A</v>
      </c>
      <c r="NX21" s="542">
        <f t="shared" si="116"/>
        <v>0</v>
      </c>
      <c r="NY21" s="156" t="e">
        <f>0.61*$ON21*$AS21*(BM21/'Tables - Part 3.B'!$C$4)*SQRT((2*$TM$13*($OO21-$TM$5)/$AS21))</f>
        <v>#N/A</v>
      </c>
      <c r="NZ21" s="155" t="e">
        <f>0.61*$ON21*$AS21*(BN21/'Tables - Part 3.B'!$C$4)*SQRT((2*$TM$13*($OO21-$TM$5)/$AS21))</f>
        <v>#N/A</v>
      </c>
      <c r="OA21" s="155" t="e">
        <f>0.61*$ON21*$AS21*(BO21/'Tables - Part 3.B'!$C$4)*SQRT((2*$TM$13*($OO21-$TM$5)/$AS21))</f>
        <v>#N/A</v>
      </c>
      <c r="OB21" s="155" t="e">
        <f>0.61*$ON21*$AS21*(BP21/'Tables - Part 3.B'!$C$4)*SQRT((2*$TM$13*($OO21-$TM$5)/$AS21))</f>
        <v>#N/A</v>
      </c>
      <c r="OC21" s="155" t="e">
        <f>0.61*$ON21*AS21*(32450/'Tables - Part 3.B'!$C$4)*SQRT((2*$TM$13*(OO21-$TM$5)/AS21))</f>
        <v>#N/A</v>
      </c>
      <c r="OD21" s="156" t="e">
        <f>(0.9/'Tables - Part 3.B'!$C$5)*BM21*$OO21*SQRT(($AV21*$AU21*$TM$13/(8.314*$OP21))*POWER(2/($AV21+1),(($AV21+1)/($AV21-1))))</f>
        <v>#VALUE!</v>
      </c>
      <c r="OE21" s="156" t="e">
        <f>(0.9/'Tables - Part 3.B'!$C$5)*BN21*$OO21*SQRT(($AV21*$AU21*$TM$13/(8.314*$OP21))*POWER(2/($AV21+1),(($AV21+1)/($AV21-1))))</f>
        <v>#VALUE!</v>
      </c>
      <c r="OF21" s="156" t="e">
        <f>(0.9/'Tables - Part 3.B'!$C$5)*BO21*$OO21*SQRT(($AV21*$AU21*$TM$13/(8.314*$OP21))*POWER(2/($AV21+1),(($AV21+1)/($AV21-1))))</f>
        <v>#VALUE!</v>
      </c>
      <c r="OG21" s="156" t="e">
        <f>(0.9/'Tables - Part 3.B'!$C$5)*BP21*$OO21*SQRT(($AV21*$AU21*$TM$13/(8.314*$OP21))*POWER(2/($AV21+1),(($AV21+1)/($AV21-1))))</f>
        <v>#VALUE!</v>
      </c>
      <c r="OH21" s="156" t="e">
        <f>(0.9/'Tables - Part 3.B'!$C$5)*32450*$OO21*SQRT(($AV21*$AU21*$TM$13/(8.314*$OP21))*POWER(2/($AV21+1),(($AV21+1)/($AV21-1))))</f>
        <v>#VALUE!</v>
      </c>
      <c r="OI21" s="156" t="e">
        <f>(0.9/'Tables - Part 3.B'!$C$5)*BM21*$OO21*SQRT((($AU21*$TM$13)/(8.314*$OP21))*((2*$AV21)/($AV21-1))*POWER(($TM$5/$OO21),(2/$AV21))*(1-POWER(($TM$5/$OO21),(($AV21-1)/$AV21))))</f>
        <v>#VALUE!</v>
      </c>
      <c r="OJ21" s="156" t="e">
        <f>(0.9/'Tables - Part 3.B'!$C$5)*BN21*$OO21*SQRT((($AU21*$TM$13)/(8.314*$OP21))*((2*$AV21)/($AV21-1))*POWER(($TM$5/$OO21),(2/$AV21))*(1-POWER(($TM$5/$OO21),(($AV21-1)/$AV21))))</f>
        <v>#VALUE!</v>
      </c>
      <c r="OK21" s="156" t="e">
        <f>(0.9/'Tables - Part 3.B'!$C$5)*BO21*$OO21*SQRT((($AU21*$TM$13)/(8.314*$OP21))*((2*$AV21)/($AV21-1))*POWER(($TM$5/$OO21),(2/$AV21))*(1-POWER(($TM$5/$OO21),(($AV21-1)/$AV21))))</f>
        <v>#VALUE!</v>
      </c>
      <c r="OL21" s="156" t="e">
        <f>(0.9/'Tables - Part 3.B'!$C$5)*BP21*$OO21*SQRT((($AU21*$TM$13)/(8.314*$OP21))*((2*$AV21)/($AV21-1))*POWER(($TM$5/$OO21),(2/$AV21))*(1-POWER(($TM$5/$OO21),(($AV21-1)/$AV21))))</f>
        <v>#VALUE!</v>
      </c>
      <c r="OM21" s="156" t="e">
        <f>(0.9/'Tables - Part 3.B'!$C$5)*32450*$OO21*SQRT((($AU21*$TM$13)/(8.314*$OP21))*((2*$AV21)/($AV21-1))*POWER(($TM$5/$OO21),(2/$AV21))*(1-POWER(($TM$5/$OO21),(($AV21-1)/$AV21))))</f>
        <v>#VALUE!</v>
      </c>
      <c r="ON21" s="156">
        <f t="shared" si="117"/>
        <v>1</v>
      </c>
      <c r="OO21" s="157" t="str">
        <f t="shared" si="118"/>
        <v/>
      </c>
      <c r="OP21" s="157" t="str">
        <f t="shared" si="119"/>
        <v/>
      </c>
      <c r="OQ21" s="158" t="e">
        <f t="shared" si="228"/>
        <v>#N/A</v>
      </c>
      <c r="OR21" s="158" t="e">
        <f>INDEX('Tables - Part 3'!$F$4:$R$35,MATCH(COF!$F21,'Tables - Part 3'!$F$4:$F$35,0),COUNTA('Tables - Part 3'!$F$3:$K$3))</f>
        <v>#N/A</v>
      </c>
      <c r="OS21" s="158" t="e">
        <f t="shared" si="229"/>
        <v>#N/A</v>
      </c>
      <c r="OT21" s="158" t="e">
        <f t="shared" si="230"/>
        <v>#N/A</v>
      </c>
      <c r="OU21" s="158" t="e">
        <f t="shared" si="231"/>
        <v>#N/A</v>
      </c>
      <c r="OV21" s="159" t="e">
        <f>INDEX('Tables - Part 3'!$M$4:$Q$35,MATCH(COF!$F21,'Tables - Part 3'!$F$4:$F$35,0),COUNTA('Tables - Part 3'!$M$3))</f>
        <v>#N/A</v>
      </c>
      <c r="OW21" s="159" t="e">
        <f>INDEX('Tables - Part 3'!$M$4:$Q$35,MATCH(COF!$F21,'Tables - Part 3'!$F$4:$F$35,0),COUNTA('Tables - Part 3'!$M$3:$N$3))</f>
        <v>#N/A</v>
      </c>
      <c r="OX21" s="159" t="e">
        <f>INDEX('Tables - Part 3'!$M$4:$Q$35,MATCH(COF!$F21,'Tables - Part 3'!$F$4:$F$35,0),COUNTA('Tables - Part 3'!$M$3:$O$3))</f>
        <v>#N/A</v>
      </c>
      <c r="OY21" s="159" t="e">
        <f>INDEX('Tables - Part 3'!$M$4:$Q$35,MATCH(COF!$F21,'Tables - Part 3'!$F$4:$F$35,0),COUNTA('Tables - Part 3'!$M$3:$P$3))</f>
        <v>#N/A</v>
      </c>
      <c r="OZ21" s="160" t="e">
        <f>INDEX('Tables - Part 3'!$M$4:$Q$35,MATCH(COF!$F21,'Tables - Part 3'!$F$4:$F$35,0),COUNTA('Tables - Part 3'!$M$3:$Q$3))</f>
        <v>#N/A</v>
      </c>
      <c r="PA21" s="162" t="e">
        <f>INDEX('Tables - Part 3'!$I$4:$I$35,MATCH(COF!$F21,'Tables - Part 3'!$F$4:$F$35,0))</f>
        <v>#N/A</v>
      </c>
      <c r="PB21" s="158" t="e">
        <f t="shared" si="120"/>
        <v>#N/A</v>
      </c>
      <c r="PC21" s="158" t="str">
        <f t="shared" si="121"/>
        <v/>
      </c>
      <c r="PD21" s="158" t="e">
        <f>INDEX('Tables - Part 3'!AW$7:AW$31,MATCH(COF!$F21,'Tables - Part 3'!$AU$7:$AU$31,0),1)</f>
        <v>#N/A</v>
      </c>
      <c r="PE21" s="158" t="e">
        <f>INDEX('Tables - Part 3'!AX$7:AX$31,MATCH(COF!$F21,'Tables - Part 3'!$AU$7:$AU$31,0),1)</f>
        <v>#N/A</v>
      </c>
      <c r="PF21" s="158" t="e">
        <f>INDEX('Tables - Part 3'!AY$7:AY$31,MATCH(COF!$F21,'Tables - Part 3'!$AU$7:$AU$31,0),1)</f>
        <v>#N/A</v>
      </c>
      <c r="PG21" s="158" t="e">
        <f>INDEX('Tables - Part 3'!AZ$7:AZ$31,MATCH(COF!$F21,'Tables - Part 3'!$AU$7:$AU$31,0),1)</f>
        <v>#N/A</v>
      </c>
      <c r="PH21" s="158" t="e">
        <f>INDEX('Tables - Part 3'!BA$7:BA$31,MATCH(COF!$F21,'Tables - Part 3'!$AU$7:$AU$31,0),1)</f>
        <v>#N/A</v>
      </c>
      <c r="PI21" s="158" t="e">
        <f>INDEX('Tables - Part 3'!BB$7:BB$31,MATCH(COF!$F21,'Tables - Part 3'!$AU$7:$AU$31,0),1)</f>
        <v>#N/A</v>
      </c>
      <c r="PJ21" s="158" t="e">
        <f>INDEX('Tables - Part 3'!BC$7:BC$31,MATCH(COF!$F21,'Tables - Part 3'!$AU$7:$AU$31,0),1)</f>
        <v>#N/A</v>
      </c>
      <c r="PK21" s="158" t="e">
        <f>INDEX('Tables - Part 3'!BD$7:BD$31,MATCH(COF!$F21,'Tables - Part 3'!$AU$7:$AU$31,0),1)</f>
        <v>#N/A</v>
      </c>
      <c r="PL21" s="158" t="e">
        <f>INDEX('Tables - Part 3'!BE$7:BE$31,MATCH(COF!$F21,'Tables - Part 3'!$AU$7:$AU$31,0),1)</f>
        <v>#N/A</v>
      </c>
      <c r="PM21" s="158" t="e">
        <f>INDEX('Tables - Part 3'!BF$7:BF$31,MATCH(COF!$F21,'Tables - Part 3'!$AU$7:$AU$31,0),1)</f>
        <v>#N/A</v>
      </c>
      <c r="PN21" s="158" t="e">
        <f>INDEX('Tables - Part 3'!BG$7:BG$31,MATCH(COF!$F21,'Tables - Part 3'!$AU$7:$AU$31,0),1)</f>
        <v>#N/A</v>
      </c>
      <c r="PO21" s="158" t="e">
        <f>INDEX('Tables - Part 3'!BH$7:BH$31,MATCH(COF!$F21,'Tables - Part 3'!$AU$7:$AU$31,0),1)</f>
        <v>#N/A</v>
      </c>
      <c r="PP21" s="158" t="e">
        <f>INDEX('Tables - Part 3'!BI$7:BI$31,MATCH(COF!$F21,'Tables - Part 3'!$AU$7:$AU$31,0),1)</f>
        <v>#N/A</v>
      </c>
      <c r="PQ21" s="158" t="e">
        <f>INDEX('Tables - Part 3'!BJ$7:BJ$31,MATCH(COF!$F21,'Tables - Part 3'!$AU$7:$AU$31,0),1)</f>
        <v>#N/A</v>
      </c>
      <c r="PR21" s="158" t="e">
        <f>INDEX('Tables - Part 3'!BK$7:BK$31,MATCH(COF!$F21,'Tables - Part 3'!$AU$7:$AU$31,0),1)</f>
        <v>#N/A</v>
      </c>
      <c r="PS21" s="158" t="e">
        <f>INDEX('Tables - Part 3'!BL$7:BL$31,MATCH(COF!$F21,'Tables - Part 3'!$AU$7:$AU$31,0),1)</f>
        <v>#N/A</v>
      </c>
      <c r="PT21" s="158" t="e">
        <f>INDEX('Tables - Part 3'!BP$7:BP$31,MATCH(COF!$F21,'Tables - Part 3'!$AU$7:$AU$31,0),1)</f>
        <v>#N/A</v>
      </c>
      <c r="PU21" s="158" t="e">
        <f>INDEX('Tables - Part 3'!BQ$7:BQ$31,MATCH(COF!$F21,'Tables - Part 3'!$AU$7:$AU$31,0),1)</f>
        <v>#N/A</v>
      </c>
      <c r="PV21" s="158" t="e">
        <f>INDEX('Tables - Part 3'!BR$7:BR$31,MATCH(COF!$F21,'Tables - Part 3'!$AU$7:$AU$31,0),1)</f>
        <v>#N/A</v>
      </c>
      <c r="PW21" s="158" t="e">
        <f>INDEX('Tables - Part 3'!BS$7:BS$31,MATCH(COF!$F21,'Tables - Part 3'!$AU$7:$AU$31,0),1)</f>
        <v>#N/A</v>
      </c>
      <c r="PX21" s="158" t="e">
        <f>INDEX('Tables - Part 3'!BT$7:BT$31,MATCH(COF!$F21,'Tables - Part 3'!$AU$7:$AU$31,0),1)</f>
        <v>#N/A</v>
      </c>
      <c r="PY21" s="158" t="e">
        <f>INDEX('Tables - Part 3'!BU$7:BU$31,MATCH(COF!$F21,'Tables - Part 3'!$AU$7:$AU$31,0),1)</f>
        <v>#N/A</v>
      </c>
      <c r="PZ21" s="158" t="e">
        <f>INDEX('Tables - Part 3'!BV$7:BV$31,MATCH(COF!$F21,'Tables - Part 3'!$AU$7:$AU$31,0),1)</f>
        <v>#N/A</v>
      </c>
      <c r="QA21" s="158" t="e">
        <f>INDEX('Tables - Part 3'!BW$7:BW$31,MATCH(COF!$F21,'Tables - Part 3'!$AU$7:$AU$31,0),1)</f>
        <v>#N/A</v>
      </c>
      <c r="QB21" s="158" t="e">
        <f>INDEX('Tables - Part 3'!BX$7:BX$31,MATCH(COF!$F21,'Tables - Part 3'!$AU$7:$AU$31,0),1)</f>
        <v>#N/A</v>
      </c>
      <c r="QC21" s="158" t="e">
        <f>INDEX('Tables - Part 3'!BY$7:BY$31,MATCH(COF!$F21,'Tables - Part 3'!$AU$7:$AU$31,0),1)</f>
        <v>#N/A</v>
      </c>
      <c r="QD21" s="158" t="e">
        <f>INDEX('Tables - Part 3'!BZ$7:BZ$31,MATCH(COF!$F21,'Tables - Part 3'!$AU$7:$AU$31,0),1)</f>
        <v>#N/A</v>
      </c>
      <c r="QE21" s="158" t="e">
        <f>INDEX('Tables - Part 3'!CA$7:CA$31,MATCH(COF!$F21,'Tables - Part 3'!$AU$7:$AU$31,0),1)</f>
        <v>#N/A</v>
      </c>
      <c r="QF21" s="158" t="e">
        <f>INDEX('Tables - Part 3'!CB$7:CB$31,MATCH(COF!$F21,'Tables - Part 3'!$AU$7:$AU$31,0),1)</f>
        <v>#N/A</v>
      </c>
      <c r="QG21" s="158" t="e">
        <f>INDEX('Tables - Part 3'!CC$7:CC$31,MATCH(COF!$F21,'Tables - Part 3'!$AU$7:$AU$31,0),1)</f>
        <v>#N/A</v>
      </c>
      <c r="QH21" s="158" t="e">
        <f>INDEX('Tables - Part 3'!CD$7:CD$31,MATCH(COF!$F21,'Tables - Part 3'!$AU$7:$AU$31,0),1)</f>
        <v>#N/A</v>
      </c>
      <c r="QI21" s="158" t="e">
        <f>INDEX('Tables - Part 3'!CE$7:CE$31,MATCH(COF!$F21,'Tables - Part 3'!$AU$7:$AU$31,0),1)</f>
        <v>#N/A</v>
      </c>
      <c r="QJ21" s="151">
        <f>'Tables - Part 5'!$R$4</f>
        <v>3.1749999999999998</v>
      </c>
      <c r="QK21" s="151">
        <f>'Tables - Part 5'!$R$5</f>
        <v>6.35</v>
      </c>
      <c r="QL21" s="151">
        <f>'Tables - Part 5'!$R$6</f>
        <v>50.8</v>
      </c>
      <c r="QM21" s="151">
        <f t="shared" si="122"/>
        <v>0</v>
      </c>
      <c r="QN21" s="151">
        <f t="shared" si="232"/>
        <v>7.9173043608984015</v>
      </c>
      <c r="QO21" s="151">
        <f t="shared" si="233"/>
        <v>31.669217443593606</v>
      </c>
      <c r="QP21" s="151">
        <f t="shared" si="234"/>
        <v>2026.8299163899908</v>
      </c>
      <c r="QQ21" s="151">
        <f t="shared" si="235"/>
        <v>0</v>
      </c>
      <c r="QR21" s="151">
        <f t="shared" si="236"/>
        <v>0</v>
      </c>
      <c r="QS21" s="151">
        <f>'Tables - Part 3.B'!$C$34*0.61*QN21*SQRT(2*$TM$15*QR21)</f>
        <v>0</v>
      </c>
      <c r="QT21" s="151">
        <f>'Tables - Part 3.B'!$C$34*0.61*QO21*SQRT(2*$TM$15*QS21)</f>
        <v>0</v>
      </c>
      <c r="QU21" s="151">
        <f>'Tables - Part 3.B'!$C$34*0.61*QP21*SQRT(2*$TM$15*QT21)</f>
        <v>0</v>
      </c>
      <c r="QV21" s="151">
        <f>'Tables - Part 3.B'!$C$34*0.61*QQ21*SQRT(2*$TM$15*QU21)</f>
        <v>0</v>
      </c>
      <c r="QW21" s="151">
        <f t="shared" si="237"/>
        <v>0</v>
      </c>
      <c r="QX21" s="151">
        <f t="shared" si="238"/>
        <v>0</v>
      </c>
      <c r="QY21" s="151">
        <f t="shared" si="239"/>
        <v>0</v>
      </c>
      <c r="QZ21" s="151">
        <f t="shared" si="240"/>
        <v>0</v>
      </c>
      <c r="RA21" s="151">
        <f t="shared" si="241"/>
        <v>0</v>
      </c>
      <c r="RB21" s="151">
        <f>QX21*'Tables - Part 3.B'!$C$15</f>
        <v>0</v>
      </c>
      <c r="RC21" s="151">
        <f>QY21*'Tables - Part 3.B'!$C$15</f>
        <v>0</v>
      </c>
      <c r="RD21" s="151">
        <f>QZ21*'Tables - Part 3.B'!$C$15</f>
        <v>0</v>
      </c>
      <c r="RE21" s="151">
        <f>RA21*'Tables - Part 3.B'!$C$15</f>
        <v>0</v>
      </c>
      <c r="RF21" s="151" t="e">
        <f t="shared" si="242"/>
        <v>#N/A</v>
      </c>
      <c r="RG21" s="151" t="e">
        <f t="shared" si="243"/>
        <v>#N/A</v>
      </c>
      <c r="RH21" s="151" t="e">
        <f t="shared" si="244"/>
        <v>#N/A</v>
      </c>
      <c r="RI21" s="151" t="e">
        <f t="shared" si="245"/>
        <v>#N/A</v>
      </c>
      <c r="RJ21" s="151">
        <f t="shared" si="246"/>
        <v>0</v>
      </c>
      <c r="RK21" s="151">
        <f t="shared" si="247"/>
        <v>0</v>
      </c>
      <c r="RL21" s="151">
        <f t="shared" si="248"/>
        <v>0</v>
      </c>
      <c r="RM21" s="151">
        <f t="shared" si="249"/>
        <v>0</v>
      </c>
      <c r="RN21" s="151">
        <v>7</v>
      </c>
      <c r="RO21" s="151">
        <v>1</v>
      </c>
      <c r="RP21" s="151">
        <v>1</v>
      </c>
      <c r="RQ21" s="151">
        <v>1</v>
      </c>
      <c r="RR21" s="151" t="e">
        <f t="shared" si="250"/>
        <v>#DIV/0!</v>
      </c>
      <c r="RS21" s="151" t="e">
        <f t="shared" si="251"/>
        <v>#DIV/0!</v>
      </c>
      <c r="RT21" s="151" t="e">
        <f t="shared" si="252"/>
        <v>#DIV/0!</v>
      </c>
      <c r="RU21" s="151" t="e">
        <f t="shared" si="253"/>
        <v>#DIV/0!</v>
      </c>
      <c r="RV21" s="151" t="e">
        <f t="shared" si="254"/>
        <v>#DIV/0!</v>
      </c>
      <c r="RW21" s="151" t="e">
        <f t="shared" si="255"/>
        <v>#DIV/0!</v>
      </c>
      <c r="RX21" s="151" t="e">
        <f t="shared" si="256"/>
        <v>#DIV/0!</v>
      </c>
      <c r="RY21" s="151" t="e">
        <f t="shared" si="257"/>
        <v>#DIV/0!</v>
      </c>
      <c r="RZ21" s="151" t="e">
        <f t="shared" si="258"/>
        <v>#DIV/0!</v>
      </c>
      <c r="SA21" s="151" t="e">
        <f t="shared" si="259"/>
        <v>#DIV/0!</v>
      </c>
      <c r="SB21" s="151" t="e">
        <f t="shared" si="260"/>
        <v>#DIV/0!</v>
      </c>
      <c r="SC21" s="151" t="e">
        <f t="shared" si="261"/>
        <v>#DIV/0!</v>
      </c>
      <c r="SD21" s="151">
        <f t="shared" si="262"/>
        <v>0</v>
      </c>
      <c r="SE21" s="151">
        <f t="shared" si="263"/>
        <v>0</v>
      </c>
      <c r="SF21" s="151">
        <f t="shared" si="264"/>
        <v>0</v>
      </c>
      <c r="SG21" s="151">
        <f t="shared" si="265"/>
        <v>0</v>
      </c>
      <c r="SH21" s="151">
        <f t="shared" si="266"/>
        <v>0</v>
      </c>
      <c r="SI21" s="151">
        <f t="shared" si="267"/>
        <v>0</v>
      </c>
      <c r="SJ21" s="151">
        <f t="shared" si="268"/>
        <v>0</v>
      </c>
      <c r="SK21" s="151">
        <f t="shared" si="269"/>
        <v>0</v>
      </c>
      <c r="SL21" s="542"/>
      <c r="SM21" s="542"/>
      <c r="SN21" s="542"/>
      <c r="SO21" s="151"/>
      <c r="SP21" s="151"/>
      <c r="SQ21" s="151"/>
      <c r="SR21" s="151"/>
      <c r="SS21" s="151"/>
      <c r="ST21" s="151"/>
      <c r="SU21" s="151"/>
      <c r="SV21" s="151"/>
      <c r="SW21" s="151"/>
      <c r="SX21" s="151"/>
      <c r="SY21" s="151"/>
      <c r="SZ21" s="151"/>
      <c r="TA21" s="151"/>
      <c r="TB21" s="151"/>
      <c r="TC21" s="151"/>
      <c r="TD21" s="151"/>
      <c r="TE21" s="542"/>
    </row>
    <row r="22" spans="2:537" x14ac:dyDescent="0.35">
      <c r="B22" s="161"/>
      <c r="C22" s="161"/>
      <c r="D22" s="161"/>
      <c r="E22" s="161"/>
      <c r="F22" s="161"/>
      <c r="G22" s="161"/>
      <c r="H22" s="537"/>
      <c r="I22" s="161"/>
      <c r="J22" s="161"/>
      <c r="K22" s="161"/>
      <c r="L22" s="161"/>
      <c r="M22" s="161"/>
      <c r="N22" s="161"/>
      <c r="O22" s="161"/>
      <c r="P22" s="161"/>
      <c r="Q22" s="161"/>
      <c r="R22" s="161"/>
      <c r="S22" s="161"/>
      <c r="T22" s="161"/>
      <c r="U22" s="161"/>
      <c r="V22" s="161"/>
      <c r="W22" s="161"/>
      <c r="X22" s="537"/>
      <c r="Y22" s="537"/>
      <c r="Z22" s="399"/>
      <c r="AA22" s="537"/>
      <c r="AB22" s="399"/>
      <c r="AC22" s="399"/>
      <c r="AD22" s="399"/>
      <c r="AE22" s="399"/>
      <c r="AF22" s="399"/>
      <c r="AG22" s="399"/>
      <c r="AH22" s="399"/>
      <c r="AI22" s="399"/>
      <c r="AJ22" s="399"/>
      <c r="AK22" s="399"/>
      <c r="AL22" s="399"/>
      <c r="AM22" s="399"/>
      <c r="AN22" s="399"/>
      <c r="AO22" s="399"/>
      <c r="AP22" s="399"/>
      <c r="AQ22" s="151" t="e">
        <f>INDEX('Tables - Part 3'!$J$4:$J$35,MATCH(COF!$F22,'Tables - Part 3'!$F$4:$F$35,0),1)</f>
        <v>#N/A</v>
      </c>
      <c r="AR22" s="151" t="e">
        <f>IF($G22=$TH$7,'Tables - Part 3'!$W$4,IF(AND($AQ22=$TH$7,COF!$PA22&lt;26.67),'Tables - Part 3'!$W$4,'Tables - Part 3'!$W$7))</f>
        <v>#N/A</v>
      </c>
      <c r="AS22" s="150" t="e">
        <f>INDEX('Tables - Part 3'!$F$4:$R$35,MATCH(COF!$F22,'Tables - Part 3'!$F$4:$F$35,0),COUNTA('Tables - Part 3'!$F$3:$H$3))</f>
        <v>#N/A</v>
      </c>
      <c r="AT22" s="279" t="e">
        <f t="shared" si="6"/>
        <v>#VALUE!</v>
      </c>
      <c r="AU22" s="151" t="e">
        <f>INDEX('Tables - Part 3'!$F$4:$R$35,MATCH(COF!$F22,'Tables - Part 3'!$F$4:$F$35,0),COUNTA('Tables - Part 3'!$F$3:$G$3))</f>
        <v>#N/A</v>
      </c>
      <c r="AV22" s="151" t="e">
        <f t="shared" si="131"/>
        <v>#N/A</v>
      </c>
      <c r="AW22" s="151" t="e">
        <f t="shared" si="7"/>
        <v>#N/A</v>
      </c>
      <c r="AX22" s="151" t="e">
        <f>INDEX('Tables - Part 3'!$F$4:$R$35,MATCH(COF!$F22,'Tables - Part 3'!$F$4:$F$35,0),COUNTA('Tables - Part 3'!$F$3:$R$3))+273.15</f>
        <v>#N/A</v>
      </c>
      <c r="AY22" s="151">
        <f t="shared" si="8"/>
        <v>0</v>
      </c>
      <c r="AZ22" s="151" t="e">
        <f t="shared" si="9"/>
        <v>#N/A</v>
      </c>
      <c r="BA22" s="151" t="e">
        <f t="shared" si="132"/>
        <v>#N/A</v>
      </c>
      <c r="BB22" s="151" t="e">
        <f t="shared" si="133"/>
        <v>#N/A</v>
      </c>
      <c r="BC22" s="151" t="e">
        <f t="shared" si="134"/>
        <v>#N/A</v>
      </c>
      <c r="BD22" s="151" t="e">
        <f t="shared" si="135"/>
        <v>#N/A</v>
      </c>
      <c r="BE22" s="151" t="e">
        <f t="shared" si="10"/>
        <v>#N/A</v>
      </c>
      <c r="BF22" s="151" t="e">
        <f t="shared" si="11"/>
        <v>#N/A</v>
      </c>
      <c r="BG22" s="151" t="e">
        <f t="shared" si="12"/>
        <v>#N/A</v>
      </c>
      <c r="BH22" s="151" t="e">
        <f t="shared" si="13"/>
        <v>#N/A</v>
      </c>
      <c r="BI22" s="151">
        <f>'Tables - Part 3'!$AD$4</f>
        <v>6.4</v>
      </c>
      <c r="BJ22" s="151">
        <f>MIN(O22,'Tables - Part 3'!$AD$5)</f>
        <v>25</v>
      </c>
      <c r="BK22" s="151">
        <f>MIN(O22,'Tables - Part 3'!$AD$6)</f>
        <v>102</v>
      </c>
      <c r="BL22" s="151">
        <f>MIN(O22,'Tables - Part 3'!$AD$7)</f>
        <v>406</v>
      </c>
      <c r="BM22" s="151">
        <f t="shared" si="136"/>
        <v>32.169908772759484</v>
      </c>
      <c r="BN22" s="151">
        <f t="shared" si="137"/>
        <v>490.87385212340519</v>
      </c>
      <c r="BO22" s="151">
        <f t="shared" si="138"/>
        <v>8171.2824919870518</v>
      </c>
      <c r="BP22" s="151">
        <f t="shared" si="139"/>
        <v>129461.89166178179</v>
      </c>
      <c r="BQ22" s="151" t="e">
        <f>INDEX('Tables - Part 2'!$D$5:$G$30,MATCH(COF!$E22,'Tables - Part 2'!$C$5:$C$30,0),1)</f>
        <v>#N/A</v>
      </c>
      <c r="BR22" s="571" t="e">
        <f>INDEX('Tables - Part 2'!$D$5:$G$30,MATCH(COF!$E22,'Tables - Part 2'!$C$5:$C$30,0),2)</f>
        <v>#N/A</v>
      </c>
      <c r="BS22" s="571" t="e">
        <f>INDEX('Tables - Part 2'!$D$5:$G$30,MATCH(COF!$E22,'Tables - Part 2'!$C$5:$C$30,0),3)</f>
        <v>#N/A</v>
      </c>
      <c r="BT22" s="151" t="e">
        <f>INDEX('Tables - Part 2'!$D$5:$G$30,MATCH(COF!$E22,'Tables - Part 2'!$C$5:$C$30,0),4)</f>
        <v>#N/A</v>
      </c>
      <c r="BU22" s="151" t="e">
        <f t="shared" si="140"/>
        <v>#N/A</v>
      </c>
      <c r="BV22" s="151" t="e">
        <f t="shared" si="141"/>
        <v>#N/A</v>
      </c>
      <c r="BW22" s="151" t="e">
        <f t="shared" si="142"/>
        <v>#N/A</v>
      </c>
      <c r="BX22" s="151" t="e">
        <f t="shared" si="143"/>
        <v>#N/A</v>
      </c>
      <c r="BY22" s="502" t="e">
        <f t="shared" si="144"/>
        <v>#N/A</v>
      </c>
      <c r="BZ22" s="502" t="e">
        <f t="shared" si="145"/>
        <v>#N/A</v>
      </c>
      <c r="CA22" s="151" t="e">
        <f>IF(OR(BI22&lt;='Tables - Part 3'!$AD$4,BE22&lt;='Tables - Part 3.B'!$C$6,BV22&lt;=25.22),COF!$TK$6,COF!$TK$5)</f>
        <v>#N/A</v>
      </c>
      <c r="CB22" s="151" t="e">
        <f>IF(OR(BJ22&lt;='Tables - Part 3'!$AD$4,BF22&lt;='Tables - Part 3.B'!$C$6,BW22&lt;=25.22),COF!$TK$6,COF!$TK$5)</f>
        <v>#N/A</v>
      </c>
      <c r="CC22" s="151" t="e">
        <f>IF(OR(BK22&lt;='Tables - Part 3'!$AD$4,BG22&lt;='Tables - Part 3.B'!$C$6,BX22&lt;=25.22),COF!$TK$6,COF!$TK$5)</f>
        <v>#N/A</v>
      </c>
      <c r="CD22" s="151" t="e">
        <f>IF(OR(BL22&lt;='Tables - Part 3'!$AD$4,BH22&lt;='Tables - Part 3.B'!$C$6,BY22&lt;=25.22),COF!$TK$6,COF!$TK$5)</f>
        <v>#N/A</v>
      </c>
      <c r="CE22" s="151" t="str">
        <f t="shared" si="146"/>
        <v/>
      </c>
      <c r="CF22" s="151" t="e">
        <f>INDEX('Tables - Part 3'!$AR$4:$AR$12,MATCH(COF!$PC22,'Tables - Part 3'!$AP$4:$AP$12,0),1)</f>
        <v>#N/A</v>
      </c>
      <c r="CG22" s="151" t="e">
        <f>INDEX('Tables - Part 3'!$AR$13:$AR$21,MATCH(COF!$PC22,'Tables - Part 3'!$AP$13:$AP$21,0),1)</f>
        <v>#N/A</v>
      </c>
      <c r="CH22" s="151" t="e">
        <f>INDEX('Tables - Part 3'!$AR$22:$AR$30,MATCH(COF!$PC22,'Tables - Part 3'!$AP$22:$AP$30,0),1)</f>
        <v>#N/A</v>
      </c>
      <c r="CI22" s="151" t="e">
        <f>INDEX('Tables - Part 3'!$AR$22:$AR$30,MATCH(COF!$PC22,'Tables - Part 3'!$AP$22:$AP$30,0),1)</f>
        <v>#N/A</v>
      </c>
      <c r="CJ22" s="151" t="e">
        <f t="shared" si="147"/>
        <v>#N/A</v>
      </c>
      <c r="CK22" s="151" t="e">
        <f t="shared" si="148"/>
        <v>#N/A</v>
      </c>
      <c r="CL22" s="151" t="e">
        <f t="shared" si="149"/>
        <v>#N/A</v>
      </c>
      <c r="CM22" s="151" t="e">
        <f t="shared" si="150"/>
        <v>#N/A</v>
      </c>
      <c r="CN22" s="151" t="e">
        <f t="shared" si="151"/>
        <v>#N/A</v>
      </c>
      <c r="CO22" s="151" t="e">
        <f t="shared" si="152"/>
        <v>#N/A</v>
      </c>
      <c r="CP22" s="151" t="e">
        <f t="shared" si="153"/>
        <v>#N/A</v>
      </c>
      <c r="CQ22" s="151" t="e">
        <f t="shared" si="154"/>
        <v>#N/A</v>
      </c>
      <c r="CR22" s="151" t="e">
        <f t="shared" si="155"/>
        <v>#N/A</v>
      </c>
      <c r="CS22" s="151" t="e">
        <f t="shared" si="156"/>
        <v>#N/A</v>
      </c>
      <c r="CT22" s="151" t="e">
        <f t="shared" si="157"/>
        <v>#N/A</v>
      </c>
      <c r="CU22" s="151" t="e">
        <f t="shared" si="158"/>
        <v>#N/A</v>
      </c>
      <c r="CV22" s="151" t="e">
        <f>INDEX('Tables - Part 3'!$CI$4:$CI$8,MATCH(COF!V22,'Tables - Part 3'!$CG$4:$CG$8,0),1)</f>
        <v>#N/A</v>
      </c>
      <c r="CW22" s="502" t="e">
        <f>IF(CR22&gt;'Tables - Part 3.B'!$C$6,4*LOG10('Tables - Part 3.B'!$C$7*CR22)-15,1)</f>
        <v>#N/A</v>
      </c>
      <c r="CX22" s="502" t="e">
        <f>IF(CS22&gt;'Tables - Part 3.B'!$C$6,4*LOG10('Tables - Part 3.B'!$C$7*CS22)-15,1)</f>
        <v>#N/A</v>
      </c>
      <c r="CY22" s="502" t="e">
        <f>IF(CT22&gt;'Tables - Part 3.B'!$C$6,4*LOG10('Tables - Part 3.B'!$C$7*CT22)-15,1)</f>
        <v>#N/A</v>
      </c>
      <c r="CZ22" s="502" t="e">
        <f>IF(CU22&gt;'Tables - Part 3.B'!$C$6,4*LOG10('Tables - Part 3.B'!$C$7*CU22)-15,1)</f>
        <v>#N/A</v>
      </c>
      <c r="DA22" s="151" t="e">
        <f>INDEX('Tables - Part 3'!$C$4:$C$37,MATCH(COF!$F22,'Tables - Part 3'!$B$4:$B$37,0),1)</f>
        <v>#N/A</v>
      </c>
      <c r="DB22" s="151" t="e">
        <f t="shared" si="159"/>
        <v>#N/A</v>
      </c>
      <c r="DC22" s="151" t="e">
        <f t="shared" si="160"/>
        <v>#N/A</v>
      </c>
      <c r="DD22" s="151" t="e">
        <f t="shared" si="161"/>
        <v>#N/A</v>
      </c>
      <c r="DE22" s="151" t="e">
        <f t="shared" si="162"/>
        <v>#N/A</v>
      </c>
      <c r="DF22" s="151" t="e">
        <f t="shared" si="163"/>
        <v>#N/A</v>
      </c>
      <c r="DG22" s="151" t="e">
        <f t="shared" si="164"/>
        <v>#N/A</v>
      </c>
      <c r="DH22" s="151" t="e">
        <f t="shared" si="165"/>
        <v>#N/A</v>
      </c>
      <c r="DI22" s="151" t="e">
        <f t="shared" si="166"/>
        <v>#N/A</v>
      </c>
      <c r="DJ22" s="151" t="e">
        <f t="shared" si="167"/>
        <v>#N/A</v>
      </c>
      <c r="DK22" s="151" t="e">
        <f t="shared" si="168"/>
        <v>#N/A</v>
      </c>
      <c r="DL22" s="151" t="e">
        <f t="shared" si="169"/>
        <v>#N/A</v>
      </c>
      <c r="DM22" s="151" t="e">
        <f t="shared" si="170"/>
        <v>#N/A</v>
      </c>
      <c r="DN22" s="151" t="e">
        <f t="shared" si="171"/>
        <v>#N/A</v>
      </c>
      <c r="DO22" s="151" t="e">
        <f t="shared" si="172"/>
        <v>#N/A</v>
      </c>
      <c r="DP22" s="151" t="e">
        <f t="shared" si="173"/>
        <v>#N/A</v>
      </c>
      <c r="DQ22" s="151" t="e">
        <f t="shared" si="174"/>
        <v>#N/A</v>
      </c>
      <c r="DR22" s="151" t="e">
        <f t="shared" si="175"/>
        <v>#N/A</v>
      </c>
      <c r="DS22" s="151" t="e">
        <f t="shared" si="176"/>
        <v>#N/A</v>
      </c>
      <c r="DT22" s="151" t="e">
        <f t="shared" si="177"/>
        <v>#N/A</v>
      </c>
      <c r="DU22" s="151" t="e">
        <f t="shared" si="178"/>
        <v>#N/A</v>
      </c>
      <c r="DV22" s="151" t="e">
        <f t="shared" si="179"/>
        <v>#N/A</v>
      </c>
      <c r="DW22" s="151" t="e">
        <f t="shared" si="180"/>
        <v>#N/A</v>
      </c>
      <c r="DX22" s="151" t="e">
        <f t="shared" si="181"/>
        <v>#N/A</v>
      </c>
      <c r="DY22" s="151" t="e">
        <f t="shared" si="182"/>
        <v>#N/A</v>
      </c>
      <c r="DZ22" s="151" t="e">
        <f t="shared" si="183"/>
        <v>#N/A</v>
      </c>
      <c r="EA22" s="151" t="e">
        <f t="shared" si="184"/>
        <v>#N/A</v>
      </c>
      <c r="EB22" s="151" t="e">
        <f t="shared" si="185"/>
        <v>#N/A</v>
      </c>
      <c r="EC22" s="151" t="e">
        <f t="shared" si="186"/>
        <v>#N/A</v>
      </c>
      <c r="ED22" s="151" t="e">
        <f t="shared" si="187"/>
        <v>#N/A</v>
      </c>
      <c r="EE22" s="151" t="e">
        <f t="shared" si="188"/>
        <v>#N/A</v>
      </c>
      <c r="EF22" s="151" t="e">
        <f t="shared" si="189"/>
        <v>#N/A</v>
      </c>
      <c r="EG22" s="151" t="e">
        <f t="shared" si="190"/>
        <v>#N/A</v>
      </c>
      <c r="EH22" s="151" t="e">
        <f>IF(CA22=$TK$5,1,MIN(CJ22/'Tables - Part 3.B'!$C$8,1))</f>
        <v>#N/A</v>
      </c>
      <c r="EI22" s="151" t="e">
        <f>IF(CB22=$TK$5,1,MIN(CK22/'Tables - Part 3.B'!$C$8,1))</f>
        <v>#N/A</v>
      </c>
      <c r="EJ22" s="151" t="e">
        <f>IF(CC22=$TK$5,1,MIN(CL22/'Tables - Part 3.B'!$C$8,1))</f>
        <v>#N/A</v>
      </c>
      <c r="EK22" s="151" t="e">
        <f>IF(CD22=$TK$5,1,MIN(CM22/'Tables - Part 3.B'!$C$8,1))</f>
        <v>#N/A</v>
      </c>
      <c r="EL22" s="151" t="e">
        <f t="shared" si="191"/>
        <v>#VALUE!</v>
      </c>
      <c r="EM22" s="151" t="e">
        <f t="shared" si="48"/>
        <v>#VALUE!</v>
      </c>
      <c r="EN22" s="151" t="e">
        <f t="shared" si="48"/>
        <v>#VALUE!</v>
      </c>
      <c r="EO22" s="151" t="e">
        <f t="shared" si="48"/>
        <v>#VALUE!</v>
      </c>
      <c r="EP22" s="151" t="e">
        <f t="shared" si="192"/>
        <v>#N/A</v>
      </c>
      <c r="EQ22" s="151" t="e">
        <f t="shared" si="49"/>
        <v>#N/A</v>
      </c>
      <c r="ER22" s="151" t="e">
        <f t="shared" si="49"/>
        <v>#N/A</v>
      </c>
      <c r="ES22" s="151" t="e">
        <f t="shared" si="49"/>
        <v>#N/A</v>
      </c>
      <c r="ET22" s="151" t="e">
        <f t="shared" si="193"/>
        <v>#N/A</v>
      </c>
      <c r="EU22" s="151" t="e">
        <f t="shared" si="50"/>
        <v>#N/A</v>
      </c>
      <c r="EV22" s="151" t="e">
        <f t="shared" si="50"/>
        <v>#N/A</v>
      </c>
      <c r="EW22" s="151" t="e">
        <f t="shared" si="50"/>
        <v>#N/A</v>
      </c>
      <c r="EX22" s="151" t="e">
        <f t="shared" si="194"/>
        <v>#N/A</v>
      </c>
      <c r="EY22" s="151" t="e">
        <f t="shared" si="51"/>
        <v>#N/A</v>
      </c>
      <c r="EZ22" s="151" t="e">
        <f t="shared" si="51"/>
        <v>#N/A</v>
      </c>
      <c r="FA22" s="151" t="e">
        <f t="shared" si="51"/>
        <v>#N/A</v>
      </c>
      <c r="FB22" s="151" t="e">
        <f t="shared" si="195"/>
        <v>#N/A</v>
      </c>
      <c r="FC22" s="151" t="e">
        <f t="shared" si="52"/>
        <v>#N/A</v>
      </c>
      <c r="FD22" s="151" t="e">
        <f t="shared" si="52"/>
        <v>#N/A</v>
      </c>
      <c r="FE22" s="151" t="e">
        <f t="shared" si="52"/>
        <v>#N/A</v>
      </c>
      <c r="FF22" s="151" t="e">
        <f t="shared" si="196"/>
        <v>#N/A</v>
      </c>
      <c r="FG22" s="151" t="e">
        <f t="shared" si="53"/>
        <v>#N/A</v>
      </c>
      <c r="FH22" s="151" t="e">
        <f t="shared" si="53"/>
        <v>#N/A</v>
      </c>
      <c r="FI22" s="151" t="e">
        <f t="shared" si="53"/>
        <v>#N/A</v>
      </c>
      <c r="FJ22" s="151" t="e">
        <f t="shared" si="197"/>
        <v>#N/A</v>
      </c>
      <c r="FK22" s="151" t="e">
        <f t="shared" si="54"/>
        <v>#N/A</v>
      </c>
      <c r="FL22" s="151" t="e">
        <f t="shared" si="54"/>
        <v>#N/A</v>
      </c>
      <c r="FM22" s="288" t="e">
        <f t="shared" si="54"/>
        <v>#N/A</v>
      </c>
      <c r="FN22" s="299">
        <f t="shared" si="198"/>
        <v>0</v>
      </c>
      <c r="FO22" s="511">
        <f t="shared" si="199"/>
        <v>0</v>
      </c>
      <c r="FP22" s="150" t="e">
        <f t="shared" si="200"/>
        <v>#N/A</v>
      </c>
      <c r="FQ22" s="151" t="e">
        <f t="shared" si="201"/>
        <v>#N/A</v>
      </c>
      <c r="FR22" s="151" t="e">
        <f t="shared" si="202"/>
        <v>#N/A</v>
      </c>
      <c r="FS22" s="151" t="e">
        <f t="shared" si="203"/>
        <v>#N/A</v>
      </c>
      <c r="FT22" s="151">
        <f t="shared" si="55"/>
        <v>0</v>
      </c>
      <c r="FU22" s="151">
        <f t="shared" si="56"/>
        <v>0</v>
      </c>
      <c r="FV22" s="151">
        <f t="shared" si="57"/>
        <v>0</v>
      </c>
      <c r="FW22" s="151">
        <f t="shared" si="58"/>
        <v>0</v>
      </c>
      <c r="FX22" s="151">
        <f t="shared" si="59"/>
        <v>0</v>
      </c>
      <c r="FY22" s="151">
        <f t="shared" si="60"/>
        <v>0</v>
      </c>
      <c r="FZ22" s="151">
        <f t="shared" si="61"/>
        <v>0</v>
      </c>
      <c r="GA22" s="151">
        <f t="shared" si="62"/>
        <v>0</v>
      </c>
      <c r="GB22" s="151" t="e">
        <f>IF(CA22=$TK$6,'Tables - Part 3.B'!$C$10*(('Tables - Part 3.B'!$C$7*COF!FT22)^COF!GR22*10^COF!GV22),IF(CA22=$TK$5,'Tables - Part 3.B'!$C$10*(('Tables - Part 3.B'!$C$7*COF!FX22)^COF!GR22*10^COF!GV22),0))</f>
        <v>#N/A</v>
      </c>
      <c r="GC22" s="151" t="e">
        <f>IF(CB22=$TK$6,'Tables - Part 3.B'!$C$10*(('Tables - Part 3.B'!$C$7*COF!FU22)^COF!GS22*10^COF!GW22),IF(CB22=$TK$5,'Tables - Part 3.B'!$C$10*(('Tables - Part 3.B'!$C$7*COF!FY22)^COF!GS22*10^COF!GW22),0))</f>
        <v>#N/A</v>
      </c>
      <c r="GD22" s="151" t="e">
        <f>IF(CC22=$TK$6,'Tables - Part 3.B'!$C$10*(('Tables - Part 3.B'!$C$7*COF!FV22)^COF!GT22*10^COF!GX22),IF(CC22=$TK$5,'Tables - Part 3.B'!$C$10*(('Tables - Part 3.B'!$C$7*COF!FZ22)^COF!GT22*10^COF!GX22),0))</f>
        <v>#N/A</v>
      </c>
      <c r="GE22" s="151" t="e">
        <f>IF(CD22=$TK$6,'Tables - Part 3.B'!$C$10*(('Tables - Part 3.B'!$C$7*COF!FW22)^COF!GU22*10^COF!GY22),IF(CD22=$TK$5,'Tables - Part 3.B'!$C$10*(('Tables - Part 3.B'!$C$7*COF!GA22)^COF!GU22*10^COF!GY22),0))</f>
        <v>#N/A</v>
      </c>
      <c r="GF22" s="152" t="e">
        <f t="shared" si="272"/>
        <v>#N/A</v>
      </c>
      <c r="GG22" s="152" t="e">
        <f t="shared" si="63"/>
        <v>#N/A</v>
      </c>
      <c r="GH22" s="152" t="e">
        <f t="shared" si="64"/>
        <v>#N/A</v>
      </c>
      <c r="GI22" s="152" t="e">
        <f t="shared" si="65"/>
        <v>#N/A</v>
      </c>
      <c r="GJ22" s="152" t="e">
        <f>IF(GF22&lt;'Tables - Part 3'!$CK$5,0,LOOKUP(GF22,'Tables - Part 3'!$CK$5:$CK$9))</f>
        <v>#N/A</v>
      </c>
      <c r="GK22" s="152" t="e">
        <f>IF(GG22&lt;'Tables - Part 3'!$CK$5,0,LOOKUP(GG22,'Tables - Part 3'!$CK$5:$CK$9))</f>
        <v>#N/A</v>
      </c>
      <c r="GL22" s="152" t="e">
        <f>IF(GH22&lt;'Tables - Part 3'!$CK$5,0,LOOKUP(GH22,'Tables - Part 3'!$CK$5:$CK$9))</f>
        <v>#N/A</v>
      </c>
      <c r="GM22" s="152" t="e">
        <f>IF(GI22&lt;'Tables - Part 3'!$CK$5,0,LOOKUP(GI22,'Tables - Part 3'!$CK$5:$CK$9))</f>
        <v>#N/A</v>
      </c>
      <c r="GN22" s="152" t="e">
        <f>IF(GF22&lt;'Tables - Part 3'!$CK$5,'Tables - Part 3'!$CK$5,IF(COF!GF22&lt;'Tables - Part 3'!$CK$6,'Tables - Part 3'!$CK$6,IF(COF!GF22&lt;'Tables - Part 3'!$CK$7,'Tables - Part 3'!$CK$7,IF(COF!GF22&lt;'Tables - Part 3'!$CK$8,'Tables - Part 3'!$CK$8,IF(COF!GF22&lt;'Tables - Part 3'!$CK$9,'Tables - Part 3'!$CK$9)))))</f>
        <v>#N/A</v>
      </c>
      <c r="GO22" s="152" t="e">
        <f>IF(GG22&lt;'Tables - Part 3'!$CK$5,'Tables - Part 3'!$CK$5,IF(COF!GG22&lt;'Tables - Part 3'!$CK$6,'Tables - Part 3'!$CK$6,IF(COF!GG22&lt;'Tables - Part 3'!$CK$7,'Tables - Part 3'!$CK$7,IF(COF!GG22&lt;'Tables - Part 3'!$CK$8,'Tables - Part 3'!$CK$8,IF(COF!GG22&lt;'Tables - Part 3'!$CK$9,'Tables - Part 3'!$CK$9)))))</f>
        <v>#N/A</v>
      </c>
      <c r="GP22" s="152" t="e">
        <f>IF(GH22&lt;'Tables - Part 3'!$CK$5,'Tables - Part 3'!$CK$5,IF(COF!GH22&lt;'Tables - Part 3'!$CK$6,'Tables - Part 3'!$CK$6,IF(COF!GH22&lt;'Tables - Part 3'!$CK$7,'Tables - Part 3'!$CK$7,IF(COF!GH22&lt;'Tables - Part 3'!$CK$8,'Tables - Part 3'!$CK$8,IF(COF!GH22&lt;'Tables - Part 3'!$CK$9,'Tables - Part 3'!$CK$9)))))</f>
        <v>#N/A</v>
      </c>
      <c r="GQ22" s="152" t="e">
        <f>IF(GI22&lt;'Tables - Part 3'!$CK$5,'Tables - Part 3'!$CK$5,IF(COF!GI22&lt;'Tables - Part 3'!$CK$6,'Tables - Part 3'!$CK$6,IF(COF!GI22&lt;'Tables - Part 3'!$CK$7,'Tables - Part 3'!$CK$7,IF(COF!GI22&lt;'Tables - Part 3'!$CK$8,'Tables - Part 3'!$CK$8,IF(COF!GI22&lt;'Tables - Part 3'!$CK$9,'Tables - Part 3'!$CK$9)))))</f>
        <v>#N/A</v>
      </c>
      <c r="GR22" s="151" t="e">
        <f>IF(CA22=$TK$5,'Tables - Part 3'!$CL$10,IF(COF!CA22=COF!$TK$6,IF(COF!GF22&lt;'Tables - Part 3'!$CK$5,'Tables - Part 3'!$CL$5,IF(GF22&gt;='Tables - Part 3'!$CK$9,'Tables - Part 3'!$CL$9,((COF!GF22-COF!GJ22)*(INDEX('Tables - Part 3'!$CL$5:$CL$9,MATCH(COF!GN22,'Tables - Part 3'!$CK$5:$CK$9,0))-INDEX('Tables - Part 3'!$CL$5:$CL$9,MATCH(COF!GJ22,'Tables - Part 3'!$CK$5:$CK$9,0)))/(GN22-GJ22)+INDEX('Tables - Part 3'!$CL$5:$CL$9,MATCH(COF!GJ22,'Tables - Part 3'!$CK$5:$CK$9,0)))))))</f>
        <v>#N/A</v>
      </c>
      <c r="GS22" s="151" t="e">
        <f>IF(CB22=$TK$5,'Tables - Part 3'!$CL$10,IF(COF!CB22=COF!$TK$6,IF(COF!GG22&lt;'Tables - Part 3'!$CK$5,'Tables - Part 3'!$CL$5,IF(GG22&gt;='Tables - Part 3'!$CK$9,'Tables - Part 3'!$CL$9,((COF!GG22-COF!GK22)*(INDEX('Tables - Part 3'!$CL$5:$CL$9,MATCH(COF!GO22,'Tables - Part 3'!$CK$5:$CK$9,0))-INDEX('Tables - Part 3'!$CL$5:$CL$9,MATCH(COF!GK22,'Tables - Part 3'!$CK$5:$CK$9,0)))/(GO22-GK22)+INDEX('Tables - Part 3'!$CL$5:$CL$9,MATCH(COF!GK22,'Tables - Part 3'!$CK$5:$CK$9,0)))))))</f>
        <v>#N/A</v>
      </c>
      <c r="GT22" s="151" t="e">
        <f>IF(CC22=$TK$5,'Tables - Part 3'!$CL$10,IF(COF!CC22=COF!$TK$6,IF(COF!GH22&lt;'Tables - Part 3'!$CK$5,'Tables - Part 3'!$CL$5,IF(GH22&gt;='Tables - Part 3'!$CK$9,'Tables - Part 3'!$CL$9,((COF!GH22-COF!GL22)*(INDEX('Tables - Part 3'!$CL$5:$CL$9,MATCH(COF!GP22,'Tables - Part 3'!$CK$5:$CK$9,0))-INDEX('Tables - Part 3'!$CL$5:$CL$9,MATCH(COF!GL22,'Tables - Part 3'!$CK$5:$CK$9,0)))/(GP22-GL22)+INDEX('Tables - Part 3'!$CL$5:$CL$9,MATCH(COF!GL22,'Tables - Part 3'!$CK$5:$CK$9,0)))))))</f>
        <v>#N/A</v>
      </c>
      <c r="GU22" s="151" t="e">
        <f>IF(CD22=$TK$5,'Tables - Part 3'!$CL$10,IF(COF!CD22=COF!$TK$6,IF(COF!GI22&lt;'Tables - Part 3'!$CK$5,'Tables - Part 3'!$CL$5,IF(GI22&gt;='Tables - Part 3'!$CK$9,'Tables - Part 3'!$CL$9,((COF!GI22-COF!GM22)*(INDEX('Tables - Part 3'!$CL$5:$CL$9,MATCH(COF!GQ22,'Tables - Part 3'!$CK$5:$CK$9,0))-INDEX('Tables - Part 3'!$CL$5:$CL$9,MATCH(COF!GM22,'Tables - Part 3'!$CK$5:$CK$9,0)))/(GQ22-GM22)+INDEX('Tables - Part 3'!$CL$5:$CL$9,MATCH(COF!GM22,'Tables - Part 3'!$CK$5:$CK$9,0)))))))</f>
        <v>#N/A</v>
      </c>
      <c r="GV22" s="151" t="e">
        <f>IF(CA22=$TK$5,'Tables - Part 3'!$CM$10,IF(COF!CA22=COF!$TK$6,IF(GF22&lt;'Tables - Part 3'!$CK$5,'Tables - Part 3'!$CM$5,IF(GF22&gt;='Tables - Part 3'!$CK$9,'Tables - Part 3'!$CM$9,((COF!GF22-COF!GJ22)*(INDEX('Tables - Part 3'!$CM$5:$CM$9,MATCH(COF!GN22,'Tables - Part 3'!$CK$5:$CK$9,0))-INDEX('Tables - Part 3'!$CM$5:$CM$9,MATCH(COF!GJ22,'Tables - Part 3'!$CK$5:$CK$9,0)))/(GN22-GJ22)+INDEX('Tables - Part 3'!$CM$5:$CM$9,MATCH(COF!GJ22,'Tables - Part 3'!$CK$5:$CK$9,0)))))))</f>
        <v>#N/A</v>
      </c>
      <c r="GW22" s="151" t="e">
        <f>IF(CB22=$TK$5,'Tables - Part 3'!$CM$10,IF(COF!CB22=COF!$TK$6,IF(GG22&lt;'Tables - Part 3'!$CK$5,'Tables - Part 3'!$CM$5,IF(GG22&gt;='Tables - Part 3'!$CK$9,'Tables - Part 3'!$CM$9,((COF!GG22-COF!GK22)*(INDEX('Tables - Part 3'!$CM$5:$CM$9,MATCH(COF!GO22,'Tables - Part 3'!$CK$5:$CK$9,0))-INDEX('Tables - Part 3'!$CM$5:$CM$9,MATCH(COF!GK22,'Tables - Part 3'!$CK$5:$CK$9,0)))/(GO22-GK22)+INDEX('Tables - Part 3'!$CM$5:$CM$9,MATCH(COF!GK22,'Tables - Part 3'!$CK$5:$CK$9,0)))))))</f>
        <v>#N/A</v>
      </c>
      <c r="GX22" s="151" t="e">
        <f>IF(CC22=$TK$5,'Tables - Part 3'!$CM$10,IF(COF!CC22=COF!$TK$6,IF(GH22&lt;'Tables - Part 3'!$CK$5,'Tables - Part 3'!$CM$5,IF(GH22&gt;='Tables - Part 3'!$CK$9,'Tables - Part 3'!$CM$9,((COF!GH22-COF!GL22)*(INDEX('Tables - Part 3'!$CM$5:$CM$9,MATCH(COF!GP22,'Tables - Part 3'!$CK$5:$CK$9,0))-INDEX('Tables - Part 3'!$CM$5:$CM$9,MATCH(COF!GL22,'Tables - Part 3'!$CK$5:$CK$9,0)))/(GP22-GL22)+INDEX('Tables - Part 3'!$CM$5:$CM$9,MATCH(COF!GL22,'Tables - Part 3'!$CK$5:$CK$9,0)))))))</f>
        <v>#N/A</v>
      </c>
      <c r="GY22" s="151" t="e">
        <f>IF(CD22=$TK$5,'Tables - Part 3'!$CM$10,IF(COF!CD22=COF!$TK$6,IF(GI22&lt;'Tables - Part 3'!$CK$5,'Tables - Part 3'!$CM$5,IF(GI22&gt;='Tables - Part 3'!$CK$9,'Tables - Part 3'!$CM$9,((COF!GI22-COF!GM22)*(INDEX('Tables - Part 3'!$CM$5:$CM$9,MATCH(COF!GQ22,'Tables - Part 3'!$CK$5:$CK$9,0))-INDEX('Tables - Part 3'!$CM$5:$CM$9,MATCH(COF!GM22,'Tables - Part 3'!$CK$5:$CK$9,0)))/(GQ22-GM22)+INDEX('Tables - Part 3'!$CM$5:$CM$9,MATCH(COF!GM22,'Tables - Part 3'!$CK$5:$CK$9,0)))))))</f>
        <v>#N/A</v>
      </c>
      <c r="GZ22" s="151">
        <f t="shared" si="66"/>
        <v>0</v>
      </c>
      <c r="HA22" s="151">
        <f t="shared" si="67"/>
        <v>0</v>
      </c>
      <c r="HB22" s="151">
        <f t="shared" si="68"/>
        <v>0</v>
      </c>
      <c r="HC22" s="151">
        <f t="shared" si="69"/>
        <v>0</v>
      </c>
      <c r="HD22" s="151">
        <f t="shared" si="70"/>
        <v>0</v>
      </c>
      <c r="HE22" s="151">
        <f t="shared" si="71"/>
        <v>0</v>
      </c>
      <c r="HF22" s="151">
        <f t="shared" si="72"/>
        <v>0</v>
      </c>
      <c r="HG22" s="151">
        <f t="shared" si="73"/>
        <v>0</v>
      </c>
      <c r="HH22" s="151" t="e">
        <f>IF(CA22=$TK$6,'Tables - Part 3.B'!$C$10*(('Tables - Part 3.B'!$C$7*COF!GZ22)^COF!HL22*10^COF!HP22),IF(CA22=$TK$5,'Tables - Part 3.B'!$C$10*(('Tables - Part 3.B'!$C$7*COF!HD22)^COF!HL22*10^COF!HP22),0))</f>
        <v>#N/A</v>
      </c>
      <c r="HI22" s="151" t="e">
        <f>IF(CB22=$TK$6,'Tables - Part 3.B'!$C$10*(('Tables - Part 3.B'!$C$7*COF!HA22)^COF!HM22*10^COF!HQ22),IF(CB22=$TK$5,'Tables - Part 3.B'!$C$10*(('Tables - Part 3.B'!$C$7*COF!HE22)^COF!HM22*10^COF!HQ22),0))</f>
        <v>#N/A</v>
      </c>
      <c r="HJ22" s="151" t="e">
        <f>IF(CC22=$TK$6,'Tables - Part 3.B'!$C$10*(('Tables - Part 3.B'!$C$7*COF!HB22)^COF!HN22*10^COF!HR22),IF(CC22=$TK$5,'Tables - Part 3.B'!$C$10*(('Tables - Part 3.B'!$C$7*COF!HF22)^COF!HN22*10^COF!HR22),0))</f>
        <v>#N/A</v>
      </c>
      <c r="HK22" s="151" t="e">
        <f>IF(CD22=$TK$6,'Tables - Part 3.B'!$C$10*(('Tables - Part 3.B'!$C$7*COF!HC22)^COF!HO22*10^COF!HS22),IF(CD22=$TK$5,'Tables - Part 3.B'!$C$10*(('Tables - Part 3.B'!$C$7*COF!HG22)^COF!HO22*10^COF!HS22),0))</f>
        <v>#N/A</v>
      </c>
      <c r="HL22" s="151" t="e">
        <f>IF(CA22=$TK$5,'Tables - Part 3'!$CN$10,IF(COF!CA22=COF!$TK$6,IF(COF!GF22&lt;'Tables - Part 3'!$CK$5,'Tables - Part 3'!$CN$5,IF(GF22&gt;='Tables - Part 3'!$CK$9,'Tables - Part 3'!$CN$9,((COF!GF22-COF!GJ22)*(INDEX('Tables - Part 3'!$CN$5:$CN$9,MATCH(COF!GN22,'Tables - Part 3'!$CK$5:$CK$9,0))-INDEX('Tables - Part 3'!$CN$5:$CN$9,MATCH(COF!GJ22,'Tables - Part 3'!$CK$5:$CK$9,0)))/(GN22-GJ22)+INDEX('Tables - Part 3'!$CN$5:$CN$9,MATCH(COF!GJ22,'Tables - Part 3'!$CK$5:$CK$9,0)))))))</f>
        <v>#N/A</v>
      </c>
      <c r="HM22" s="151" t="e">
        <f>IF(CB22=$TK$5,'Tables - Part 3'!$CN$10,IF(COF!CB22=COF!$TK$6,IF(COF!GG22&lt;'Tables - Part 3'!$CK$5,'Tables - Part 3'!$CN$5,IF(GG22&gt;='Tables - Part 3'!$CK$9,'Tables - Part 3'!$CN$9,((COF!GG22-COF!GK22)*(INDEX('Tables - Part 3'!$CN$5:$CN$9,MATCH(COF!GO22,'Tables - Part 3'!$CK$5:$CK$9,0))-INDEX('Tables - Part 3'!$CN$5:$CN$9,MATCH(COF!GK22,'Tables - Part 3'!$CK$5:$CK$9,0)))/(GO22-GK22)+INDEX('Tables - Part 3'!$CN$5:$CN$9,MATCH(COF!GK22,'Tables - Part 3'!$CK$5:$CK$9,0)))))))</f>
        <v>#N/A</v>
      </c>
      <c r="HN22" s="151" t="e">
        <f>IF(CC22=$TK$5,'Tables - Part 3'!$CN$10,IF(COF!CC22=COF!$TK$6,IF(COF!GH22&lt;'Tables - Part 3'!$CK$5,'Tables - Part 3'!$CN$5,IF(GH22&gt;='Tables - Part 3'!$CK$9,'Tables - Part 3'!$CN$9,((COF!GH22-COF!GL22)*(INDEX('Tables - Part 3'!$CN$5:$CN$9,MATCH(COF!GP22,'Tables - Part 3'!$CK$5:$CK$9,0))-INDEX('Tables - Part 3'!$CN$5:$CN$9,MATCH(COF!GL22,'Tables - Part 3'!$CK$5:$CK$9,0)))/(GP22-GL22)+INDEX('Tables - Part 3'!$CN$5:$CN$9,MATCH(COF!GL22,'Tables - Part 3'!$CK$5:$CK$9,0)))))))</f>
        <v>#N/A</v>
      </c>
      <c r="HO22" s="151" t="e">
        <f>IF(CD22=$TK$5,'Tables - Part 3'!$CN$10,IF(COF!CD22=COF!$TK$6,IF(COF!GI22&lt;'Tables - Part 3'!$CK$5,'Tables - Part 3'!$CN$5,IF(GI22&gt;='Tables - Part 3'!$CK$9,'Tables - Part 3'!$CN$9,((COF!GI22-COF!GM22)*(INDEX('Tables - Part 3'!$CN$5:$CN$9,MATCH(COF!GQ22,'Tables - Part 3'!$CK$5:$CK$9,0))-INDEX('Tables - Part 3'!$CN$5:$CN$9,MATCH(COF!GM22,'Tables - Part 3'!$CK$5:$CK$9,0)))/(GQ22-GM22)+INDEX('Tables - Part 3'!$CN$5:$CN$9,MATCH(COF!GM22,'Tables - Part 3'!$CK$5:$CK$9,0)))))))</f>
        <v>#N/A</v>
      </c>
      <c r="HP22" s="151" t="e">
        <f>IF(CA22=$TK$5,'Tables - Part 3'!$CO$10,IF(COF!CA22=COF!$TK$6,IF(GF22&lt;'Tables - Part 3'!$CK$5,'Tables - Part 3'!$CO$5,IF(GF22&gt;='Tables - Part 3'!$CK$9,'Tables - Part 3'!$CO$9,((COF!GF22-COF!GJ22)*(INDEX('Tables - Part 3'!$CO$5:$CO$9,MATCH(COF!GN22,'Tables - Part 3'!$CK$5:$CK$9,0))-INDEX('Tables - Part 3'!$CO$5:$CO$9,MATCH(COF!GJ22,'Tables - Part 3'!$CK$5:$CK$9,0)))/(GN22-GJ22)+INDEX('Tables - Part 3'!$CO$5:$CO$9,MATCH(COF!GJ22,'Tables - Part 3'!$CK$5:$CK$9,0)))))))</f>
        <v>#N/A</v>
      </c>
      <c r="HQ22" s="151" t="e">
        <f>IF(CB22=$TK$5,'Tables - Part 3'!$CO$10,IF(COF!CB22=COF!$TK$6,IF(GG22&lt;'Tables - Part 3'!$CK$5,'Tables - Part 3'!$CO$5,IF(GG22&gt;='Tables - Part 3'!$CK$9,'Tables - Part 3'!$CO$9,((COF!GG22-COF!GK22)*(INDEX('Tables - Part 3'!$CO$5:$CO$9,MATCH(COF!GO22,'Tables - Part 3'!$CK$5:$CK$9,0))-INDEX('Tables - Part 3'!$CO$5:$CO$9,MATCH(COF!GK22,'Tables - Part 3'!$CK$5:$CK$9,0)))/(GO22-GK22)+INDEX('Tables - Part 3'!$CO$5:$CO$9,MATCH(COF!GK22,'Tables - Part 3'!$CK$5:$CK$9,0)))))))</f>
        <v>#N/A</v>
      </c>
      <c r="HR22" s="151" t="e">
        <f>IF(CC22=$TK$5,'Tables - Part 3'!$CO$10,IF(COF!CC22=COF!$TK$6,IF(GH22&lt;'Tables - Part 3'!$CK$5,'Tables - Part 3'!$CO$5,IF(GH22&gt;='Tables - Part 3'!$CK$9,'Tables - Part 3'!$CO$9,((COF!GH22-COF!GL22)*(INDEX('Tables - Part 3'!$CO$5:$CO$9,MATCH(COF!GP22,'Tables - Part 3'!$CK$5:$CK$9,0))-INDEX('Tables - Part 3'!$CO$5:$CO$9,MATCH(COF!GL22,'Tables - Part 3'!$CK$5:$CK$9,0)))/(GP22-GL22)+INDEX('Tables - Part 3'!$CO$5:$CO$9,MATCH(COF!GL22,'Tables - Part 3'!$CK$5:$CK$9,0)))))))</f>
        <v>#N/A</v>
      </c>
      <c r="HS22" s="151" t="e">
        <f>IF(CD22=$TK$5,'Tables - Part 3'!$CO$10,IF(COF!CD22=COF!$TK$6,IF(GI22&lt;'Tables - Part 3'!$CK$5,'Tables - Part 3'!$CO$5,IF(GI22&gt;='Tables - Part 3'!$CK$9,'Tables - Part 3'!$CO$9,((COF!GI22-COF!GM22)*(INDEX('Tables - Part 3'!$CO$5:$CO$9,MATCH(COF!GQ22,'Tables - Part 3'!$CK$5:$CK$9,0))-INDEX('Tables - Part 3'!$CO$5:$CO$9,MATCH(COF!GM22,'Tables - Part 3'!$CK$5:$CK$9,0)))/(GQ22-GM22)+INDEX('Tables - Part 3'!$CO$5:$CO$9,MATCH(COF!GM22,'Tables - Part 3'!$CK$5:$CK$9,0)))))))</f>
        <v>#N/A</v>
      </c>
      <c r="HT22" s="151">
        <f t="shared" si="74"/>
        <v>0</v>
      </c>
      <c r="HU22" s="151">
        <f t="shared" si="75"/>
        <v>0</v>
      </c>
      <c r="HV22" s="151">
        <f t="shared" si="76"/>
        <v>0</v>
      </c>
      <c r="HW22" s="151">
        <f t="shared" si="77"/>
        <v>0</v>
      </c>
      <c r="HX22" s="151">
        <f t="shared" si="78"/>
        <v>0</v>
      </c>
      <c r="HY22" s="151">
        <f t="shared" si="79"/>
        <v>0</v>
      </c>
      <c r="HZ22" s="151">
        <f t="shared" si="80"/>
        <v>0</v>
      </c>
      <c r="IA22" s="151">
        <f t="shared" si="81"/>
        <v>0</v>
      </c>
      <c r="IB22" s="153" t="e">
        <f t="shared" si="82"/>
        <v>#N/A</v>
      </c>
      <c r="IC22" s="153" t="e">
        <f t="shared" si="83"/>
        <v>#N/A</v>
      </c>
      <c r="ID22" s="153" t="e">
        <f t="shared" si="84"/>
        <v>#N/A</v>
      </c>
      <c r="IE22" s="153" t="e">
        <f t="shared" si="85"/>
        <v>#N/A</v>
      </c>
      <c r="IF22" s="152" t="e">
        <f>IF(GF22&lt;'Tables - Part 3'!$CQ$5,0,LOOKUP(GF22,'Tables - Part 3'!$CQ$5:$CQ$16))</f>
        <v>#N/A</v>
      </c>
      <c r="IG22" s="152" t="e">
        <f>IF(GG22&lt;'Tables - Part 3'!$CQ$5,0,LOOKUP(GG22,'Tables - Part 3'!$CQ$5:$CQ$16))</f>
        <v>#N/A</v>
      </c>
      <c r="IH22" s="152" t="e">
        <f>IF(GH22&lt;'Tables - Part 3'!$CQ$5,0,LOOKUP(GH22,'Tables - Part 3'!$CQ$5:$CQ$16))</f>
        <v>#N/A</v>
      </c>
      <c r="II22" s="152" t="e">
        <f>IF(GI22&lt;'Tables - Part 3'!$CQ$5,0,LOOKUP(GI22,'Tables - Part 3'!$CQ$5:$CQ$16))</f>
        <v>#N/A</v>
      </c>
      <c r="IJ22" s="152" t="e">
        <f>IF(GF22&lt;'Tables - Part 3'!$CQ$5,'Tables - Part 3'!$CQ$5,IF(COF!GF22&lt;'Tables - Part 3'!$CQ$6,'Tables - Part 3'!$CQ$6,IF(COF!GF22&lt;'Tables - Part 3'!$CQ$7,'Tables - Part 3'!$CQ$7,IF(COF!GF22&lt;'Tables - Part 3'!$CQ$8,'Tables - Part 3'!$CQ$8,IF(COF!GF22&lt;'Tables - Part 3'!$CQ$9,'Tables - Part 3'!$CQ$9,IF(COF!GF22&lt;'Tables - Part 3'!$CQ$10,'Tables - Part 3'!$CQ$10,IF(COF!GF22&lt;'Tables - Part 3'!$CQ$11,'Tables - Part 3'!$CQ$11,IF(COF!GF22&lt;'Tables - Part 3'!$CQ$12,'Tables - Part 3'!$CQ$12,IF(COF!GF22&lt;'Tables - Part 3'!$CQ$13,'Tables - Part 3'!$CQ$13,IF(COF!GF22&lt;'Tables - Part 3'!$CQ$14,'Tables - Part 3'!$CQ$14,IF(COF!GF22&lt;'Tables - Part 3'!$CQ$15,'Tables - Part 3'!$CQ$15,IF(COF!GF22&lt;'Tables - Part 3'!$CQ$16,'Tables - Part 3'!$CQ$16))))))))))))</f>
        <v>#N/A</v>
      </c>
      <c r="IK22" s="152" t="e">
        <f>IF(GG22&lt;'Tables - Part 3'!$CQ$5,'Tables - Part 3'!$CQ$5,IF(COF!GG22&lt;'Tables - Part 3'!$CQ$6,'Tables - Part 3'!$CQ$6,IF(COF!GG22&lt;'Tables - Part 3'!$CQ$7,'Tables - Part 3'!$CQ$7,IF(COF!GG22&lt;'Tables - Part 3'!$CQ$8,'Tables - Part 3'!$CQ$8,IF(COF!GG22&lt;'Tables - Part 3'!$CQ$9,'Tables - Part 3'!$CQ$9,IF(COF!GG22&lt;'Tables - Part 3'!$CQ$10,'Tables - Part 3'!$CQ$10,IF(COF!GG22&lt;'Tables - Part 3'!$CQ$11,'Tables - Part 3'!$CQ$11,IF(COF!GG22&lt;'Tables - Part 3'!$CQ$12,'Tables - Part 3'!$CQ$12,IF(COF!GG22&lt;'Tables - Part 3'!$CQ$13,'Tables - Part 3'!$CQ$13,IF(COF!GG22&lt;'Tables - Part 3'!$CQ$14,'Tables - Part 3'!$CQ$14,IF(COF!GG22&lt;'Tables - Part 3'!$CQ$15,'Tables - Part 3'!$CQ$15,IF(COF!GG22&lt;'Tables - Part 3'!$CQ$16,'Tables - Part 3'!$CQ$16))))))))))))</f>
        <v>#N/A</v>
      </c>
      <c r="IL22" s="152" t="e">
        <f>IF(GH22&lt;'Tables - Part 3'!$CQ$5,'Tables - Part 3'!$CQ$5,IF(COF!GH22&lt;'Tables - Part 3'!$CQ$6,'Tables - Part 3'!$CQ$6,IF(COF!GH22&lt;'Tables - Part 3'!$CQ$7,'Tables - Part 3'!$CQ$7,IF(COF!GH22&lt;'Tables - Part 3'!$CQ$8,'Tables - Part 3'!$CQ$8,IF(COF!GH22&lt;'Tables - Part 3'!$CQ$9,'Tables - Part 3'!$CQ$9,IF(COF!GH22&lt;'Tables - Part 3'!$CQ$10,'Tables - Part 3'!$CQ$10,IF(COF!GH22&lt;'Tables - Part 3'!$CQ$11,'Tables - Part 3'!$CQ$11,IF(COF!GH22&lt;'Tables - Part 3'!$CQ$12,'Tables - Part 3'!$CQ$12,IF(COF!GH22&lt;'Tables - Part 3'!$CQ$13,'Tables - Part 3'!$CQ$13,IF(COF!GH22&lt;'Tables - Part 3'!$CQ$14,'Tables - Part 3'!$CQ$14,IF(COF!GH22&lt;'Tables - Part 3'!$CQ$15,'Tables - Part 3'!$CQ$15,IF(COF!GH22&lt;'Tables - Part 3'!$CQ$16,'Tables - Part 3'!$CQ$16))))))))))))</f>
        <v>#N/A</v>
      </c>
      <c r="IM22" s="152" t="e">
        <f>IF(GI22&lt;'Tables - Part 3'!$CQ$5,'Tables - Part 3'!$CQ$5,IF(COF!GI22&lt;'Tables - Part 3'!$CQ$6,'Tables - Part 3'!$CQ$6,IF(COF!GI22&lt;'Tables - Part 3'!$CQ$7,'Tables - Part 3'!$CQ$7,IF(COF!GI22&lt;'Tables - Part 3'!$CQ$8,'Tables - Part 3'!$CQ$8,IF(COF!GI22&lt;'Tables - Part 3'!$CQ$9,'Tables - Part 3'!$CQ$9,IF(COF!GI22&lt;'Tables - Part 3'!$CQ$10,'Tables - Part 3'!$CQ$10,IF(COF!GI22&lt;'Tables - Part 3'!$CQ$11,'Tables - Part 3'!$CQ$11,IF(COF!GI22&lt;'Tables - Part 3'!$CQ$12,'Tables - Part 3'!$CQ$12,IF(COF!GI22&lt;'Tables - Part 3'!$CQ$13,'Tables - Part 3'!$CQ$13,IF(COF!GI22&lt;'Tables - Part 3'!$CQ$14,'Tables - Part 3'!$CQ$14,IF(COF!GI22&lt;'Tables - Part 3'!$CQ$15,'Tables - Part 3'!$CQ$15,IF(COF!GI22&lt;'Tables - Part 3'!$CQ$16,'Tables - Part 3'!$CQ$16))))))))))))</f>
        <v>#N/A</v>
      </c>
      <c r="IN22" s="151" t="e">
        <f>IF(CA22=$TK$5,'Tables - Part 3'!$CR$17,IF(COF!CA22=COF!$TK$6,IF(COF!GF22&lt;'Tables - Part 3'!$CQ$5,'Tables - Part 3'!$CR$5,IF(GF22&gt;='Tables - Part 3'!$CQ$16,'Tables - Part 3'!$CR$16,((COF!GF22-COF!IF22)*(INDEX('Tables - Part 3'!$CR$5:$CR$16,MATCH(COF!IJ22,'Tables - Part 3'!$CQ$5:$CQ$16,0))-INDEX('Tables - Part 3'!$CR$5:$CR$16,MATCH(COF!IF22,'Tables - Part 3'!$CQ$5:$CQ$16,0)))/(IJ22-IF22)+INDEX('Tables - Part 3'!$CR$5:$CR$16,MATCH(COF!IF22,'Tables - Part 3'!$CQ$5:$CQ$16,0)))))))</f>
        <v>#N/A</v>
      </c>
      <c r="IO22" s="151" t="e">
        <f>IF(CB22=$TK$5,'Tables - Part 3'!$CR$17,IF(COF!CB22=COF!$TK$6,IF(COF!GG22&lt;'Tables - Part 3'!$CQ$5,'Tables - Part 3'!$CR$5,IF(GG22&gt;='Tables - Part 3'!$CQ$16,'Tables - Part 3'!$CR$16,((COF!GG22-COF!IG22)*(INDEX('Tables - Part 3'!$CR$5:$CR$16,MATCH(COF!IK22,'Tables - Part 3'!$CQ$5:$CQ$16,0))-INDEX('Tables - Part 3'!$CR$5:$CR$16,MATCH(COF!IG22,'Tables - Part 3'!$CQ$5:$CQ$16,0)))/(IK22-IG22)+INDEX('Tables - Part 3'!$CR$5:$CR$16,MATCH(COF!IG22,'Tables - Part 3'!$CQ$5:$CQ$16,0)))))))</f>
        <v>#N/A</v>
      </c>
      <c r="IP22" s="151" t="e">
        <f>IF(CC22=$TK$5,'Tables - Part 3'!$CR$17,IF(COF!CC22=COF!$TK$6,IF(COF!GH22&lt;'Tables - Part 3'!$CQ$5,'Tables - Part 3'!$CR$5,IF(GH22&gt;='Tables - Part 3'!$CQ$16,'Tables - Part 3'!$CR$16,((COF!GH22-COF!IH22)*(INDEX('Tables - Part 3'!$CR$5:$CR$16,MATCH(COF!IL22,'Tables - Part 3'!$CQ$5:$CQ$16,0))-INDEX('Tables - Part 3'!$CR$5:$CR$16,MATCH(COF!IH22,'Tables - Part 3'!$CQ$5:$CQ$16,0)))/(IL22-IH22)+INDEX('Tables - Part 3'!$CR$5:$CR$16,MATCH(COF!IH22,'Tables - Part 3'!$CQ$5:$CQ$16,0)))))))</f>
        <v>#N/A</v>
      </c>
      <c r="IQ22" s="151" t="e">
        <f>IF(CD22=$TK$5,'Tables - Part 3'!$CR$17,IF(COF!CD22=COF!$TK$6,IF(COF!GI22&lt;'Tables - Part 3'!$CQ$5,'Tables - Part 3'!$CR$5,IF(GI22&gt;='Tables - Part 3'!$CQ$16,'Tables - Part 3'!$CR$16,((COF!GI22-COF!II22)*(INDEX('Tables - Part 3'!$CR$5:$CR$16,MATCH(COF!IM22,'Tables - Part 3'!$CQ$5:$CQ$16,0))-INDEX('Tables - Part 3'!$CR$5:$CR$16,MATCH(COF!II22,'Tables - Part 3'!$CQ$5:$CQ$16,0)))/(IM22-II22)+INDEX('Tables - Part 3'!$CR$5:$CR$16,MATCH(COF!II22,'Tables - Part 3'!$CQ$5:$CQ$16,0)))))))</f>
        <v>#N/A</v>
      </c>
      <c r="IR22" s="151" t="e">
        <f>IF(CA22=$TK$5,'Tables - Part 3'!$CS$17,IF(COF!CA22=COF!$TK$6,IF(COF!GF22&lt;'Tables - Part 3'!$CQ$5,'Tables - Part 3'!$CS$5,IF(GF22&gt;='Tables - Part 3'!$CQ$16,'Tables - Part 3'!$CS$16,((COF!GF22-COF!IF22)*(INDEX('Tables - Part 3'!$CS$5:$CS$16,MATCH(COF!IJ22,'Tables - Part 3'!$CQ$5:$CQ$16,0))-INDEX('Tables - Part 3'!$CS$5:$CS$16,MATCH(COF!IF22,'Tables - Part 3'!$CQ$5:$CQ$16,0)))/(IJ22-IF22)+INDEX('Tables - Part 3'!$CS$5:$CS$16,MATCH(COF!IF22,'Tables - Part 3'!$CQ$5:$CQ$16,0)))))))</f>
        <v>#N/A</v>
      </c>
      <c r="IS22" s="151" t="e">
        <f>IF(CB22=$TK$5,'Tables - Part 3'!$CS$17,IF(COF!CB22=COF!$TK$6,IF(COF!GG22&lt;'Tables - Part 3'!$CQ$5,'Tables - Part 3'!$CS$5,IF(GG22&gt;='Tables - Part 3'!$CQ$16,'Tables - Part 3'!$CS$16,((COF!GG22-COF!IG22)*(INDEX('Tables - Part 3'!$CS$5:$CS$16,MATCH(COF!IK22,'Tables - Part 3'!$CQ$5:$CQ$16,0))-INDEX('Tables - Part 3'!$CS$5:$CS$16,MATCH(COF!IG22,'Tables - Part 3'!$CQ$5:$CQ$16,0)))/(IK22-IG22)+INDEX('Tables - Part 3'!$CS$5:$CS$16,MATCH(COF!IG22,'Tables - Part 3'!$CQ$5:$CQ$16,0)))))))</f>
        <v>#N/A</v>
      </c>
      <c r="IT22" s="151" t="e">
        <f>IF(CC22=$TK$5,'Tables - Part 3'!$CS$17,IF(COF!CC22=COF!$TK$6,IF(COF!GH22&lt;'Tables - Part 3'!$CQ$5,'Tables - Part 3'!$CS$5,IF(GH22&gt;='Tables - Part 3'!$CQ$16,'Tables - Part 3'!$CS$16,((COF!GH22-COF!IH22)*(INDEX('Tables - Part 3'!$CS$5:$CS$16,MATCH(COF!IL22,'Tables - Part 3'!$CQ$5:$CQ$16,0))-INDEX('Tables - Part 3'!$CS$5:$CS$16,MATCH(COF!IH22,'Tables - Part 3'!$CQ$5:$CQ$16,0)))/(IL22-IH22)+INDEX('Tables - Part 3'!$CS$5:$CS$16,MATCH(COF!IH22,'Tables - Part 3'!$CQ$5:$CQ$16,0)))))))</f>
        <v>#N/A</v>
      </c>
      <c r="IU22" s="151" t="e">
        <f>IF(CD22=$TK$5,'Tables - Part 3'!$CS$17,IF(COF!CD22=COF!$TK$6,IF(COF!GI22&lt;'Tables - Part 3'!$CQ$5,'Tables - Part 3'!$CS$5,IF(GI22&gt;='Tables - Part 3'!$CQ$16,'Tables - Part 3'!$CS$16,((COF!GI22-COF!II22)*(INDEX('Tables - Part 3'!$CS$5:$CS$16,MATCH(COF!IM22,'Tables - Part 3'!$CQ$5:$CQ$16,0))-INDEX('Tables - Part 3'!$CS$5:$CS$16,MATCH(COF!II22,'Tables - Part 3'!$CQ$5:$CQ$16,0)))/(IM22-II22)+INDEX('Tables - Part 3'!$CS$5:$CS$16,MATCH(COF!II22,'Tables - Part 3'!$CQ$5:$CQ$16,0)))))))</f>
        <v>#N/A</v>
      </c>
      <c r="IV22" s="151">
        <f t="shared" si="86"/>
        <v>0</v>
      </c>
      <c r="IW22" s="151">
        <f t="shared" si="87"/>
        <v>0</v>
      </c>
      <c r="IX22" s="151">
        <f t="shared" si="88"/>
        <v>0</v>
      </c>
      <c r="IY22" s="151">
        <f t="shared" si="89"/>
        <v>0</v>
      </c>
      <c r="IZ22" s="151">
        <f t="shared" si="90"/>
        <v>0</v>
      </c>
      <c r="JA22" s="151">
        <f t="shared" si="91"/>
        <v>0</v>
      </c>
      <c r="JB22" s="151">
        <f t="shared" si="92"/>
        <v>0</v>
      </c>
      <c r="JC22" s="151">
        <f t="shared" si="93"/>
        <v>0</v>
      </c>
      <c r="JD22" s="151" t="e">
        <f t="shared" si="94"/>
        <v>#N/A</v>
      </c>
      <c r="JE22" s="151" t="e">
        <f t="shared" si="95"/>
        <v>#N/A</v>
      </c>
      <c r="JF22" s="151" t="e">
        <f t="shared" si="96"/>
        <v>#N/A</v>
      </c>
      <c r="JG22" s="151" t="e">
        <f t="shared" si="97"/>
        <v>#N/A</v>
      </c>
      <c r="JH22" s="151" t="e">
        <f>IF(CA22=$TK$5,'Tables - Part 3'!$CT$17,IF(COF!CA22=COF!$TK$6,IF(COF!GF22&lt;'Tables - Part 3'!$CQ$5,'Tables - Part 3'!$CT$5,IF(GF22&gt;='Tables - Part 3'!$CQ$16,'Tables - Part 3'!$CT$16,((COF!GF22-COF!IF22)*(INDEX('Tables - Part 3'!$CT$5:$CT$16,MATCH(COF!IJ22,'Tables - Part 3'!$CQ$5:$CQ$16,0))-INDEX('Tables - Part 3'!$CT$5:$CT$16,MATCH(COF!IF22,'Tables - Part 3'!$CQ$5:$CQ$16,0)))/(IJ22-IF22)+INDEX('Tables - Part 3'!$CT$5:$CT$16,MATCH(COF!IF22,'Tables - Part 3'!$CQ$5:$CQ$16,0)))))))</f>
        <v>#N/A</v>
      </c>
      <c r="JI22" s="151" t="e">
        <f>IF(CB22=$TK$5,'Tables - Part 3'!$CT$17,IF(COF!CB22=COF!$TK$6,IF(COF!GG22&lt;'Tables - Part 3'!$CQ$5,'Tables - Part 3'!$CT$5,IF(GG22&gt;='Tables - Part 3'!$CQ$16,'Tables - Part 3'!$CT$16,((COF!GG22-COF!IG22)*(INDEX('Tables - Part 3'!$CT$5:$CT$16,MATCH(COF!IK22,'Tables - Part 3'!$CQ$5:$CQ$16,0))-INDEX('Tables - Part 3'!$CT$5:$CT$16,MATCH(COF!IG22,'Tables - Part 3'!$CQ$5:$CQ$16,0)))/(IK22-IG22)+INDEX('Tables - Part 3'!$CT$5:$CT$16,MATCH(COF!IG22,'Tables - Part 3'!$CQ$5:$CQ$16,0)))))))</f>
        <v>#N/A</v>
      </c>
      <c r="JJ22" s="151" t="e">
        <f>IF(CC22=$TK$5,'Tables - Part 3'!$CT$17,IF(COF!CC22=COF!$TK$6,IF(COF!GH22&lt;'Tables - Part 3'!$CQ$5,'Tables - Part 3'!$CT$5,IF(GH22&gt;='Tables - Part 3'!$CQ$16,'Tables - Part 3'!$CT$16,((COF!GH22-COF!IH22)*(INDEX('Tables - Part 3'!$CT$5:$CT$16,MATCH(COF!IL22,'Tables - Part 3'!$CQ$5:$CQ$16,0))-INDEX('Tables - Part 3'!$CT$5:$CT$16,MATCH(COF!IH22,'Tables - Part 3'!$CQ$5:$CQ$16,0)))/(IL22-IH22)+INDEX('Tables - Part 3'!$CT$5:$CT$16,MATCH(COF!IH22,'Tables - Part 3'!$CQ$5:$CQ$16,0)))))))</f>
        <v>#N/A</v>
      </c>
      <c r="JK22" s="151" t="e">
        <f>IF(CD22=$TK$5,'Tables - Part 3'!$CT$17,IF(COF!CD22=COF!$TK$6,IF(COF!GI22&lt;'Tables - Part 3'!$CQ$5,'Tables - Part 3'!$CT$5,IF(GI22&gt;='Tables - Part 3'!$CQ$16,'Tables - Part 3'!$CT$16,((COF!GI22-COF!II22)*(INDEX('Tables - Part 3'!$CT$5:$CT$16,MATCH(COF!IM22,'Tables - Part 3'!$CQ$5:$CQ$16,0))-INDEX('Tables - Part 3'!$CT$5:$CT$16,MATCH(COF!II22,'Tables - Part 3'!$CQ$5:$CQ$16,0)))/(IM22-II22)+INDEX('Tables - Part 3'!$CT$5:$CT$16,MATCH(COF!II22,'Tables - Part 3'!$CQ$5:$CQ$16,0)))))))</f>
        <v>#N/A</v>
      </c>
      <c r="JL22" s="151" t="e">
        <f>IF(CA22=$TK$5,'Tables - Part 3'!$CU$17,IF(COF!CA22=COF!$TK$6,IF(COF!GF22&lt;'Tables - Part 3'!$CQ$5,'Tables - Part 3'!$CU$5,IF(GF22&gt;='Tables - Part 3'!$CQ$16,'Tables - Part 3'!$CU$16,((COF!GF22-COF!IF22)*(INDEX('Tables - Part 3'!$CU$5:$CU$16,MATCH(COF!IJ22,'Tables - Part 3'!$CQ$5:$CQ$16,0))-INDEX('Tables - Part 3'!$CU$5:$CU$16,MATCH(COF!IF22,'Tables - Part 3'!$CQ$5:$CQ$16,0)))/(IJ22-IF22)+INDEX('Tables - Part 3'!$CU$5:$CU$16,MATCH(COF!IF22,'Tables - Part 3'!$CQ$5:$CQ$16,0)))))))</f>
        <v>#N/A</v>
      </c>
      <c r="JM22" s="151" t="e">
        <f>IF(CB22=$TK$5,'Tables - Part 3'!$CU$17,IF(COF!CB22=COF!$TK$6,IF(COF!GG22&lt;'Tables - Part 3'!$CQ$5,'Tables - Part 3'!$CU$5,IF(GG22&gt;='Tables - Part 3'!$CQ$16,'Tables - Part 3'!$CU$16,((COF!GG22-COF!IG22)*(INDEX('Tables - Part 3'!$CU$5:$CU$16,MATCH(COF!IK22,'Tables - Part 3'!$CQ$5:$CQ$16,0))-INDEX('Tables - Part 3'!$CU$5:$CU$16,MATCH(COF!IG22,'Tables - Part 3'!$CQ$5:$CQ$16,0)))/(IK22-IG22)+INDEX('Tables - Part 3'!$CU$5:$CU$16,MATCH(COF!IG22,'Tables - Part 3'!$CQ$5:$CQ$16,0)))))))</f>
        <v>#N/A</v>
      </c>
      <c r="JN22" s="151" t="e">
        <f>IF(CC22=$TK$5,'Tables - Part 3'!$CU$17,IF(COF!CC22=COF!$TK$6,IF(COF!GH22&lt;'Tables - Part 3'!$CQ$5,'Tables - Part 3'!$CU$5,IF(GH22&gt;='Tables - Part 3'!$CQ$16,'Tables - Part 3'!$CU$16,((COF!GH22-COF!IH22)*(INDEX('Tables - Part 3'!$CU$5:$CU$16,MATCH(COF!IL22,'Tables - Part 3'!$CQ$5:$CQ$16,0))-INDEX('Tables - Part 3'!$CU$5:$CU$16,MATCH(COF!IH22,'Tables - Part 3'!$CQ$5:$CQ$16,0)))/(IL22-IH22)+INDEX('Tables - Part 3'!$CU$5:$CU$16,MATCH(COF!IH22,'Tables - Part 3'!$CQ$5:$CQ$16,0)))))))</f>
        <v>#N/A</v>
      </c>
      <c r="JO22" s="151" t="e">
        <f>IF(CD22=$TK$5,'Tables - Part 3'!$CU$17,IF(COF!CD22=COF!$TK$6,IF(COF!GI22&lt;'Tables - Part 3'!$CQ$5,'Tables - Part 3'!$CU$5,IF(GI22&gt;='Tables - Part 3'!$CQ$16,'Tables - Part 3'!$CU$16,((COF!GI22-COF!II22)*(INDEX('Tables - Part 3'!$CU$5:$CU$16,MATCH(COF!IM22,'Tables - Part 3'!$CQ$5:$CQ$16,0))-INDEX('Tables - Part 3'!$CU$5:$CU$16,MATCH(COF!II22,'Tables - Part 3'!$CQ$5:$CQ$16,0)))/(IM22-II22)+INDEX('Tables - Part 3'!$CU$5:$CU$16,MATCH(COF!II22,'Tables - Part 3'!$CQ$5:$CQ$16,0)))))))</f>
        <v>#N/A</v>
      </c>
      <c r="JP22" s="282"/>
      <c r="JQ22" s="151">
        <f t="shared" si="98"/>
        <v>0</v>
      </c>
      <c r="JR22" s="151">
        <f t="shared" si="99"/>
        <v>0</v>
      </c>
      <c r="JS22" s="151">
        <f t="shared" si="100"/>
        <v>0</v>
      </c>
      <c r="JT22" s="151">
        <f t="shared" si="101"/>
        <v>0</v>
      </c>
      <c r="JU22" s="151" t="e">
        <f t="shared" si="204"/>
        <v>#N/A</v>
      </c>
      <c r="JV22" s="151" t="e">
        <f t="shared" si="205"/>
        <v>#N/A</v>
      </c>
      <c r="JW22" s="151" t="e">
        <f t="shared" si="206"/>
        <v>#N/A</v>
      </c>
      <c r="JX22" s="151" t="e">
        <f t="shared" si="207"/>
        <v>#N/A</v>
      </c>
      <c r="JY22" s="152" t="e">
        <f>IF(GF22&lt;'Tables - Part 3'!$CY$6,0,LOOKUP(GF22,'Tables - Part 3'!$CY$6:$CY$11))</f>
        <v>#N/A</v>
      </c>
      <c r="JZ22" s="152" t="e">
        <f>IF(GG22&lt;'Tables - Part 3'!$CY$6,0,LOOKUP(GG22,'Tables - Part 3'!$CY$6:$CY$11))</f>
        <v>#N/A</v>
      </c>
      <c r="KA22" s="152" t="e">
        <f>IF(GH22&lt;'Tables - Part 3'!$CY$6,0,LOOKUP(GH22,'Tables - Part 3'!$CY$6:$CY$11))</f>
        <v>#N/A</v>
      </c>
      <c r="KB22" s="152" t="e">
        <f>IF(GI22&lt;'Tables - Part 3'!$CY$6,0,LOOKUP(GI22,'Tables - Part 3'!$CY$6:$CY$11))</f>
        <v>#N/A</v>
      </c>
      <c r="KC22" s="152" t="e">
        <f>IF(GF22&lt;'Tables - Part 3'!$CY$6,'Tables - Part 3'!$CY$6,IF(COF!GF22&lt;'Tables - Part 3'!$CY$7,'Tables - Part 3'!$CY$7,IF(COF!GF22&lt;'Tables - Part 3'!$CY$8,'Tables - Part 3'!$CY$8,IF(COF!GF22&lt;'Tables - Part 3'!$CY$9,'Tables - Part 3'!$CY$9,IF(COF!GF22&lt;'Tables - Part 3'!$CY$10,'Tables - Part 3'!$CY$10,IF(COF!GF22&lt;'Tables - Part 3'!$CY$11,'Tables - Part 3'!$CY$11))))))</f>
        <v>#N/A</v>
      </c>
      <c r="KD22" s="152" t="e">
        <f>IF(GG22&lt;'Tables - Part 3'!$CY$6,'Tables - Part 3'!$CY$6,IF(COF!GG22&lt;'Tables - Part 3'!$CY$7,'Tables - Part 3'!$CY$7,IF(COF!GG22&lt;'Tables - Part 3'!$CY$8,'Tables - Part 3'!$CY$8,IF(COF!GG22&lt;'Tables - Part 3'!$CY$9,'Tables - Part 3'!$CY$9,IF(COF!GG22&lt;'Tables - Part 3'!$CY$10,'Tables - Part 3'!$CY$10,IF(COF!GG22&lt;'Tables - Part 3'!$CY$11,'Tables - Part 3'!$CY$11))))))</f>
        <v>#N/A</v>
      </c>
      <c r="KE22" s="152" t="e">
        <f>IF(GH22&lt;'Tables - Part 3'!$CY$6,'Tables - Part 3'!$CY$6,IF(COF!GH22&lt;'Tables - Part 3'!$CY$7,'Tables - Part 3'!$CY$7,IF(COF!GH22&lt;'Tables - Part 3'!$CY$8,'Tables - Part 3'!$CY$8,IF(COF!GH22&lt;'Tables - Part 3'!$CY$9,'Tables - Part 3'!$CY$9,IF(COF!GH22&lt;'Tables - Part 3'!$CY$10,'Tables - Part 3'!$CY$10,IF(COF!GH22&lt;'Tables - Part 3'!$CY$11,'Tables - Part 3'!$CY$11))))))</f>
        <v>#N/A</v>
      </c>
      <c r="KF22" s="152" t="e">
        <f>IF(GI22&lt;'Tables - Part 3'!$CY$6,'Tables - Part 3'!$CY$6,IF(COF!GI22&lt;'Tables - Part 3'!$CY$7,'Tables - Part 3'!$CY$7,IF(COF!GI22&lt;'Tables - Part 3'!$CY$8,'Tables - Part 3'!$CY$8,IF(COF!GI22&lt;'Tables - Part 3'!$CY$9,'Tables - Part 3'!$CY$9,IF(COF!GI22&lt;'Tables - Part 3'!$CY$10,'Tables - Part 3'!$CY$10,IF(COF!GI22&lt;'Tables - Part 3'!$CY$11,'Tables - Part 3'!$CY$11))))))</f>
        <v>#N/A</v>
      </c>
      <c r="KG22" s="151" t="e">
        <f>IF(CA22=$TK$5,'Tables - Part 3'!$CZ$6,IF(COF!CA22=COF!$TK$6,IF(COF!GF22&lt;'Tables - Part 3'!$CY$6,'Tables - Part 3'!$CZ$6,IF(GF22&gt;='Tables - Part 3'!$CY$11,'Tables - Part 3'!$CZ$11,((COF!GF22-COF!JY22)*(INDEX('Tables - Part 3'!$CZ$6:$CZ$11,MATCH(COF!KC22,'Tables - Part 3'!$CY$6:$CY$11,0))-INDEX('Tables - Part 3'!$CZ$6:$CZ$11,MATCH(COF!JY22,'Tables - Part 3'!$CY$6:$CY$11,0)))/(KC22-JY22)+INDEX('Tables - Part 3'!$CZ$6:$CZ$11,MATCH(COF!JY22,'Tables - Part 3'!$CY$6:$CY$11,0)))))))</f>
        <v>#N/A</v>
      </c>
      <c r="KH22" s="151" t="e">
        <f>IF(CB22=$TK$5,'Tables - Part 3'!$CZ$6,IF(COF!CB22=COF!$TK$6,IF(COF!GG22&lt;'Tables - Part 3'!$CY$6,'Tables - Part 3'!$CZ$6,IF(GG22&gt;='Tables - Part 3'!$CY$11,'Tables - Part 3'!$CZ$11,((COF!GG22-COF!JZ22)*(INDEX('Tables - Part 3'!$CZ$6:$CZ$11,MATCH(COF!KD22,'Tables - Part 3'!$CY$6:$CY$11,0))-INDEX('Tables - Part 3'!$CZ$6:$CZ$11,MATCH(COF!JZ22,'Tables - Part 3'!$CY$6:$CY$11,0)))/(KD22-JZ22)+INDEX('Tables - Part 3'!$CZ$6:$CZ$11,MATCH(COF!JZ22,'Tables - Part 3'!$CY$6:$CY$11,0)))))))</f>
        <v>#N/A</v>
      </c>
      <c r="KI22" s="151" t="e">
        <f>IF(CC22=$TK$5,'Tables - Part 3'!$CZ$6,IF(COF!CC22=COF!$TK$6,IF(COF!GH22&lt;'Tables - Part 3'!$CY$6,'Tables - Part 3'!$CZ$6,IF(GH22&gt;='Tables - Part 3'!$CY$11,'Tables - Part 3'!$CZ$11,((COF!GH22-COF!KA22)*(INDEX('Tables - Part 3'!$CZ$6:$CZ$11,MATCH(COF!KE22,'Tables - Part 3'!$CY$6:$CY$11,0))-INDEX('Tables - Part 3'!$CZ$6:$CZ$11,MATCH(COF!KA22,'Tables - Part 3'!$CY$6:$CY$11,0)))/(KE22-KA22)+INDEX('Tables - Part 3'!$CZ$6:$CZ$11,MATCH(COF!KA22,'Tables - Part 3'!$CY$6:$CY$11,0)))))))</f>
        <v>#N/A</v>
      </c>
      <c r="KJ22" s="151" t="e">
        <f>IF(CD22=$TK$5,'Tables - Part 3'!$CZ$6,IF(COF!CD22=COF!$TK$6,IF(COF!GI22&lt;'Tables - Part 3'!$CY$6,'Tables - Part 3'!$CZ$6,IF(GI22&gt;='Tables - Part 3'!$CY$11,'Tables - Part 3'!$CZ$11,((COF!GI22-COF!KB22)*(INDEX('Tables - Part 3'!$CZ$6:$CZ$11,MATCH(COF!KF22,'Tables - Part 3'!$CY$6:$CY$11,0))-INDEX('Tables - Part 3'!$CZ$6:$CZ$11,MATCH(COF!KB22,'Tables - Part 3'!$CY$6:$CY$11,0)))/(KF22-KB22)+INDEX('Tables - Part 3'!$CZ$6:$CZ$11,MATCH(COF!KB22,'Tables - Part 3'!$CY$6:$CY$11,0)))))))</f>
        <v>#N/A</v>
      </c>
      <c r="KK22" s="153" t="e">
        <f>IF(CA22=$TK$5,'Tables - Part 3'!$DA$6,IF(COF!CA22=COF!$TK$6,IF(COF!GF22&lt;'Tables - Part 3'!$CY$6,'Tables - Part 3'!$DA$6,IF(GF22&gt;='Tables - Part 3'!$CY$11,'Tables - Part 3'!$DA$11,((COF!GF22-COF!JY22)*(INDEX('Tables - Part 3'!$DA$6:$DA$11,MATCH(COF!KC22,'Tables - Part 3'!$CY$6:$CY$11,0))-INDEX('Tables - Part 3'!$DA$6:$DA$11,MATCH(COF!JY22,'Tables - Part 3'!$CY$6:$CY$11,0)))/(KC22-JY22)+INDEX('Tables - Part 3'!$DA$6:$DA$16,MATCH(COF!JY22,'Tables - Part 3'!$CY$6:$CY$11,0)))))))</f>
        <v>#N/A</v>
      </c>
      <c r="KL22" s="153" t="e">
        <f>IF(CB22=$TK$5,'Tables - Part 3'!$DA$6,IF(COF!CB22=COF!$TK$6,IF(COF!GG22&lt;'Tables - Part 3'!$CY$6,'Tables - Part 3'!$DA$6,IF(GG22&gt;='Tables - Part 3'!$CY$11,'Tables - Part 3'!$DA$11,((COF!GG22-COF!JZ22)*(INDEX('Tables - Part 3'!$DA$6:$DA$11,MATCH(COF!KD22,'Tables - Part 3'!$CY$6:$CY$11,0))-INDEX('Tables - Part 3'!$DA$6:$DA$11,MATCH(COF!JZ22,'Tables - Part 3'!$CY$6:$CY$11,0)))/(KD22-JZ22)+INDEX('Tables - Part 3'!$DA$6:$DA$16,MATCH(COF!JZ22,'Tables - Part 3'!$CY$6:$CY$11,0)))))))</f>
        <v>#N/A</v>
      </c>
      <c r="KM22" s="153" t="e">
        <f>IF(CC22=$TK$5,'Tables - Part 3'!$DA$6,IF(COF!CC22=COF!$TK$6,IF(COF!GH22&lt;'Tables - Part 3'!$CY$6,'Tables - Part 3'!$DA$6,IF(GH22&gt;='Tables - Part 3'!$CY$11,'Tables - Part 3'!$DA$11,((COF!GH22-COF!KA22)*(INDEX('Tables - Part 3'!$DA$6:$DA$11,MATCH(COF!KE22,'Tables - Part 3'!$CY$6:$CY$11,0))-INDEX('Tables - Part 3'!$DA$6:$DA$11,MATCH(COF!KA22,'Tables - Part 3'!$CY$6:$CY$11,0)))/(KE22-KA22)+INDEX('Tables - Part 3'!$DA$6:$DA$16,MATCH(COF!KA22,'Tables - Part 3'!$CY$6:$CY$11,0)))))))</f>
        <v>#N/A</v>
      </c>
      <c r="KN22" s="153" t="e">
        <f>IF(CD22=$TK$5,'Tables - Part 3'!$DA$6,IF(COF!CD22=COF!$TK$6,IF(COF!GI22&lt;'Tables - Part 3'!$CY$6,'Tables - Part 3'!$DA$6,IF(GI22&gt;='Tables - Part 3'!$CY$11,'Tables - Part 3'!$DA$11,((COF!GI22-COF!KB22)*(INDEX('Tables - Part 3'!$DA$6:$DA$11,MATCH(COF!KF22,'Tables - Part 3'!$CY$6:$CY$11,0))-INDEX('Tables - Part 3'!$DA$6:$DA$11,MATCH(COF!KB22,'Tables - Part 3'!$CY$6:$CY$11,0)))/(KF22-KB22)+INDEX('Tables - Part 3'!$DA$6:$DA$16,MATCH(COF!KB22,'Tables - Part 3'!$CY$6:$CY$11,0)))))))</f>
        <v>#N/A</v>
      </c>
      <c r="KO22" s="153">
        <f t="shared" si="102"/>
        <v>0</v>
      </c>
      <c r="KP22" s="153">
        <f t="shared" si="103"/>
        <v>0</v>
      </c>
      <c r="KQ22" s="153">
        <f t="shared" si="104"/>
        <v>0</v>
      </c>
      <c r="KR22" s="153">
        <f t="shared" si="105"/>
        <v>0</v>
      </c>
      <c r="KS22" s="151" t="e">
        <f t="shared" si="208"/>
        <v>#N/A</v>
      </c>
      <c r="KT22" s="151" t="e">
        <f t="shared" si="209"/>
        <v>#N/A</v>
      </c>
      <c r="KU22" s="151" t="e">
        <f t="shared" si="210"/>
        <v>#N/A</v>
      </c>
      <c r="KV22" s="151" t="e">
        <f t="shared" si="211"/>
        <v>#N/A</v>
      </c>
      <c r="KW22" s="151" t="e">
        <f>IF(CA22=$TK$5,'Tables - Part 3'!$CZ$12,IF(COF!CA22=COF!$TK$6,IF(COF!GF22&lt;'Tables - Part 3'!$CY$12,'Tables - Part 3'!$CZ$12,IF(GF22&gt;='Tables - Part 3'!$CY$17,'Tables - Part 3'!$CZ$17,((COF!GF22-COF!JY22)*(INDEX('Tables - Part 3'!$CZ$12:$CZ$17,MATCH(COF!KC22,'Tables - Part 3'!$CY$12:$CY$17,0))-INDEX('Tables - Part 3'!$CZ$12:$CZ$17,MATCH(COF!JY22,'Tables - Part 3'!$CY$12:$CY$17,0)))/(KC22-JY22)+INDEX('Tables - Part 3'!$CZ$12:$CZ$17,MATCH(COF!JY22,'Tables - Part 3'!$CY$12:$CY$17,0)))))))</f>
        <v>#N/A</v>
      </c>
      <c r="KX22" s="151" t="e">
        <f>IF(CB22=$TK$5,'Tables - Part 3'!$CZ$12,IF(COF!CB22=COF!$TK$6,IF(COF!GG22&lt;'Tables - Part 3'!$CY$12,'Tables - Part 3'!$CZ$12,IF(GG22&gt;='Tables - Part 3'!$CY$17,'Tables - Part 3'!$CZ$17,((COF!GG22-COF!JZ22)*(INDEX('Tables - Part 3'!$CZ$12:$CZ$17,MATCH(COF!KD22,'Tables - Part 3'!$CY$12:$CY$17,0))-INDEX('Tables - Part 3'!$CZ$12:$CZ$17,MATCH(COF!JZ22,'Tables - Part 3'!$CY$12:$CY$17,0)))/(KD22-JZ22)+INDEX('Tables - Part 3'!$CZ$12:$CZ$17,MATCH(COF!JZ22,'Tables - Part 3'!$CY$12:$CY$17,0)))))))</f>
        <v>#N/A</v>
      </c>
      <c r="KY22" s="151" t="e">
        <f>IF(CC22=$TK$5,'Tables - Part 3'!$CZ$12,IF(COF!CC22=COF!$TK$6,IF(COF!GH22&lt;'Tables - Part 3'!$CY$12,'Tables - Part 3'!$CZ$12,IF(GH22&gt;='Tables - Part 3'!$CY$17,'Tables - Part 3'!$CZ$17,((COF!GH22-COF!KA22)*(INDEX('Tables - Part 3'!$CZ$12:$CZ$17,MATCH(COF!KE22,'Tables - Part 3'!$CY$12:$CY$17,0))-INDEX('Tables - Part 3'!$CZ$12:$CZ$17,MATCH(COF!KA22,'Tables - Part 3'!$CY$12:$CY$17,0)))/(KE22-KA22)+INDEX('Tables - Part 3'!$CZ$12:$CZ$17,MATCH(COF!KA22,'Tables - Part 3'!$CY$12:$CY$17,0)))))))</f>
        <v>#N/A</v>
      </c>
      <c r="KZ22" s="151" t="e">
        <f>IF(CD22=$TK$5,'Tables - Part 3'!$CZ$12,IF(COF!CD22=COF!$TK$6,IF(COF!GI22&lt;'Tables - Part 3'!$CY$12,'Tables - Part 3'!$CZ$12,IF(GI22&gt;='Tables - Part 3'!$CY$17,'Tables - Part 3'!$CZ$17,((COF!GI22-COF!KB22)*(INDEX('Tables - Part 3'!$CZ$12:$CZ$17,MATCH(COF!KF22,'Tables - Part 3'!$CY$12:$CY$17,0))-INDEX('Tables - Part 3'!$CZ$12:$CZ$17,MATCH(COF!KB22,'Tables - Part 3'!$CY$12:$CY$17,0)))/(KF22-KB22)+INDEX('Tables - Part 3'!$CZ$12:$CZ$17,MATCH(COF!KB22,'Tables - Part 3'!$CY$12:$CY$17,0)))))))</f>
        <v>#N/A</v>
      </c>
      <c r="LA22" s="151" t="e">
        <f>IF(CA22=$TK$5,'Tables - Part 3'!$DA$6,IF(COF!CA22=COF!$TK$6,IF(COF!GF22&lt;'Tables - Part 3'!$CY$6,'Tables - Part 3'!$DA$6,IF(GF22&gt;='Tables - Part 3'!$CY$11,'Tables - Part 3'!$DA$11,((COF!GF22-COF!JY22)*(INDEX('Tables - Part 3'!$DA$6:$DA$11,MATCH(COF!KC22,'Tables - Part 3'!$CY$6:$CY$11,0))-INDEX('Tables - Part 3'!$DA$6:$DA$11,MATCH(COF!JY22,'Tables - Part 3'!$CY$6:$CY$11,0)))/(KC22-JY22)+INDEX('Tables - Part 3'!$DA$5:$DA$16,MATCH(COF!JY22,'Tables - Part 3'!$CY$6:$CY$11,0)))))))</f>
        <v>#N/A</v>
      </c>
      <c r="LB22" s="151" t="e">
        <f>IF(CB22=$TK$5,'Tables - Part 3'!$DA$6,IF(COF!CB22=COF!$TK$6,IF(COF!GG22&lt;'Tables - Part 3'!$CY$6,'Tables - Part 3'!$DA$6,IF(GG22&gt;='Tables - Part 3'!$CY$11,'Tables - Part 3'!$DA$11,((COF!GG22-COF!JZ22)*(INDEX('Tables - Part 3'!$DA$6:$DA$11,MATCH(COF!KD22,'Tables - Part 3'!$CY$6:$CY$11,0))-INDEX('Tables - Part 3'!$DA$6:$DA$11,MATCH(COF!JZ22,'Tables - Part 3'!$CY$6:$CY$11,0)))/(KD22-JZ22)+INDEX('Tables - Part 3'!$DA$5:$DA$16,MATCH(COF!JZ22,'Tables - Part 3'!$CY$6:$CY$11,0)))))))</f>
        <v>#N/A</v>
      </c>
      <c r="LC22" s="151" t="e">
        <f>IF(CC22=$TK$5,'Tables - Part 3'!$DA$6,IF(COF!CC22=COF!$TK$6,IF(COF!GH22&lt;'Tables - Part 3'!$CY$6,'Tables - Part 3'!$DA$6,IF(GH22&gt;='Tables - Part 3'!$CY$11,'Tables - Part 3'!$DA$11,((COF!GH22-COF!KA22)*(INDEX('Tables - Part 3'!$DA$6:$DA$11,MATCH(COF!KE22,'Tables - Part 3'!$CY$6:$CY$11,0))-INDEX('Tables - Part 3'!$DA$6:$DA$11,MATCH(COF!KA22,'Tables - Part 3'!$CY$6:$CY$11,0)))/(KE22-KA22)+INDEX('Tables - Part 3'!$DA$5:$DA$16,MATCH(COF!KA22,'Tables - Part 3'!$CY$6:$CY$11,0)))))))</f>
        <v>#N/A</v>
      </c>
      <c r="LD22" s="151" t="e">
        <f>IF(CD22=$TK$5,'Tables - Part 3'!$DA$6,IF(COF!CD22=COF!$TK$6,IF(COF!GI22&lt;'Tables - Part 3'!$CY$6,'Tables - Part 3'!$DA$6,IF(GI22&gt;='Tables - Part 3'!$CY$11,'Tables - Part 3'!$DA$11,((COF!GI22-COF!KB22)*(INDEX('Tables - Part 3'!$DA$6:$DA$11,MATCH(COF!KF22,'Tables - Part 3'!$CY$6:$CY$11,0))-INDEX('Tables - Part 3'!$DA$6:$DA$11,MATCH(COF!KB22,'Tables - Part 3'!$CY$6:$CY$11,0)))/(KF22-KB22)+INDEX('Tables - Part 3'!$DA$5:$DA$16,MATCH(COF!KB22,'Tables - Part 3'!$CY$6:$CY$11,0)))))))</f>
        <v>#N/A</v>
      </c>
      <c r="LE22" s="154"/>
      <c r="LF22" s="154"/>
      <c r="LG22" s="154"/>
      <c r="LH22" s="154"/>
      <c r="LI22" s="154"/>
      <c r="LJ22" s="154"/>
      <c r="LK22" s="154"/>
      <c r="LL22" s="151" t="e">
        <f t="shared" si="212"/>
        <v>#N/A</v>
      </c>
      <c r="LM22" s="151" t="e">
        <f t="shared" si="213"/>
        <v>#N/A</v>
      </c>
      <c r="LN22" s="151" t="e">
        <f t="shared" si="214"/>
        <v>#N/A</v>
      </c>
      <c r="LO22" s="151" t="e">
        <f t="shared" si="215"/>
        <v>#N/A</v>
      </c>
      <c r="LP22" s="151">
        <f t="shared" si="106"/>
        <v>0</v>
      </c>
      <c r="LQ22" s="502">
        <f>IF($F22='Tables - Part 3'!$B$17,'Tables - Part 3.B'!$C$11*COF!CJ22,0)</f>
        <v>0</v>
      </c>
      <c r="LR22" s="502">
        <f>IF($F22='Tables - Part 3'!$B$17,'Tables - Part 3.B'!$C$11*COF!CK22,0)</f>
        <v>0</v>
      </c>
      <c r="LS22" s="502">
        <f>IF($F22='Tables - Part 3'!$B$17,'Tables - Part 3.B'!$C$11*COF!CL22,0)</f>
        <v>0</v>
      </c>
      <c r="LT22" s="502">
        <f>IF($F22='Tables - Part 3'!$B$17,'Tables - Part 3.B'!$C$11*COF!CM22,0)</f>
        <v>0</v>
      </c>
      <c r="LU22" s="502">
        <f>IF($F22='Tables - Part 3'!$B$17,'Tables - Part 3.B'!$C$12*POWER(COF!CR22,0.6384),0)</f>
        <v>0</v>
      </c>
      <c r="LV22" s="502">
        <f>IF($F22='Tables - Part 3'!$B$17,'Tables - Part 3.B'!$C$12*POWER(COF!CS22,0.6384),0)</f>
        <v>0</v>
      </c>
      <c r="LW22" s="502">
        <f>IF($F22='Tables - Part 3'!$B$17,'Tables - Part 3.B'!$C$12*POWER(COF!CT22,0.6384),0)</f>
        <v>0</v>
      </c>
      <c r="LX22" s="502">
        <f>IF($F22='Tables - Part 3'!$B$17,'Tables - Part 3.B'!$C$12*POWER(COF!CU22,0.6384),0)</f>
        <v>0</v>
      </c>
      <c r="LY22" s="151" t="e">
        <f>MIN(CJ22/'Tables - Part 3.B'!$C$8,1)</f>
        <v>#N/A</v>
      </c>
      <c r="LZ22" s="151" t="e">
        <f>MIN(CK22/'Tables - Part 3.B'!$C$8,1)</f>
        <v>#N/A</v>
      </c>
      <c r="MA22" s="151" t="e">
        <f>MIN(CL22/'Tables - Part 3.B'!$C$8,1)</f>
        <v>#N/A</v>
      </c>
      <c r="MB22" s="151" t="e">
        <f>MIN(CM22/'Tables - Part 3.B'!$C$8,1)</f>
        <v>#N/A</v>
      </c>
      <c r="MC22" s="151" t="e">
        <f t="shared" si="216"/>
        <v>#N/A</v>
      </c>
      <c r="MD22" s="151" t="e">
        <f t="shared" si="107"/>
        <v>#N/A</v>
      </c>
      <c r="ME22" s="151" t="e">
        <f t="shared" si="107"/>
        <v>#N/A</v>
      </c>
      <c r="MF22" s="151" t="e">
        <f t="shared" si="107"/>
        <v>#N/A</v>
      </c>
      <c r="MG22" s="502">
        <f>IF($F22='Tables - Part 3'!$B$18,0.2*'Tables - Part 3.B'!$C$10*$ML22*POWER('Tables - Part 3.B'!$C$7*CJ22,$MM22),0)</f>
        <v>0</v>
      </c>
      <c r="MH22" s="502">
        <f>IF($F22='Tables - Part 3'!$B$18,0.2*'Tables - Part 3.B'!$C$10*$ML22*POWER('Tables - Part 3.B'!$C$7*CK22,$MM22),0)</f>
        <v>0</v>
      </c>
      <c r="MI22" s="502">
        <f>IF($F22='Tables - Part 3'!$B$18,0.2*'Tables - Part 3.B'!$C$10*$ML22*POWER('Tables - Part 3.B'!$C$7*CL22,$MM22),0)</f>
        <v>0</v>
      </c>
      <c r="MJ22" s="502">
        <f>IF($F22='Tables - Part 3'!$B$18,0.2*'Tables - Part 3.B'!$C$10*$ML22*POWER('Tables - Part 3.B'!$C$7*CM22,$MM22),0)</f>
        <v>0</v>
      </c>
      <c r="MK22" s="151">
        <v>0</v>
      </c>
      <c r="ML22" s="151" t="e">
        <f>2696-21.9*'Tables - Part 3.B'!$C$13*(COF!OO22-COF!$TM$5)+1.474*POWER('Tables - Part 3.B'!$C$13*(COF!OO22-COF!$TM$5),2)</f>
        <v>#VALUE!</v>
      </c>
      <c r="MM22" s="151" t="e">
        <f>0.31-0.00032*POWER('Tables - Part 3.B'!$C$13*(COF!OO22-COF!$TM$5)-40,2)</f>
        <v>#VALUE!</v>
      </c>
      <c r="MN22" s="151">
        <v>0</v>
      </c>
      <c r="MO22" s="151">
        <f t="shared" si="217"/>
        <v>0</v>
      </c>
      <c r="MP22" s="151">
        <f t="shared" si="108"/>
        <v>0</v>
      </c>
      <c r="MQ22" s="151">
        <f t="shared" si="108"/>
        <v>0</v>
      </c>
      <c r="MR22" s="151">
        <f t="shared" si="108"/>
        <v>0</v>
      </c>
      <c r="MS22" s="151" t="e">
        <f t="shared" si="218"/>
        <v>#N/A</v>
      </c>
      <c r="MT22" s="151" t="e">
        <f t="shared" si="219"/>
        <v>#N/A</v>
      </c>
      <c r="MU22" s="151" t="e">
        <f t="shared" si="220"/>
        <v>#N/A</v>
      </c>
      <c r="MV22" s="151" t="e">
        <f t="shared" si="221"/>
        <v>#N/A</v>
      </c>
      <c r="MW22" s="151">
        <f t="shared" si="222"/>
        <v>0</v>
      </c>
      <c r="MX22" s="151">
        <f t="shared" si="223"/>
        <v>0</v>
      </c>
      <c r="MY22" s="151">
        <f t="shared" si="224"/>
        <v>0</v>
      </c>
      <c r="MZ22" s="526">
        <f t="shared" si="109"/>
        <v>0</v>
      </c>
      <c r="NA22" s="151" t="e">
        <f>INDEX('Tables - Part 3'!DQ$5:DQ$32,MATCH($E22,'Tables - Part 3'!$DP$5:$DP$32,0))</f>
        <v>#N/A</v>
      </c>
      <c r="NB22" s="151" t="e">
        <f>INDEX('Tables - Part 3'!DR$5:DR$32,MATCH($E22,'Tables - Part 3'!$DP$5:$DP$32,0))</f>
        <v>#N/A</v>
      </c>
      <c r="NC22" s="151" t="e">
        <f>INDEX('Tables - Part 3'!DS$5:DS$32,MATCH($E22,'Tables - Part 3'!$DP$5:$DP$32,0))</f>
        <v>#N/A</v>
      </c>
      <c r="ND22" s="151" t="e">
        <f>INDEX('Tables - Part 3'!DT$5:DT$32,MATCH($E22,'Tables - Part 3'!$DP$5:$DP$32,0))</f>
        <v>#N/A</v>
      </c>
      <c r="NE22" s="151" t="e">
        <f>IF(W22='Tables - Part 3'!$DV$44,COF!X22,IF(OR(COF!X22&lt;&gt;0,COF!X22&lt;&gt;""),COF!X22,INDEX('Tables - Part 3'!$DW$4:$DW$43,MATCH(COF!W22,'Tables - Part 3'!$DV$4:$DV$43,0))))</f>
        <v>#N/A</v>
      </c>
      <c r="NF22" s="151">
        <f t="shared" si="110"/>
        <v>1</v>
      </c>
      <c r="NG22" s="151" t="e">
        <f t="shared" si="225"/>
        <v>#N/A</v>
      </c>
      <c r="NH22" s="151">
        <f t="shared" si="111"/>
        <v>0</v>
      </c>
      <c r="NI22" s="151" t="e">
        <f>INDEX('Tables - Part 3'!EC$5:EC$31,MATCH(COF!$E22,'Tables - Part 3'!$EB$5:$EB$31,0))</f>
        <v>#N/A</v>
      </c>
      <c r="NJ22" s="151" t="e">
        <f>INDEX('Tables - Part 3'!ED$5:ED$31,MATCH(COF!$E22,'Tables - Part 3'!$EB$5:$EB$31,0))</f>
        <v>#N/A</v>
      </c>
      <c r="NK22" s="151" t="e">
        <f>INDEX('Tables - Part 3'!EE$5:EE$31,MATCH(COF!$E22,'Tables - Part 3'!$EB$5:$EB$31,0))</f>
        <v>#N/A</v>
      </c>
      <c r="NL22" s="151" t="e">
        <f>INDEX('Tables - Part 3'!EF$5:EF$31,MATCH(COF!$E22,'Tables - Part 3'!$EB$5:$EB$31,0))</f>
        <v>#N/A</v>
      </c>
      <c r="NM22" s="151">
        <f t="shared" si="112"/>
        <v>1</v>
      </c>
      <c r="NN22" s="151" t="e">
        <f t="shared" si="226"/>
        <v>#N/A</v>
      </c>
      <c r="NO22" s="151" t="e">
        <f t="shared" si="227"/>
        <v>#NUM!</v>
      </c>
      <c r="NP22" s="151" t="e">
        <f t="shared" si="113"/>
        <v>#N/A</v>
      </c>
      <c r="NQ22" s="151">
        <f t="shared" si="114"/>
        <v>0</v>
      </c>
      <c r="NR22" s="151" t="e">
        <f>INDEX('Tables - Part 3'!$EL$4:$EL$37,MATCH(COF!F22,'Tables - Part 3'!$EH$4:$EH$37,0))</f>
        <v>#N/A</v>
      </c>
      <c r="NS22" s="151" t="e">
        <f>CR22*(1-$NR22)*'Tables - Part 3.B'!$C$15/COF!$AS22</f>
        <v>#N/A</v>
      </c>
      <c r="NT22" s="151" t="e">
        <f>CS22*(1-$NR22)*'Tables - Part 3.B'!$C$15/COF!$AS22</f>
        <v>#N/A</v>
      </c>
      <c r="NU22" s="151" t="e">
        <f>CT22*(1-$NR22)*'Tables - Part 3.B'!$C$15/COF!$AS22</f>
        <v>#N/A</v>
      </c>
      <c r="NV22" s="151" t="e">
        <f>CU22*(1-$NR22)*'Tables - Part 3.B'!$C$15/COF!$AS22</f>
        <v>#N/A</v>
      </c>
      <c r="NW22" s="151" t="e">
        <f t="shared" si="115"/>
        <v>#N/A</v>
      </c>
      <c r="NX22" s="542">
        <f t="shared" si="116"/>
        <v>0</v>
      </c>
      <c r="NY22" s="156" t="e">
        <f>0.61*$ON22*$AS22*(BM22/'Tables - Part 3.B'!$C$4)*SQRT((2*$TM$13*($OO22-$TM$5)/$AS22))</f>
        <v>#N/A</v>
      </c>
      <c r="NZ22" s="155" t="e">
        <f>0.61*$ON22*$AS22*(BN22/'Tables - Part 3.B'!$C$4)*SQRT((2*$TM$13*($OO22-$TM$5)/$AS22))</f>
        <v>#N/A</v>
      </c>
      <c r="OA22" s="155" t="e">
        <f>0.61*$ON22*$AS22*(BO22/'Tables - Part 3.B'!$C$4)*SQRT((2*$TM$13*($OO22-$TM$5)/$AS22))</f>
        <v>#N/A</v>
      </c>
      <c r="OB22" s="155" t="e">
        <f>0.61*$ON22*$AS22*(BP22/'Tables - Part 3.B'!$C$4)*SQRT((2*$TM$13*($OO22-$TM$5)/$AS22))</f>
        <v>#N/A</v>
      </c>
      <c r="OC22" s="155" t="e">
        <f>0.61*$ON22*AS22*(32450/'Tables - Part 3.B'!$C$4)*SQRT((2*$TM$13*(OO22-$TM$5)/AS22))</f>
        <v>#N/A</v>
      </c>
      <c r="OD22" s="156" t="e">
        <f>(0.9/'Tables - Part 3.B'!$C$5)*BM22*$OO22*SQRT(($AV22*$AU22*$TM$13/(8.314*$OP22))*POWER(2/($AV22+1),(($AV22+1)/($AV22-1))))</f>
        <v>#VALUE!</v>
      </c>
      <c r="OE22" s="156" t="e">
        <f>(0.9/'Tables - Part 3.B'!$C$5)*BN22*$OO22*SQRT(($AV22*$AU22*$TM$13/(8.314*$OP22))*POWER(2/($AV22+1),(($AV22+1)/($AV22-1))))</f>
        <v>#VALUE!</v>
      </c>
      <c r="OF22" s="156" t="e">
        <f>(0.9/'Tables - Part 3.B'!$C$5)*BO22*$OO22*SQRT(($AV22*$AU22*$TM$13/(8.314*$OP22))*POWER(2/($AV22+1),(($AV22+1)/($AV22-1))))</f>
        <v>#VALUE!</v>
      </c>
      <c r="OG22" s="156" t="e">
        <f>(0.9/'Tables - Part 3.B'!$C$5)*BP22*$OO22*SQRT(($AV22*$AU22*$TM$13/(8.314*$OP22))*POWER(2/($AV22+1),(($AV22+1)/($AV22-1))))</f>
        <v>#VALUE!</v>
      </c>
      <c r="OH22" s="156" t="e">
        <f>(0.9/'Tables - Part 3.B'!$C$5)*32450*$OO22*SQRT(($AV22*$AU22*$TM$13/(8.314*$OP22))*POWER(2/($AV22+1),(($AV22+1)/($AV22-1))))</f>
        <v>#VALUE!</v>
      </c>
      <c r="OI22" s="156" t="e">
        <f>(0.9/'Tables - Part 3.B'!$C$5)*BM22*$OO22*SQRT((($AU22*$TM$13)/(8.314*$OP22))*((2*$AV22)/($AV22-1))*POWER(($TM$5/$OO22),(2/$AV22))*(1-POWER(($TM$5/$OO22),(($AV22-1)/$AV22))))</f>
        <v>#VALUE!</v>
      </c>
      <c r="OJ22" s="156" t="e">
        <f>(0.9/'Tables - Part 3.B'!$C$5)*BN22*$OO22*SQRT((($AU22*$TM$13)/(8.314*$OP22))*((2*$AV22)/($AV22-1))*POWER(($TM$5/$OO22),(2/$AV22))*(1-POWER(($TM$5/$OO22),(($AV22-1)/$AV22))))</f>
        <v>#VALUE!</v>
      </c>
      <c r="OK22" s="156" t="e">
        <f>(0.9/'Tables - Part 3.B'!$C$5)*BO22*$OO22*SQRT((($AU22*$TM$13)/(8.314*$OP22))*((2*$AV22)/($AV22-1))*POWER(($TM$5/$OO22),(2/$AV22))*(1-POWER(($TM$5/$OO22),(($AV22-1)/$AV22))))</f>
        <v>#VALUE!</v>
      </c>
      <c r="OL22" s="156" t="e">
        <f>(0.9/'Tables - Part 3.B'!$C$5)*BP22*$OO22*SQRT((($AU22*$TM$13)/(8.314*$OP22))*((2*$AV22)/($AV22-1))*POWER(($TM$5/$OO22),(2/$AV22))*(1-POWER(($TM$5/$OO22),(($AV22-1)/$AV22))))</f>
        <v>#VALUE!</v>
      </c>
      <c r="OM22" s="156" t="e">
        <f>(0.9/'Tables - Part 3.B'!$C$5)*32450*$OO22*SQRT((($AU22*$TM$13)/(8.314*$OP22))*((2*$AV22)/($AV22-1))*POWER(($TM$5/$OO22),(2/$AV22))*(1-POWER(($TM$5/$OO22),(($AV22-1)/$AV22))))</f>
        <v>#VALUE!</v>
      </c>
      <c r="ON22" s="156">
        <f t="shared" si="117"/>
        <v>1</v>
      </c>
      <c r="OO22" s="157" t="str">
        <f t="shared" si="118"/>
        <v/>
      </c>
      <c r="OP22" s="157" t="str">
        <f t="shared" si="119"/>
        <v/>
      </c>
      <c r="OQ22" s="158" t="e">
        <f t="shared" si="228"/>
        <v>#N/A</v>
      </c>
      <c r="OR22" s="158" t="e">
        <f>INDEX('Tables - Part 3'!$F$4:$R$35,MATCH(COF!$F22,'Tables - Part 3'!$F$4:$F$35,0),COUNTA('Tables - Part 3'!$F$3:$K$3))</f>
        <v>#N/A</v>
      </c>
      <c r="OS22" s="158" t="e">
        <f t="shared" si="229"/>
        <v>#N/A</v>
      </c>
      <c r="OT22" s="158" t="e">
        <f t="shared" si="230"/>
        <v>#N/A</v>
      </c>
      <c r="OU22" s="158" t="e">
        <f t="shared" si="231"/>
        <v>#N/A</v>
      </c>
      <c r="OV22" s="159" t="e">
        <f>INDEX('Tables - Part 3'!$M$4:$Q$35,MATCH(COF!$F22,'Tables - Part 3'!$F$4:$F$35,0),COUNTA('Tables - Part 3'!$M$3))</f>
        <v>#N/A</v>
      </c>
      <c r="OW22" s="159" t="e">
        <f>INDEX('Tables - Part 3'!$M$4:$Q$35,MATCH(COF!$F22,'Tables - Part 3'!$F$4:$F$35,0),COUNTA('Tables - Part 3'!$M$3:$N$3))</f>
        <v>#N/A</v>
      </c>
      <c r="OX22" s="159" t="e">
        <f>INDEX('Tables - Part 3'!$M$4:$Q$35,MATCH(COF!$F22,'Tables - Part 3'!$F$4:$F$35,0),COUNTA('Tables - Part 3'!$M$3:$O$3))</f>
        <v>#N/A</v>
      </c>
      <c r="OY22" s="159" t="e">
        <f>INDEX('Tables - Part 3'!$M$4:$Q$35,MATCH(COF!$F22,'Tables - Part 3'!$F$4:$F$35,0),COUNTA('Tables - Part 3'!$M$3:$P$3))</f>
        <v>#N/A</v>
      </c>
      <c r="OZ22" s="160" t="e">
        <f>INDEX('Tables - Part 3'!$M$4:$Q$35,MATCH(COF!$F22,'Tables - Part 3'!$F$4:$F$35,0),COUNTA('Tables - Part 3'!$M$3:$Q$3))</f>
        <v>#N/A</v>
      </c>
      <c r="PA22" s="162" t="e">
        <f>INDEX('Tables - Part 3'!$I$4:$I$35,MATCH(COF!$F22,'Tables - Part 3'!$F$4:$F$35,0))</f>
        <v>#N/A</v>
      </c>
      <c r="PB22" s="158" t="e">
        <f t="shared" si="120"/>
        <v>#N/A</v>
      </c>
      <c r="PC22" s="158" t="str">
        <f t="shared" si="121"/>
        <v/>
      </c>
      <c r="PD22" s="158" t="e">
        <f>INDEX('Tables - Part 3'!AW$7:AW$31,MATCH(COF!$F22,'Tables - Part 3'!$AU$7:$AU$31,0),1)</f>
        <v>#N/A</v>
      </c>
      <c r="PE22" s="158" t="e">
        <f>INDEX('Tables - Part 3'!AX$7:AX$31,MATCH(COF!$F22,'Tables - Part 3'!$AU$7:$AU$31,0),1)</f>
        <v>#N/A</v>
      </c>
      <c r="PF22" s="158" t="e">
        <f>INDEX('Tables - Part 3'!AY$7:AY$31,MATCH(COF!$F22,'Tables - Part 3'!$AU$7:$AU$31,0),1)</f>
        <v>#N/A</v>
      </c>
      <c r="PG22" s="158" t="e">
        <f>INDEX('Tables - Part 3'!AZ$7:AZ$31,MATCH(COF!$F22,'Tables - Part 3'!$AU$7:$AU$31,0),1)</f>
        <v>#N/A</v>
      </c>
      <c r="PH22" s="158" t="e">
        <f>INDEX('Tables - Part 3'!BA$7:BA$31,MATCH(COF!$F22,'Tables - Part 3'!$AU$7:$AU$31,0),1)</f>
        <v>#N/A</v>
      </c>
      <c r="PI22" s="158" t="e">
        <f>INDEX('Tables - Part 3'!BB$7:BB$31,MATCH(COF!$F22,'Tables - Part 3'!$AU$7:$AU$31,0),1)</f>
        <v>#N/A</v>
      </c>
      <c r="PJ22" s="158" t="e">
        <f>INDEX('Tables - Part 3'!BC$7:BC$31,MATCH(COF!$F22,'Tables - Part 3'!$AU$7:$AU$31,0),1)</f>
        <v>#N/A</v>
      </c>
      <c r="PK22" s="158" t="e">
        <f>INDEX('Tables - Part 3'!BD$7:BD$31,MATCH(COF!$F22,'Tables - Part 3'!$AU$7:$AU$31,0),1)</f>
        <v>#N/A</v>
      </c>
      <c r="PL22" s="158" t="e">
        <f>INDEX('Tables - Part 3'!BE$7:BE$31,MATCH(COF!$F22,'Tables - Part 3'!$AU$7:$AU$31,0),1)</f>
        <v>#N/A</v>
      </c>
      <c r="PM22" s="158" t="e">
        <f>INDEX('Tables - Part 3'!BF$7:BF$31,MATCH(COF!$F22,'Tables - Part 3'!$AU$7:$AU$31,0),1)</f>
        <v>#N/A</v>
      </c>
      <c r="PN22" s="158" t="e">
        <f>INDEX('Tables - Part 3'!BG$7:BG$31,MATCH(COF!$F22,'Tables - Part 3'!$AU$7:$AU$31,0),1)</f>
        <v>#N/A</v>
      </c>
      <c r="PO22" s="158" t="e">
        <f>INDEX('Tables - Part 3'!BH$7:BH$31,MATCH(COF!$F22,'Tables - Part 3'!$AU$7:$AU$31,0),1)</f>
        <v>#N/A</v>
      </c>
      <c r="PP22" s="158" t="e">
        <f>INDEX('Tables - Part 3'!BI$7:BI$31,MATCH(COF!$F22,'Tables - Part 3'!$AU$7:$AU$31,0),1)</f>
        <v>#N/A</v>
      </c>
      <c r="PQ22" s="158" t="e">
        <f>INDEX('Tables - Part 3'!BJ$7:BJ$31,MATCH(COF!$F22,'Tables - Part 3'!$AU$7:$AU$31,0),1)</f>
        <v>#N/A</v>
      </c>
      <c r="PR22" s="158" t="e">
        <f>INDEX('Tables - Part 3'!BK$7:BK$31,MATCH(COF!$F22,'Tables - Part 3'!$AU$7:$AU$31,0),1)</f>
        <v>#N/A</v>
      </c>
      <c r="PS22" s="158" t="e">
        <f>INDEX('Tables - Part 3'!BL$7:BL$31,MATCH(COF!$F22,'Tables - Part 3'!$AU$7:$AU$31,0),1)</f>
        <v>#N/A</v>
      </c>
      <c r="PT22" s="158" t="e">
        <f>INDEX('Tables - Part 3'!BP$7:BP$31,MATCH(COF!$F22,'Tables - Part 3'!$AU$7:$AU$31,0),1)</f>
        <v>#N/A</v>
      </c>
      <c r="PU22" s="158" t="e">
        <f>INDEX('Tables - Part 3'!BQ$7:BQ$31,MATCH(COF!$F22,'Tables - Part 3'!$AU$7:$AU$31,0),1)</f>
        <v>#N/A</v>
      </c>
      <c r="PV22" s="158" t="e">
        <f>INDEX('Tables - Part 3'!BR$7:BR$31,MATCH(COF!$F22,'Tables - Part 3'!$AU$7:$AU$31,0),1)</f>
        <v>#N/A</v>
      </c>
      <c r="PW22" s="158" t="e">
        <f>INDEX('Tables - Part 3'!BS$7:BS$31,MATCH(COF!$F22,'Tables - Part 3'!$AU$7:$AU$31,0),1)</f>
        <v>#N/A</v>
      </c>
      <c r="PX22" s="158" t="e">
        <f>INDEX('Tables - Part 3'!BT$7:BT$31,MATCH(COF!$F22,'Tables - Part 3'!$AU$7:$AU$31,0),1)</f>
        <v>#N/A</v>
      </c>
      <c r="PY22" s="158" t="e">
        <f>INDEX('Tables - Part 3'!BU$7:BU$31,MATCH(COF!$F22,'Tables - Part 3'!$AU$7:$AU$31,0),1)</f>
        <v>#N/A</v>
      </c>
      <c r="PZ22" s="158" t="e">
        <f>INDEX('Tables - Part 3'!BV$7:BV$31,MATCH(COF!$F22,'Tables - Part 3'!$AU$7:$AU$31,0),1)</f>
        <v>#N/A</v>
      </c>
      <c r="QA22" s="158" t="e">
        <f>INDEX('Tables - Part 3'!BW$7:BW$31,MATCH(COF!$F22,'Tables - Part 3'!$AU$7:$AU$31,0),1)</f>
        <v>#N/A</v>
      </c>
      <c r="QB22" s="158" t="e">
        <f>INDEX('Tables - Part 3'!BX$7:BX$31,MATCH(COF!$F22,'Tables - Part 3'!$AU$7:$AU$31,0),1)</f>
        <v>#N/A</v>
      </c>
      <c r="QC22" s="158" t="e">
        <f>INDEX('Tables - Part 3'!BY$7:BY$31,MATCH(COF!$F22,'Tables - Part 3'!$AU$7:$AU$31,0),1)</f>
        <v>#N/A</v>
      </c>
      <c r="QD22" s="158" t="e">
        <f>INDEX('Tables - Part 3'!BZ$7:BZ$31,MATCH(COF!$F22,'Tables - Part 3'!$AU$7:$AU$31,0),1)</f>
        <v>#N/A</v>
      </c>
      <c r="QE22" s="158" t="e">
        <f>INDEX('Tables - Part 3'!CA$7:CA$31,MATCH(COF!$F22,'Tables - Part 3'!$AU$7:$AU$31,0),1)</f>
        <v>#N/A</v>
      </c>
      <c r="QF22" s="158" t="e">
        <f>INDEX('Tables - Part 3'!CB$7:CB$31,MATCH(COF!$F22,'Tables - Part 3'!$AU$7:$AU$31,0),1)</f>
        <v>#N/A</v>
      </c>
      <c r="QG22" s="158" t="e">
        <f>INDEX('Tables - Part 3'!CC$7:CC$31,MATCH(COF!$F22,'Tables - Part 3'!$AU$7:$AU$31,0),1)</f>
        <v>#N/A</v>
      </c>
      <c r="QH22" s="158" t="e">
        <f>INDEX('Tables - Part 3'!CD$7:CD$31,MATCH(COF!$F22,'Tables - Part 3'!$AU$7:$AU$31,0),1)</f>
        <v>#N/A</v>
      </c>
      <c r="QI22" s="158" t="e">
        <f>INDEX('Tables - Part 3'!CE$7:CE$31,MATCH(COF!$F22,'Tables - Part 3'!$AU$7:$AU$31,0),1)</f>
        <v>#N/A</v>
      </c>
      <c r="QJ22" s="151">
        <f>'Tables - Part 5'!$R$4</f>
        <v>3.1749999999999998</v>
      </c>
      <c r="QK22" s="151">
        <f>'Tables - Part 5'!$R$5</f>
        <v>6.35</v>
      </c>
      <c r="QL22" s="151">
        <f>'Tables - Part 5'!$R$6</f>
        <v>50.8</v>
      </c>
      <c r="QM22" s="151">
        <f t="shared" si="122"/>
        <v>0</v>
      </c>
      <c r="QN22" s="151">
        <f t="shared" si="232"/>
        <v>7.9173043608984015</v>
      </c>
      <c r="QO22" s="151">
        <f t="shared" si="233"/>
        <v>31.669217443593606</v>
      </c>
      <c r="QP22" s="151">
        <f t="shared" si="234"/>
        <v>2026.8299163899908</v>
      </c>
      <c r="QQ22" s="151">
        <f t="shared" si="235"/>
        <v>0</v>
      </c>
      <c r="QR22" s="151">
        <f t="shared" si="236"/>
        <v>0</v>
      </c>
      <c r="QS22" s="151">
        <f>'Tables - Part 3.B'!$C$34*0.61*QN22*SQRT(2*$TM$15*QR22)</f>
        <v>0</v>
      </c>
      <c r="QT22" s="151">
        <f>'Tables - Part 3.B'!$C$34*0.61*QO22*SQRT(2*$TM$15*QS22)</f>
        <v>0</v>
      </c>
      <c r="QU22" s="151">
        <f>'Tables - Part 3.B'!$C$34*0.61*QP22*SQRT(2*$TM$15*QT22)</f>
        <v>0</v>
      </c>
      <c r="QV22" s="151">
        <f>'Tables - Part 3.B'!$C$34*0.61*QQ22*SQRT(2*$TM$15*QU22)</f>
        <v>0</v>
      </c>
      <c r="QW22" s="151">
        <f t="shared" si="237"/>
        <v>0</v>
      </c>
      <c r="QX22" s="151">
        <f t="shared" si="238"/>
        <v>0</v>
      </c>
      <c r="QY22" s="151">
        <f t="shared" si="239"/>
        <v>0</v>
      </c>
      <c r="QZ22" s="151">
        <f t="shared" si="240"/>
        <v>0</v>
      </c>
      <c r="RA22" s="151">
        <f t="shared" si="241"/>
        <v>0</v>
      </c>
      <c r="RB22" s="151">
        <f>QX22*'Tables - Part 3.B'!$C$15</f>
        <v>0</v>
      </c>
      <c r="RC22" s="151">
        <f>QY22*'Tables - Part 3.B'!$C$15</f>
        <v>0</v>
      </c>
      <c r="RD22" s="151">
        <f>QZ22*'Tables - Part 3.B'!$C$15</f>
        <v>0</v>
      </c>
      <c r="RE22" s="151">
        <f>RA22*'Tables - Part 3.B'!$C$15</f>
        <v>0</v>
      </c>
      <c r="RF22" s="151" t="e">
        <f t="shared" si="242"/>
        <v>#N/A</v>
      </c>
      <c r="RG22" s="151" t="e">
        <f t="shared" si="243"/>
        <v>#N/A</v>
      </c>
      <c r="RH22" s="151" t="e">
        <f t="shared" si="244"/>
        <v>#N/A</v>
      </c>
      <c r="RI22" s="151" t="e">
        <f t="shared" si="245"/>
        <v>#N/A</v>
      </c>
      <c r="RJ22" s="151">
        <f t="shared" si="246"/>
        <v>0</v>
      </c>
      <c r="RK22" s="151">
        <f t="shared" si="247"/>
        <v>0</v>
      </c>
      <c r="RL22" s="151">
        <f t="shared" si="248"/>
        <v>0</v>
      </c>
      <c r="RM22" s="151">
        <f t="shared" si="249"/>
        <v>0</v>
      </c>
      <c r="RN22" s="151">
        <v>7</v>
      </c>
      <c r="RO22" s="151">
        <v>1</v>
      </c>
      <c r="RP22" s="151">
        <v>1</v>
      </c>
      <c r="RQ22" s="151">
        <v>1</v>
      </c>
      <c r="RR22" s="151" t="e">
        <f t="shared" si="250"/>
        <v>#DIV/0!</v>
      </c>
      <c r="RS22" s="151" t="e">
        <f t="shared" si="251"/>
        <v>#DIV/0!</v>
      </c>
      <c r="RT22" s="151" t="e">
        <f t="shared" si="252"/>
        <v>#DIV/0!</v>
      </c>
      <c r="RU22" s="151" t="e">
        <f t="shared" si="253"/>
        <v>#DIV/0!</v>
      </c>
      <c r="RV22" s="151" t="e">
        <f t="shared" si="254"/>
        <v>#DIV/0!</v>
      </c>
      <c r="RW22" s="151" t="e">
        <f t="shared" si="255"/>
        <v>#DIV/0!</v>
      </c>
      <c r="RX22" s="151" t="e">
        <f t="shared" si="256"/>
        <v>#DIV/0!</v>
      </c>
      <c r="RY22" s="151" t="e">
        <f t="shared" si="257"/>
        <v>#DIV/0!</v>
      </c>
      <c r="RZ22" s="151" t="e">
        <f t="shared" si="258"/>
        <v>#DIV/0!</v>
      </c>
      <c r="SA22" s="151" t="e">
        <f t="shared" si="259"/>
        <v>#DIV/0!</v>
      </c>
      <c r="SB22" s="151" t="e">
        <f t="shared" si="260"/>
        <v>#DIV/0!</v>
      </c>
      <c r="SC22" s="151" t="e">
        <f t="shared" si="261"/>
        <v>#DIV/0!</v>
      </c>
      <c r="SD22" s="151">
        <f t="shared" si="262"/>
        <v>0</v>
      </c>
      <c r="SE22" s="151">
        <f t="shared" si="263"/>
        <v>0</v>
      </c>
      <c r="SF22" s="151">
        <f t="shared" si="264"/>
        <v>0</v>
      </c>
      <c r="SG22" s="151">
        <f t="shared" si="265"/>
        <v>0</v>
      </c>
      <c r="SH22" s="151">
        <f t="shared" si="266"/>
        <v>0</v>
      </c>
      <c r="SI22" s="151">
        <f t="shared" si="267"/>
        <v>0</v>
      </c>
      <c r="SJ22" s="151">
        <f t="shared" si="268"/>
        <v>0</v>
      </c>
      <c r="SK22" s="151">
        <f t="shared" si="269"/>
        <v>0</v>
      </c>
      <c r="SL22" s="542"/>
      <c r="SM22" s="542"/>
      <c r="SN22" s="542"/>
      <c r="SO22" s="151"/>
      <c r="SP22" s="151"/>
      <c r="SQ22" s="151"/>
      <c r="SR22" s="151"/>
      <c r="SS22" s="151"/>
      <c r="ST22" s="151"/>
      <c r="SU22" s="151"/>
      <c r="SV22" s="151"/>
      <c r="SW22" s="151"/>
      <c r="SX22" s="151"/>
      <c r="SY22" s="151"/>
      <c r="SZ22" s="151"/>
      <c r="TA22" s="151"/>
      <c r="TB22" s="151"/>
      <c r="TC22" s="151"/>
      <c r="TD22" s="151"/>
      <c r="TE22" s="542"/>
    </row>
    <row r="23" spans="2:537" x14ac:dyDescent="0.35">
      <c r="B23" s="161"/>
      <c r="C23" s="161"/>
      <c r="D23" s="161"/>
      <c r="E23" s="161"/>
      <c r="F23" s="161"/>
      <c r="G23" s="161"/>
      <c r="H23" s="537"/>
      <c r="I23" s="161"/>
      <c r="J23" s="161"/>
      <c r="K23" s="161"/>
      <c r="L23" s="161"/>
      <c r="M23" s="161"/>
      <c r="N23" s="161"/>
      <c r="O23" s="161"/>
      <c r="P23" s="161"/>
      <c r="Q23" s="161"/>
      <c r="R23" s="161"/>
      <c r="S23" s="161"/>
      <c r="T23" s="161"/>
      <c r="U23" s="161"/>
      <c r="V23" s="161"/>
      <c r="W23" s="161"/>
      <c r="X23" s="537"/>
      <c r="Y23" s="537"/>
      <c r="Z23" s="399"/>
      <c r="AA23" s="537"/>
      <c r="AB23" s="399"/>
      <c r="AC23" s="399"/>
      <c r="AD23" s="399"/>
      <c r="AE23" s="399"/>
      <c r="AF23" s="399"/>
      <c r="AG23" s="399"/>
      <c r="AH23" s="399"/>
      <c r="AI23" s="399"/>
      <c r="AJ23" s="399"/>
      <c r="AK23" s="399"/>
      <c r="AL23" s="399"/>
      <c r="AM23" s="399"/>
      <c r="AN23" s="399"/>
      <c r="AO23" s="399"/>
      <c r="AP23" s="399"/>
      <c r="AQ23" s="151" t="e">
        <f>INDEX('Tables - Part 3'!$J$4:$J$35,MATCH(COF!$F23,'Tables - Part 3'!$F$4:$F$35,0),1)</f>
        <v>#N/A</v>
      </c>
      <c r="AR23" s="151" t="e">
        <f>IF($G23=$TH$7,'Tables - Part 3'!$W$4,IF(AND($AQ23=$TH$7,COF!$PA23&lt;26.67),'Tables - Part 3'!$W$4,'Tables - Part 3'!$W$7))</f>
        <v>#N/A</v>
      </c>
      <c r="AS23" s="150" t="e">
        <f>INDEX('Tables - Part 3'!$F$4:$R$35,MATCH(COF!$F23,'Tables - Part 3'!$F$4:$F$35,0),COUNTA('Tables - Part 3'!$F$3:$H$3))</f>
        <v>#N/A</v>
      </c>
      <c r="AT23" s="279" t="e">
        <f t="shared" si="6"/>
        <v>#VALUE!</v>
      </c>
      <c r="AU23" s="151" t="e">
        <f>INDEX('Tables - Part 3'!$F$4:$R$35,MATCH(COF!$F23,'Tables - Part 3'!$F$4:$F$35,0),COUNTA('Tables - Part 3'!$F$3:$G$3))</f>
        <v>#N/A</v>
      </c>
      <c r="AV23" s="151" t="e">
        <f t="shared" si="131"/>
        <v>#N/A</v>
      </c>
      <c r="AW23" s="151" t="e">
        <f t="shared" si="7"/>
        <v>#N/A</v>
      </c>
      <c r="AX23" s="151" t="e">
        <f>INDEX('Tables - Part 3'!$F$4:$R$35,MATCH(COF!$F23,'Tables - Part 3'!$F$4:$F$35,0),COUNTA('Tables - Part 3'!$F$3:$R$3))+273.15</f>
        <v>#N/A</v>
      </c>
      <c r="AY23" s="151">
        <f t="shared" si="8"/>
        <v>0</v>
      </c>
      <c r="AZ23" s="151" t="e">
        <f t="shared" si="9"/>
        <v>#N/A</v>
      </c>
      <c r="BA23" s="151" t="e">
        <f t="shared" si="132"/>
        <v>#N/A</v>
      </c>
      <c r="BB23" s="151" t="e">
        <f t="shared" si="133"/>
        <v>#N/A</v>
      </c>
      <c r="BC23" s="151" t="e">
        <f t="shared" si="134"/>
        <v>#N/A</v>
      </c>
      <c r="BD23" s="151" t="e">
        <f t="shared" si="135"/>
        <v>#N/A</v>
      </c>
      <c r="BE23" s="151" t="e">
        <f t="shared" si="10"/>
        <v>#N/A</v>
      </c>
      <c r="BF23" s="151" t="e">
        <f t="shared" si="11"/>
        <v>#N/A</v>
      </c>
      <c r="BG23" s="151" t="e">
        <f t="shared" si="12"/>
        <v>#N/A</v>
      </c>
      <c r="BH23" s="151" t="e">
        <f t="shared" si="13"/>
        <v>#N/A</v>
      </c>
      <c r="BI23" s="151">
        <f>'Tables - Part 3'!$AD$4</f>
        <v>6.4</v>
      </c>
      <c r="BJ23" s="151">
        <f>MIN(O23,'Tables - Part 3'!$AD$5)</f>
        <v>25</v>
      </c>
      <c r="BK23" s="151">
        <f>MIN(O23,'Tables - Part 3'!$AD$6)</f>
        <v>102</v>
      </c>
      <c r="BL23" s="151">
        <f>MIN(O23,'Tables - Part 3'!$AD$7)</f>
        <v>406</v>
      </c>
      <c r="BM23" s="151">
        <f t="shared" si="136"/>
        <v>32.169908772759484</v>
      </c>
      <c r="BN23" s="151">
        <f t="shared" si="137"/>
        <v>490.87385212340519</v>
      </c>
      <c r="BO23" s="151">
        <f t="shared" si="138"/>
        <v>8171.2824919870518</v>
      </c>
      <c r="BP23" s="151">
        <f t="shared" si="139"/>
        <v>129461.89166178179</v>
      </c>
      <c r="BQ23" s="151" t="e">
        <f>INDEX('Tables - Part 2'!$D$5:$G$30,MATCH(COF!$E23,'Tables - Part 2'!$C$5:$C$30,0),1)</f>
        <v>#N/A</v>
      </c>
      <c r="BR23" s="571" t="e">
        <f>INDEX('Tables - Part 2'!$D$5:$G$30,MATCH(COF!$E23,'Tables - Part 2'!$C$5:$C$30,0),2)</f>
        <v>#N/A</v>
      </c>
      <c r="BS23" s="571" t="e">
        <f>INDEX('Tables - Part 2'!$D$5:$G$30,MATCH(COF!$E23,'Tables - Part 2'!$C$5:$C$30,0),3)</f>
        <v>#N/A</v>
      </c>
      <c r="BT23" s="151" t="e">
        <f>INDEX('Tables - Part 2'!$D$5:$G$30,MATCH(COF!$E23,'Tables - Part 2'!$C$5:$C$30,0),4)</f>
        <v>#N/A</v>
      </c>
      <c r="BU23" s="151" t="e">
        <f t="shared" si="140"/>
        <v>#N/A</v>
      </c>
      <c r="BV23" s="151" t="e">
        <f t="shared" si="141"/>
        <v>#N/A</v>
      </c>
      <c r="BW23" s="151" t="e">
        <f t="shared" si="142"/>
        <v>#N/A</v>
      </c>
      <c r="BX23" s="151" t="e">
        <f t="shared" si="143"/>
        <v>#N/A</v>
      </c>
      <c r="BY23" s="502" t="e">
        <f t="shared" si="144"/>
        <v>#N/A</v>
      </c>
      <c r="BZ23" s="502" t="e">
        <f t="shared" si="145"/>
        <v>#N/A</v>
      </c>
      <c r="CA23" s="151" t="e">
        <f>IF(OR(BI23&lt;='Tables - Part 3'!$AD$4,BE23&lt;='Tables - Part 3.B'!$C$6,BV23&lt;=25.22),COF!$TK$6,COF!$TK$5)</f>
        <v>#N/A</v>
      </c>
      <c r="CB23" s="151" t="e">
        <f>IF(OR(BJ23&lt;='Tables - Part 3'!$AD$4,BF23&lt;='Tables - Part 3.B'!$C$6,BW23&lt;=25.22),COF!$TK$6,COF!$TK$5)</f>
        <v>#N/A</v>
      </c>
      <c r="CC23" s="151" t="e">
        <f>IF(OR(BK23&lt;='Tables - Part 3'!$AD$4,BG23&lt;='Tables - Part 3.B'!$C$6,BX23&lt;=25.22),COF!$TK$6,COF!$TK$5)</f>
        <v>#N/A</v>
      </c>
      <c r="CD23" s="151" t="e">
        <f>IF(OR(BL23&lt;='Tables - Part 3'!$AD$4,BH23&lt;='Tables - Part 3.B'!$C$6,BY23&lt;=25.22),COF!$TK$6,COF!$TK$5)</f>
        <v>#N/A</v>
      </c>
      <c r="CE23" s="151" t="str">
        <f t="shared" si="146"/>
        <v/>
      </c>
      <c r="CF23" s="151" t="e">
        <f>INDEX('Tables - Part 3'!$AR$4:$AR$12,MATCH(COF!$PC23,'Tables - Part 3'!$AP$4:$AP$12,0),1)</f>
        <v>#N/A</v>
      </c>
      <c r="CG23" s="151" t="e">
        <f>INDEX('Tables - Part 3'!$AR$13:$AR$21,MATCH(COF!$PC23,'Tables - Part 3'!$AP$13:$AP$21,0),1)</f>
        <v>#N/A</v>
      </c>
      <c r="CH23" s="151" t="e">
        <f>INDEX('Tables - Part 3'!$AR$22:$AR$30,MATCH(COF!$PC23,'Tables - Part 3'!$AP$22:$AP$30,0),1)</f>
        <v>#N/A</v>
      </c>
      <c r="CI23" s="151" t="e">
        <f>INDEX('Tables - Part 3'!$AR$22:$AR$30,MATCH(COF!$PC23,'Tables - Part 3'!$AP$22:$AP$30,0),1)</f>
        <v>#N/A</v>
      </c>
      <c r="CJ23" s="151" t="e">
        <f t="shared" si="147"/>
        <v>#N/A</v>
      </c>
      <c r="CK23" s="151" t="e">
        <f t="shared" si="148"/>
        <v>#N/A</v>
      </c>
      <c r="CL23" s="151" t="e">
        <f t="shared" si="149"/>
        <v>#N/A</v>
      </c>
      <c r="CM23" s="151" t="e">
        <f t="shared" si="150"/>
        <v>#N/A</v>
      </c>
      <c r="CN23" s="151" t="e">
        <f t="shared" si="151"/>
        <v>#N/A</v>
      </c>
      <c r="CO23" s="151" t="e">
        <f t="shared" si="152"/>
        <v>#N/A</v>
      </c>
      <c r="CP23" s="151" t="e">
        <f t="shared" si="153"/>
        <v>#N/A</v>
      </c>
      <c r="CQ23" s="151" t="e">
        <f t="shared" si="154"/>
        <v>#N/A</v>
      </c>
      <c r="CR23" s="151" t="e">
        <f t="shared" si="155"/>
        <v>#N/A</v>
      </c>
      <c r="CS23" s="151" t="e">
        <f t="shared" si="156"/>
        <v>#N/A</v>
      </c>
      <c r="CT23" s="151" t="e">
        <f t="shared" si="157"/>
        <v>#N/A</v>
      </c>
      <c r="CU23" s="151" t="e">
        <f t="shared" si="158"/>
        <v>#N/A</v>
      </c>
      <c r="CV23" s="151" t="e">
        <f>INDEX('Tables - Part 3'!$CI$4:$CI$8,MATCH(COF!V23,'Tables - Part 3'!$CG$4:$CG$8,0),1)</f>
        <v>#N/A</v>
      </c>
      <c r="CW23" s="502" t="e">
        <f>IF(CR23&gt;'Tables - Part 3.B'!$C$6,4*LOG10('Tables - Part 3.B'!$C$7*CR23)-15,1)</f>
        <v>#N/A</v>
      </c>
      <c r="CX23" s="502" t="e">
        <f>IF(CS23&gt;'Tables - Part 3.B'!$C$6,4*LOG10('Tables - Part 3.B'!$C$7*CS23)-15,1)</f>
        <v>#N/A</v>
      </c>
      <c r="CY23" s="502" t="e">
        <f>IF(CT23&gt;'Tables - Part 3.B'!$C$6,4*LOG10('Tables - Part 3.B'!$C$7*CT23)-15,1)</f>
        <v>#N/A</v>
      </c>
      <c r="CZ23" s="502" t="e">
        <f>IF(CU23&gt;'Tables - Part 3.B'!$C$6,4*LOG10('Tables - Part 3.B'!$C$7*CU23)-15,1)</f>
        <v>#N/A</v>
      </c>
      <c r="DA23" s="151" t="e">
        <f>INDEX('Tables - Part 3'!$C$4:$C$37,MATCH(COF!$F23,'Tables - Part 3'!$B$4:$B$37,0),1)</f>
        <v>#N/A</v>
      </c>
      <c r="DB23" s="151" t="e">
        <f t="shared" si="159"/>
        <v>#N/A</v>
      </c>
      <c r="DC23" s="151" t="e">
        <f t="shared" si="160"/>
        <v>#N/A</v>
      </c>
      <c r="DD23" s="151" t="e">
        <f t="shared" si="161"/>
        <v>#N/A</v>
      </c>
      <c r="DE23" s="151" t="e">
        <f t="shared" si="162"/>
        <v>#N/A</v>
      </c>
      <c r="DF23" s="151" t="e">
        <f t="shared" si="163"/>
        <v>#N/A</v>
      </c>
      <c r="DG23" s="151" t="e">
        <f t="shared" si="164"/>
        <v>#N/A</v>
      </c>
      <c r="DH23" s="151" t="e">
        <f t="shared" si="165"/>
        <v>#N/A</v>
      </c>
      <c r="DI23" s="151" t="e">
        <f t="shared" si="166"/>
        <v>#N/A</v>
      </c>
      <c r="DJ23" s="151" t="e">
        <f t="shared" si="167"/>
        <v>#N/A</v>
      </c>
      <c r="DK23" s="151" t="e">
        <f t="shared" si="168"/>
        <v>#N/A</v>
      </c>
      <c r="DL23" s="151" t="e">
        <f t="shared" si="169"/>
        <v>#N/A</v>
      </c>
      <c r="DM23" s="151" t="e">
        <f t="shared" si="170"/>
        <v>#N/A</v>
      </c>
      <c r="DN23" s="151" t="e">
        <f t="shared" si="171"/>
        <v>#N/A</v>
      </c>
      <c r="DO23" s="151" t="e">
        <f t="shared" si="172"/>
        <v>#N/A</v>
      </c>
      <c r="DP23" s="151" t="e">
        <f t="shared" si="173"/>
        <v>#N/A</v>
      </c>
      <c r="DQ23" s="151" t="e">
        <f t="shared" si="174"/>
        <v>#N/A</v>
      </c>
      <c r="DR23" s="151" t="e">
        <f t="shared" si="175"/>
        <v>#N/A</v>
      </c>
      <c r="DS23" s="151" t="e">
        <f t="shared" si="176"/>
        <v>#N/A</v>
      </c>
      <c r="DT23" s="151" t="e">
        <f t="shared" si="177"/>
        <v>#N/A</v>
      </c>
      <c r="DU23" s="151" t="e">
        <f t="shared" si="178"/>
        <v>#N/A</v>
      </c>
      <c r="DV23" s="151" t="e">
        <f t="shared" si="179"/>
        <v>#N/A</v>
      </c>
      <c r="DW23" s="151" t="e">
        <f t="shared" si="180"/>
        <v>#N/A</v>
      </c>
      <c r="DX23" s="151" t="e">
        <f t="shared" si="181"/>
        <v>#N/A</v>
      </c>
      <c r="DY23" s="151" t="e">
        <f t="shared" si="182"/>
        <v>#N/A</v>
      </c>
      <c r="DZ23" s="151" t="e">
        <f t="shared" si="183"/>
        <v>#N/A</v>
      </c>
      <c r="EA23" s="151" t="e">
        <f t="shared" si="184"/>
        <v>#N/A</v>
      </c>
      <c r="EB23" s="151" t="e">
        <f t="shared" si="185"/>
        <v>#N/A</v>
      </c>
      <c r="EC23" s="151" t="e">
        <f t="shared" si="186"/>
        <v>#N/A</v>
      </c>
      <c r="ED23" s="151" t="e">
        <f t="shared" si="187"/>
        <v>#N/A</v>
      </c>
      <c r="EE23" s="151" t="e">
        <f t="shared" si="188"/>
        <v>#N/A</v>
      </c>
      <c r="EF23" s="151" t="e">
        <f t="shared" si="189"/>
        <v>#N/A</v>
      </c>
      <c r="EG23" s="151" t="e">
        <f t="shared" si="190"/>
        <v>#N/A</v>
      </c>
      <c r="EH23" s="151" t="e">
        <f>IF(CA23=$TK$5,1,MIN(CJ23/'Tables - Part 3.B'!$C$8,1))</f>
        <v>#N/A</v>
      </c>
      <c r="EI23" s="151" t="e">
        <f>IF(CB23=$TK$5,1,MIN(CK23/'Tables - Part 3.B'!$C$8,1))</f>
        <v>#N/A</v>
      </c>
      <c r="EJ23" s="151" t="e">
        <f>IF(CC23=$TK$5,1,MIN(CL23/'Tables - Part 3.B'!$C$8,1))</f>
        <v>#N/A</v>
      </c>
      <c r="EK23" s="151" t="e">
        <f>IF(CD23=$TK$5,1,MIN(CM23/'Tables - Part 3.B'!$C$8,1))</f>
        <v>#N/A</v>
      </c>
      <c r="EL23" s="151" t="e">
        <f t="shared" si="191"/>
        <v>#VALUE!</v>
      </c>
      <c r="EM23" s="151" t="e">
        <f t="shared" si="191"/>
        <v>#VALUE!</v>
      </c>
      <c r="EN23" s="151" t="e">
        <f t="shared" si="191"/>
        <v>#VALUE!</v>
      </c>
      <c r="EO23" s="151" t="e">
        <f t="shared" si="191"/>
        <v>#VALUE!</v>
      </c>
      <c r="EP23" s="151" t="e">
        <f t="shared" si="192"/>
        <v>#N/A</v>
      </c>
      <c r="EQ23" s="151" t="e">
        <f t="shared" ref="EQ23:ES24" si="281">DO23*EI23+DG23*(1-EI23)</f>
        <v>#N/A</v>
      </c>
      <c r="ER23" s="151" t="e">
        <f t="shared" si="281"/>
        <v>#N/A</v>
      </c>
      <c r="ES23" s="151" t="e">
        <f t="shared" si="281"/>
        <v>#N/A</v>
      </c>
      <c r="ET23" s="151" t="e">
        <f t="shared" si="193"/>
        <v>#N/A</v>
      </c>
      <c r="EU23" s="151" t="e">
        <f t="shared" ref="EU23:EW24" si="282">EE23*EI23+DW23*(1-EI23)</f>
        <v>#N/A</v>
      </c>
      <c r="EV23" s="151" t="e">
        <f t="shared" si="282"/>
        <v>#N/A</v>
      </c>
      <c r="EW23" s="151" t="e">
        <f t="shared" si="282"/>
        <v>#N/A</v>
      </c>
      <c r="EX23" s="151" t="e">
        <f t="shared" si="194"/>
        <v>#N/A</v>
      </c>
      <c r="EY23" s="151" t="e">
        <f t="shared" ref="EY23:FA24" si="283">DK23*EI23+DC23*(1-EI23)</f>
        <v>#N/A</v>
      </c>
      <c r="EZ23" s="151" t="e">
        <f t="shared" si="283"/>
        <v>#N/A</v>
      </c>
      <c r="FA23" s="151" t="e">
        <f t="shared" si="283"/>
        <v>#N/A</v>
      </c>
      <c r="FB23" s="151" t="e">
        <f t="shared" si="195"/>
        <v>#N/A</v>
      </c>
      <c r="FC23" s="151" t="e">
        <f t="shared" ref="FC23:FE24" si="284">EA23*EI23+DS23*(1-EI23)</f>
        <v>#N/A</v>
      </c>
      <c r="FD23" s="151" t="e">
        <f t="shared" si="284"/>
        <v>#N/A</v>
      </c>
      <c r="FE23" s="151" t="e">
        <f t="shared" si="284"/>
        <v>#N/A</v>
      </c>
      <c r="FF23" s="151" t="e">
        <f t="shared" si="196"/>
        <v>#N/A</v>
      </c>
      <c r="FG23" s="151" t="e">
        <f t="shared" ref="FG23:FI24" si="285">EQ23*EM23+EY23*(1-EM23)</f>
        <v>#N/A</v>
      </c>
      <c r="FH23" s="151" t="e">
        <f t="shared" si="285"/>
        <v>#N/A</v>
      </c>
      <c r="FI23" s="151" t="e">
        <f t="shared" si="285"/>
        <v>#N/A</v>
      </c>
      <c r="FJ23" s="151" t="e">
        <f t="shared" si="197"/>
        <v>#N/A</v>
      </c>
      <c r="FK23" s="151" t="e">
        <f t="shared" ref="FK23:FM24" si="286">EU23*EM23+FC23*(1-EM23)</f>
        <v>#N/A</v>
      </c>
      <c r="FL23" s="151" t="e">
        <f t="shared" si="286"/>
        <v>#N/A</v>
      </c>
      <c r="FM23" s="288" t="e">
        <f t="shared" si="286"/>
        <v>#N/A</v>
      </c>
      <c r="FN23" s="299">
        <f t="shared" si="198"/>
        <v>0</v>
      </c>
      <c r="FO23" s="511">
        <f t="shared" si="199"/>
        <v>0</v>
      </c>
      <c r="FP23" s="150" t="e">
        <f t="shared" si="200"/>
        <v>#N/A</v>
      </c>
      <c r="FQ23" s="151" t="e">
        <f t="shared" si="201"/>
        <v>#N/A</v>
      </c>
      <c r="FR23" s="151" t="e">
        <f t="shared" si="202"/>
        <v>#N/A</v>
      </c>
      <c r="FS23" s="151" t="e">
        <f t="shared" si="203"/>
        <v>#N/A</v>
      </c>
      <c r="FT23" s="151">
        <f t="shared" si="55"/>
        <v>0</v>
      </c>
      <c r="FU23" s="151">
        <f t="shared" si="56"/>
        <v>0</v>
      </c>
      <c r="FV23" s="151">
        <f t="shared" si="57"/>
        <v>0</v>
      </c>
      <c r="FW23" s="151">
        <f t="shared" si="58"/>
        <v>0</v>
      </c>
      <c r="FX23" s="151">
        <f t="shared" si="59"/>
        <v>0</v>
      </c>
      <c r="FY23" s="151">
        <f t="shared" si="60"/>
        <v>0</v>
      </c>
      <c r="FZ23" s="151">
        <f t="shared" si="61"/>
        <v>0</v>
      </c>
      <c r="GA23" s="151">
        <f t="shared" si="62"/>
        <v>0</v>
      </c>
      <c r="GB23" s="151" t="e">
        <f>IF(CA23=$TK$6,'Tables - Part 3.B'!$C$10*(('Tables - Part 3.B'!$C$7*COF!FT23)^COF!GR23*10^COF!GV23),IF(CA23=$TK$5,'Tables - Part 3.B'!$C$10*(('Tables - Part 3.B'!$C$7*COF!FX23)^COF!GR23*10^COF!GV23),0))</f>
        <v>#N/A</v>
      </c>
      <c r="GC23" s="151" t="e">
        <f>IF(CB23=$TK$6,'Tables - Part 3.B'!$C$10*(('Tables - Part 3.B'!$C$7*COF!FU23)^COF!GS23*10^COF!GW23),IF(CB23=$TK$5,'Tables - Part 3.B'!$C$10*(('Tables - Part 3.B'!$C$7*COF!FY23)^COF!GS23*10^COF!GW23),0))</f>
        <v>#N/A</v>
      </c>
      <c r="GD23" s="151" t="e">
        <f>IF(CC23=$TK$6,'Tables - Part 3.B'!$C$10*(('Tables - Part 3.B'!$C$7*COF!FV23)^COF!GT23*10^COF!GX23),IF(CC23=$TK$5,'Tables - Part 3.B'!$C$10*(('Tables - Part 3.B'!$C$7*COF!FZ23)^COF!GT23*10^COF!GX23),0))</f>
        <v>#N/A</v>
      </c>
      <c r="GE23" s="151" t="e">
        <f>IF(CD23=$TK$6,'Tables - Part 3.B'!$C$10*(('Tables - Part 3.B'!$C$7*COF!FW23)^COF!GU23*10^COF!GY23),IF(CD23=$TK$5,'Tables - Part 3.B'!$C$10*(('Tables - Part 3.B'!$C$7*COF!GA23)^COF!GU23*10^COF!GY23),0))</f>
        <v>#N/A</v>
      </c>
      <c r="GF23" s="152" t="e">
        <f t="shared" si="272"/>
        <v>#N/A</v>
      </c>
      <c r="GG23" s="152" t="e">
        <f t="shared" si="63"/>
        <v>#N/A</v>
      </c>
      <c r="GH23" s="152" t="e">
        <f t="shared" si="64"/>
        <v>#N/A</v>
      </c>
      <c r="GI23" s="152" t="e">
        <f t="shared" si="65"/>
        <v>#N/A</v>
      </c>
      <c r="GJ23" s="152" t="e">
        <f>IF(GF23&lt;'Tables - Part 3'!$CK$5,0,LOOKUP(GF23,'Tables - Part 3'!$CK$5:$CK$9))</f>
        <v>#N/A</v>
      </c>
      <c r="GK23" s="152" t="e">
        <f>IF(GG23&lt;'Tables - Part 3'!$CK$5,0,LOOKUP(GG23,'Tables - Part 3'!$CK$5:$CK$9))</f>
        <v>#N/A</v>
      </c>
      <c r="GL23" s="152" t="e">
        <f>IF(GH23&lt;'Tables - Part 3'!$CK$5,0,LOOKUP(GH23,'Tables - Part 3'!$CK$5:$CK$9))</f>
        <v>#N/A</v>
      </c>
      <c r="GM23" s="152" t="e">
        <f>IF(GI23&lt;'Tables - Part 3'!$CK$5,0,LOOKUP(GI23,'Tables - Part 3'!$CK$5:$CK$9))</f>
        <v>#N/A</v>
      </c>
      <c r="GN23" s="152" t="e">
        <f>IF(GF23&lt;'Tables - Part 3'!$CK$5,'Tables - Part 3'!$CK$5,IF(COF!GF23&lt;'Tables - Part 3'!$CK$6,'Tables - Part 3'!$CK$6,IF(COF!GF23&lt;'Tables - Part 3'!$CK$7,'Tables - Part 3'!$CK$7,IF(COF!GF23&lt;'Tables - Part 3'!$CK$8,'Tables - Part 3'!$CK$8,IF(COF!GF23&lt;'Tables - Part 3'!$CK$9,'Tables - Part 3'!$CK$9)))))</f>
        <v>#N/A</v>
      </c>
      <c r="GO23" s="152" t="e">
        <f>IF(GG23&lt;'Tables - Part 3'!$CK$5,'Tables - Part 3'!$CK$5,IF(COF!GG23&lt;'Tables - Part 3'!$CK$6,'Tables - Part 3'!$CK$6,IF(COF!GG23&lt;'Tables - Part 3'!$CK$7,'Tables - Part 3'!$CK$7,IF(COF!GG23&lt;'Tables - Part 3'!$CK$8,'Tables - Part 3'!$CK$8,IF(COF!GG23&lt;'Tables - Part 3'!$CK$9,'Tables - Part 3'!$CK$9)))))</f>
        <v>#N/A</v>
      </c>
      <c r="GP23" s="152" t="e">
        <f>IF(GH23&lt;'Tables - Part 3'!$CK$5,'Tables - Part 3'!$CK$5,IF(COF!GH23&lt;'Tables - Part 3'!$CK$6,'Tables - Part 3'!$CK$6,IF(COF!GH23&lt;'Tables - Part 3'!$CK$7,'Tables - Part 3'!$CK$7,IF(COF!GH23&lt;'Tables - Part 3'!$CK$8,'Tables - Part 3'!$CK$8,IF(COF!GH23&lt;'Tables - Part 3'!$CK$9,'Tables - Part 3'!$CK$9)))))</f>
        <v>#N/A</v>
      </c>
      <c r="GQ23" s="152" t="e">
        <f>IF(GI23&lt;'Tables - Part 3'!$CK$5,'Tables - Part 3'!$CK$5,IF(COF!GI23&lt;'Tables - Part 3'!$CK$6,'Tables - Part 3'!$CK$6,IF(COF!GI23&lt;'Tables - Part 3'!$CK$7,'Tables - Part 3'!$CK$7,IF(COF!GI23&lt;'Tables - Part 3'!$CK$8,'Tables - Part 3'!$CK$8,IF(COF!GI23&lt;'Tables - Part 3'!$CK$9,'Tables - Part 3'!$CK$9)))))</f>
        <v>#N/A</v>
      </c>
      <c r="GR23" s="151" t="e">
        <f>IF(CA23=$TK$5,'Tables - Part 3'!$CL$10,IF(COF!CA23=COF!$TK$6,IF(COF!GF23&lt;'Tables - Part 3'!$CK$5,'Tables - Part 3'!$CL$5,IF(GF23&gt;='Tables - Part 3'!$CK$9,'Tables - Part 3'!$CL$9,((COF!GF23-COF!GJ23)*(INDEX('Tables - Part 3'!$CL$5:$CL$9,MATCH(COF!GN23,'Tables - Part 3'!$CK$5:$CK$9,0))-INDEX('Tables - Part 3'!$CL$5:$CL$9,MATCH(COF!GJ23,'Tables - Part 3'!$CK$5:$CK$9,0)))/(GN23-GJ23)+INDEX('Tables - Part 3'!$CL$5:$CL$9,MATCH(COF!GJ23,'Tables - Part 3'!$CK$5:$CK$9,0)))))))</f>
        <v>#N/A</v>
      </c>
      <c r="GS23" s="151" t="e">
        <f>IF(CB23=$TK$5,'Tables - Part 3'!$CL$10,IF(COF!CB23=COF!$TK$6,IF(COF!GG23&lt;'Tables - Part 3'!$CK$5,'Tables - Part 3'!$CL$5,IF(GG23&gt;='Tables - Part 3'!$CK$9,'Tables - Part 3'!$CL$9,((COF!GG23-COF!GK23)*(INDEX('Tables - Part 3'!$CL$5:$CL$9,MATCH(COF!GO23,'Tables - Part 3'!$CK$5:$CK$9,0))-INDEX('Tables - Part 3'!$CL$5:$CL$9,MATCH(COF!GK23,'Tables - Part 3'!$CK$5:$CK$9,0)))/(GO23-GK23)+INDEX('Tables - Part 3'!$CL$5:$CL$9,MATCH(COF!GK23,'Tables - Part 3'!$CK$5:$CK$9,0)))))))</f>
        <v>#N/A</v>
      </c>
      <c r="GT23" s="151" t="e">
        <f>IF(CC23=$TK$5,'Tables - Part 3'!$CL$10,IF(COF!CC23=COF!$TK$6,IF(COF!GH23&lt;'Tables - Part 3'!$CK$5,'Tables - Part 3'!$CL$5,IF(GH23&gt;='Tables - Part 3'!$CK$9,'Tables - Part 3'!$CL$9,((COF!GH23-COF!GL23)*(INDEX('Tables - Part 3'!$CL$5:$CL$9,MATCH(COF!GP23,'Tables - Part 3'!$CK$5:$CK$9,0))-INDEX('Tables - Part 3'!$CL$5:$CL$9,MATCH(COF!GL23,'Tables - Part 3'!$CK$5:$CK$9,0)))/(GP23-GL23)+INDEX('Tables - Part 3'!$CL$5:$CL$9,MATCH(COF!GL23,'Tables - Part 3'!$CK$5:$CK$9,0)))))))</f>
        <v>#N/A</v>
      </c>
      <c r="GU23" s="151" t="e">
        <f>IF(CD23=$TK$5,'Tables - Part 3'!$CL$10,IF(COF!CD23=COF!$TK$6,IF(COF!GI23&lt;'Tables - Part 3'!$CK$5,'Tables - Part 3'!$CL$5,IF(GI23&gt;='Tables - Part 3'!$CK$9,'Tables - Part 3'!$CL$9,((COF!GI23-COF!GM23)*(INDEX('Tables - Part 3'!$CL$5:$CL$9,MATCH(COF!GQ23,'Tables - Part 3'!$CK$5:$CK$9,0))-INDEX('Tables - Part 3'!$CL$5:$CL$9,MATCH(COF!GM23,'Tables - Part 3'!$CK$5:$CK$9,0)))/(GQ23-GM23)+INDEX('Tables - Part 3'!$CL$5:$CL$9,MATCH(COF!GM23,'Tables - Part 3'!$CK$5:$CK$9,0)))))))</f>
        <v>#N/A</v>
      </c>
      <c r="GV23" s="151" t="e">
        <f>IF(CA23=$TK$5,'Tables - Part 3'!$CM$10,IF(COF!CA23=COF!$TK$6,IF(GF23&lt;'Tables - Part 3'!$CK$5,'Tables - Part 3'!$CM$5,IF(GF23&gt;='Tables - Part 3'!$CK$9,'Tables - Part 3'!$CM$9,((COF!GF23-COF!GJ23)*(INDEX('Tables - Part 3'!$CM$5:$CM$9,MATCH(COF!GN23,'Tables - Part 3'!$CK$5:$CK$9,0))-INDEX('Tables - Part 3'!$CM$5:$CM$9,MATCH(COF!GJ23,'Tables - Part 3'!$CK$5:$CK$9,0)))/(GN23-GJ23)+INDEX('Tables - Part 3'!$CM$5:$CM$9,MATCH(COF!GJ23,'Tables - Part 3'!$CK$5:$CK$9,0)))))))</f>
        <v>#N/A</v>
      </c>
      <c r="GW23" s="151" t="e">
        <f>IF(CB23=$TK$5,'Tables - Part 3'!$CM$10,IF(COF!CB23=COF!$TK$6,IF(GG23&lt;'Tables - Part 3'!$CK$5,'Tables - Part 3'!$CM$5,IF(GG23&gt;='Tables - Part 3'!$CK$9,'Tables - Part 3'!$CM$9,((COF!GG23-COF!GK23)*(INDEX('Tables - Part 3'!$CM$5:$CM$9,MATCH(COF!GO23,'Tables - Part 3'!$CK$5:$CK$9,0))-INDEX('Tables - Part 3'!$CM$5:$CM$9,MATCH(COF!GK23,'Tables - Part 3'!$CK$5:$CK$9,0)))/(GO23-GK23)+INDEX('Tables - Part 3'!$CM$5:$CM$9,MATCH(COF!GK23,'Tables - Part 3'!$CK$5:$CK$9,0)))))))</f>
        <v>#N/A</v>
      </c>
      <c r="GX23" s="151" t="e">
        <f>IF(CC23=$TK$5,'Tables - Part 3'!$CM$10,IF(COF!CC23=COF!$TK$6,IF(GH23&lt;'Tables - Part 3'!$CK$5,'Tables - Part 3'!$CM$5,IF(GH23&gt;='Tables - Part 3'!$CK$9,'Tables - Part 3'!$CM$9,((COF!GH23-COF!GL23)*(INDEX('Tables - Part 3'!$CM$5:$CM$9,MATCH(COF!GP23,'Tables - Part 3'!$CK$5:$CK$9,0))-INDEX('Tables - Part 3'!$CM$5:$CM$9,MATCH(COF!GL23,'Tables - Part 3'!$CK$5:$CK$9,0)))/(GP23-GL23)+INDEX('Tables - Part 3'!$CM$5:$CM$9,MATCH(COF!GL23,'Tables - Part 3'!$CK$5:$CK$9,0)))))))</f>
        <v>#N/A</v>
      </c>
      <c r="GY23" s="151" t="e">
        <f>IF(CD23=$TK$5,'Tables - Part 3'!$CM$10,IF(COF!CD23=COF!$TK$6,IF(GI23&lt;'Tables - Part 3'!$CK$5,'Tables - Part 3'!$CM$5,IF(GI23&gt;='Tables - Part 3'!$CK$9,'Tables - Part 3'!$CM$9,((COF!GI23-COF!GM23)*(INDEX('Tables - Part 3'!$CM$5:$CM$9,MATCH(COF!GQ23,'Tables - Part 3'!$CK$5:$CK$9,0))-INDEX('Tables - Part 3'!$CM$5:$CM$9,MATCH(COF!GM23,'Tables - Part 3'!$CK$5:$CK$9,0)))/(GQ23-GM23)+INDEX('Tables - Part 3'!$CM$5:$CM$9,MATCH(COF!GM23,'Tables - Part 3'!$CK$5:$CK$9,0)))))))</f>
        <v>#N/A</v>
      </c>
      <c r="GZ23" s="151">
        <f t="shared" si="66"/>
        <v>0</v>
      </c>
      <c r="HA23" s="151">
        <f t="shared" si="67"/>
        <v>0</v>
      </c>
      <c r="HB23" s="151">
        <f t="shared" si="68"/>
        <v>0</v>
      </c>
      <c r="HC23" s="151">
        <f t="shared" si="69"/>
        <v>0</v>
      </c>
      <c r="HD23" s="151">
        <f t="shared" si="70"/>
        <v>0</v>
      </c>
      <c r="HE23" s="151">
        <f t="shared" si="71"/>
        <v>0</v>
      </c>
      <c r="HF23" s="151">
        <f t="shared" si="72"/>
        <v>0</v>
      </c>
      <c r="HG23" s="151">
        <f t="shared" si="73"/>
        <v>0</v>
      </c>
      <c r="HH23" s="151" t="e">
        <f>IF(CA23=$TK$6,'Tables - Part 3.B'!$C$10*(('Tables - Part 3.B'!$C$7*COF!GZ23)^COF!HL23*10^COF!HP23),IF(CA23=$TK$5,'Tables - Part 3.B'!$C$10*(('Tables - Part 3.B'!$C$7*COF!HD23)^COF!HL23*10^COF!HP23),0))</f>
        <v>#N/A</v>
      </c>
      <c r="HI23" s="151" t="e">
        <f>IF(CB23=$TK$6,'Tables - Part 3.B'!$C$10*(('Tables - Part 3.B'!$C$7*COF!HA23)^COF!HM23*10^COF!HQ23),IF(CB23=$TK$5,'Tables - Part 3.B'!$C$10*(('Tables - Part 3.B'!$C$7*COF!HE23)^COF!HM23*10^COF!HQ23),0))</f>
        <v>#N/A</v>
      </c>
      <c r="HJ23" s="151" t="e">
        <f>IF(CC23=$TK$6,'Tables - Part 3.B'!$C$10*(('Tables - Part 3.B'!$C$7*COF!HB23)^COF!HN23*10^COF!HR23),IF(CC23=$TK$5,'Tables - Part 3.B'!$C$10*(('Tables - Part 3.B'!$C$7*COF!HF23)^COF!HN23*10^COF!HR23),0))</f>
        <v>#N/A</v>
      </c>
      <c r="HK23" s="151" t="e">
        <f>IF(CD23=$TK$6,'Tables - Part 3.B'!$C$10*(('Tables - Part 3.B'!$C$7*COF!HC23)^COF!HO23*10^COF!HS23),IF(CD23=$TK$5,'Tables - Part 3.B'!$C$10*(('Tables - Part 3.B'!$C$7*COF!HG23)^COF!HO23*10^COF!HS23),0))</f>
        <v>#N/A</v>
      </c>
      <c r="HL23" s="151" t="e">
        <f>IF(CA23=$TK$5,'Tables - Part 3'!$CN$10,IF(COF!CA23=COF!$TK$6,IF(COF!GF23&lt;'Tables - Part 3'!$CK$5,'Tables - Part 3'!$CN$5,IF(GF23&gt;='Tables - Part 3'!$CK$9,'Tables - Part 3'!$CN$9,((COF!GF23-COF!GJ23)*(INDEX('Tables - Part 3'!$CN$5:$CN$9,MATCH(COF!GN23,'Tables - Part 3'!$CK$5:$CK$9,0))-INDEX('Tables - Part 3'!$CN$5:$CN$9,MATCH(COF!GJ23,'Tables - Part 3'!$CK$5:$CK$9,0)))/(GN23-GJ23)+INDEX('Tables - Part 3'!$CN$5:$CN$9,MATCH(COF!GJ23,'Tables - Part 3'!$CK$5:$CK$9,0)))))))</f>
        <v>#N/A</v>
      </c>
      <c r="HM23" s="151" t="e">
        <f>IF(CB23=$TK$5,'Tables - Part 3'!$CN$10,IF(COF!CB23=COF!$TK$6,IF(COF!GG23&lt;'Tables - Part 3'!$CK$5,'Tables - Part 3'!$CN$5,IF(GG23&gt;='Tables - Part 3'!$CK$9,'Tables - Part 3'!$CN$9,((COF!GG23-COF!GK23)*(INDEX('Tables - Part 3'!$CN$5:$CN$9,MATCH(COF!GO23,'Tables - Part 3'!$CK$5:$CK$9,0))-INDEX('Tables - Part 3'!$CN$5:$CN$9,MATCH(COF!GK23,'Tables - Part 3'!$CK$5:$CK$9,0)))/(GO23-GK23)+INDEX('Tables - Part 3'!$CN$5:$CN$9,MATCH(COF!GK23,'Tables - Part 3'!$CK$5:$CK$9,0)))))))</f>
        <v>#N/A</v>
      </c>
      <c r="HN23" s="151" t="e">
        <f>IF(CC23=$TK$5,'Tables - Part 3'!$CN$10,IF(COF!CC23=COF!$TK$6,IF(COF!GH23&lt;'Tables - Part 3'!$CK$5,'Tables - Part 3'!$CN$5,IF(GH23&gt;='Tables - Part 3'!$CK$9,'Tables - Part 3'!$CN$9,((COF!GH23-COF!GL23)*(INDEX('Tables - Part 3'!$CN$5:$CN$9,MATCH(COF!GP23,'Tables - Part 3'!$CK$5:$CK$9,0))-INDEX('Tables - Part 3'!$CN$5:$CN$9,MATCH(COF!GL23,'Tables - Part 3'!$CK$5:$CK$9,0)))/(GP23-GL23)+INDEX('Tables - Part 3'!$CN$5:$CN$9,MATCH(COF!GL23,'Tables - Part 3'!$CK$5:$CK$9,0)))))))</f>
        <v>#N/A</v>
      </c>
      <c r="HO23" s="151" t="e">
        <f>IF(CD23=$TK$5,'Tables - Part 3'!$CN$10,IF(COF!CD23=COF!$TK$6,IF(COF!GI23&lt;'Tables - Part 3'!$CK$5,'Tables - Part 3'!$CN$5,IF(GI23&gt;='Tables - Part 3'!$CK$9,'Tables - Part 3'!$CN$9,((COF!GI23-COF!GM23)*(INDEX('Tables - Part 3'!$CN$5:$CN$9,MATCH(COF!GQ23,'Tables - Part 3'!$CK$5:$CK$9,0))-INDEX('Tables - Part 3'!$CN$5:$CN$9,MATCH(COF!GM23,'Tables - Part 3'!$CK$5:$CK$9,0)))/(GQ23-GM23)+INDEX('Tables - Part 3'!$CN$5:$CN$9,MATCH(COF!GM23,'Tables - Part 3'!$CK$5:$CK$9,0)))))))</f>
        <v>#N/A</v>
      </c>
      <c r="HP23" s="151" t="e">
        <f>IF(CA23=$TK$5,'Tables - Part 3'!$CO$10,IF(COF!CA23=COF!$TK$6,IF(GF23&lt;'Tables - Part 3'!$CK$5,'Tables - Part 3'!$CO$5,IF(GF23&gt;='Tables - Part 3'!$CK$9,'Tables - Part 3'!$CO$9,((COF!GF23-COF!GJ23)*(INDEX('Tables - Part 3'!$CO$5:$CO$9,MATCH(COF!GN23,'Tables - Part 3'!$CK$5:$CK$9,0))-INDEX('Tables - Part 3'!$CO$5:$CO$9,MATCH(COF!GJ23,'Tables - Part 3'!$CK$5:$CK$9,0)))/(GN23-GJ23)+INDEX('Tables - Part 3'!$CO$5:$CO$9,MATCH(COF!GJ23,'Tables - Part 3'!$CK$5:$CK$9,0)))))))</f>
        <v>#N/A</v>
      </c>
      <c r="HQ23" s="151" t="e">
        <f>IF(CB23=$TK$5,'Tables - Part 3'!$CO$10,IF(COF!CB23=COF!$TK$6,IF(GG23&lt;'Tables - Part 3'!$CK$5,'Tables - Part 3'!$CO$5,IF(GG23&gt;='Tables - Part 3'!$CK$9,'Tables - Part 3'!$CO$9,((COF!GG23-COF!GK23)*(INDEX('Tables - Part 3'!$CO$5:$CO$9,MATCH(COF!GO23,'Tables - Part 3'!$CK$5:$CK$9,0))-INDEX('Tables - Part 3'!$CO$5:$CO$9,MATCH(COF!GK23,'Tables - Part 3'!$CK$5:$CK$9,0)))/(GO23-GK23)+INDEX('Tables - Part 3'!$CO$5:$CO$9,MATCH(COF!GK23,'Tables - Part 3'!$CK$5:$CK$9,0)))))))</f>
        <v>#N/A</v>
      </c>
      <c r="HR23" s="151" t="e">
        <f>IF(CC23=$TK$5,'Tables - Part 3'!$CO$10,IF(COF!CC23=COF!$TK$6,IF(GH23&lt;'Tables - Part 3'!$CK$5,'Tables - Part 3'!$CO$5,IF(GH23&gt;='Tables - Part 3'!$CK$9,'Tables - Part 3'!$CO$9,((COF!GH23-COF!GL23)*(INDEX('Tables - Part 3'!$CO$5:$CO$9,MATCH(COF!GP23,'Tables - Part 3'!$CK$5:$CK$9,0))-INDEX('Tables - Part 3'!$CO$5:$CO$9,MATCH(COF!GL23,'Tables - Part 3'!$CK$5:$CK$9,0)))/(GP23-GL23)+INDEX('Tables - Part 3'!$CO$5:$CO$9,MATCH(COF!GL23,'Tables - Part 3'!$CK$5:$CK$9,0)))))))</f>
        <v>#N/A</v>
      </c>
      <c r="HS23" s="151" t="e">
        <f>IF(CD23=$TK$5,'Tables - Part 3'!$CO$10,IF(COF!CD23=COF!$TK$6,IF(GI23&lt;'Tables - Part 3'!$CK$5,'Tables - Part 3'!$CO$5,IF(GI23&gt;='Tables - Part 3'!$CK$9,'Tables - Part 3'!$CO$9,((COF!GI23-COF!GM23)*(INDEX('Tables - Part 3'!$CO$5:$CO$9,MATCH(COF!GQ23,'Tables - Part 3'!$CK$5:$CK$9,0))-INDEX('Tables - Part 3'!$CO$5:$CO$9,MATCH(COF!GM23,'Tables - Part 3'!$CK$5:$CK$9,0)))/(GQ23-GM23)+INDEX('Tables - Part 3'!$CO$5:$CO$9,MATCH(COF!GM23,'Tables - Part 3'!$CK$5:$CK$9,0)))))))</f>
        <v>#N/A</v>
      </c>
      <c r="HT23" s="151">
        <f t="shared" si="74"/>
        <v>0</v>
      </c>
      <c r="HU23" s="151">
        <f t="shared" si="75"/>
        <v>0</v>
      </c>
      <c r="HV23" s="151">
        <f t="shared" si="76"/>
        <v>0</v>
      </c>
      <c r="HW23" s="151">
        <f t="shared" si="77"/>
        <v>0</v>
      </c>
      <c r="HX23" s="151">
        <f t="shared" si="78"/>
        <v>0</v>
      </c>
      <c r="HY23" s="151">
        <f t="shared" si="79"/>
        <v>0</v>
      </c>
      <c r="HZ23" s="151">
        <f t="shared" si="80"/>
        <v>0</v>
      </c>
      <c r="IA23" s="151">
        <f t="shared" si="81"/>
        <v>0</v>
      </c>
      <c r="IB23" s="153" t="e">
        <f t="shared" si="82"/>
        <v>#N/A</v>
      </c>
      <c r="IC23" s="153" t="e">
        <f t="shared" si="83"/>
        <v>#N/A</v>
      </c>
      <c r="ID23" s="153" t="e">
        <f t="shared" si="84"/>
        <v>#N/A</v>
      </c>
      <c r="IE23" s="153" t="e">
        <f t="shared" si="85"/>
        <v>#N/A</v>
      </c>
      <c r="IF23" s="152" t="e">
        <f>IF(GF23&lt;'Tables - Part 3'!$CQ$5,0,LOOKUP(GF23,'Tables - Part 3'!$CQ$5:$CQ$16))</f>
        <v>#N/A</v>
      </c>
      <c r="IG23" s="152" t="e">
        <f>IF(GG23&lt;'Tables - Part 3'!$CQ$5,0,LOOKUP(GG23,'Tables - Part 3'!$CQ$5:$CQ$16))</f>
        <v>#N/A</v>
      </c>
      <c r="IH23" s="152" t="e">
        <f>IF(GH23&lt;'Tables - Part 3'!$CQ$5,0,LOOKUP(GH23,'Tables - Part 3'!$CQ$5:$CQ$16))</f>
        <v>#N/A</v>
      </c>
      <c r="II23" s="152" t="e">
        <f>IF(GI23&lt;'Tables - Part 3'!$CQ$5,0,LOOKUP(GI23,'Tables - Part 3'!$CQ$5:$CQ$16))</f>
        <v>#N/A</v>
      </c>
      <c r="IJ23" s="152" t="e">
        <f>IF(GF23&lt;'Tables - Part 3'!$CQ$5,'Tables - Part 3'!$CQ$5,IF(COF!GF23&lt;'Tables - Part 3'!$CQ$6,'Tables - Part 3'!$CQ$6,IF(COF!GF23&lt;'Tables - Part 3'!$CQ$7,'Tables - Part 3'!$CQ$7,IF(COF!GF23&lt;'Tables - Part 3'!$CQ$8,'Tables - Part 3'!$CQ$8,IF(COF!GF23&lt;'Tables - Part 3'!$CQ$9,'Tables - Part 3'!$CQ$9,IF(COF!GF23&lt;'Tables - Part 3'!$CQ$10,'Tables - Part 3'!$CQ$10,IF(COF!GF23&lt;'Tables - Part 3'!$CQ$11,'Tables - Part 3'!$CQ$11,IF(COF!GF23&lt;'Tables - Part 3'!$CQ$12,'Tables - Part 3'!$CQ$12,IF(COF!GF23&lt;'Tables - Part 3'!$CQ$13,'Tables - Part 3'!$CQ$13,IF(COF!GF23&lt;'Tables - Part 3'!$CQ$14,'Tables - Part 3'!$CQ$14,IF(COF!GF23&lt;'Tables - Part 3'!$CQ$15,'Tables - Part 3'!$CQ$15,IF(COF!GF23&lt;'Tables - Part 3'!$CQ$16,'Tables - Part 3'!$CQ$16))))))))))))</f>
        <v>#N/A</v>
      </c>
      <c r="IK23" s="152" t="e">
        <f>IF(GG23&lt;'Tables - Part 3'!$CQ$5,'Tables - Part 3'!$CQ$5,IF(COF!GG23&lt;'Tables - Part 3'!$CQ$6,'Tables - Part 3'!$CQ$6,IF(COF!GG23&lt;'Tables - Part 3'!$CQ$7,'Tables - Part 3'!$CQ$7,IF(COF!GG23&lt;'Tables - Part 3'!$CQ$8,'Tables - Part 3'!$CQ$8,IF(COF!GG23&lt;'Tables - Part 3'!$CQ$9,'Tables - Part 3'!$CQ$9,IF(COF!GG23&lt;'Tables - Part 3'!$CQ$10,'Tables - Part 3'!$CQ$10,IF(COF!GG23&lt;'Tables - Part 3'!$CQ$11,'Tables - Part 3'!$CQ$11,IF(COF!GG23&lt;'Tables - Part 3'!$CQ$12,'Tables - Part 3'!$CQ$12,IF(COF!GG23&lt;'Tables - Part 3'!$CQ$13,'Tables - Part 3'!$CQ$13,IF(COF!GG23&lt;'Tables - Part 3'!$CQ$14,'Tables - Part 3'!$CQ$14,IF(COF!GG23&lt;'Tables - Part 3'!$CQ$15,'Tables - Part 3'!$CQ$15,IF(COF!GG23&lt;'Tables - Part 3'!$CQ$16,'Tables - Part 3'!$CQ$16))))))))))))</f>
        <v>#N/A</v>
      </c>
      <c r="IL23" s="152" t="e">
        <f>IF(GH23&lt;'Tables - Part 3'!$CQ$5,'Tables - Part 3'!$CQ$5,IF(COF!GH23&lt;'Tables - Part 3'!$CQ$6,'Tables - Part 3'!$CQ$6,IF(COF!GH23&lt;'Tables - Part 3'!$CQ$7,'Tables - Part 3'!$CQ$7,IF(COF!GH23&lt;'Tables - Part 3'!$CQ$8,'Tables - Part 3'!$CQ$8,IF(COF!GH23&lt;'Tables - Part 3'!$CQ$9,'Tables - Part 3'!$CQ$9,IF(COF!GH23&lt;'Tables - Part 3'!$CQ$10,'Tables - Part 3'!$CQ$10,IF(COF!GH23&lt;'Tables - Part 3'!$CQ$11,'Tables - Part 3'!$CQ$11,IF(COF!GH23&lt;'Tables - Part 3'!$CQ$12,'Tables - Part 3'!$CQ$12,IF(COF!GH23&lt;'Tables - Part 3'!$CQ$13,'Tables - Part 3'!$CQ$13,IF(COF!GH23&lt;'Tables - Part 3'!$CQ$14,'Tables - Part 3'!$CQ$14,IF(COF!GH23&lt;'Tables - Part 3'!$CQ$15,'Tables - Part 3'!$CQ$15,IF(COF!GH23&lt;'Tables - Part 3'!$CQ$16,'Tables - Part 3'!$CQ$16))))))))))))</f>
        <v>#N/A</v>
      </c>
      <c r="IM23" s="152" t="e">
        <f>IF(GI23&lt;'Tables - Part 3'!$CQ$5,'Tables - Part 3'!$CQ$5,IF(COF!GI23&lt;'Tables - Part 3'!$CQ$6,'Tables - Part 3'!$CQ$6,IF(COF!GI23&lt;'Tables - Part 3'!$CQ$7,'Tables - Part 3'!$CQ$7,IF(COF!GI23&lt;'Tables - Part 3'!$CQ$8,'Tables - Part 3'!$CQ$8,IF(COF!GI23&lt;'Tables - Part 3'!$CQ$9,'Tables - Part 3'!$CQ$9,IF(COF!GI23&lt;'Tables - Part 3'!$CQ$10,'Tables - Part 3'!$CQ$10,IF(COF!GI23&lt;'Tables - Part 3'!$CQ$11,'Tables - Part 3'!$CQ$11,IF(COF!GI23&lt;'Tables - Part 3'!$CQ$12,'Tables - Part 3'!$CQ$12,IF(COF!GI23&lt;'Tables - Part 3'!$CQ$13,'Tables - Part 3'!$CQ$13,IF(COF!GI23&lt;'Tables - Part 3'!$CQ$14,'Tables - Part 3'!$CQ$14,IF(COF!GI23&lt;'Tables - Part 3'!$CQ$15,'Tables - Part 3'!$CQ$15,IF(COF!GI23&lt;'Tables - Part 3'!$CQ$16,'Tables - Part 3'!$CQ$16))))))))))))</f>
        <v>#N/A</v>
      </c>
      <c r="IN23" s="151" t="e">
        <f>IF(CA23=$TK$5,'Tables - Part 3'!$CR$17,IF(COF!CA23=COF!$TK$6,IF(COF!GF23&lt;'Tables - Part 3'!$CQ$5,'Tables - Part 3'!$CR$5,IF(GF23&gt;='Tables - Part 3'!$CQ$16,'Tables - Part 3'!$CR$16,((COF!GF23-COF!IF23)*(INDEX('Tables - Part 3'!$CR$5:$CR$16,MATCH(COF!IJ23,'Tables - Part 3'!$CQ$5:$CQ$16,0))-INDEX('Tables - Part 3'!$CR$5:$CR$16,MATCH(COF!IF23,'Tables - Part 3'!$CQ$5:$CQ$16,0)))/(IJ23-IF23)+INDEX('Tables - Part 3'!$CR$5:$CR$16,MATCH(COF!IF23,'Tables - Part 3'!$CQ$5:$CQ$16,0)))))))</f>
        <v>#N/A</v>
      </c>
      <c r="IO23" s="151" t="e">
        <f>IF(CB23=$TK$5,'Tables - Part 3'!$CR$17,IF(COF!CB23=COF!$TK$6,IF(COF!GG23&lt;'Tables - Part 3'!$CQ$5,'Tables - Part 3'!$CR$5,IF(GG23&gt;='Tables - Part 3'!$CQ$16,'Tables - Part 3'!$CR$16,((COF!GG23-COF!IG23)*(INDEX('Tables - Part 3'!$CR$5:$CR$16,MATCH(COF!IK23,'Tables - Part 3'!$CQ$5:$CQ$16,0))-INDEX('Tables - Part 3'!$CR$5:$CR$16,MATCH(COF!IG23,'Tables - Part 3'!$CQ$5:$CQ$16,0)))/(IK23-IG23)+INDEX('Tables - Part 3'!$CR$5:$CR$16,MATCH(COF!IG23,'Tables - Part 3'!$CQ$5:$CQ$16,0)))))))</f>
        <v>#N/A</v>
      </c>
      <c r="IP23" s="151" t="e">
        <f>IF(CC23=$TK$5,'Tables - Part 3'!$CR$17,IF(COF!CC23=COF!$TK$6,IF(COF!GH23&lt;'Tables - Part 3'!$CQ$5,'Tables - Part 3'!$CR$5,IF(GH23&gt;='Tables - Part 3'!$CQ$16,'Tables - Part 3'!$CR$16,((COF!GH23-COF!IH23)*(INDEX('Tables - Part 3'!$CR$5:$CR$16,MATCH(COF!IL23,'Tables - Part 3'!$CQ$5:$CQ$16,0))-INDEX('Tables - Part 3'!$CR$5:$CR$16,MATCH(COF!IH23,'Tables - Part 3'!$CQ$5:$CQ$16,0)))/(IL23-IH23)+INDEX('Tables - Part 3'!$CR$5:$CR$16,MATCH(COF!IH23,'Tables - Part 3'!$CQ$5:$CQ$16,0)))))))</f>
        <v>#N/A</v>
      </c>
      <c r="IQ23" s="151" t="e">
        <f>IF(CD23=$TK$5,'Tables - Part 3'!$CR$17,IF(COF!CD23=COF!$TK$6,IF(COF!GI23&lt;'Tables - Part 3'!$CQ$5,'Tables - Part 3'!$CR$5,IF(GI23&gt;='Tables - Part 3'!$CQ$16,'Tables - Part 3'!$CR$16,((COF!GI23-COF!II23)*(INDEX('Tables - Part 3'!$CR$5:$CR$16,MATCH(COF!IM23,'Tables - Part 3'!$CQ$5:$CQ$16,0))-INDEX('Tables - Part 3'!$CR$5:$CR$16,MATCH(COF!II23,'Tables - Part 3'!$CQ$5:$CQ$16,0)))/(IM23-II23)+INDEX('Tables - Part 3'!$CR$5:$CR$16,MATCH(COF!II23,'Tables - Part 3'!$CQ$5:$CQ$16,0)))))))</f>
        <v>#N/A</v>
      </c>
      <c r="IR23" s="151" t="e">
        <f>IF(CA23=$TK$5,'Tables - Part 3'!$CS$17,IF(COF!CA23=COF!$TK$6,IF(COF!GF23&lt;'Tables - Part 3'!$CQ$5,'Tables - Part 3'!$CS$5,IF(GF23&gt;='Tables - Part 3'!$CQ$16,'Tables - Part 3'!$CS$16,((COF!GF23-COF!IF23)*(INDEX('Tables - Part 3'!$CS$5:$CS$16,MATCH(COF!IJ23,'Tables - Part 3'!$CQ$5:$CQ$16,0))-INDEX('Tables - Part 3'!$CS$5:$CS$16,MATCH(COF!IF23,'Tables - Part 3'!$CQ$5:$CQ$16,0)))/(IJ23-IF23)+INDEX('Tables - Part 3'!$CS$5:$CS$16,MATCH(COF!IF23,'Tables - Part 3'!$CQ$5:$CQ$16,0)))))))</f>
        <v>#N/A</v>
      </c>
      <c r="IS23" s="151" t="e">
        <f>IF(CB23=$TK$5,'Tables - Part 3'!$CS$17,IF(COF!CB23=COF!$TK$6,IF(COF!GG23&lt;'Tables - Part 3'!$CQ$5,'Tables - Part 3'!$CS$5,IF(GG23&gt;='Tables - Part 3'!$CQ$16,'Tables - Part 3'!$CS$16,((COF!GG23-COF!IG23)*(INDEX('Tables - Part 3'!$CS$5:$CS$16,MATCH(COF!IK23,'Tables - Part 3'!$CQ$5:$CQ$16,0))-INDEX('Tables - Part 3'!$CS$5:$CS$16,MATCH(COF!IG23,'Tables - Part 3'!$CQ$5:$CQ$16,0)))/(IK23-IG23)+INDEX('Tables - Part 3'!$CS$5:$CS$16,MATCH(COF!IG23,'Tables - Part 3'!$CQ$5:$CQ$16,0)))))))</f>
        <v>#N/A</v>
      </c>
      <c r="IT23" s="151" t="e">
        <f>IF(CC23=$TK$5,'Tables - Part 3'!$CS$17,IF(COF!CC23=COF!$TK$6,IF(COF!GH23&lt;'Tables - Part 3'!$CQ$5,'Tables - Part 3'!$CS$5,IF(GH23&gt;='Tables - Part 3'!$CQ$16,'Tables - Part 3'!$CS$16,((COF!GH23-COF!IH23)*(INDEX('Tables - Part 3'!$CS$5:$CS$16,MATCH(COF!IL23,'Tables - Part 3'!$CQ$5:$CQ$16,0))-INDEX('Tables - Part 3'!$CS$5:$CS$16,MATCH(COF!IH23,'Tables - Part 3'!$CQ$5:$CQ$16,0)))/(IL23-IH23)+INDEX('Tables - Part 3'!$CS$5:$CS$16,MATCH(COF!IH23,'Tables - Part 3'!$CQ$5:$CQ$16,0)))))))</f>
        <v>#N/A</v>
      </c>
      <c r="IU23" s="151" t="e">
        <f>IF(CD23=$TK$5,'Tables - Part 3'!$CS$17,IF(COF!CD23=COF!$TK$6,IF(COF!GI23&lt;'Tables - Part 3'!$CQ$5,'Tables - Part 3'!$CS$5,IF(GI23&gt;='Tables - Part 3'!$CQ$16,'Tables - Part 3'!$CS$16,((COF!GI23-COF!II23)*(INDEX('Tables - Part 3'!$CS$5:$CS$16,MATCH(COF!IM23,'Tables - Part 3'!$CQ$5:$CQ$16,0))-INDEX('Tables - Part 3'!$CS$5:$CS$16,MATCH(COF!II23,'Tables - Part 3'!$CQ$5:$CQ$16,0)))/(IM23-II23)+INDEX('Tables - Part 3'!$CS$5:$CS$16,MATCH(COF!II23,'Tables - Part 3'!$CQ$5:$CQ$16,0)))))))</f>
        <v>#N/A</v>
      </c>
      <c r="IV23" s="151">
        <f t="shared" si="86"/>
        <v>0</v>
      </c>
      <c r="IW23" s="151">
        <f t="shared" si="87"/>
        <v>0</v>
      </c>
      <c r="IX23" s="151">
        <f t="shared" si="88"/>
        <v>0</v>
      </c>
      <c r="IY23" s="151">
        <f t="shared" si="89"/>
        <v>0</v>
      </c>
      <c r="IZ23" s="151">
        <f t="shared" si="90"/>
        <v>0</v>
      </c>
      <c r="JA23" s="151">
        <f t="shared" si="91"/>
        <v>0</v>
      </c>
      <c r="JB23" s="151">
        <f t="shared" si="92"/>
        <v>0</v>
      </c>
      <c r="JC23" s="151">
        <f t="shared" si="93"/>
        <v>0</v>
      </c>
      <c r="JD23" s="151" t="e">
        <f t="shared" si="94"/>
        <v>#N/A</v>
      </c>
      <c r="JE23" s="151" t="e">
        <f t="shared" si="95"/>
        <v>#N/A</v>
      </c>
      <c r="JF23" s="151" t="e">
        <f t="shared" si="96"/>
        <v>#N/A</v>
      </c>
      <c r="JG23" s="151" t="e">
        <f t="shared" si="97"/>
        <v>#N/A</v>
      </c>
      <c r="JH23" s="151" t="e">
        <f>IF(CA23=$TK$5,'Tables - Part 3'!$CT$17,IF(COF!CA23=COF!$TK$6,IF(COF!GF23&lt;'Tables - Part 3'!$CQ$5,'Tables - Part 3'!$CT$5,IF(GF23&gt;='Tables - Part 3'!$CQ$16,'Tables - Part 3'!$CT$16,((COF!GF23-COF!IF23)*(INDEX('Tables - Part 3'!$CT$5:$CT$16,MATCH(COF!IJ23,'Tables - Part 3'!$CQ$5:$CQ$16,0))-INDEX('Tables - Part 3'!$CT$5:$CT$16,MATCH(COF!IF23,'Tables - Part 3'!$CQ$5:$CQ$16,0)))/(IJ23-IF23)+INDEX('Tables - Part 3'!$CT$5:$CT$16,MATCH(COF!IF23,'Tables - Part 3'!$CQ$5:$CQ$16,0)))))))</f>
        <v>#N/A</v>
      </c>
      <c r="JI23" s="151" t="e">
        <f>IF(CB23=$TK$5,'Tables - Part 3'!$CT$17,IF(COF!CB23=COF!$TK$6,IF(COF!GG23&lt;'Tables - Part 3'!$CQ$5,'Tables - Part 3'!$CT$5,IF(GG23&gt;='Tables - Part 3'!$CQ$16,'Tables - Part 3'!$CT$16,((COF!GG23-COF!IG23)*(INDEX('Tables - Part 3'!$CT$5:$CT$16,MATCH(COF!IK23,'Tables - Part 3'!$CQ$5:$CQ$16,0))-INDEX('Tables - Part 3'!$CT$5:$CT$16,MATCH(COF!IG23,'Tables - Part 3'!$CQ$5:$CQ$16,0)))/(IK23-IG23)+INDEX('Tables - Part 3'!$CT$5:$CT$16,MATCH(COF!IG23,'Tables - Part 3'!$CQ$5:$CQ$16,0)))))))</f>
        <v>#N/A</v>
      </c>
      <c r="JJ23" s="151" t="e">
        <f>IF(CC23=$TK$5,'Tables - Part 3'!$CT$17,IF(COF!CC23=COF!$TK$6,IF(COF!GH23&lt;'Tables - Part 3'!$CQ$5,'Tables - Part 3'!$CT$5,IF(GH23&gt;='Tables - Part 3'!$CQ$16,'Tables - Part 3'!$CT$16,((COF!GH23-COF!IH23)*(INDEX('Tables - Part 3'!$CT$5:$CT$16,MATCH(COF!IL23,'Tables - Part 3'!$CQ$5:$CQ$16,0))-INDEX('Tables - Part 3'!$CT$5:$CT$16,MATCH(COF!IH23,'Tables - Part 3'!$CQ$5:$CQ$16,0)))/(IL23-IH23)+INDEX('Tables - Part 3'!$CT$5:$CT$16,MATCH(COF!IH23,'Tables - Part 3'!$CQ$5:$CQ$16,0)))))))</f>
        <v>#N/A</v>
      </c>
      <c r="JK23" s="151" t="e">
        <f>IF(CD23=$TK$5,'Tables - Part 3'!$CT$17,IF(COF!CD23=COF!$TK$6,IF(COF!GI23&lt;'Tables - Part 3'!$CQ$5,'Tables - Part 3'!$CT$5,IF(GI23&gt;='Tables - Part 3'!$CQ$16,'Tables - Part 3'!$CT$16,((COF!GI23-COF!II23)*(INDEX('Tables - Part 3'!$CT$5:$CT$16,MATCH(COF!IM23,'Tables - Part 3'!$CQ$5:$CQ$16,0))-INDEX('Tables - Part 3'!$CT$5:$CT$16,MATCH(COF!II23,'Tables - Part 3'!$CQ$5:$CQ$16,0)))/(IM23-II23)+INDEX('Tables - Part 3'!$CT$5:$CT$16,MATCH(COF!II23,'Tables - Part 3'!$CQ$5:$CQ$16,0)))))))</f>
        <v>#N/A</v>
      </c>
      <c r="JL23" s="151" t="e">
        <f>IF(CA23=$TK$5,'Tables - Part 3'!$CU$17,IF(COF!CA23=COF!$TK$6,IF(COF!GF23&lt;'Tables - Part 3'!$CQ$5,'Tables - Part 3'!$CU$5,IF(GF23&gt;='Tables - Part 3'!$CQ$16,'Tables - Part 3'!$CU$16,((COF!GF23-COF!IF23)*(INDEX('Tables - Part 3'!$CU$5:$CU$16,MATCH(COF!IJ23,'Tables - Part 3'!$CQ$5:$CQ$16,0))-INDEX('Tables - Part 3'!$CU$5:$CU$16,MATCH(COF!IF23,'Tables - Part 3'!$CQ$5:$CQ$16,0)))/(IJ23-IF23)+INDEX('Tables - Part 3'!$CU$5:$CU$16,MATCH(COF!IF23,'Tables - Part 3'!$CQ$5:$CQ$16,0)))))))</f>
        <v>#N/A</v>
      </c>
      <c r="JM23" s="151" t="e">
        <f>IF(CB23=$TK$5,'Tables - Part 3'!$CU$17,IF(COF!CB23=COF!$TK$6,IF(COF!GG23&lt;'Tables - Part 3'!$CQ$5,'Tables - Part 3'!$CU$5,IF(GG23&gt;='Tables - Part 3'!$CQ$16,'Tables - Part 3'!$CU$16,((COF!GG23-COF!IG23)*(INDEX('Tables - Part 3'!$CU$5:$CU$16,MATCH(COF!IK23,'Tables - Part 3'!$CQ$5:$CQ$16,0))-INDEX('Tables - Part 3'!$CU$5:$CU$16,MATCH(COF!IG23,'Tables - Part 3'!$CQ$5:$CQ$16,0)))/(IK23-IG23)+INDEX('Tables - Part 3'!$CU$5:$CU$16,MATCH(COF!IG23,'Tables - Part 3'!$CQ$5:$CQ$16,0)))))))</f>
        <v>#N/A</v>
      </c>
      <c r="JN23" s="151" t="e">
        <f>IF(CC23=$TK$5,'Tables - Part 3'!$CU$17,IF(COF!CC23=COF!$TK$6,IF(COF!GH23&lt;'Tables - Part 3'!$CQ$5,'Tables - Part 3'!$CU$5,IF(GH23&gt;='Tables - Part 3'!$CQ$16,'Tables - Part 3'!$CU$16,((COF!GH23-COF!IH23)*(INDEX('Tables - Part 3'!$CU$5:$CU$16,MATCH(COF!IL23,'Tables - Part 3'!$CQ$5:$CQ$16,0))-INDEX('Tables - Part 3'!$CU$5:$CU$16,MATCH(COF!IH23,'Tables - Part 3'!$CQ$5:$CQ$16,0)))/(IL23-IH23)+INDEX('Tables - Part 3'!$CU$5:$CU$16,MATCH(COF!IH23,'Tables - Part 3'!$CQ$5:$CQ$16,0)))))))</f>
        <v>#N/A</v>
      </c>
      <c r="JO23" s="151" t="e">
        <f>IF(CD23=$TK$5,'Tables - Part 3'!$CU$17,IF(COF!CD23=COF!$TK$6,IF(COF!GI23&lt;'Tables - Part 3'!$CQ$5,'Tables - Part 3'!$CU$5,IF(GI23&gt;='Tables - Part 3'!$CQ$16,'Tables - Part 3'!$CU$16,((COF!GI23-COF!II23)*(INDEX('Tables - Part 3'!$CU$5:$CU$16,MATCH(COF!IM23,'Tables - Part 3'!$CQ$5:$CQ$16,0))-INDEX('Tables - Part 3'!$CU$5:$CU$16,MATCH(COF!II23,'Tables - Part 3'!$CQ$5:$CQ$16,0)))/(IM23-II23)+INDEX('Tables - Part 3'!$CU$5:$CU$16,MATCH(COF!II23,'Tables - Part 3'!$CQ$5:$CQ$16,0)))))))</f>
        <v>#N/A</v>
      </c>
      <c r="JP23" s="282"/>
      <c r="JQ23" s="151">
        <f t="shared" si="98"/>
        <v>0</v>
      </c>
      <c r="JR23" s="151">
        <f t="shared" si="99"/>
        <v>0</v>
      </c>
      <c r="JS23" s="151">
        <f t="shared" si="100"/>
        <v>0</v>
      </c>
      <c r="JT23" s="151">
        <f t="shared" si="101"/>
        <v>0</v>
      </c>
      <c r="JU23" s="151" t="e">
        <f t="shared" si="204"/>
        <v>#N/A</v>
      </c>
      <c r="JV23" s="151" t="e">
        <f t="shared" si="205"/>
        <v>#N/A</v>
      </c>
      <c r="JW23" s="151" t="e">
        <f t="shared" si="206"/>
        <v>#N/A</v>
      </c>
      <c r="JX23" s="151" t="e">
        <f t="shared" si="207"/>
        <v>#N/A</v>
      </c>
      <c r="JY23" s="152" t="e">
        <f>IF(GF23&lt;'Tables - Part 3'!$CY$6,0,LOOKUP(GF23,'Tables - Part 3'!$CY$6:$CY$11))</f>
        <v>#N/A</v>
      </c>
      <c r="JZ23" s="152" t="e">
        <f>IF(GG23&lt;'Tables - Part 3'!$CY$6,0,LOOKUP(GG23,'Tables - Part 3'!$CY$6:$CY$11))</f>
        <v>#N/A</v>
      </c>
      <c r="KA23" s="152" t="e">
        <f>IF(GH23&lt;'Tables - Part 3'!$CY$6,0,LOOKUP(GH23,'Tables - Part 3'!$CY$6:$CY$11))</f>
        <v>#N/A</v>
      </c>
      <c r="KB23" s="152" t="e">
        <f>IF(GI23&lt;'Tables - Part 3'!$CY$6,0,LOOKUP(GI23,'Tables - Part 3'!$CY$6:$CY$11))</f>
        <v>#N/A</v>
      </c>
      <c r="KC23" s="152" t="e">
        <f>IF(GF23&lt;'Tables - Part 3'!$CY$6,'Tables - Part 3'!$CY$6,IF(COF!GF23&lt;'Tables - Part 3'!$CY$7,'Tables - Part 3'!$CY$7,IF(COF!GF23&lt;'Tables - Part 3'!$CY$8,'Tables - Part 3'!$CY$8,IF(COF!GF23&lt;'Tables - Part 3'!$CY$9,'Tables - Part 3'!$CY$9,IF(COF!GF23&lt;'Tables - Part 3'!$CY$10,'Tables - Part 3'!$CY$10,IF(COF!GF23&lt;'Tables - Part 3'!$CY$11,'Tables - Part 3'!$CY$11))))))</f>
        <v>#N/A</v>
      </c>
      <c r="KD23" s="152" t="e">
        <f>IF(GG23&lt;'Tables - Part 3'!$CY$6,'Tables - Part 3'!$CY$6,IF(COF!GG23&lt;'Tables - Part 3'!$CY$7,'Tables - Part 3'!$CY$7,IF(COF!GG23&lt;'Tables - Part 3'!$CY$8,'Tables - Part 3'!$CY$8,IF(COF!GG23&lt;'Tables - Part 3'!$CY$9,'Tables - Part 3'!$CY$9,IF(COF!GG23&lt;'Tables - Part 3'!$CY$10,'Tables - Part 3'!$CY$10,IF(COF!GG23&lt;'Tables - Part 3'!$CY$11,'Tables - Part 3'!$CY$11))))))</f>
        <v>#N/A</v>
      </c>
      <c r="KE23" s="152" t="e">
        <f>IF(GH23&lt;'Tables - Part 3'!$CY$6,'Tables - Part 3'!$CY$6,IF(COF!GH23&lt;'Tables - Part 3'!$CY$7,'Tables - Part 3'!$CY$7,IF(COF!GH23&lt;'Tables - Part 3'!$CY$8,'Tables - Part 3'!$CY$8,IF(COF!GH23&lt;'Tables - Part 3'!$CY$9,'Tables - Part 3'!$CY$9,IF(COF!GH23&lt;'Tables - Part 3'!$CY$10,'Tables - Part 3'!$CY$10,IF(COF!GH23&lt;'Tables - Part 3'!$CY$11,'Tables - Part 3'!$CY$11))))))</f>
        <v>#N/A</v>
      </c>
      <c r="KF23" s="152" t="e">
        <f>IF(GI23&lt;'Tables - Part 3'!$CY$6,'Tables - Part 3'!$CY$6,IF(COF!GI23&lt;'Tables - Part 3'!$CY$7,'Tables - Part 3'!$CY$7,IF(COF!GI23&lt;'Tables - Part 3'!$CY$8,'Tables - Part 3'!$CY$8,IF(COF!GI23&lt;'Tables - Part 3'!$CY$9,'Tables - Part 3'!$CY$9,IF(COF!GI23&lt;'Tables - Part 3'!$CY$10,'Tables - Part 3'!$CY$10,IF(COF!GI23&lt;'Tables - Part 3'!$CY$11,'Tables - Part 3'!$CY$11))))))</f>
        <v>#N/A</v>
      </c>
      <c r="KG23" s="151" t="e">
        <f>IF(CA23=$TK$5,'Tables - Part 3'!$CZ$6,IF(COF!CA23=COF!$TK$6,IF(COF!GF23&lt;'Tables - Part 3'!$CY$6,'Tables - Part 3'!$CZ$6,IF(GF23&gt;='Tables - Part 3'!$CY$11,'Tables - Part 3'!$CZ$11,((COF!GF23-COF!JY23)*(INDEX('Tables - Part 3'!$CZ$6:$CZ$11,MATCH(COF!KC23,'Tables - Part 3'!$CY$6:$CY$11,0))-INDEX('Tables - Part 3'!$CZ$6:$CZ$11,MATCH(COF!JY23,'Tables - Part 3'!$CY$6:$CY$11,0)))/(KC23-JY23)+INDEX('Tables - Part 3'!$CZ$6:$CZ$11,MATCH(COF!JY23,'Tables - Part 3'!$CY$6:$CY$11,0)))))))</f>
        <v>#N/A</v>
      </c>
      <c r="KH23" s="151" t="e">
        <f>IF(CB23=$TK$5,'Tables - Part 3'!$CZ$6,IF(COF!CB23=COF!$TK$6,IF(COF!GG23&lt;'Tables - Part 3'!$CY$6,'Tables - Part 3'!$CZ$6,IF(GG23&gt;='Tables - Part 3'!$CY$11,'Tables - Part 3'!$CZ$11,((COF!GG23-COF!JZ23)*(INDEX('Tables - Part 3'!$CZ$6:$CZ$11,MATCH(COF!KD23,'Tables - Part 3'!$CY$6:$CY$11,0))-INDEX('Tables - Part 3'!$CZ$6:$CZ$11,MATCH(COF!JZ23,'Tables - Part 3'!$CY$6:$CY$11,0)))/(KD23-JZ23)+INDEX('Tables - Part 3'!$CZ$6:$CZ$11,MATCH(COF!JZ23,'Tables - Part 3'!$CY$6:$CY$11,0)))))))</f>
        <v>#N/A</v>
      </c>
      <c r="KI23" s="151" t="e">
        <f>IF(CC23=$TK$5,'Tables - Part 3'!$CZ$6,IF(COF!CC23=COF!$TK$6,IF(COF!GH23&lt;'Tables - Part 3'!$CY$6,'Tables - Part 3'!$CZ$6,IF(GH23&gt;='Tables - Part 3'!$CY$11,'Tables - Part 3'!$CZ$11,((COF!GH23-COF!KA23)*(INDEX('Tables - Part 3'!$CZ$6:$CZ$11,MATCH(COF!KE23,'Tables - Part 3'!$CY$6:$CY$11,0))-INDEX('Tables - Part 3'!$CZ$6:$CZ$11,MATCH(COF!KA23,'Tables - Part 3'!$CY$6:$CY$11,0)))/(KE23-KA23)+INDEX('Tables - Part 3'!$CZ$6:$CZ$11,MATCH(COF!KA23,'Tables - Part 3'!$CY$6:$CY$11,0)))))))</f>
        <v>#N/A</v>
      </c>
      <c r="KJ23" s="151" t="e">
        <f>IF(CD23=$TK$5,'Tables - Part 3'!$CZ$6,IF(COF!CD23=COF!$TK$6,IF(COF!GI23&lt;'Tables - Part 3'!$CY$6,'Tables - Part 3'!$CZ$6,IF(GI23&gt;='Tables - Part 3'!$CY$11,'Tables - Part 3'!$CZ$11,((COF!GI23-COF!KB23)*(INDEX('Tables - Part 3'!$CZ$6:$CZ$11,MATCH(COF!KF23,'Tables - Part 3'!$CY$6:$CY$11,0))-INDEX('Tables - Part 3'!$CZ$6:$CZ$11,MATCH(COF!KB23,'Tables - Part 3'!$CY$6:$CY$11,0)))/(KF23-KB23)+INDEX('Tables - Part 3'!$CZ$6:$CZ$11,MATCH(COF!KB23,'Tables - Part 3'!$CY$6:$CY$11,0)))))))</f>
        <v>#N/A</v>
      </c>
      <c r="KK23" s="153" t="e">
        <f>IF(CA23=$TK$5,'Tables - Part 3'!$DA$6,IF(COF!CA23=COF!$TK$6,IF(COF!GF23&lt;'Tables - Part 3'!$CY$6,'Tables - Part 3'!$DA$6,IF(GF23&gt;='Tables - Part 3'!$CY$11,'Tables - Part 3'!$DA$11,((COF!GF23-COF!JY23)*(INDEX('Tables - Part 3'!$DA$6:$DA$11,MATCH(COF!KC23,'Tables - Part 3'!$CY$6:$CY$11,0))-INDEX('Tables - Part 3'!$DA$6:$DA$11,MATCH(COF!JY23,'Tables - Part 3'!$CY$6:$CY$11,0)))/(KC23-JY23)+INDEX('Tables - Part 3'!$DA$6:$DA$16,MATCH(COF!JY23,'Tables - Part 3'!$CY$6:$CY$11,0)))))))</f>
        <v>#N/A</v>
      </c>
      <c r="KL23" s="153" t="e">
        <f>IF(CB23=$TK$5,'Tables - Part 3'!$DA$6,IF(COF!CB23=COF!$TK$6,IF(COF!GG23&lt;'Tables - Part 3'!$CY$6,'Tables - Part 3'!$DA$6,IF(GG23&gt;='Tables - Part 3'!$CY$11,'Tables - Part 3'!$DA$11,((COF!GG23-COF!JZ23)*(INDEX('Tables - Part 3'!$DA$6:$DA$11,MATCH(COF!KD23,'Tables - Part 3'!$CY$6:$CY$11,0))-INDEX('Tables - Part 3'!$DA$6:$DA$11,MATCH(COF!JZ23,'Tables - Part 3'!$CY$6:$CY$11,0)))/(KD23-JZ23)+INDEX('Tables - Part 3'!$DA$6:$DA$16,MATCH(COF!JZ23,'Tables - Part 3'!$CY$6:$CY$11,0)))))))</f>
        <v>#N/A</v>
      </c>
      <c r="KM23" s="153" t="e">
        <f>IF(CC23=$TK$5,'Tables - Part 3'!$DA$6,IF(COF!CC23=COF!$TK$6,IF(COF!GH23&lt;'Tables - Part 3'!$CY$6,'Tables - Part 3'!$DA$6,IF(GH23&gt;='Tables - Part 3'!$CY$11,'Tables - Part 3'!$DA$11,((COF!GH23-COF!KA23)*(INDEX('Tables - Part 3'!$DA$6:$DA$11,MATCH(COF!KE23,'Tables - Part 3'!$CY$6:$CY$11,0))-INDEX('Tables - Part 3'!$DA$6:$DA$11,MATCH(COF!KA23,'Tables - Part 3'!$CY$6:$CY$11,0)))/(KE23-KA23)+INDEX('Tables - Part 3'!$DA$6:$DA$16,MATCH(COF!KA23,'Tables - Part 3'!$CY$6:$CY$11,0)))))))</f>
        <v>#N/A</v>
      </c>
      <c r="KN23" s="153" t="e">
        <f>IF(CD23=$TK$5,'Tables - Part 3'!$DA$6,IF(COF!CD23=COF!$TK$6,IF(COF!GI23&lt;'Tables - Part 3'!$CY$6,'Tables - Part 3'!$DA$6,IF(GI23&gt;='Tables - Part 3'!$CY$11,'Tables - Part 3'!$DA$11,((COF!GI23-COF!KB23)*(INDEX('Tables - Part 3'!$DA$6:$DA$11,MATCH(COF!KF23,'Tables - Part 3'!$CY$6:$CY$11,0))-INDEX('Tables - Part 3'!$DA$6:$DA$11,MATCH(COF!KB23,'Tables - Part 3'!$CY$6:$CY$11,0)))/(KF23-KB23)+INDEX('Tables - Part 3'!$DA$6:$DA$16,MATCH(COF!KB23,'Tables - Part 3'!$CY$6:$CY$11,0)))))))</f>
        <v>#N/A</v>
      </c>
      <c r="KO23" s="153">
        <f t="shared" si="102"/>
        <v>0</v>
      </c>
      <c r="KP23" s="153">
        <f t="shared" si="103"/>
        <v>0</v>
      </c>
      <c r="KQ23" s="153">
        <f t="shared" si="104"/>
        <v>0</v>
      </c>
      <c r="KR23" s="153">
        <f t="shared" si="105"/>
        <v>0</v>
      </c>
      <c r="KS23" s="151" t="e">
        <f t="shared" si="208"/>
        <v>#N/A</v>
      </c>
      <c r="KT23" s="151" t="e">
        <f t="shared" si="209"/>
        <v>#N/A</v>
      </c>
      <c r="KU23" s="151" t="e">
        <f t="shared" si="210"/>
        <v>#N/A</v>
      </c>
      <c r="KV23" s="151" t="e">
        <f t="shared" si="211"/>
        <v>#N/A</v>
      </c>
      <c r="KW23" s="151" t="e">
        <f>IF(CA23=$TK$5,'Tables - Part 3'!$CZ$12,IF(COF!CA23=COF!$TK$6,IF(COF!GF23&lt;'Tables - Part 3'!$CY$12,'Tables - Part 3'!$CZ$12,IF(GF23&gt;='Tables - Part 3'!$CY$17,'Tables - Part 3'!$CZ$17,((COF!GF23-COF!JY23)*(INDEX('Tables - Part 3'!$CZ$12:$CZ$17,MATCH(COF!KC23,'Tables - Part 3'!$CY$12:$CY$17,0))-INDEX('Tables - Part 3'!$CZ$12:$CZ$17,MATCH(COF!JY23,'Tables - Part 3'!$CY$12:$CY$17,0)))/(KC23-JY23)+INDEX('Tables - Part 3'!$CZ$12:$CZ$17,MATCH(COF!JY23,'Tables - Part 3'!$CY$12:$CY$17,0)))))))</f>
        <v>#N/A</v>
      </c>
      <c r="KX23" s="151" t="e">
        <f>IF(CB23=$TK$5,'Tables - Part 3'!$CZ$12,IF(COF!CB23=COF!$TK$6,IF(COF!GG23&lt;'Tables - Part 3'!$CY$12,'Tables - Part 3'!$CZ$12,IF(GG23&gt;='Tables - Part 3'!$CY$17,'Tables - Part 3'!$CZ$17,((COF!GG23-COF!JZ23)*(INDEX('Tables - Part 3'!$CZ$12:$CZ$17,MATCH(COF!KD23,'Tables - Part 3'!$CY$12:$CY$17,0))-INDEX('Tables - Part 3'!$CZ$12:$CZ$17,MATCH(COF!JZ23,'Tables - Part 3'!$CY$12:$CY$17,0)))/(KD23-JZ23)+INDEX('Tables - Part 3'!$CZ$12:$CZ$17,MATCH(COF!JZ23,'Tables - Part 3'!$CY$12:$CY$17,0)))))))</f>
        <v>#N/A</v>
      </c>
      <c r="KY23" s="151" t="e">
        <f>IF(CC23=$TK$5,'Tables - Part 3'!$CZ$12,IF(COF!CC23=COF!$TK$6,IF(COF!GH23&lt;'Tables - Part 3'!$CY$12,'Tables - Part 3'!$CZ$12,IF(GH23&gt;='Tables - Part 3'!$CY$17,'Tables - Part 3'!$CZ$17,((COF!GH23-COF!KA23)*(INDEX('Tables - Part 3'!$CZ$12:$CZ$17,MATCH(COF!KE23,'Tables - Part 3'!$CY$12:$CY$17,0))-INDEX('Tables - Part 3'!$CZ$12:$CZ$17,MATCH(COF!KA23,'Tables - Part 3'!$CY$12:$CY$17,0)))/(KE23-KA23)+INDEX('Tables - Part 3'!$CZ$12:$CZ$17,MATCH(COF!KA23,'Tables - Part 3'!$CY$12:$CY$17,0)))))))</f>
        <v>#N/A</v>
      </c>
      <c r="KZ23" s="151" t="e">
        <f>IF(CD23=$TK$5,'Tables - Part 3'!$CZ$12,IF(COF!CD23=COF!$TK$6,IF(COF!GI23&lt;'Tables - Part 3'!$CY$12,'Tables - Part 3'!$CZ$12,IF(GI23&gt;='Tables - Part 3'!$CY$17,'Tables - Part 3'!$CZ$17,((COF!GI23-COF!KB23)*(INDEX('Tables - Part 3'!$CZ$12:$CZ$17,MATCH(COF!KF23,'Tables - Part 3'!$CY$12:$CY$17,0))-INDEX('Tables - Part 3'!$CZ$12:$CZ$17,MATCH(COF!KB23,'Tables - Part 3'!$CY$12:$CY$17,0)))/(KF23-KB23)+INDEX('Tables - Part 3'!$CZ$12:$CZ$17,MATCH(COF!KB23,'Tables - Part 3'!$CY$12:$CY$17,0)))))))</f>
        <v>#N/A</v>
      </c>
      <c r="LA23" s="151" t="e">
        <f>IF(CA23=$TK$5,'Tables - Part 3'!$DA$6,IF(COF!CA23=COF!$TK$6,IF(COF!GF23&lt;'Tables - Part 3'!$CY$6,'Tables - Part 3'!$DA$6,IF(GF23&gt;='Tables - Part 3'!$CY$11,'Tables - Part 3'!$DA$11,((COF!GF23-COF!JY23)*(INDEX('Tables - Part 3'!$DA$6:$DA$11,MATCH(COF!KC23,'Tables - Part 3'!$CY$6:$CY$11,0))-INDEX('Tables - Part 3'!$DA$6:$DA$11,MATCH(COF!JY23,'Tables - Part 3'!$CY$6:$CY$11,0)))/(KC23-JY23)+INDEX('Tables - Part 3'!$DA$5:$DA$16,MATCH(COF!JY23,'Tables - Part 3'!$CY$6:$CY$11,0)))))))</f>
        <v>#N/A</v>
      </c>
      <c r="LB23" s="151" t="e">
        <f>IF(CB23=$TK$5,'Tables - Part 3'!$DA$6,IF(COF!CB23=COF!$TK$6,IF(COF!GG23&lt;'Tables - Part 3'!$CY$6,'Tables - Part 3'!$DA$6,IF(GG23&gt;='Tables - Part 3'!$CY$11,'Tables - Part 3'!$DA$11,((COF!GG23-COF!JZ23)*(INDEX('Tables - Part 3'!$DA$6:$DA$11,MATCH(COF!KD23,'Tables - Part 3'!$CY$6:$CY$11,0))-INDEX('Tables - Part 3'!$DA$6:$DA$11,MATCH(COF!JZ23,'Tables - Part 3'!$CY$6:$CY$11,0)))/(KD23-JZ23)+INDEX('Tables - Part 3'!$DA$5:$DA$16,MATCH(COF!JZ23,'Tables - Part 3'!$CY$6:$CY$11,0)))))))</f>
        <v>#N/A</v>
      </c>
      <c r="LC23" s="151" t="e">
        <f>IF(CC23=$TK$5,'Tables - Part 3'!$DA$6,IF(COF!CC23=COF!$TK$6,IF(COF!GH23&lt;'Tables - Part 3'!$CY$6,'Tables - Part 3'!$DA$6,IF(GH23&gt;='Tables - Part 3'!$CY$11,'Tables - Part 3'!$DA$11,((COF!GH23-COF!KA23)*(INDEX('Tables - Part 3'!$DA$6:$DA$11,MATCH(COF!KE23,'Tables - Part 3'!$CY$6:$CY$11,0))-INDEX('Tables - Part 3'!$DA$6:$DA$11,MATCH(COF!KA23,'Tables - Part 3'!$CY$6:$CY$11,0)))/(KE23-KA23)+INDEX('Tables - Part 3'!$DA$5:$DA$16,MATCH(COF!KA23,'Tables - Part 3'!$CY$6:$CY$11,0)))))))</f>
        <v>#N/A</v>
      </c>
      <c r="LD23" s="151" t="e">
        <f>IF(CD23=$TK$5,'Tables - Part 3'!$DA$6,IF(COF!CD23=COF!$TK$6,IF(COF!GI23&lt;'Tables - Part 3'!$CY$6,'Tables - Part 3'!$DA$6,IF(GI23&gt;='Tables - Part 3'!$CY$11,'Tables - Part 3'!$DA$11,((COF!GI23-COF!KB23)*(INDEX('Tables - Part 3'!$DA$6:$DA$11,MATCH(COF!KF23,'Tables - Part 3'!$CY$6:$CY$11,0))-INDEX('Tables - Part 3'!$DA$6:$DA$11,MATCH(COF!KB23,'Tables - Part 3'!$CY$6:$CY$11,0)))/(KF23-KB23)+INDEX('Tables - Part 3'!$DA$5:$DA$16,MATCH(COF!KB23,'Tables - Part 3'!$CY$6:$CY$11,0)))))))</f>
        <v>#N/A</v>
      </c>
      <c r="LE23" s="154"/>
      <c r="LF23" s="154"/>
      <c r="LG23" s="154"/>
      <c r="LH23" s="154"/>
      <c r="LI23" s="154"/>
      <c r="LJ23" s="154"/>
      <c r="LK23" s="154"/>
      <c r="LL23" s="151" t="e">
        <f t="shared" si="212"/>
        <v>#N/A</v>
      </c>
      <c r="LM23" s="151" t="e">
        <f t="shared" si="213"/>
        <v>#N/A</v>
      </c>
      <c r="LN23" s="151" t="e">
        <f t="shared" si="214"/>
        <v>#N/A</v>
      </c>
      <c r="LO23" s="151" t="e">
        <f t="shared" si="215"/>
        <v>#N/A</v>
      </c>
      <c r="LP23" s="151">
        <f t="shared" si="106"/>
        <v>0</v>
      </c>
      <c r="LQ23" s="502">
        <f>IF($F23='Tables - Part 3'!$B$17,'Tables - Part 3.B'!$C$11*COF!CJ23,0)</f>
        <v>0</v>
      </c>
      <c r="LR23" s="502">
        <f>IF($F23='Tables - Part 3'!$B$17,'Tables - Part 3.B'!$C$11*COF!CK23,0)</f>
        <v>0</v>
      </c>
      <c r="LS23" s="502">
        <f>IF($F23='Tables - Part 3'!$B$17,'Tables - Part 3.B'!$C$11*COF!CL23,0)</f>
        <v>0</v>
      </c>
      <c r="LT23" s="502">
        <f>IF($F23='Tables - Part 3'!$B$17,'Tables - Part 3.B'!$C$11*COF!CM23,0)</f>
        <v>0</v>
      </c>
      <c r="LU23" s="502">
        <f>IF($F23='Tables - Part 3'!$B$17,'Tables - Part 3.B'!$C$12*POWER(COF!CR23,0.6384),0)</f>
        <v>0</v>
      </c>
      <c r="LV23" s="502">
        <f>IF($F23='Tables - Part 3'!$B$17,'Tables - Part 3.B'!$C$12*POWER(COF!CS23,0.6384),0)</f>
        <v>0</v>
      </c>
      <c r="LW23" s="502">
        <f>IF($F23='Tables - Part 3'!$B$17,'Tables - Part 3.B'!$C$12*POWER(COF!CT23,0.6384),0)</f>
        <v>0</v>
      </c>
      <c r="LX23" s="502">
        <f>IF($F23='Tables - Part 3'!$B$17,'Tables - Part 3.B'!$C$12*POWER(COF!CU23,0.6384),0)</f>
        <v>0</v>
      </c>
      <c r="LY23" s="151" t="e">
        <f>MIN(CJ23/'Tables - Part 3.B'!$C$8,1)</f>
        <v>#N/A</v>
      </c>
      <c r="LZ23" s="151" t="e">
        <f>MIN(CK23/'Tables - Part 3.B'!$C$8,1)</f>
        <v>#N/A</v>
      </c>
      <c r="MA23" s="151" t="e">
        <f>MIN(CL23/'Tables - Part 3.B'!$C$8,1)</f>
        <v>#N/A</v>
      </c>
      <c r="MB23" s="151" t="e">
        <f>MIN(CM23/'Tables - Part 3.B'!$C$8,1)</f>
        <v>#N/A</v>
      </c>
      <c r="MC23" s="151" t="e">
        <f t="shared" si="216"/>
        <v>#N/A</v>
      </c>
      <c r="MD23" s="151" t="e">
        <f t="shared" ref="MD23:MF24" si="287">LV23*LZ23+LR23*(1-LZ23)</f>
        <v>#N/A</v>
      </c>
      <c r="ME23" s="151" t="e">
        <f t="shared" si="287"/>
        <v>#N/A</v>
      </c>
      <c r="MF23" s="151" t="e">
        <f t="shared" si="287"/>
        <v>#N/A</v>
      </c>
      <c r="MG23" s="502">
        <f>IF($F23='Tables - Part 3'!$B$18,0.2*'Tables - Part 3.B'!$C$10*$ML23*POWER('Tables - Part 3.B'!$C$7*CJ23,$MM23),0)</f>
        <v>0</v>
      </c>
      <c r="MH23" s="502">
        <f>IF($F23='Tables - Part 3'!$B$18,0.2*'Tables - Part 3.B'!$C$10*$ML23*POWER('Tables - Part 3.B'!$C$7*CK23,$MM23),0)</f>
        <v>0</v>
      </c>
      <c r="MI23" s="502">
        <f>IF($F23='Tables - Part 3'!$B$18,0.2*'Tables - Part 3.B'!$C$10*$ML23*POWER('Tables - Part 3.B'!$C$7*CL23,$MM23),0)</f>
        <v>0</v>
      </c>
      <c r="MJ23" s="502">
        <f>IF($F23='Tables - Part 3'!$B$18,0.2*'Tables - Part 3.B'!$C$10*$ML23*POWER('Tables - Part 3.B'!$C$7*CM23,$MM23),0)</f>
        <v>0</v>
      </c>
      <c r="MK23" s="151">
        <v>0</v>
      </c>
      <c r="ML23" s="151" t="e">
        <f>2696-21.9*'Tables - Part 3.B'!$C$13*(COF!OO23-COF!$TM$5)+1.474*POWER('Tables - Part 3.B'!$C$13*(COF!OO23-COF!$TM$5),2)</f>
        <v>#VALUE!</v>
      </c>
      <c r="MM23" s="151" t="e">
        <f>0.31-0.00032*POWER('Tables - Part 3.B'!$C$13*(COF!OO23-COF!$TM$5)-40,2)</f>
        <v>#VALUE!</v>
      </c>
      <c r="MN23" s="151">
        <v>0</v>
      </c>
      <c r="MO23" s="151">
        <f t="shared" si="217"/>
        <v>0</v>
      </c>
      <c r="MP23" s="151">
        <f t="shared" ref="MP23:MR24" si="288">MH23</f>
        <v>0</v>
      </c>
      <c r="MQ23" s="151">
        <f t="shared" si="288"/>
        <v>0</v>
      </c>
      <c r="MR23" s="151">
        <f t="shared" si="288"/>
        <v>0</v>
      </c>
      <c r="MS23" s="151" t="e">
        <f t="shared" si="218"/>
        <v>#N/A</v>
      </c>
      <c r="MT23" s="151" t="e">
        <f t="shared" si="219"/>
        <v>#N/A</v>
      </c>
      <c r="MU23" s="151" t="e">
        <f t="shared" si="220"/>
        <v>#N/A</v>
      </c>
      <c r="MV23" s="151" t="e">
        <f t="shared" si="221"/>
        <v>#N/A</v>
      </c>
      <c r="MW23" s="151">
        <f t="shared" si="222"/>
        <v>0</v>
      </c>
      <c r="MX23" s="151">
        <f t="shared" si="223"/>
        <v>0</v>
      </c>
      <c r="MY23" s="151">
        <f t="shared" si="224"/>
        <v>0</v>
      </c>
      <c r="MZ23" s="526">
        <f t="shared" si="109"/>
        <v>0</v>
      </c>
      <c r="NA23" s="151" t="e">
        <f>INDEX('Tables - Part 3'!DQ$5:DQ$32,MATCH($E23,'Tables - Part 3'!$DP$5:$DP$32,0))</f>
        <v>#N/A</v>
      </c>
      <c r="NB23" s="151" t="e">
        <f>INDEX('Tables - Part 3'!DR$5:DR$32,MATCH($E23,'Tables - Part 3'!$DP$5:$DP$32,0))</f>
        <v>#N/A</v>
      </c>
      <c r="NC23" s="151" t="e">
        <f>INDEX('Tables - Part 3'!DS$5:DS$32,MATCH($E23,'Tables - Part 3'!$DP$5:$DP$32,0))</f>
        <v>#N/A</v>
      </c>
      <c r="ND23" s="151" t="e">
        <f>INDEX('Tables - Part 3'!DT$5:DT$32,MATCH($E23,'Tables - Part 3'!$DP$5:$DP$32,0))</f>
        <v>#N/A</v>
      </c>
      <c r="NE23" s="151" t="e">
        <f>IF(W23='Tables - Part 3'!$DV$44,COF!X23,IF(OR(COF!X23&lt;&gt;0,COF!X23&lt;&gt;""),COF!X23,INDEX('Tables - Part 3'!$DW$4:$DW$43,MATCH(COF!W23,'Tables - Part 3'!$DV$4:$DV$43,0))))</f>
        <v>#N/A</v>
      </c>
      <c r="NF23" s="151">
        <f t="shared" si="110"/>
        <v>1</v>
      </c>
      <c r="NG23" s="151" t="e">
        <f t="shared" si="225"/>
        <v>#N/A</v>
      </c>
      <c r="NH23" s="151">
        <f t="shared" si="111"/>
        <v>0</v>
      </c>
      <c r="NI23" s="151" t="e">
        <f>INDEX('Tables - Part 3'!EC$5:EC$31,MATCH(COF!$E23,'Tables - Part 3'!$EB$5:$EB$31,0))</f>
        <v>#N/A</v>
      </c>
      <c r="NJ23" s="151" t="e">
        <f>INDEX('Tables - Part 3'!ED$5:ED$31,MATCH(COF!$E23,'Tables - Part 3'!$EB$5:$EB$31,0))</f>
        <v>#N/A</v>
      </c>
      <c r="NK23" s="151" t="e">
        <f>INDEX('Tables - Part 3'!EE$5:EE$31,MATCH(COF!$E23,'Tables - Part 3'!$EB$5:$EB$31,0))</f>
        <v>#N/A</v>
      </c>
      <c r="NL23" s="151" t="e">
        <f>INDEX('Tables - Part 3'!EF$5:EF$31,MATCH(COF!$E23,'Tables - Part 3'!$EB$5:$EB$31,0))</f>
        <v>#N/A</v>
      </c>
      <c r="NM23" s="151">
        <f t="shared" si="112"/>
        <v>1</v>
      </c>
      <c r="NN23" s="151" t="e">
        <f t="shared" si="226"/>
        <v>#N/A</v>
      </c>
      <c r="NO23" s="151" t="e">
        <f t="shared" si="227"/>
        <v>#NUM!</v>
      </c>
      <c r="NP23" s="151" t="e">
        <f t="shared" si="113"/>
        <v>#N/A</v>
      </c>
      <c r="NQ23" s="151">
        <f t="shared" si="114"/>
        <v>0</v>
      </c>
      <c r="NR23" s="151" t="e">
        <f>INDEX('Tables - Part 3'!$EL$4:$EL$37,MATCH(COF!F23,'Tables - Part 3'!$EH$4:$EH$37,0))</f>
        <v>#N/A</v>
      </c>
      <c r="NS23" s="151" t="e">
        <f>CR23*(1-$NR23)*'Tables - Part 3.B'!$C$15/COF!$AS23</f>
        <v>#N/A</v>
      </c>
      <c r="NT23" s="151" t="e">
        <f>CS23*(1-$NR23)*'Tables - Part 3.B'!$C$15/COF!$AS23</f>
        <v>#N/A</v>
      </c>
      <c r="NU23" s="151" t="e">
        <f>CT23*(1-$NR23)*'Tables - Part 3.B'!$C$15/COF!$AS23</f>
        <v>#N/A</v>
      </c>
      <c r="NV23" s="151" t="e">
        <f>CU23*(1-$NR23)*'Tables - Part 3.B'!$C$15/COF!$AS23</f>
        <v>#N/A</v>
      </c>
      <c r="NW23" s="151" t="e">
        <f t="shared" si="115"/>
        <v>#N/A</v>
      </c>
      <c r="NX23" s="542">
        <f t="shared" si="116"/>
        <v>0</v>
      </c>
      <c r="NY23" s="156" t="e">
        <f>0.61*$ON23*$AS23*(BM23/'Tables - Part 3.B'!$C$4)*SQRT((2*$TM$13*($OO23-$TM$5)/$AS23))</f>
        <v>#N/A</v>
      </c>
      <c r="NZ23" s="155" t="e">
        <f>0.61*$ON23*$AS23*(BN23/'Tables - Part 3.B'!$C$4)*SQRT((2*$TM$13*($OO23-$TM$5)/$AS23))</f>
        <v>#N/A</v>
      </c>
      <c r="OA23" s="155" t="e">
        <f>0.61*$ON23*$AS23*(BO23/'Tables - Part 3.B'!$C$4)*SQRT((2*$TM$13*($OO23-$TM$5)/$AS23))</f>
        <v>#N/A</v>
      </c>
      <c r="OB23" s="155" t="e">
        <f>0.61*$ON23*$AS23*(BP23/'Tables - Part 3.B'!$C$4)*SQRT((2*$TM$13*($OO23-$TM$5)/$AS23))</f>
        <v>#N/A</v>
      </c>
      <c r="OC23" s="155" t="e">
        <f>0.61*$ON23*AS23*(32450/'Tables - Part 3.B'!$C$4)*SQRT((2*$TM$13*(OO23-$TM$5)/AS23))</f>
        <v>#N/A</v>
      </c>
      <c r="OD23" s="156" t="e">
        <f>(0.9/'Tables - Part 3.B'!$C$5)*BM23*$OO23*SQRT(($AV23*$AU23*$TM$13/(8.314*$OP23))*POWER(2/($AV23+1),(($AV23+1)/($AV23-1))))</f>
        <v>#VALUE!</v>
      </c>
      <c r="OE23" s="156" t="e">
        <f>(0.9/'Tables - Part 3.B'!$C$5)*BN23*$OO23*SQRT(($AV23*$AU23*$TM$13/(8.314*$OP23))*POWER(2/($AV23+1),(($AV23+1)/($AV23-1))))</f>
        <v>#VALUE!</v>
      </c>
      <c r="OF23" s="156" t="e">
        <f>(0.9/'Tables - Part 3.B'!$C$5)*BO23*$OO23*SQRT(($AV23*$AU23*$TM$13/(8.314*$OP23))*POWER(2/($AV23+1),(($AV23+1)/($AV23-1))))</f>
        <v>#VALUE!</v>
      </c>
      <c r="OG23" s="156" t="e">
        <f>(0.9/'Tables - Part 3.B'!$C$5)*BP23*$OO23*SQRT(($AV23*$AU23*$TM$13/(8.314*$OP23))*POWER(2/($AV23+1),(($AV23+1)/($AV23-1))))</f>
        <v>#VALUE!</v>
      </c>
      <c r="OH23" s="156" t="e">
        <f>(0.9/'Tables - Part 3.B'!$C$5)*32450*$OO23*SQRT(($AV23*$AU23*$TM$13/(8.314*$OP23))*POWER(2/($AV23+1),(($AV23+1)/($AV23-1))))</f>
        <v>#VALUE!</v>
      </c>
      <c r="OI23" s="156" t="e">
        <f>(0.9/'Tables - Part 3.B'!$C$5)*BM23*$OO23*SQRT((($AU23*$TM$13)/(8.314*$OP23))*((2*$AV23)/($AV23-1))*POWER(($TM$5/$OO23),(2/$AV23))*(1-POWER(($TM$5/$OO23),(($AV23-1)/$AV23))))</f>
        <v>#VALUE!</v>
      </c>
      <c r="OJ23" s="156" t="e">
        <f>(0.9/'Tables - Part 3.B'!$C$5)*BN23*$OO23*SQRT((($AU23*$TM$13)/(8.314*$OP23))*((2*$AV23)/($AV23-1))*POWER(($TM$5/$OO23),(2/$AV23))*(1-POWER(($TM$5/$OO23),(($AV23-1)/$AV23))))</f>
        <v>#VALUE!</v>
      </c>
      <c r="OK23" s="156" t="e">
        <f>(0.9/'Tables - Part 3.B'!$C$5)*BO23*$OO23*SQRT((($AU23*$TM$13)/(8.314*$OP23))*((2*$AV23)/($AV23-1))*POWER(($TM$5/$OO23),(2/$AV23))*(1-POWER(($TM$5/$OO23),(($AV23-1)/$AV23))))</f>
        <v>#VALUE!</v>
      </c>
      <c r="OL23" s="156" t="e">
        <f>(0.9/'Tables - Part 3.B'!$C$5)*BP23*$OO23*SQRT((($AU23*$TM$13)/(8.314*$OP23))*((2*$AV23)/($AV23-1))*POWER(($TM$5/$OO23),(2/$AV23))*(1-POWER(($TM$5/$OO23),(($AV23-1)/$AV23))))</f>
        <v>#VALUE!</v>
      </c>
      <c r="OM23" s="156" t="e">
        <f>(0.9/'Tables - Part 3.B'!$C$5)*32450*$OO23*SQRT((($AU23*$TM$13)/(8.314*$OP23))*((2*$AV23)/($AV23-1))*POWER(($TM$5/$OO23),(2/$AV23))*(1-POWER(($TM$5/$OO23),(($AV23-1)/$AV23))))</f>
        <v>#VALUE!</v>
      </c>
      <c r="ON23" s="156">
        <f t="shared" si="117"/>
        <v>1</v>
      </c>
      <c r="OO23" s="157" t="str">
        <f t="shared" si="118"/>
        <v/>
      </c>
      <c r="OP23" s="157" t="str">
        <f t="shared" si="119"/>
        <v/>
      </c>
      <c r="OQ23" s="158" t="e">
        <f t="shared" si="228"/>
        <v>#N/A</v>
      </c>
      <c r="OR23" s="158" t="e">
        <f>INDEX('Tables - Part 3'!$F$4:$R$35,MATCH(COF!$F23,'Tables - Part 3'!$F$4:$F$35,0),COUNTA('Tables - Part 3'!$F$3:$K$3))</f>
        <v>#N/A</v>
      </c>
      <c r="OS23" s="158" t="e">
        <f t="shared" si="229"/>
        <v>#N/A</v>
      </c>
      <c r="OT23" s="158" t="e">
        <f t="shared" si="230"/>
        <v>#N/A</v>
      </c>
      <c r="OU23" s="158" t="e">
        <f t="shared" si="231"/>
        <v>#N/A</v>
      </c>
      <c r="OV23" s="159" t="e">
        <f>INDEX('Tables - Part 3'!$M$4:$Q$35,MATCH(COF!$F23,'Tables - Part 3'!$F$4:$F$35,0),COUNTA('Tables - Part 3'!$M$3))</f>
        <v>#N/A</v>
      </c>
      <c r="OW23" s="159" t="e">
        <f>INDEX('Tables - Part 3'!$M$4:$Q$35,MATCH(COF!$F23,'Tables - Part 3'!$F$4:$F$35,0),COUNTA('Tables - Part 3'!$M$3:$N$3))</f>
        <v>#N/A</v>
      </c>
      <c r="OX23" s="159" t="e">
        <f>INDEX('Tables - Part 3'!$M$4:$Q$35,MATCH(COF!$F23,'Tables - Part 3'!$F$4:$F$35,0),COUNTA('Tables - Part 3'!$M$3:$O$3))</f>
        <v>#N/A</v>
      </c>
      <c r="OY23" s="159" t="e">
        <f>INDEX('Tables - Part 3'!$M$4:$Q$35,MATCH(COF!$F23,'Tables - Part 3'!$F$4:$F$35,0),COUNTA('Tables - Part 3'!$M$3:$P$3))</f>
        <v>#N/A</v>
      </c>
      <c r="OZ23" s="160" t="e">
        <f>INDEX('Tables - Part 3'!$M$4:$Q$35,MATCH(COF!$F23,'Tables - Part 3'!$F$4:$F$35,0),COUNTA('Tables - Part 3'!$M$3:$Q$3))</f>
        <v>#N/A</v>
      </c>
      <c r="PA23" s="162" t="e">
        <f>INDEX('Tables - Part 3'!$I$4:$I$35,MATCH(COF!$F23,'Tables - Part 3'!$F$4:$F$35,0))</f>
        <v>#N/A</v>
      </c>
      <c r="PB23" s="158" t="e">
        <f t="shared" si="120"/>
        <v>#N/A</v>
      </c>
      <c r="PC23" s="158" t="str">
        <f t="shared" si="121"/>
        <v/>
      </c>
      <c r="PD23" s="158" t="e">
        <f>INDEX('Tables - Part 3'!AW$7:AW$31,MATCH(COF!$F23,'Tables - Part 3'!$AU$7:$AU$31,0),1)</f>
        <v>#N/A</v>
      </c>
      <c r="PE23" s="158" t="e">
        <f>INDEX('Tables - Part 3'!AX$7:AX$31,MATCH(COF!$F23,'Tables - Part 3'!$AU$7:$AU$31,0),1)</f>
        <v>#N/A</v>
      </c>
      <c r="PF23" s="158" t="e">
        <f>INDEX('Tables - Part 3'!AY$7:AY$31,MATCH(COF!$F23,'Tables - Part 3'!$AU$7:$AU$31,0),1)</f>
        <v>#N/A</v>
      </c>
      <c r="PG23" s="158" t="e">
        <f>INDEX('Tables - Part 3'!AZ$7:AZ$31,MATCH(COF!$F23,'Tables - Part 3'!$AU$7:$AU$31,0),1)</f>
        <v>#N/A</v>
      </c>
      <c r="PH23" s="158" t="e">
        <f>INDEX('Tables - Part 3'!BA$7:BA$31,MATCH(COF!$F23,'Tables - Part 3'!$AU$7:$AU$31,0),1)</f>
        <v>#N/A</v>
      </c>
      <c r="PI23" s="158" t="e">
        <f>INDEX('Tables - Part 3'!BB$7:BB$31,MATCH(COF!$F23,'Tables - Part 3'!$AU$7:$AU$31,0),1)</f>
        <v>#N/A</v>
      </c>
      <c r="PJ23" s="158" t="e">
        <f>INDEX('Tables - Part 3'!BC$7:BC$31,MATCH(COF!$F23,'Tables - Part 3'!$AU$7:$AU$31,0),1)</f>
        <v>#N/A</v>
      </c>
      <c r="PK23" s="158" t="e">
        <f>INDEX('Tables - Part 3'!BD$7:BD$31,MATCH(COF!$F23,'Tables - Part 3'!$AU$7:$AU$31,0),1)</f>
        <v>#N/A</v>
      </c>
      <c r="PL23" s="158" t="e">
        <f>INDEX('Tables - Part 3'!BE$7:BE$31,MATCH(COF!$F23,'Tables - Part 3'!$AU$7:$AU$31,0),1)</f>
        <v>#N/A</v>
      </c>
      <c r="PM23" s="158" t="e">
        <f>INDEX('Tables - Part 3'!BF$7:BF$31,MATCH(COF!$F23,'Tables - Part 3'!$AU$7:$AU$31,0),1)</f>
        <v>#N/A</v>
      </c>
      <c r="PN23" s="158" t="e">
        <f>INDEX('Tables - Part 3'!BG$7:BG$31,MATCH(COF!$F23,'Tables - Part 3'!$AU$7:$AU$31,0),1)</f>
        <v>#N/A</v>
      </c>
      <c r="PO23" s="158" t="e">
        <f>INDEX('Tables - Part 3'!BH$7:BH$31,MATCH(COF!$F23,'Tables - Part 3'!$AU$7:$AU$31,0),1)</f>
        <v>#N/A</v>
      </c>
      <c r="PP23" s="158" t="e">
        <f>INDEX('Tables - Part 3'!BI$7:BI$31,MATCH(COF!$F23,'Tables - Part 3'!$AU$7:$AU$31,0),1)</f>
        <v>#N/A</v>
      </c>
      <c r="PQ23" s="158" t="e">
        <f>INDEX('Tables - Part 3'!BJ$7:BJ$31,MATCH(COF!$F23,'Tables - Part 3'!$AU$7:$AU$31,0),1)</f>
        <v>#N/A</v>
      </c>
      <c r="PR23" s="158" t="e">
        <f>INDEX('Tables - Part 3'!BK$7:BK$31,MATCH(COF!$F23,'Tables - Part 3'!$AU$7:$AU$31,0),1)</f>
        <v>#N/A</v>
      </c>
      <c r="PS23" s="158" t="e">
        <f>INDEX('Tables - Part 3'!BL$7:BL$31,MATCH(COF!$F23,'Tables - Part 3'!$AU$7:$AU$31,0),1)</f>
        <v>#N/A</v>
      </c>
      <c r="PT23" s="158" t="e">
        <f>INDEX('Tables - Part 3'!BP$7:BP$31,MATCH(COF!$F23,'Tables - Part 3'!$AU$7:$AU$31,0),1)</f>
        <v>#N/A</v>
      </c>
      <c r="PU23" s="158" t="e">
        <f>INDEX('Tables - Part 3'!BQ$7:BQ$31,MATCH(COF!$F23,'Tables - Part 3'!$AU$7:$AU$31,0),1)</f>
        <v>#N/A</v>
      </c>
      <c r="PV23" s="158" t="e">
        <f>INDEX('Tables - Part 3'!BR$7:BR$31,MATCH(COF!$F23,'Tables - Part 3'!$AU$7:$AU$31,0),1)</f>
        <v>#N/A</v>
      </c>
      <c r="PW23" s="158" t="e">
        <f>INDEX('Tables - Part 3'!BS$7:BS$31,MATCH(COF!$F23,'Tables - Part 3'!$AU$7:$AU$31,0),1)</f>
        <v>#N/A</v>
      </c>
      <c r="PX23" s="158" t="e">
        <f>INDEX('Tables - Part 3'!BT$7:BT$31,MATCH(COF!$F23,'Tables - Part 3'!$AU$7:$AU$31,0),1)</f>
        <v>#N/A</v>
      </c>
      <c r="PY23" s="158" t="e">
        <f>INDEX('Tables - Part 3'!BU$7:BU$31,MATCH(COF!$F23,'Tables - Part 3'!$AU$7:$AU$31,0),1)</f>
        <v>#N/A</v>
      </c>
      <c r="PZ23" s="158" t="e">
        <f>INDEX('Tables - Part 3'!BV$7:BV$31,MATCH(COF!$F23,'Tables - Part 3'!$AU$7:$AU$31,0),1)</f>
        <v>#N/A</v>
      </c>
      <c r="QA23" s="158" t="e">
        <f>INDEX('Tables - Part 3'!BW$7:BW$31,MATCH(COF!$F23,'Tables - Part 3'!$AU$7:$AU$31,0),1)</f>
        <v>#N/A</v>
      </c>
      <c r="QB23" s="158" t="e">
        <f>INDEX('Tables - Part 3'!BX$7:BX$31,MATCH(COF!$F23,'Tables - Part 3'!$AU$7:$AU$31,0),1)</f>
        <v>#N/A</v>
      </c>
      <c r="QC23" s="158" t="e">
        <f>INDEX('Tables - Part 3'!BY$7:BY$31,MATCH(COF!$F23,'Tables - Part 3'!$AU$7:$AU$31,0),1)</f>
        <v>#N/A</v>
      </c>
      <c r="QD23" s="158" t="e">
        <f>INDEX('Tables - Part 3'!BZ$7:BZ$31,MATCH(COF!$F23,'Tables - Part 3'!$AU$7:$AU$31,0),1)</f>
        <v>#N/A</v>
      </c>
      <c r="QE23" s="158" t="e">
        <f>INDEX('Tables - Part 3'!CA$7:CA$31,MATCH(COF!$F23,'Tables - Part 3'!$AU$7:$AU$31,0),1)</f>
        <v>#N/A</v>
      </c>
      <c r="QF23" s="158" t="e">
        <f>INDEX('Tables - Part 3'!CB$7:CB$31,MATCH(COF!$F23,'Tables - Part 3'!$AU$7:$AU$31,0),1)</f>
        <v>#N/A</v>
      </c>
      <c r="QG23" s="158" t="e">
        <f>INDEX('Tables - Part 3'!CC$7:CC$31,MATCH(COF!$F23,'Tables - Part 3'!$AU$7:$AU$31,0),1)</f>
        <v>#N/A</v>
      </c>
      <c r="QH23" s="158" t="e">
        <f>INDEX('Tables - Part 3'!CD$7:CD$31,MATCH(COF!$F23,'Tables - Part 3'!$AU$7:$AU$31,0),1)</f>
        <v>#N/A</v>
      </c>
      <c r="QI23" s="158" t="e">
        <f>INDEX('Tables - Part 3'!CE$7:CE$31,MATCH(COF!$F23,'Tables - Part 3'!$AU$7:$AU$31,0),1)</f>
        <v>#N/A</v>
      </c>
      <c r="QJ23" s="151">
        <f>'Tables - Part 5'!$R$4</f>
        <v>3.1749999999999998</v>
      </c>
      <c r="QK23" s="151">
        <f>'Tables - Part 5'!$R$5</f>
        <v>6.35</v>
      </c>
      <c r="QL23" s="151">
        <f>'Tables - Part 5'!$R$6</f>
        <v>50.8</v>
      </c>
      <c r="QM23" s="151">
        <f t="shared" si="122"/>
        <v>0</v>
      </c>
      <c r="QN23" s="151">
        <f t="shared" si="232"/>
        <v>7.9173043608984015</v>
      </c>
      <c r="QO23" s="151">
        <f t="shared" si="233"/>
        <v>31.669217443593606</v>
      </c>
      <c r="QP23" s="151">
        <f t="shared" si="234"/>
        <v>2026.8299163899908</v>
      </c>
      <c r="QQ23" s="151">
        <f t="shared" si="235"/>
        <v>0</v>
      </c>
      <c r="QR23" s="151">
        <f t="shared" si="236"/>
        <v>0</v>
      </c>
      <c r="QS23" s="151">
        <f>'Tables - Part 3.B'!$C$34*0.61*QN23*SQRT(2*$TM$15*QR23)</f>
        <v>0</v>
      </c>
      <c r="QT23" s="151">
        <f>'Tables - Part 3.B'!$C$34*0.61*QO23*SQRT(2*$TM$15*QS23)</f>
        <v>0</v>
      </c>
      <c r="QU23" s="151">
        <f>'Tables - Part 3.B'!$C$34*0.61*QP23*SQRT(2*$TM$15*QT23)</f>
        <v>0</v>
      </c>
      <c r="QV23" s="151">
        <f>'Tables - Part 3.B'!$C$34*0.61*QQ23*SQRT(2*$TM$15*QU23)</f>
        <v>0</v>
      </c>
      <c r="QW23" s="151">
        <f t="shared" si="237"/>
        <v>0</v>
      </c>
      <c r="QX23" s="151">
        <f t="shared" si="238"/>
        <v>0</v>
      </c>
      <c r="QY23" s="151">
        <f t="shared" si="239"/>
        <v>0</v>
      </c>
      <c r="QZ23" s="151">
        <f t="shared" si="240"/>
        <v>0</v>
      </c>
      <c r="RA23" s="151">
        <f t="shared" si="241"/>
        <v>0</v>
      </c>
      <c r="RB23" s="151">
        <f>QX23*'Tables - Part 3.B'!$C$15</f>
        <v>0</v>
      </c>
      <c r="RC23" s="151">
        <f>QY23*'Tables - Part 3.B'!$C$15</f>
        <v>0</v>
      </c>
      <c r="RD23" s="151">
        <f>QZ23*'Tables - Part 3.B'!$C$15</f>
        <v>0</v>
      </c>
      <c r="RE23" s="151">
        <f>RA23*'Tables - Part 3.B'!$C$15</f>
        <v>0</v>
      </c>
      <c r="RF23" s="151" t="e">
        <f t="shared" si="242"/>
        <v>#N/A</v>
      </c>
      <c r="RG23" s="151" t="e">
        <f t="shared" si="243"/>
        <v>#N/A</v>
      </c>
      <c r="RH23" s="151" t="e">
        <f t="shared" si="244"/>
        <v>#N/A</v>
      </c>
      <c r="RI23" s="151" t="e">
        <f t="shared" si="245"/>
        <v>#N/A</v>
      </c>
      <c r="RJ23" s="151">
        <f t="shared" si="246"/>
        <v>0</v>
      </c>
      <c r="RK23" s="151">
        <f t="shared" si="247"/>
        <v>0</v>
      </c>
      <c r="RL23" s="151">
        <f t="shared" si="248"/>
        <v>0</v>
      </c>
      <c r="RM23" s="151">
        <f t="shared" si="249"/>
        <v>0</v>
      </c>
      <c r="RN23" s="151">
        <v>7</v>
      </c>
      <c r="RO23" s="151">
        <v>1</v>
      </c>
      <c r="RP23" s="151">
        <v>1</v>
      </c>
      <c r="RQ23" s="151">
        <v>1</v>
      </c>
      <c r="RR23" s="151" t="e">
        <f t="shared" si="250"/>
        <v>#DIV/0!</v>
      </c>
      <c r="RS23" s="151" t="e">
        <f t="shared" si="251"/>
        <v>#DIV/0!</v>
      </c>
      <c r="RT23" s="151" t="e">
        <f t="shared" si="252"/>
        <v>#DIV/0!</v>
      </c>
      <c r="RU23" s="151" t="e">
        <f t="shared" si="253"/>
        <v>#DIV/0!</v>
      </c>
      <c r="RV23" s="151" t="e">
        <f t="shared" si="254"/>
        <v>#DIV/0!</v>
      </c>
      <c r="RW23" s="151" t="e">
        <f t="shared" si="255"/>
        <v>#DIV/0!</v>
      </c>
      <c r="RX23" s="151" t="e">
        <f t="shared" si="256"/>
        <v>#DIV/0!</v>
      </c>
      <c r="RY23" s="151" t="e">
        <f t="shared" si="257"/>
        <v>#DIV/0!</v>
      </c>
      <c r="RZ23" s="151" t="e">
        <f t="shared" si="258"/>
        <v>#DIV/0!</v>
      </c>
      <c r="SA23" s="151" t="e">
        <f t="shared" si="259"/>
        <v>#DIV/0!</v>
      </c>
      <c r="SB23" s="151" t="e">
        <f t="shared" si="260"/>
        <v>#DIV/0!</v>
      </c>
      <c r="SC23" s="151" t="e">
        <f t="shared" si="261"/>
        <v>#DIV/0!</v>
      </c>
      <c r="SD23" s="151">
        <f t="shared" si="262"/>
        <v>0</v>
      </c>
      <c r="SE23" s="151">
        <f t="shared" si="263"/>
        <v>0</v>
      </c>
      <c r="SF23" s="151">
        <f t="shared" si="264"/>
        <v>0</v>
      </c>
      <c r="SG23" s="151">
        <f t="shared" si="265"/>
        <v>0</v>
      </c>
      <c r="SH23" s="151">
        <f t="shared" si="266"/>
        <v>0</v>
      </c>
      <c r="SI23" s="151">
        <f t="shared" si="267"/>
        <v>0</v>
      </c>
      <c r="SJ23" s="151">
        <f t="shared" si="268"/>
        <v>0</v>
      </c>
      <c r="SK23" s="151">
        <f t="shared" si="269"/>
        <v>0</v>
      </c>
      <c r="SL23" s="542"/>
      <c r="SM23" s="542"/>
      <c r="SN23" s="542"/>
      <c r="SO23" s="151"/>
      <c r="SP23" s="151"/>
      <c r="SQ23" s="151"/>
      <c r="SR23" s="151"/>
      <c r="SS23" s="151"/>
      <c r="ST23" s="151"/>
      <c r="SU23" s="151"/>
      <c r="SV23" s="151"/>
      <c r="SW23" s="151"/>
      <c r="SX23" s="151"/>
      <c r="SY23" s="151"/>
      <c r="SZ23" s="151"/>
      <c r="TA23" s="151"/>
      <c r="TB23" s="151"/>
      <c r="TC23" s="151"/>
      <c r="TD23" s="151"/>
      <c r="TE23" s="542"/>
    </row>
    <row r="24" spans="2:537" ht="15" thickBot="1" x14ac:dyDescent="0.4">
      <c r="B24" s="161"/>
      <c r="C24" s="161"/>
      <c r="D24" s="161"/>
      <c r="E24" s="161"/>
      <c r="F24" s="161"/>
      <c r="G24" s="161"/>
      <c r="H24" s="537"/>
      <c r="I24" s="161"/>
      <c r="J24" s="161"/>
      <c r="K24" s="161"/>
      <c r="L24" s="161"/>
      <c r="M24" s="161"/>
      <c r="N24" s="161"/>
      <c r="O24" s="161"/>
      <c r="P24" s="161"/>
      <c r="Q24" s="161"/>
      <c r="R24" s="161"/>
      <c r="S24" s="161"/>
      <c r="T24" s="161"/>
      <c r="U24" s="161"/>
      <c r="V24" s="161"/>
      <c r="W24" s="161"/>
      <c r="X24" s="537"/>
      <c r="Y24" s="537"/>
      <c r="Z24" s="399"/>
      <c r="AA24" s="537"/>
      <c r="AB24" s="399"/>
      <c r="AC24" s="399"/>
      <c r="AD24" s="399"/>
      <c r="AE24" s="399"/>
      <c r="AF24" s="399"/>
      <c r="AG24" s="399"/>
      <c r="AH24" s="399"/>
      <c r="AI24" s="399"/>
      <c r="AJ24" s="399"/>
      <c r="AK24" s="399"/>
      <c r="AL24" s="399"/>
      <c r="AM24" s="399"/>
      <c r="AN24" s="399"/>
      <c r="AO24" s="399"/>
      <c r="AP24" s="399"/>
      <c r="AQ24" s="151" t="e">
        <f>INDEX('Tables - Part 3'!$J$4:$J$35,MATCH(COF!$F24,'Tables - Part 3'!$F$4:$F$35,0),1)</f>
        <v>#N/A</v>
      </c>
      <c r="AR24" s="151" t="e">
        <f>IF($G24=$TH$7,'Tables - Part 3'!$W$4,IF(AND($AQ24=$TH$7,COF!$PA24&lt;26.67),'Tables - Part 3'!$W$4,'Tables - Part 3'!$W$7))</f>
        <v>#N/A</v>
      </c>
      <c r="AS24" s="150" t="e">
        <f>INDEX('Tables - Part 3'!$F$4:$R$35,MATCH(COF!$F24,'Tables - Part 3'!$F$4:$F$35,0),COUNTA('Tables - Part 3'!$F$3:$H$3))</f>
        <v>#N/A</v>
      </c>
      <c r="AT24" s="279" t="e">
        <f t="shared" si="6"/>
        <v>#VALUE!</v>
      </c>
      <c r="AU24" s="151" t="e">
        <f>INDEX('Tables - Part 3'!$F$4:$R$35,MATCH(COF!$F24,'Tables - Part 3'!$F$4:$F$35,0),COUNTA('Tables - Part 3'!$F$3:$G$3))</f>
        <v>#N/A</v>
      </c>
      <c r="AV24" s="151" t="e">
        <f t="shared" si="131"/>
        <v>#N/A</v>
      </c>
      <c r="AW24" s="151" t="e">
        <f t="shared" si="7"/>
        <v>#N/A</v>
      </c>
      <c r="AX24" s="151" t="e">
        <f>INDEX('Tables - Part 3'!$F$4:$R$35,MATCH(COF!$F24,'Tables - Part 3'!$F$4:$F$35,0),COUNTA('Tables - Part 3'!$F$3:$R$3))+273.15</f>
        <v>#N/A</v>
      </c>
      <c r="AY24" s="151">
        <f t="shared" si="8"/>
        <v>0</v>
      </c>
      <c r="AZ24" s="151" t="e">
        <f t="shared" si="9"/>
        <v>#N/A</v>
      </c>
      <c r="BA24" s="151" t="e">
        <f t="shared" si="132"/>
        <v>#N/A</v>
      </c>
      <c r="BB24" s="151" t="e">
        <f t="shared" si="133"/>
        <v>#N/A</v>
      </c>
      <c r="BC24" s="151" t="e">
        <f t="shared" si="134"/>
        <v>#N/A</v>
      </c>
      <c r="BD24" s="151" t="e">
        <f t="shared" si="135"/>
        <v>#N/A</v>
      </c>
      <c r="BE24" s="151" t="e">
        <f t="shared" si="10"/>
        <v>#N/A</v>
      </c>
      <c r="BF24" s="151" t="e">
        <f t="shared" si="11"/>
        <v>#N/A</v>
      </c>
      <c r="BG24" s="151" t="e">
        <f t="shared" si="12"/>
        <v>#N/A</v>
      </c>
      <c r="BH24" s="151" t="e">
        <f t="shared" si="13"/>
        <v>#N/A</v>
      </c>
      <c r="BI24" s="151">
        <f>'Tables - Part 3'!$AD$4</f>
        <v>6.4</v>
      </c>
      <c r="BJ24" s="151">
        <f>MIN(O24,'Tables - Part 3'!$AD$5)</f>
        <v>25</v>
      </c>
      <c r="BK24" s="151">
        <f>MIN(O24,'Tables - Part 3'!$AD$6)</f>
        <v>102</v>
      </c>
      <c r="BL24" s="151">
        <f>MIN(O24,'Tables - Part 3'!$AD$7)</f>
        <v>406</v>
      </c>
      <c r="BM24" s="151">
        <f t="shared" si="136"/>
        <v>32.169908772759484</v>
      </c>
      <c r="BN24" s="151">
        <f t="shared" si="137"/>
        <v>490.87385212340519</v>
      </c>
      <c r="BO24" s="151">
        <f t="shared" si="138"/>
        <v>8171.2824919870518</v>
      </c>
      <c r="BP24" s="151">
        <f t="shared" si="139"/>
        <v>129461.89166178179</v>
      </c>
      <c r="BQ24" s="151" t="e">
        <f>INDEX('Tables - Part 2'!$D$5:$G$30,MATCH(COF!$E24,'Tables - Part 2'!$C$5:$C$30,0),1)</f>
        <v>#N/A</v>
      </c>
      <c r="BR24" s="151" t="e">
        <f>INDEX('Tables - Part 2'!$D$5:$G$30,MATCH(COF!$E24,'Tables - Part 2'!$C$5:$C$30,0),2)</f>
        <v>#N/A</v>
      </c>
      <c r="BS24" s="151" t="e">
        <f>INDEX('Tables - Part 2'!$D$5:$G$30,MATCH(COF!$E24,'Tables - Part 2'!$C$5:$C$30,0),3)</f>
        <v>#N/A</v>
      </c>
      <c r="BT24" s="151" t="e">
        <f>INDEX('Tables - Part 2'!$D$5:$G$30,MATCH(COF!$E24,'Tables - Part 2'!$C$5:$C$30,0),4)</f>
        <v>#N/A</v>
      </c>
      <c r="BU24" s="151" t="e">
        <f t="shared" si="140"/>
        <v>#N/A</v>
      </c>
      <c r="BV24" s="151" t="e">
        <f t="shared" si="141"/>
        <v>#N/A</v>
      </c>
      <c r="BW24" s="151" t="e">
        <f t="shared" si="142"/>
        <v>#N/A</v>
      </c>
      <c r="BX24" s="151" t="e">
        <f t="shared" si="143"/>
        <v>#N/A</v>
      </c>
      <c r="BY24" s="502" t="e">
        <f t="shared" si="144"/>
        <v>#N/A</v>
      </c>
      <c r="BZ24" s="502" t="e">
        <f t="shared" si="145"/>
        <v>#N/A</v>
      </c>
      <c r="CA24" s="151" t="e">
        <f>IF(OR(BI24&lt;='Tables - Part 3'!$AD$4,BE24&lt;='Tables - Part 3.B'!$C$6,BV24&lt;=25.22),COF!$TK$6,COF!$TK$5)</f>
        <v>#N/A</v>
      </c>
      <c r="CB24" s="151" t="e">
        <f>IF(OR(BJ24&lt;='Tables - Part 3'!$AD$4,BF24&lt;='Tables - Part 3.B'!$C$6,BW24&lt;=25.22),COF!$TK$6,COF!$TK$5)</f>
        <v>#N/A</v>
      </c>
      <c r="CC24" s="151" t="e">
        <f>IF(OR(BK24&lt;='Tables - Part 3'!$AD$4,BG24&lt;='Tables - Part 3.B'!$C$6,BX24&lt;=25.22),COF!$TK$6,COF!$TK$5)</f>
        <v>#N/A</v>
      </c>
      <c r="CD24" s="151" t="e">
        <f>IF(OR(BL24&lt;='Tables - Part 3'!$AD$4,BH24&lt;='Tables - Part 3.B'!$C$6,BY24&lt;=25.22),COF!$TK$6,COF!$TK$5)</f>
        <v>#N/A</v>
      </c>
      <c r="CE24" s="151" t="str">
        <f t="shared" si="146"/>
        <v/>
      </c>
      <c r="CF24" s="151" t="e">
        <f>INDEX('Tables - Part 3'!$AR$4:$AR$12,MATCH(COF!$PC24,'Tables - Part 3'!$AP$4:$AP$12,0),1)</f>
        <v>#N/A</v>
      </c>
      <c r="CG24" s="151" t="e">
        <f>INDEX('Tables - Part 3'!$AR$13:$AR$21,MATCH(COF!$PC24,'Tables - Part 3'!$AP$13:$AP$21,0),1)</f>
        <v>#N/A</v>
      </c>
      <c r="CH24" s="151" t="e">
        <f>INDEX('Tables - Part 3'!$AR$22:$AR$30,MATCH(COF!$PC24,'Tables - Part 3'!$AP$22:$AP$30,0),1)</f>
        <v>#N/A</v>
      </c>
      <c r="CI24" s="151" t="e">
        <f>INDEX('Tables - Part 3'!$AR$22:$AR$30,MATCH(COF!$PC24,'Tables - Part 3'!$AP$22:$AP$30,0),1)</f>
        <v>#N/A</v>
      </c>
      <c r="CJ24" s="151" t="e">
        <f t="shared" si="147"/>
        <v>#N/A</v>
      </c>
      <c r="CK24" s="151" t="e">
        <f t="shared" si="148"/>
        <v>#N/A</v>
      </c>
      <c r="CL24" s="151" t="e">
        <f t="shared" si="149"/>
        <v>#N/A</v>
      </c>
      <c r="CM24" s="151" t="e">
        <f t="shared" si="150"/>
        <v>#N/A</v>
      </c>
      <c r="CN24" s="151" t="e">
        <f t="shared" si="151"/>
        <v>#N/A</v>
      </c>
      <c r="CO24" s="151" t="e">
        <f t="shared" si="152"/>
        <v>#N/A</v>
      </c>
      <c r="CP24" s="151" t="e">
        <f t="shared" si="153"/>
        <v>#N/A</v>
      </c>
      <c r="CQ24" s="151" t="e">
        <f t="shared" si="154"/>
        <v>#N/A</v>
      </c>
      <c r="CR24" s="151" t="e">
        <f t="shared" si="155"/>
        <v>#N/A</v>
      </c>
      <c r="CS24" s="151" t="e">
        <f t="shared" si="156"/>
        <v>#N/A</v>
      </c>
      <c r="CT24" s="151" t="e">
        <f t="shared" si="157"/>
        <v>#N/A</v>
      </c>
      <c r="CU24" s="151" t="e">
        <f t="shared" si="158"/>
        <v>#N/A</v>
      </c>
      <c r="CV24" s="151" t="e">
        <f>INDEX('Tables - Part 3'!$CI$4:$CI$8,MATCH(COF!V24,'Tables - Part 3'!$CG$4:$CG$8,0),1)</f>
        <v>#N/A</v>
      </c>
      <c r="CW24" s="502" t="e">
        <f>IF(CR24&gt;'Tables - Part 3.B'!$C$6,4*LOG10('Tables - Part 3.B'!$C$7*CR24)-15,1)</f>
        <v>#N/A</v>
      </c>
      <c r="CX24" s="502" t="e">
        <f>IF(CS24&gt;'Tables - Part 3.B'!$C$6,4*LOG10('Tables - Part 3.B'!$C$7*CS24)-15,1)</f>
        <v>#N/A</v>
      </c>
      <c r="CY24" s="502" t="e">
        <f>IF(CT24&gt;'Tables - Part 3.B'!$C$6,4*LOG10('Tables - Part 3.B'!$C$7*CT24)-15,1)</f>
        <v>#N/A</v>
      </c>
      <c r="CZ24" s="502" t="e">
        <f>IF(CU24&gt;'Tables - Part 3.B'!$C$6,4*LOG10('Tables - Part 3.B'!$C$7*CU24)-15,1)</f>
        <v>#N/A</v>
      </c>
      <c r="DA24" s="151" t="e">
        <f>INDEX('Tables - Part 3'!$C$4:$C$37,MATCH(COF!$F24,'Tables - Part 3'!$B$4:$B$37,0),1)</f>
        <v>#N/A</v>
      </c>
      <c r="DB24" s="151" t="e">
        <f t="shared" si="159"/>
        <v>#N/A</v>
      </c>
      <c r="DC24" s="151" t="e">
        <f t="shared" si="160"/>
        <v>#N/A</v>
      </c>
      <c r="DD24" s="151" t="e">
        <f t="shared" si="161"/>
        <v>#N/A</v>
      </c>
      <c r="DE24" s="151" t="e">
        <f t="shared" si="162"/>
        <v>#N/A</v>
      </c>
      <c r="DF24" s="151" t="e">
        <f t="shared" si="163"/>
        <v>#N/A</v>
      </c>
      <c r="DG24" s="151" t="e">
        <f t="shared" si="164"/>
        <v>#N/A</v>
      </c>
      <c r="DH24" s="151" t="e">
        <f t="shared" si="165"/>
        <v>#N/A</v>
      </c>
      <c r="DI24" s="151" t="e">
        <f t="shared" si="166"/>
        <v>#N/A</v>
      </c>
      <c r="DJ24" s="151" t="e">
        <f t="shared" si="167"/>
        <v>#N/A</v>
      </c>
      <c r="DK24" s="151" t="e">
        <f t="shared" si="168"/>
        <v>#N/A</v>
      </c>
      <c r="DL24" s="151" t="e">
        <f t="shared" si="169"/>
        <v>#N/A</v>
      </c>
      <c r="DM24" s="151" t="e">
        <f t="shared" si="170"/>
        <v>#N/A</v>
      </c>
      <c r="DN24" s="151" t="e">
        <f t="shared" si="171"/>
        <v>#N/A</v>
      </c>
      <c r="DO24" s="151" t="e">
        <f t="shared" si="172"/>
        <v>#N/A</v>
      </c>
      <c r="DP24" s="151" t="e">
        <f t="shared" si="173"/>
        <v>#N/A</v>
      </c>
      <c r="DQ24" s="151" t="e">
        <f t="shared" si="174"/>
        <v>#N/A</v>
      </c>
      <c r="DR24" s="151" t="e">
        <f t="shared" si="175"/>
        <v>#N/A</v>
      </c>
      <c r="DS24" s="151" t="e">
        <f t="shared" si="176"/>
        <v>#N/A</v>
      </c>
      <c r="DT24" s="151" t="e">
        <f t="shared" si="177"/>
        <v>#N/A</v>
      </c>
      <c r="DU24" s="151" t="e">
        <f t="shared" si="178"/>
        <v>#N/A</v>
      </c>
      <c r="DV24" s="151" t="e">
        <f t="shared" si="179"/>
        <v>#N/A</v>
      </c>
      <c r="DW24" s="151" t="e">
        <f t="shared" si="180"/>
        <v>#N/A</v>
      </c>
      <c r="DX24" s="151" t="e">
        <f t="shared" si="181"/>
        <v>#N/A</v>
      </c>
      <c r="DY24" s="151" t="e">
        <f t="shared" si="182"/>
        <v>#N/A</v>
      </c>
      <c r="DZ24" s="151" t="e">
        <f t="shared" si="183"/>
        <v>#N/A</v>
      </c>
      <c r="EA24" s="151" t="e">
        <f t="shared" si="184"/>
        <v>#N/A</v>
      </c>
      <c r="EB24" s="151" t="e">
        <f t="shared" si="185"/>
        <v>#N/A</v>
      </c>
      <c r="EC24" s="151" t="e">
        <f t="shared" si="186"/>
        <v>#N/A</v>
      </c>
      <c r="ED24" s="151" t="e">
        <f t="shared" si="187"/>
        <v>#N/A</v>
      </c>
      <c r="EE24" s="151" t="e">
        <f t="shared" si="188"/>
        <v>#N/A</v>
      </c>
      <c r="EF24" s="151" t="e">
        <f t="shared" si="189"/>
        <v>#N/A</v>
      </c>
      <c r="EG24" s="151" t="e">
        <f t="shared" si="190"/>
        <v>#N/A</v>
      </c>
      <c r="EH24" s="151" t="e">
        <f>IF(CA24=$TK$5,1,MIN(CJ24/'Tables - Part 3.B'!$C$8,1))</f>
        <v>#N/A</v>
      </c>
      <c r="EI24" s="151" t="e">
        <f>IF(CB24=$TK$5,1,MIN(CK24/'Tables - Part 3.B'!$C$8,1))</f>
        <v>#N/A</v>
      </c>
      <c r="EJ24" s="151" t="e">
        <f>IF(CC24=$TK$5,1,MIN(CL24/'Tables - Part 3.B'!$C$8,1))</f>
        <v>#N/A</v>
      </c>
      <c r="EK24" s="151" t="e">
        <f>IF(CD24=$TK$5,1,MIN(CM24/'Tables - Part 3.B'!$C$8,1))</f>
        <v>#N/A</v>
      </c>
      <c r="EL24" s="151" t="e">
        <f t="shared" si="191"/>
        <v>#VALUE!</v>
      </c>
      <c r="EM24" s="151" t="e">
        <f t="shared" si="191"/>
        <v>#VALUE!</v>
      </c>
      <c r="EN24" s="151" t="e">
        <f t="shared" si="191"/>
        <v>#VALUE!</v>
      </c>
      <c r="EO24" s="151" t="e">
        <f t="shared" si="191"/>
        <v>#VALUE!</v>
      </c>
      <c r="EP24" s="151" t="e">
        <f t="shared" si="192"/>
        <v>#N/A</v>
      </c>
      <c r="EQ24" s="151" t="e">
        <f t="shared" si="281"/>
        <v>#N/A</v>
      </c>
      <c r="ER24" s="151" t="e">
        <f t="shared" si="281"/>
        <v>#N/A</v>
      </c>
      <c r="ES24" s="151" t="e">
        <f t="shared" si="281"/>
        <v>#N/A</v>
      </c>
      <c r="ET24" s="151" t="e">
        <f t="shared" si="193"/>
        <v>#N/A</v>
      </c>
      <c r="EU24" s="151" t="e">
        <f t="shared" si="282"/>
        <v>#N/A</v>
      </c>
      <c r="EV24" s="151" t="e">
        <f t="shared" si="282"/>
        <v>#N/A</v>
      </c>
      <c r="EW24" s="151" t="e">
        <f t="shared" si="282"/>
        <v>#N/A</v>
      </c>
      <c r="EX24" s="151" t="e">
        <f t="shared" si="194"/>
        <v>#N/A</v>
      </c>
      <c r="EY24" s="151" t="e">
        <f t="shared" si="283"/>
        <v>#N/A</v>
      </c>
      <c r="EZ24" s="151" t="e">
        <f t="shared" si="283"/>
        <v>#N/A</v>
      </c>
      <c r="FA24" s="151" t="e">
        <f t="shared" si="283"/>
        <v>#N/A</v>
      </c>
      <c r="FB24" s="151" t="e">
        <f t="shared" si="195"/>
        <v>#N/A</v>
      </c>
      <c r="FC24" s="151" t="e">
        <f t="shared" si="284"/>
        <v>#N/A</v>
      </c>
      <c r="FD24" s="151" t="e">
        <f t="shared" si="284"/>
        <v>#N/A</v>
      </c>
      <c r="FE24" s="151" t="e">
        <f t="shared" si="284"/>
        <v>#N/A</v>
      </c>
      <c r="FF24" s="151" t="e">
        <f t="shared" si="196"/>
        <v>#N/A</v>
      </c>
      <c r="FG24" s="151" t="e">
        <f t="shared" si="285"/>
        <v>#N/A</v>
      </c>
      <c r="FH24" s="151" t="e">
        <f t="shared" si="285"/>
        <v>#N/A</v>
      </c>
      <c r="FI24" s="151" t="e">
        <f t="shared" si="285"/>
        <v>#N/A</v>
      </c>
      <c r="FJ24" s="151" t="e">
        <f t="shared" si="197"/>
        <v>#N/A</v>
      </c>
      <c r="FK24" s="151" t="e">
        <f t="shared" si="286"/>
        <v>#N/A</v>
      </c>
      <c r="FL24" s="151" t="e">
        <f t="shared" si="286"/>
        <v>#N/A</v>
      </c>
      <c r="FM24" s="288" t="e">
        <f t="shared" si="286"/>
        <v>#N/A</v>
      </c>
      <c r="FN24" s="299">
        <f t="shared" si="198"/>
        <v>0</v>
      </c>
      <c r="FO24" s="511">
        <f t="shared" si="199"/>
        <v>0</v>
      </c>
      <c r="FP24" s="150" t="e">
        <f t="shared" si="200"/>
        <v>#N/A</v>
      </c>
      <c r="FQ24" s="151" t="e">
        <f t="shared" si="201"/>
        <v>#N/A</v>
      </c>
      <c r="FR24" s="151" t="e">
        <f t="shared" si="202"/>
        <v>#N/A</v>
      </c>
      <c r="FS24" s="151" t="e">
        <f t="shared" si="203"/>
        <v>#N/A</v>
      </c>
      <c r="FT24" s="151">
        <f t="shared" si="55"/>
        <v>0</v>
      </c>
      <c r="FU24" s="151">
        <f t="shared" si="56"/>
        <v>0</v>
      </c>
      <c r="FV24" s="151">
        <f t="shared" si="57"/>
        <v>0</v>
      </c>
      <c r="FW24" s="151">
        <f t="shared" si="58"/>
        <v>0</v>
      </c>
      <c r="FX24" s="151">
        <f t="shared" si="59"/>
        <v>0</v>
      </c>
      <c r="FY24" s="151">
        <f t="shared" si="60"/>
        <v>0</v>
      </c>
      <c r="FZ24" s="151">
        <f t="shared" si="61"/>
        <v>0</v>
      </c>
      <c r="GA24" s="151">
        <f t="shared" si="62"/>
        <v>0</v>
      </c>
      <c r="GB24" s="286" t="e">
        <f>IF(CA24=$TK$6,'Tables - Part 3.B'!$C$10*(('Tables - Part 3.B'!$C$7*COF!FT24)^COF!GR24*10^COF!GV24),IF(CA24=$TK$5,'Tables - Part 3.B'!$C$10*(('Tables - Part 3.B'!$C$7*COF!FX24)^COF!GR24*10^COF!GV24),0))</f>
        <v>#N/A</v>
      </c>
      <c r="GC24" s="286" t="e">
        <f>IF(CB24=$TK$6,'Tables - Part 3.B'!$C$10*(('Tables - Part 3.B'!$C$7*COF!FU24)^COF!GS24*10^COF!GW24),IF(CB24=$TK$5,'Tables - Part 3.B'!$C$10*(('Tables - Part 3.B'!$C$7*COF!FY24)^COF!GS24*10^COF!GW24),0))</f>
        <v>#N/A</v>
      </c>
      <c r="GD24" s="286" t="e">
        <f>IF(CC24=$TK$6,'Tables - Part 3.B'!$C$10*(('Tables - Part 3.B'!$C$7*COF!FV24)^COF!GT24*10^COF!GX24),IF(CC24=$TK$5,'Tables - Part 3.B'!$C$10*(('Tables - Part 3.B'!$C$7*COF!FZ24)^COF!GT24*10^COF!GX24),0))</f>
        <v>#N/A</v>
      </c>
      <c r="GE24" s="286" t="e">
        <f>IF(CD24=$TK$6,'Tables - Part 3.B'!$C$10*(('Tables - Part 3.B'!$C$7*COF!FW24)^COF!GU24*10^COF!GY24),IF(CD24=$TK$5,'Tables - Part 3.B'!$C$10*(('Tables - Part 3.B'!$C$7*COF!GA24)^COF!GU24*10^COF!GY24),0))</f>
        <v>#N/A</v>
      </c>
      <c r="GF24" s="300" t="e">
        <f t="shared" si="272"/>
        <v>#N/A</v>
      </c>
      <c r="GG24" s="300" t="e">
        <f t="shared" si="63"/>
        <v>#N/A</v>
      </c>
      <c r="GH24" s="300" t="e">
        <f t="shared" si="64"/>
        <v>#N/A</v>
      </c>
      <c r="GI24" s="300" t="e">
        <f t="shared" si="65"/>
        <v>#N/A</v>
      </c>
      <c r="GJ24" s="300" t="e">
        <f>IF(GF24&lt;'Tables - Part 3'!$CK$5,0,LOOKUP(GF24,'Tables - Part 3'!$CK$5:$CK$9))</f>
        <v>#N/A</v>
      </c>
      <c r="GK24" s="300" t="e">
        <f>IF(GG24&lt;'Tables - Part 3'!$CK$5,0,LOOKUP(GG24,'Tables - Part 3'!$CK$5:$CK$9))</f>
        <v>#N/A</v>
      </c>
      <c r="GL24" s="300" t="e">
        <f>IF(GH24&lt;'Tables - Part 3'!$CK$5,0,LOOKUP(GH24,'Tables - Part 3'!$CK$5:$CK$9))</f>
        <v>#N/A</v>
      </c>
      <c r="GM24" s="300" t="e">
        <f>IF(GI24&lt;'Tables - Part 3'!$CK$5,0,LOOKUP(GI24,'Tables - Part 3'!$CK$5:$CK$9))</f>
        <v>#N/A</v>
      </c>
      <c r="GN24" s="300" t="e">
        <f>IF(GF24&lt;'Tables - Part 3'!$CK$5,'Tables - Part 3'!$CK$5,IF(COF!GF24&lt;'Tables - Part 3'!$CK$6,'Tables - Part 3'!$CK$6,IF(COF!GF24&lt;'Tables - Part 3'!$CK$7,'Tables - Part 3'!$CK$7,IF(COF!GF24&lt;'Tables - Part 3'!$CK$8,'Tables - Part 3'!$CK$8,IF(COF!GF24&lt;'Tables - Part 3'!$CK$9,'Tables - Part 3'!$CK$9)))))</f>
        <v>#N/A</v>
      </c>
      <c r="GO24" s="300" t="e">
        <f>IF(GG24&lt;'Tables - Part 3'!$CK$5,'Tables - Part 3'!$CK$5,IF(COF!GG24&lt;'Tables - Part 3'!$CK$6,'Tables - Part 3'!$CK$6,IF(COF!GG24&lt;'Tables - Part 3'!$CK$7,'Tables - Part 3'!$CK$7,IF(COF!GG24&lt;'Tables - Part 3'!$CK$8,'Tables - Part 3'!$CK$8,IF(COF!GG24&lt;'Tables - Part 3'!$CK$9,'Tables - Part 3'!$CK$9)))))</f>
        <v>#N/A</v>
      </c>
      <c r="GP24" s="300" t="e">
        <f>IF(GH24&lt;'Tables - Part 3'!$CK$5,'Tables - Part 3'!$CK$5,IF(COF!GH24&lt;'Tables - Part 3'!$CK$6,'Tables - Part 3'!$CK$6,IF(COF!GH24&lt;'Tables - Part 3'!$CK$7,'Tables - Part 3'!$CK$7,IF(COF!GH24&lt;'Tables - Part 3'!$CK$8,'Tables - Part 3'!$CK$8,IF(COF!GH24&lt;'Tables - Part 3'!$CK$9,'Tables - Part 3'!$CK$9)))))</f>
        <v>#N/A</v>
      </c>
      <c r="GQ24" s="300" t="e">
        <f>IF(GI24&lt;'Tables - Part 3'!$CK$5,'Tables - Part 3'!$CK$5,IF(COF!GI24&lt;'Tables - Part 3'!$CK$6,'Tables - Part 3'!$CK$6,IF(COF!GI24&lt;'Tables - Part 3'!$CK$7,'Tables - Part 3'!$CK$7,IF(COF!GI24&lt;'Tables - Part 3'!$CK$8,'Tables - Part 3'!$CK$8,IF(COF!GI24&lt;'Tables - Part 3'!$CK$9,'Tables - Part 3'!$CK$9)))))</f>
        <v>#N/A</v>
      </c>
      <c r="GR24" s="286" t="e">
        <f>IF(CA24=$TK$5,'Tables - Part 3'!$CL$10,IF(COF!CA24=COF!$TK$6,IF(COF!GF24&lt;'Tables - Part 3'!$CK$5,'Tables - Part 3'!$CL$5,IF(GF24&gt;='Tables - Part 3'!$CK$9,'Tables - Part 3'!$CL$9,((COF!GF24-COF!GJ24)*(INDEX('Tables - Part 3'!$CL$5:$CL$9,MATCH(COF!GN24,'Tables - Part 3'!$CK$5:$CK$9,0))-INDEX('Tables - Part 3'!$CL$5:$CL$9,MATCH(COF!GJ24,'Tables - Part 3'!$CK$5:$CK$9,0)))/(GN24-GJ24)+INDEX('Tables - Part 3'!$CL$5:$CL$9,MATCH(COF!GJ24,'Tables - Part 3'!$CK$5:$CK$9,0)))))))</f>
        <v>#N/A</v>
      </c>
      <c r="GS24" s="286" t="e">
        <f>IF(CB24=$TK$5,'Tables - Part 3'!$CL$10,IF(COF!CB24=COF!$TK$6,IF(COF!GG24&lt;'Tables - Part 3'!$CK$5,'Tables - Part 3'!$CL$5,IF(GG24&gt;='Tables - Part 3'!$CK$9,'Tables - Part 3'!$CL$9,((COF!GG24-COF!GK24)*(INDEX('Tables - Part 3'!$CL$5:$CL$9,MATCH(COF!GO24,'Tables - Part 3'!$CK$5:$CK$9,0))-INDEX('Tables - Part 3'!$CL$5:$CL$9,MATCH(COF!GK24,'Tables - Part 3'!$CK$5:$CK$9,0)))/(GO24-GK24)+INDEX('Tables - Part 3'!$CL$5:$CL$9,MATCH(COF!GK24,'Tables - Part 3'!$CK$5:$CK$9,0)))))))</f>
        <v>#N/A</v>
      </c>
      <c r="GT24" s="286" t="e">
        <f>IF(CC24=$TK$5,'Tables - Part 3'!$CL$10,IF(COF!CC24=COF!$TK$6,IF(COF!GH24&lt;'Tables - Part 3'!$CK$5,'Tables - Part 3'!$CL$5,IF(GH24&gt;='Tables - Part 3'!$CK$9,'Tables - Part 3'!$CL$9,((COF!GH24-COF!GL24)*(INDEX('Tables - Part 3'!$CL$5:$CL$9,MATCH(COF!GP24,'Tables - Part 3'!$CK$5:$CK$9,0))-INDEX('Tables - Part 3'!$CL$5:$CL$9,MATCH(COF!GL24,'Tables - Part 3'!$CK$5:$CK$9,0)))/(GP24-GL24)+INDEX('Tables - Part 3'!$CL$5:$CL$9,MATCH(COF!GL24,'Tables - Part 3'!$CK$5:$CK$9,0)))))))</f>
        <v>#N/A</v>
      </c>
      <c r="GU24" s="286" t="e">
        <f>IF(CD24=$TK$5,'Tables - Part 3'!$CL$10,IF(COF!CD24=COF!$TK$6,IF(COF!GI24&lt;'Tables - Part 3'!$CK$5,'Tables - Part 3'!$CL$5,IF(GI24&gt;='Tables - Part 3'!$CK$9,'Tables - Part 3'!$CL$9,((COF!GI24-COF!GM24)*(INDEX('Tables - Part 3'!$CL$5:$CL$9,MATCH(COF!GQ24,'Tables - Part 3'!$CK$5:$CK$9,0))-INDEX('Tables - Part 3'!$CL$5:$CL$9,MATCH(COF!GM24,'Tables - Part 3'!$CK$5:$CK$9,0)))/(GQ24-GM24)+INDEX('Tables - Part 3'!$CL$5:$CL$9,MATCH(COF!GM24,'Tables - Part 3'!$CK$5:$CK$9,0)))))))</f>
        <v>#N/A</v>
      </c>
      <c r="GV24" s="286" t="e">
        <f>IF(CA24=$TK$5,'Tables - Part 3'!$CM$10,IF(COF!CA24=COF!$TK$6,IF(GF24&lt;'Tables - Part 3'!$CK$5,'Tables - Part 3'!$CM$5,IF(GF24&gt;='Tables - Part 3'!$CK$9,'Tables - Part 3'!$CM$9,((COF!GF24-COF!GJ24)*(INDEX('Tables - Part 3'!$CM$5:$CM$9,MATCH(COF!GN24,'Tables - Part 3'!$CK$5:$CK$9,0))-INDEX('Tables - Part 3'!$CM$5:$CM$9,MATCH(COF!GJ24,'Tables - Part 3'!$CK$5:$CK$9,0)))/(GN24-GJ24)+INDEX('Tables - Part 3'!$CM$5:$CM$9,MATCH(COF!GJ24,'Tables - Part 3'!$CK$5:$CK$9,0)))))))</f>
        <v>#N/A</v>
      </c>
      <c r="GW24" s="286" t="e">
        <f>IF(CB24=$TK$5,'Tables - Part 3'!$CM$10,IF(COF!CB24=COF!$TK$6,IF(GG24&lt;'Tables - Part 3'!$CK$5,'Tables - Part 3'!$CM$5,IF(GG24&gt;='Tables - Part 3'!$CK$9,'Tables - Part 3'!$CM$9,((COF!GG24-COF!GK24)*(INDEX('Tables - Part 3'!$CM$5:$CM$9,MATCH(COF!GO24,'Tables - Part 3'!$CK$5:$CK$9,0))-INDEX('Tables - Part 3'!$CM$5:$CM$9,MATCH(COF!GK24,'Tables - Part 3'!$CK$5:$CK$9,0)))/(GO24-GK24)+INDEX('Tables - Part 3'!$CM$5:$CM$9,MATCH(COF!GK24,'Tables - Part 3'!$CK$5:$CK$9,0)))))))</f>
        <v>#N/A</v>
      </c>
      <c r="GX24" s="286" t="e">
        <f>IF(CC24=$TK$5,'Tables - Part 3'!$CM$10,IF(COF!CC24=COF!$TK$6,IF(GH24&lt;'Tables - Part 3'!$CK$5,'Tables - Part 3'!$CM$5,IF(GH24&gt;='Tables - Part 3'!$CK$9,'Tables - Part 3'!$CM$9,((COF!GH24-COF!GL24)*(INDEX('Tables - Part 3'!$CM$5:$CM$9,MATCH(COF!GP24,'Tables - Part 3'!$CK$5:$CK$9,0))-INDEX('Tables - Part 3'!$CM$5:$CM$9,MATCH(COF!GL24,'Tables - Part 3'!$CK$5:$CK$9,0)))/(GP24-GL24)+INDEX('Tables - Part 3'!$CM$5:$CM$9,MATCH(COF!GL24,'Tables - Part 3'!$CK$5:$CK$9,0)))))))</f>
        <v>#N/A</v>
      </c>
      <c r="GY24" s="286" t="e">
        <f>IF(CD24=$TK$5,'Tables - Part 3'!$CM$10,IF(COF!CD24=COF!$TK$6,IF(GI24&lt;'Tables - Part 3'!$CK$5,'Tables - Part 3'!$CM$5,IF(GI24&gt;='Tables - Part 3'!$CK$9,'Tables - Part 3'!$CM$9,((COF!GI24-COF!GM24)*(INDEX('Tables - Part 3'!$CM$5:$CM$9,MATCH(COF!GQ24,'Tables - Part 3'!$CK$5:$CK$9,0))-INDEX('Tables - Part 3'!$CM$5:$CM$9,MATCH(COF!GM24,'Tables - Part 3'!$CK$5:$CK$9,0)))/(GQ24-GM24)+INDEX('Tables - Part 3'!$CM$5:$CM$9,MATCH(COF!GM24,'Tables - Part 3'!$CK$5:$CK$9,0)))))))</f>
        <v>#N/A</v>
      </c>
      <c r="GZ24" s="151">
        <f t="shared" si="66"/>
        <v>0</v>
      </c>
      <c r="HA24" s="151">
        <f t="shared" si="67"/>
        <v>0</v>
      </c>
      <c r="HB24" s="151">
        <f t="shared" si="68"/>
        <v>0</v>
      </c>
      <c r="HC24" s="151">
        <f t="shared" si="69"/>
        <v>0</v>
      </c>
      <c r="HD24" s="151">
        <f t="shared" si="70"/>
        <v>0</v>
      </c>
      <c r="HE24" s="151">
        <f t="shared" si="71"/>
        <v>0</v>
      </c>
      <c r="HF24" s="151">
        <f t="shared" si="72"/>
        <v>0</v>
      </c>
      <c r="HG24" s="151">
        <f t="shared" si="73"/>
        <v>0</v>
      </c>
      <c r="HH24" s="286" t="e">
        <f>IF(CA24=$TK$6,'Tables - Part 3.B'!$C$10*(('Tables - Part 3.B'!$C$7*COF!GZ24)^COF!HL24*10^COF!HP24),IF(CA24=$TK$5,'Tables - Part 3.B'!$C$10*(('Tables - Part 3.B'!$C$7*COF!HD24)^COF!HL24*10^COF!HP24),0))</f>
        <v>#N/A</v>
      </c>
      <c r="HI24" s="286" t="e">
        <f>IF(CB24=$TK$6,'Tables - Part 3.B'!$C$10*(('Tables - Part 3.B'!$C$7*COF!HA24)^COF!HM24*10^COF!HQ24),IF(CB24=$TK$5,'Tables - Part 3.B'!$C$10*(('Tables - Part 3.B'!$C$7*COF!HE24)^COF!HM24*10^COF!HQ24),0))</f>
        <v>#N/A</v>
      </c>
      <c r="HJ24" s="286" t="e">
        <f>IF(CC24=$TK$6,'Tables - Part 3.B'!$C$10*(('Tables - Part 3.B'!$C$7*COF!HB24)^COF!HN24*10^COF!HR24),IF(CC24=$TK$5,'Tables - Part 3.B'!$C$10*(('Tables - Part 3.B'!$C$7*COF!HF24)^COF!HN24*10^COF!HR24),0))</f>
        <v>#N/A</v>
      </c>
      <c r="HK24" s="286" t="e">
        <f>IF(CD24=$TK$6,'Tables - Part 3.B'!$C$10*(('Tables - Part 3.B'!$C$7*COF!HC24)^COF!HO24*10^COF!HS24),IF(CD24=$TK$5,'Tables - Part 3.B'!$C$10*(('Tables - Part 3.B'!$C$7*COF!HG24)^COF!HO24*10^COF!HS24),0))</f>
        <v>#N/A</v>
      </c>
      <c r="HL24" s="286" t="e">
        <f>IF(CA24=$TK$5,'Tables - Part 3'!$CN$10,IF(COF!CA24=COF!$TK$6,IF(COF!GF24&lt;'Tables - Part 3'!$CK$5,'Tables - Part 3'!$CN$5,IF(GF24&gt;='Tables - Part 3'!$CK$9,'Tables - Part 3'!$CN$9,((COF!GF24-COF!GJ24)*(INDEX('Tables - Part 3'!$CN$5:$CN$9,MATCH(COF!GN24,'Tables - Part 3'!$CK$5:$CK$9,0))-INDEX('Tables - Part 3'!$CN$5:$CN$9,MATCH(COF!GJ24,'Tables - Part 3'!$CK$5:$CK$9,0)))/(GN24-GJ24)+INDEX('Tables - Part 3'!$CN$5:$CN$9,MATCH(COF!GJ24,'Tables - Part 3'!$CK$5:$CK$9,0)))))))</f>
        <v>#N/A</v>
      </c>
      <c r="HM24" s="286" t="e">
        <f>IF(CB24=$TK$5,'Tables - Part 3'!$CN$10,IF(COF!CB24=COF!$TK$6,IF(COF!GG24&lt;'Tables - Part 3'!$CK$5,'Tables - Part 3'!$CN$5,IF(GG24&gt;='Tables - Part 3'!$CK$9,'Tables - Part 3'!$CN$9,((COF!GG24-COF!GK24)*(INDEX('Tables - Part 3'!$CN$5:$CN$9,MATCH(COF!GO24,'Tables - Part 3'!$CK$5:$CK$9,0))-INDEX('Tables - Part 3'!$CN$5:$CN$9,MATCH(COF!GK24,'Tables - Part 3'!$CK$5:$CK$9,0)))/(GO24-GK24)+INDEX('Tables - Part 3'!$CN$5:$CN$9,MATCH(COF!GK24,'Tables - Part 3'!$CK$5:$CK$9,0)))))))</f>
        <v>#N/A</v>
      </c>
      <c r="HN24" s="286" t="e">
        <f>IF(CC24=$TK$5,'Tables - Part 3'!$CN$10,IF(COF!CC24=COF!$TK$6,IF(COF!GH24&lt;'Tables - Part 3'!$CK$5,'Tables - Part 3'!$CN$5,IF(GH24&gt;='Tables - Part 3'!$CK$9,'Tables - Part 3'!$CN$9,((COF!GH24-COF!GL24)*(INDEX('Tables - Part 3'!$CN$5:$CN$9,MATCH(COF!GP24,'Tables - Part 3'!$CK$5:$CK$9,0))-INDEX('Tables - Part 3'!$CN$5:$CN$9,MATCH(COF!GL24,'Tables - Part 3'!$CK$5:$CK$9,0)))/(GP24-GL24)+INDEX('Tables - Part 3'!$CN$5:$CN$9,MATCH(COF!GL24,'Tables - Part 3'!$CK$5:$CK$9,0)))))))</f>
        <v>#N/A</v>
      </c>
      <c r="HO24" s="286" t="e">
        <f>IF(CD24=$TK$5,'Tables - Part 3'!$CN$10,IF(COF!CD24=COF!$TK$6,IF(COF!GI24&lt;'Tables - Part 3'!$CK$5,'Tables - Part 3'!$CN$5,IF(GI24&gt;='Tables - Part 3'!$CK$9,'Tables - Part 3'!$CN$9,((COF!GI24-COF!GM24)*(INDEX('Tables - Part 3'!$CN$5:$CN$9,MATCH(COF!GQ24,'Tables - Part 3'!$CK$5:$CK$9,0))-INDEX('Tables - Part 3'!$CN$5:$CN$9,MATCH(COF!GM24,'Tables - Part 3'!$CK$5:$CK$9,0)))/(GQ24-GM24)+INDEX('Tables - Part 3'!$CN$5:$CN$9,MATCH(COF!GM24,'Tables - Part 3'!$CK$5:$CK$9,0)))))))</f>
        <v>#N/A</v>
      </c>
      <c r="HP24" s="286" t="e">
        <f>IF(CA24=$TK$5,'Tables - Part 3'!$CO$10,IF(COF!CA24=COF!$TK$6,IF(GF24&lt;'Tables - Part 3'!$CK$5,'Tables - Part 3'!$CO$5,IF(GF24&gt;='Tables - Part 3'!$CK$9,'Tables - Part 3'!$CO$9,((COF!GF24-COF!GJ24)*(INDEX('Tables - Part 3'!$CO$5:$CO$9,MATCH(COF!GN24,'Tables - Part 3'!$CK$5:$CK$9,0))-INDEX('Tables - Part 3'!$CO$5:$CO$9,MATCH(COF!GJ24,'Tables - Part 3'!$CK$5:$CK$9,0)))/(GN24-GJ24)+INDEX('Tables - Part 3'!$CO$5:$CO$9,MATCH(COF!GJ24,'Tables - Part 3'!$CK$5:$CK$9,0)))))))</f>
        <v>#N/A</v>
      </c>
      <c r="HQ24" s="286" t="e">
        <f>IF(CB24=$TK$5,'Tables - Part 3'!$CO$10,IF(COF!CB24=COF!$TK$6,IF(GG24&lt;'Tables - Part 3'!$CK$5,'Tables - Part 3'!$CO$5,IF(GG24&gt;='Tables - Part 3'!$CK$9,'Tables - Part 3'!$CO$9,((COF!GG24-COF!GK24)*(INDEX('Tables - Part 3'!$CO$5:$CO$9,MATCH(COF!GO24,'Tables - Part 3'!$CK$5:$CK$9,0))-INDEX('Tables - Part 3'!$CO$5:$CO$9,MATCH(COF!GK24,'Tables - Part 3'!$CK$5:$CK$9,0)))/(GO24-GK24)+INDEX('Tables - Part 3'!$CO$5:$CO$9,MATCH(COF!GK24,'Tables - Part 3'!$CK$5:$CK$9,0)))))))</f>
        <v>#N/A</v>
      </c>
      <c r="HR24" s="286" t="e">
        <f>IF(CC24=$TK$5,'Tables - Part 3'!$CO$10,IF(COF!CC24=COF!$TK$6,IF(GH24&lt;'Tables - Part 3'!$CK$5,'Tables - Part 3'!$CO$5,IF(GH24&gt;='Tables - Part 3'!$CK$9,'Tables - Part 3'!$CO$9,((COF!GH24-COF!GL24)*(INDEX('Tables - Part 3'!$CO$5:$CO$9,MATCH(COF!GP24,'Tables - Part 3'!$CK$5:$CK$9,0))-INDEX('Tables - Part 3'!$CO$5:$CO$9,MATCH(COF!GL24,'Tables - Part 3'!$CK$5:$CK$9,0)))/(GP24-GL24)+INDEX('Tables - Part 3'!$CO$5:$CO$9,MATCH(COF!GL24,'Tables - Part 3'!$CK$5:$CK$9,0)))))))</f>
        <v>#N/A</v>
      </c>
      <c r="HS24" s="286" t="e">
        <f>IF(CD24=$TK$5,'Tables - Part 3'!$CO$10,IF(COF!CD24=COF!$TK$6,IF(GI24&lt;'Tables - Part 3'!$CK$5,'Tables - Part 3'!$CO$5,IF(GI24&gt;='Tables - Part 3'!$CK$9,'Tables - Part 3'!$CO$9,((COF!GI24-COF!GM24)*(INDEX('Tables - Part 3'!$CO$5:$CO$9,MATCH(COF!GQ24,'Tables - Part 3'!$CK$5:$CK$9,0))-INDEX('Tables - Part 3'!$CO$5:$CO$9,MATCH(COF!GM24,'Tables - Part 3'!$CK$5:$CK$9,0)))/(GQ24-GM24)+INDEX('Tables - Part 3'!$CO$5:$CO$9,MATCH(COF!GM24,'Tables - Part 3'!$CK$5:$CK$9,0)))))))</f>
        <v>#N/A</v>
      </c>
      <c r="HT24" s="151">
        <f t="shared" si="74"/>
        <v>0</v>
      </c>
      <c r="HU24" s="151">
        <f t="shared" si="75"/>
        <v>0</v>
      </c>
      <c r="HV24" s="151">
        <f t="shared" si="76"/>
        <v>0</v>
      </c>
      <c r="HW24" s="151">
        <f t="shared" si="77"/>
        <v>0</v>
      </c>
      <c r="HX24" s="151">
        <f t="shared" si="78"/>
        <v>0</v>
      </c>
      <c r="HY24" s="151">
        <f t="shared" si="79"/>
        <v>0</v>
      </c>
      <c r="HZ24" s="151">
        <f t="shared" si="80"/>
        <v>0</v>
      </c>
      <c r="IA24" s="151">
        <f t="shared" si="81"/>
        <v>0</v>
      </c>
      <c r="IB24" s="301" t="e">
        <f t="shared" si="82"/>
        <v>#N/A</v>
      </c>
      <c r="IC24" s="301" t="e">
        <f t="shared" si="83"/>
        <v>#N/A</v>
      </c>
      <c r="ID24" s="301" t="e">
        <f t="shared" si="84"/>
        <v>#N/A</v>
      </c>
      <c r="IE24" s="301" t="e">
        <f t="shared" si="85"/>
        <v>#N/A</v>
      </c>
      <c r="IF24" s="300" t="e">
        <f>IF(GF24&lt;'Tables - Part 3'!$CQ$5,0,LOOKUP(GF24,'Tables - Part 3'!$CQ$5:$CQ$16))</f>
        <v>#N/A</v>
      </c>
      <c r="IG24" s="300" t="e">
        <f>IF(GG24&lt;'Tables - Part 3'!$CQ$5,0,LOOKUP(GG24,'Tables - Part 3'!$CQ$5:$CQ$16))</f>
        <v>#N/A</v>
      </c>
      <c r="IH24" s="300" t="e">
        <f>IF(GH24&lt;'Tables - Part 3'!$CQ$5,0,LOOKUP(GH24,'Tables - Part 3'!$CQ$5:$CQ$16))</f>
        <v>#N/A</v>
      </c>
      <c r="II24" s="300" t="e">
        <f>IF(GI24&lt;'Tables - Part 3'!$CQ$5,0,LOOKUP(GI24,'Tables - Part 3'!$CQ$5:$CQ$16))</f>
        <v>#N/A</v>
      </c>
      <c r="IJ24" s="300" t="e">
        <f>IF(GF24&lt;'Tables - Part 3'!$CQ$5,'Tables - Part 3'!$CQ$5,IF(COF!GF24&lt;'Tables - Part 3'!$CQ$6,'Tables - Part 3'!$CQ$6,IF(COF!GF24&lt;'Tables - Part 3'!$CQ$7,'Tables - Part 3'!$CQ$7,IF(COF!GF24&lt;'Tables - Part 3'!$CQ$8,'Tables - Part 3'!$CQ$8,IF(COF!GF24&lt;'Tables - Part 3'!$CQ$9,'Tables - Part 3'!$CQ$9,IF(COF!GF24&lt;'Tables - Part 3'!$CQ$10,'Tables - Part 3'!$CQ$10,IF(COF!GF24&lt;'Tables - Part 3'!$CQ$11,'Tables - Part 3'!$CQ$11,IF(COF!GF24&lt;'Tables - Part 3'!$CQ$12,'Tables - Part 3'!$CQ$12,IF(COF!GF24&lt;'Tables - Part 3'!$CQ$13,'Tables - Part 3'!$CQ$13,IF(COF!GF24&lt;'Tables - Part 3'!$CQ$14,'Tables - Part 3'!$CQ$14,IF(COF!GF24&lt;'Tables - Part 3'!$CQ$15,'Tables - Part 3'!$CQ$15,IF(COF!GF24&lt;'Tables - Part 3'!$CQ$16,'Tables - Part 3'!$CQ$16))))))))))))</f>
        <v>#N/A</v>
      </c>
      <c r="IK24" s="300" t="e">
        <f>IF(GG24&lt;'Tables - Part 3'!$CQ$5,'Tables - Part 3'!$CQ$5,IF(COF!GG24&lt;'Tables - Part 3'!$CQ$6,'Tables - Part 3'!$CQ$6,IF(COF!GG24&lt;'Tables - Part 3'!$CQ$7,'Tables - Part 3'!$CQ$7,IF(COF!GG24&lt;'Tables - Part 3'!$CQ$8,'Tables - Part 3'!$CQ$8,IF(COF!GG24&lt;'Tables - Part 3'!$CQ$9,'Tables - Part 3'!$CQ$9,IF(COF!GG24&lt;'Tables - Part 3'!$CQ$10,'Tables - Part 3'!$CQ$10,IF(COF!GG24&lt;'Tables - Part 3'!$CQ$11,'Tables - Part 3'!$CQ$11,IF(COF!GG24&lt;'Tables - Part 3'!$CQ$12,'Tables - Part 3'!$CQ$12,IF(COF!GG24&lt;'Tables - Part 3'!$CQ$13,'Tables - Part 3'!$CQ$13,IF(COF!GG24&lt;'Tables - Part 3'!$CQ$14,'Tables - Part 3'!$CQ$14,IF(COF!GG24&lt;'Tables - Part 3'!$CQ$15,'Tables - Part 3'!$CQ$15,IF(COF!GG24&lt;'Tables - Part 3'!$CQ$16,'Tables - Part 3'!$CQ$16))))))))))))</f>
        <v>#N/A</v>
      </c>
      <c r="IL24" s="300" t="e">
        <f>IF(GH24&lt;'Tables - Part 3'!$CQ$5,'Tables - Part 3'!$CQ$5,IF(COF!GH24&lt;'Tables - Part 3'!$CQ$6,'Tables - Part 3'!$CQ$6,IF(COF!GH24&lt;'Tables - Part 3'!$CQ$7,'Tables - Part 3'!$CQ$7,IF(COF!GH24&lt;'Tables - Part 3'!$CQ$8,'Tables - Part 3'!$CQ$8,IF(COF!GH24&lt;'Tables - Part 3'!$CQ$9,'Tables - Part 3'!$CQ$9,IF(COF!GH24&lt;'Tables - Part 3'!$CQ$10,'Tables - Part 3'!$CQ$10,IF(COF!GH24&lt;'Tables - Part 3'!$CQ$11,'Tables - Part 3'!$CQ$11,IF(COF!GH24&lt;'Tables - Part 3'!$CQ$12,'Tables - Part 3'!$CQ$12,IF(COF!GH24&lt;'Tables - Part 3'!$CQ$13,'Tables - Part 3'!$CQ$13,IF(COF!GH24&lt;'Tables - Part 3'!$CQ$14,'Tables - Part 3'!$CQ$14,IF(COF!GH24&lt;'Tables - Part 3'!$CQ$15,'Tables - Part 3'!$CQ$15,IF(COF!GH24&lt;'Tables - Part 3'!$CQ$16,'Tables - Part 3'!$CQ$16))))))))))))</f>
        <v>#N/A</v>
      </c>
      <c r="IM24" s="300" t="e">
        <f>IF(GI24&lt;'Tables - Part 3'!$CQ$5,'Tables - Part 3'!$CQ$5,IF(COF!GI24&lt;'Tables - Part 3'!$CQ$6,'Tables - Part 3'!$CQ$6,IF(COF!GI24&lt;'Tables - Part 3'!$CQ$7,'Tables - Part 3'!$CQ$7,IF(COF!GI24&lt;'Tables - Part 3'!$CQ$8,'Tables - Part 3'!$CQ$8,IF(COF!GI24&lt;'Tables - Part 3'!$CQ$9,'Tables - Part 3'!$CQ$9,IF(COF!GI24&lt;'Tables - Part 3'!$CQ$10,'Tables - Part 3'!$CQ$10,IF(COF!GI24&lt;'Tables - Part 3'!$CQ$11,'Tables - Part 3'!$CQ$11,IF(COF!GI24&lt;'Tables - Part 3'!$CQ$12,'Tables - Part 3'!$CQ$12,IF(COF!GI24&lt;'Tables - Part 3'!$CQ$13,'Tables - Part 3'!$CQ$13,IF(COF!GI24&lt;'Tables - Part 3'!$CQ$14,'Tables - Part 3'!$CQ$14,IF(COF!GI24&lt;'Tables - Part 3'!$CQ$15,'Tables - Part 3'!$CQ$15,IF(COF!GI24&lt;'Tables - Part 3'!$CQ$16,'Tables - Part 3'!$CQ$16))))))))))))</f>
        <v>#N/A</v>
      </c>
      <c r="IN24" s="286" t="e">
        <f>IF(CA24=$TK$5,'Tables - Part 3'!$CR$17,IF(COF!CA24=COF!$TK$6,IF(COF!GF24&lt;'Tables - Part 3'!$CQ$5,'Tables - Part 3'!$CR$5,IF(GF24&gt;='Tables - Part 3'!$CQ$16,'Tables - Part 3'!$CR$16,((COF!GF24-COF!IF24)*(INDEX('Tables - Part 3'!$CR$5:$CR$16,MATCH(COF!IJ24,'Tables - Part 3'!$CQ$5:$CQ$16,0))-INDEX('Tables - Part 3'!$CR$5:$CR$16,MATCH(COF!IF24,'Tables - Part 3'!$CQ$5:$CQ$16,0)))/(IJ24-IF24)+INDEX('Tables - Part 3'!$CR$5:$CR$16,MATCH(COF!IF24,'Tables - Part 3'!$CQ$5:$CQ$16,0)))))))</f>
        <v>#N/A</v>
      </c>
      <c r="IO24" s="286" t="e">
        <f>IF(CB24=$TK$5,'Tables - Part 3'!$CR$17,IF(COF!CB24=COF!$TK$6,IF(COF!GG24&lt;'Tables - Part 3'!$CQ$5,'Tables - Part 3'!$CR$5,IF(GG24&gt;='Tables - Part 3'!$CQ$16,'Tables - Part 3'!$CR$16,((COF!GG24-COF!IG24)*(INDEX('Tables - Part 3'!$CR$5:$CR$16,MATCH(COF!IK24,'Tables - Part 3'!$CQ$5:$CQ$16,0))-INDEX('Tables - Part 3'!$CR$5:$CR$16,MATCH(COF!IG24,'Tables - Part 3'!$CQ$5:$CQ$16,0)))/(IK24-IG24)+INDEX('Tables - Part 3'!$CR$5:$CR$16,MATCH(COF!IG24,'Tables - Part 3'!$CQ$5:$CQ$16,0)))))))</f>
        <v>#N/A</v>
      </c>
      <c r="IP24" s="286" t="e">
        <f>IF(CC24=$TK$5,'Tables - Part 3'!$CR$17,IF(COF!CC24=COF!$TK$6,IF(COF!GH24&lt;'Tables - Part 3'!$CQ$5,'Tables - Part 3'!$CR$5,IF(GH24&gt;='Tables - Part 3'!$CQ$16,'Tables - Part 3'!$CR$16,((COF!GH24-COF!IH24)*(INDEX('Tables - Part 3'!$CR$5:$CR$16,MATCH(COF!IL24,'Tables - Part 3'!$CQ$5:$CQ$16,0))-INDEX('Tables - Part 3'!$CR$5:$CR$16,MATCH(COF!IH24,'Tables - Part 3'!$CQ$5:$CQ$16,0)))/(IL24-IH24)+INDEX('Tables - Part 3'!$CR$5:$CR$16,MATCH(COF!IH24,'Tables - Part 3'!$CQ$5:$CQ$16,0)))))))</f>
        <v>#N/A</v>
      </c>
      <c r="IQ24" s="286" t="e">
        <f>IF(CD24=$TK$5,'Tables - Part 3'!$CR$17,IF(COF!CD24=COF!$TK$6,IF(COF!GI24&lt;'Tables - Part 3'!$CQ$5,'Tables - Part 3'!$CR$5,IF(GI24&gt;='Tables - Part 3'!$CQ$16,'Tables - Part 3'!$CR$16,((COF!GI24-COF!II24)*(INDEX('Tables - Part 3'!$CR$5:$CR$16,MATCH(COF!IM24,'Tables - Part 3'!$CQ$5:$CQ$16,0))-INDEX('Tables - Part 3'!$CR$5:$CR$16,MATCH(COF!II24,'Tables - Part 3'!$CQ$5:$CQ$16,0)))/(IM24-II24)+INDEX('Tables - Part 3'!$CR$5:$CR$16,MATCH(COF!II24,'Tables - Part 3'!$CQ$5:$CQ$16,0)))))))</f>
        <v>#N/A</v>
      </c>
      <c r="IR24" s="286" t="e">
        <f>IF(CA24=$TK$5,'Tables - Part 3'!$CS$17,IF(COF!CA24=COF!$TK$6,IF(COF!GF24&lt;'Tables - Part 3'!$CQ$5,'Tables - Part 3'!$CS$5,IF(GF24&gt;='Tables - Part 3'!$CQ$16,'Tables - Part 3'!$CS$16,((COF!GF24-COF!IF24)*(INDEX('Tables - Part 3'!$CS$5:$CS$16,MATCH(COF!IJ24,'Tables - Part 3'!$CQ$5:$CQ$16,0))-INDEX('Tables - Part 3'!$CS$5:$CS$16,MATCH(COF!IF24,'Tables - Part 3'!$CQ$5:$CQ$16,0)))/(IJ24-IF24)+INDEX('Tables - Part 3'!$CS$5:$CS$16,MATCH(COF!IF24,'Tables - Part 3'!$CQ$5:$CQ$16,0)))))))</f>
        <v>#N/A</v>
      </c>
      <c r="IS24" s="286" t="e">
        <f>IF(CB24=$TK$5,'Tables - Part 3'!$CS$17,IF(COF!CB24=COF!$TK$6,IF(COF!GG24&lt;'Tables - Part 3'!$CQ$5,'Tables - Part 3'!$CS$5,IF(GG24&gt;='Tables - Part 3'!$CQ$16,'Tables - Part 3'!$CS$16,((COF!GG24-COF!IG24)*(INDEX('Tables - Part 3'!$CS$5:$CS$16,MATCH(COF!IK24,'Tables - Part 3'!$CQ$5:$CQ$16,0))-INDEX('Tables - Part 3'!$CS$5:$CS$16,MATCH(COF!IG24,'Tables - Part 3'!$CQ$5:$CQ$16,0)))/(IK24-IG24)+INDEX('Tables - Part 3'!$CS$5:$CS$16,MATCH(COF!IG24,'Tables - Part 3'!$CQ$5:$CQ$16,0)))))))</f>
        <v>#N/A</v>
      </c>
      <c r="IT24" s="286" t="e">
        <f>IF(CC24=$TK$5,'Tables - Part 3'!$CS$17,IF(COF!CC24=COF!$TK$6,IF(COF!GH24&lt;'Tables - Part 3'!$CQ$5,'Tables - Part 3'!$CS$5,IF(GH24&gt;='Tables - Part 3'!$CQ$16,'Tables - Part 3'!$CS$16,((COF!GH24-COF!IH24)*(INDEX('Tables - Part 3'!$CS$5:$CS$16,MATCH(COF!IL24,'Tables - Part 3'!$CQ$5:$CQ$16,0))-INDEX('Tables - Part 3'!$CS$5:$CS$16,MATCH(COF!IH24,'Tables - Part 3'!$CQ$5:$CQ$16,0)))/(IL24-IH24)+INDEX('Tables - Part 3'!$CS$5:$CS$16,MATCH(COF!IH24,'Tables - Part 3'!$CQ$5:$CQ$16,0)))))))</f>
        <v>#N/A</v>
      </c>
      <c r="IU24" s="286" t="e">
        <f>IF(CD24=$TK$5,'Tables - Part 3'!$CS$17,IF(COF!CD24=COF!$TK$6,IF(COF!GI24&lt;'Tables - Part 3'!$CQ$5,'Tables - Part 3'!$CS$5,IF(GI24&gt;='Tables - Part 3'!$CQ$16,'Tables - Part 3'!$CS$16,((COF!GI24-COF!II24)*(INDEX('Tables - Part 3'!$CS$5:$CS$16,MATCH(COF!IM24,'Tables - Part 3'!$CQ$5:$CQ$16,0))-INDEX('Tables - Part 3'!$CS$5:$CS$16,MATCH(COF!II24,'Tables - Part 3'!$CQ$5:$CQ$16,0)))/(IM24-II24)+INDEX('Tables - Part 3'!$CS$5:$CS$16,MATCH(COF!II24,'Tables - Part 3'!$CQ$5:$CQ$16,0)))))))</f>
        <v>#N/A</v>
      </c>
      <c r="IV24" s="151">
        <f t="shared" si="86"/>
        <v>0</v>
      </c>
      <c r="IW24" s="151">
        <f t="shared" si="87"/>
        <v>0</v>
      </c>
      <c r="IX24" s="151">
        <f t="shared" si="88"/>
        <v>0</v>
      </c>
      <c r="IY24" s="151">
        <f t="shared" si="89"/>
        <v>0</v>
      </c>
      <c r="IZ24" s="151">
        <f t="shared" si="90"/>
        <v>0</v>
      </c>
      <c r="JA24" s="151">
        <f t="shared" si="91"/>
        <v>0</v>
      </c>
      <c r="JB24" s="151">
        <f t="shared" si="92"/>
        <v>0</v>
      </c>
      <c r="JC24" s="151">
        <f t="shared" si="93"/>
        <v>0</v>
      </c>
      <c r="JD24" s="286" t="e">
        <f t="shared" si="94"/>
        <v>#N/A</v>
      </c>
      <c r="JE24" s="286" t="e">
        <f t="shared" si="95"/>
        <v>#N/A</v>
      </c>
      <c r="JF24" s="286" t="e">
        <f t="shared" si="96"/>
        <v>#N/A</v>
      </c>
      <c r="JG24" s="286" t="e">
        <f t="shared" si="97"/>
        <v>#N/A</v>
      </c>
      <c r="JH24" s="286" t="e">
        <f>IF(CA24=$TK$5,'Tables - Part 3'!$CT$17,IF(COF!CA24=COF!$TK$6,IF(COF!GF24&lt;'Tables - Part 3'!$CQ$5,'Tables - Part 3'!$CT$5,IF(GF24&gt;='Tables - Part 3'!$CQ$16,'Tables - Part 3'!$CT$16,((COF!GF24-COF!IF24)*(INDEX('Tables - Part 3'!$CT$5:$CT$16,MATCH(COF!IJ24,'Tables - Part 3'!$CQ$5:$CQ$16,0))-INDEX('Tables - Part 3'!$CT$5:$CT$16,MATCH(COF!IF24,'Tables - Part 3'!$CQ$5:$CQ$16,0)))/(IJ24-IF24)+INDEX('Tables - Part 3'!$CT$5:$CT$16,MATCH(COF!IF24,'Tables - Part 3'!$CQ$5:$CQ$16,0)))))))</f>
        <v>#N/A</v>
      </c>
      <c r="JI24" s="286" t="e">
        <f>IF(CB24=$TK$5,'Tables - Part 3'!$CT$17,IF(COF!CB24=COF!$TK$6,IF(COF!GG24&lt;'Tables - Part 3'!$CQ$5,'Tables - Part 3'!$CT$5,IF(GG24&gt;='Tables - Part 3'!$CQ$16,'Tables - Part 3'!$CT$16,((COF!GG24-COF!IG24)*(INDEX('Tables - Part 3'!$CT$5:$CT$16,MATCH(COF!IK24,'Tables - Part 3'!$CQ$5:$CQ$16,0))-INDEX('Tables - Part 3'!$CT$5:$CT$16,MATCH(COF!IG24,'Tables - Part 3'!$CQ$5:$CQ$16,0)))/(IK24-IG24)+INDEX('Tables - Part 3'!$CT$5:$CT$16,MATCH(COF!IG24,'Tables - Part 3'!$CQ$5:$CQ$16,0)))))))</f>
        <v>#N/A</v>
      </c>
      <c r="JJ24" s="286" t="e">
        <f>IF(CC24=$TK$5,'Tables - Part 3'!$CT$17,IF(COF!CC24=COF!$TK$6,IF(COF!GH24&lt;'Tables - Part 3'!$CQ$5,'Tables - Part 3'!$CT$5,IF(GH24&gt;='Tables - Part 3'!$CQ$16,'Tables - Part 3'!$CT$16,((COF!GH24-COF!IH24)*(INDEX('Tables - Part 3'!$CT$5:$CT$16,MATCH(COF!IL24,'Tables - Part 3'!$CQ$5:$CQ$16,0))-INDEX('Tables - Part 3'!$CT$5:$CT$16,MATCH(COF!IH24,'Tables - Part 3'!$CQ$5:$CQ$16,0)))/(IL24-IH24)+INDEX('Tables - Part 3'!$CT$5:$CT$16,MATCH(COF!IH24,'Tables - Part 3'!$CQ$5:$CQ$16,0)))))))</f>
        <v>#N/A</v>
      </c>
      <c r="JK24" s="286" t="e">
        <f>IF(CD24=$TK$5,'Tables - Part 3'!$CT$17,IF(COF!CD24=COF!$TK$6,IF(COF!GI24&lt;'Tables - Part 3'!$CQ$5,'Tables - Part 3'!$CT$5,IF(GI24&gt;='Tables - Part 3'!$CQ$16,'Tables - Part 3'!$CT$16,((COF!GI24-COF!II24)*(INDEX('Tables - Part 3'!$CT$5:$CT$16,MATCH(COF!IM24,'Tables - Part 3'!$CQ$5:$CQ$16,0))-INDEX('Tables - Part 3'!$CT$5:$CT$16,MATCH(COF!II24,'Tables - Part 3'!$CQ$5:$CQ$16,0)))/(IM24-II24)+INDEX('Tables - Part 3'!$CT$5:$CT$16,MATCH(COF!II24,'Tables - Part 3'!$CQ$5:$CQ$16,0)))))))</f>
        <v>#N/A</v>
      </c>
      <c r="JL24" s="286" t="e">
        <f>IF(CA24=$TK$5,'Tables - Part 3'!$CU$17,IF(COF!CA24=COF!$TK$6,IF(COF!GF24&lt;'Tables - Part 3'!$CQ$5,'Tables - Part 3'!$CU$5,IF(GF24&gt;='Tables - Part 3'!$CQ$16,'Tables - Part 3'!$CU$16,((COF!GF24-COF!IF24)*(INDEX('Tables - Part 3'!$CU$5:$CU$16,MATCH(COF!IJ24,'Tables - Part 3'!$CQ$5:$CQ$16,0))-INDEX('Tables - Part 3'!$CU$5:$CU$16,MATCH(COF!IF24,'Tables - Part 3'!$CQ$5:$CQ$16,0)))/(IJ24-IF24)+INDEX('Tables - Part 3'!$CU$5:$CU$16,MATCH(COF!IF24,'Tables - Part 3'!$CQ$5:$CQ$16,0)))))))</f>
        <v>#N/A</v>
      </c>
      <c r="JM24" s="286" t="e">
        <f>IF(CB24=$TK$5,'Tables - Part 3'!$CU$17,IF(COF!CB24=COF!$TK$6,IF(COF!GG24&lt;'Tables - Part 3'!$CQ$5,'Tables - Part 3'!$CU$5,IF(GG24&gt;='Tables - Part 3'!$CQ$16,'Tables - Part 3'!$CU$16,((COF!GG24-COF!IG24)*(INDEX('Tables - Part 3'!$CU$5:$CU$16,MATCH(COF!IK24,'Tables - Part 3'!$CQ$5:$CQ$16,0))-INDEX('Tables - Part 3'!$CU$5:$CU$16,MATCH(COF!IG24,'Tables - Part 3'!$CQ$5:$CQ$16,0)))/(IK24-IG24)+INDEX('Tables - Part 3'!$CU$5:$CU$16,MATCH(COF!IG24,'Tables - Part 3'!$CQ$5:$CQ$16,0)))))))</f>
        <v>#N/A</v>
      </c>
      <c r="JN24" s="286" t="e">
        <f>IF(CC24=$TK$5,'Tables - Part 3'!$CU$17,IF(COF!CC24=COF!$TK$6,IF(COF!GH24&lt;'Tables - Part 3'!$CQ$5,'Tables - Part 3'!$CU$5,IF(GH24&gt;='Tables - Part 3'!$CQ$16,'Tables - Part 3'!$CU$16,((COF!GH24-COF!IH24)*(INDEX('Tables - Part 3'!$CU$5:$CU$16,MATCH(COF!IL24,'Tables - Part 3'!$CQ$5:$CQ$16,0))-INDEX('Tables - Part 3'!$CU$5:$CU$16,MATCH(COF!IH24,'Tables - Part 3'!$CQ$5:$CQ$16,0)))/(IL24-IH24)+INDEX('Tables - Part 3'!$CU$5:$CU$16,MATCH(COF!IH24,'Tables - Part 3'!$CQ$5:$CQ$16,0)))))))</f>
        <v>#N/A</v>
      </c>
      <c r="JO24" s="286" t="e">
        <f>IF(CD24=$TK$5,'Tables - Part 3'!$CU$17,IF(COF!CD24=COF!$TK$6,IF(COF!GI24&lt;'Tables - Part 3'!$CQ$5,'Tables - Part 3'!$CU$5,IF(GI24&gt;='Tables - Part 3'!$CQ$16,'Tables - Part 3'!$CU$16,((COF!GI24-COF!II24)*(INDEX('Tables - Part 3'!$CU$5:$CU$16,MATCH(COF!IM24,'Tables - Part 3'!$CQ$5:$CQ$16,0))-INDEX('Tables - Part 3'!$CU$5:$CU$16,MATCH(COF!II24,'Tables - Part 3'!$CQ$5:$CQ$16,0)))/(IM24-II24)+INDEX('Tables - Part 3'!$CU$5:$CU$16,MATCH(COF!II24,'Tables - Part 3'!$CQ$5:$CQ$16,0)))))))</f>
        <v>#N/A</v>
      </c>
      <c r="JP24" s="302"/>
      <c r="JQ24" s="151">
        <f t="shared" si="98"/>
        <v>0</v>
      </c>
      <c r="JR24" s="151">
        <f t="shared" si="99"/>
        <v>0</v>
      </c>
      <c r="JS24" s="151">
        <f t="shared" si="100"/>
        <v>0</v>
      </c>
      <c r="JT24" s="151">
        <f t="shared" si="101"/>
        <v>0</v>
      </c>
      <c r="JU24" s="151" t="e">
        <f t="shared" si="204"/>
        <v>#N/A</v>
      </c>
      <c r="JV24" s="151" t="e">
        <f t="shared" si="205"/>
        <v>#N/A</v>
      </c>
      <c r="JW24" s="151" t="e">
        <f t="shared" si="206"/>
        <v>#N/A</v>
      </c>
      <c r="JX24" s="151" t="e">
        <f t="shared" si="207"/>
        <v>#N/A</v>
      </c>
      <c r="JY24" s="300" t="e">
        <f>IF(GF24&lt;'Tables - Part 3'!$CY$6,0,LOOKUP(GF24,'Tables - Part 3'!$CY$6:$CY$11))</f>
        <v>#N/A</v>
      </c>
      <c r="JZ24" s="300" t="e">
        <f>IF(GG24&lt;'Tables - Part 3'!$CY$6,0,LOOKUP(GG24,'Tables - Part 3'!$CY$6:$CY$11))</f>
        <v>#N/A</v>
      </c>
      <c r="KA24" s="300" t="e">
        <f>IF(GH24&lt;'Tables - Part 3'!$CY$6,0,LOOKUP(GH24,'Tables - Part 3'!$CY$6:$CY$11))</f>
        <v>#N/A</v>
      </c>
      <c r="KB24" s="300" t="e">
        <f>IF(GI24&lt;'Tables - Part 3'!$CY$6,0,LOOKUP(GI24,'Tables - Part 3'!$CY$6:$CY$11))</f>
        <v>#N/A</v>
      </c>
      <c r="KC24" s="300" t="e">
        <f>IF(GF24&lt;'Tables - Part 3'!$CY$6,'Tables - Part 3'!$CY$6,IF(COF!GF24&lt;'Tables - Part 3'!$CY$7,'Tables - Part 3'!$CY$7,IF(COF!GF24&lt;'Tables - Part 3'!$CY$8,'Tables - Part 3'!$CY$8,IF(COF!GF24&lt;'Tables - Part 3'!$CY$9,'Tables - Part 3'!$CY$9,IF(COF!GF24&lt;'Tables - Part 3'!$CY$10,'Tables - Part 3'!$CY$10,IF(COF!GF24&lt;'Tables - Part 3'!$CY$11,'Tables - Part 3'!$CY$11))))))</f>
        <v>#N/A</v>
      </c>
      <c r="KD24" s="300" t="e">
        <f>IF(GG24&lt;'Tables - Part 3'!$CY$6,'Tables - Part 3'!$CY$6,IF(COF!GG24&lt;'Tables - Part 3'!$CY$7,'Tables - Part 3'!$CY$7,IF(COF!GG24&lt;'Tables - Part 3'!$CY$8,'Tables - Part 3'!$CY$8,IF(COF!GG24&lt;'Tables - Part 3'!$CY$9,'Tables - Part 3'!$CY$9,IF(COF!GG24&lt;'Tables - Part 3'!$CY$10,'Tables - Part 3'!$CY$10,IF(COF!GG24&lt;'Tables - Part 3'!$CY$11,'Tables - Part 3'!$CY$11))))))</f>
        <v>#N/A</v>
      </c>
      <c r="KE24" s="300" t="e">
        <f>IF(GH24&lt;'Tables - Part 3'!$CY$6,'Tables - Part 3'!$CY$6,IF(COF!GH24&lt;'Tables - Part 3'!$CY$7,'Tables - Part 3'!$CY$7,IF(COF!GH24&lt;'Tables - Part 3'!$CY$8,'Tables - Part 3'!$CY$8,IF(COF!GH24&lt;'Tables - Part 3'!$CY$9,'Tables - Part 3'!$CY$9,IF(COF!GH24&lt;'Tables - Part 3'!$CY$10,'Tables - Part 3'!$CY$10,IF(COF!GH24&lt;'Tables - Part 3'!$CY$11,'Tables - Part 3'!$CY$11))))))</f>
        <v>#N/A</v>
      </c>
      <c r="KF24" s="300" t="e">
        <f>IF(GI24&lt;'Tables - Part 3'!$CY$6,'Tables - Part 3'!$CY$6,IF(COF!GI24&lt;'Tables - Part 3'!$CY$7,'Tables - Part 3'!$CY$7,IF(COF!GI24&lt;'Tables - Part 3'!$CY$8,'Tables - Part 3'!$CY$8,IF(COF!GI24&lt;'Tables - Part 3'!$CY$9,'Tables - Part 3'!$CY$9,IF(COF!GI24&lt;'Tables - Part 3'!$CY$10,'Tables - Part 3'!$CY$10,IF(COF!GI24&lt;'Tables - Part 3'!$CY$11,'Tables - Part 3'!$CY$11))))))</f>
        <v>#N/A</v>
      </c>
      <c r="KG24" s="286" t="e">
        <f>IF(CA24=$TK$5,'Tables - Part 3'!$CZ$6,IF(COF!CA24=COF!$TK$6,IF(COF!GF24&lt;'Tables - Part 3'!$CY$6,'Tables - Part 3'!$CZ$6,IF(GF24&gt;='Tables - Part 3'!$CY$11,'Tables - Part 3'!$CZ$11,((COF!GF24-COF!JY24)*(INDEX('Tables - Part 3'!$CZ$6:$CZ$11,MATCH(COF!KC24,'Tables - Part 3'!$CY$6:$CY$11,0))-INDEX('Tables - Part 3'!$CZ$6:$CZ$11,MATCH(COF!JY24,'Tables - Part 3'!$CY$6:$CY$11,0)))/(KC24-JY24)+INDEX('Tables - Part 3'!$CZ$6:$CZ$11,MATCH(COF!JY24,'Tables - Part 3'!$CY$6:$CY$11,0)))))))</f>
        <v>#N/A</v>
      </c>
      <c r="KH24" s="286" t="e">
        <f>IF(CB24=$TK$5,'Tables - Part 3'!$CZ$6,IF(COF!CB24=COF!$TK$6,IF(COF!GG24&lt;'Tables - Part 3'!$CY$6,'Tables - Part 3'!$CZ$6,IF(GG24&gt;='Tables - Part 3'!$CY$11,'Tables - Part 3'!$CZ$11,((COF!GG24-COF!JZ24)*(INDEX('Tables - Part 3'!$CZ$6:$CZ$11,MATCH(COF!KD24,'Tables - Part 3'!$CY$6:$CY$11,0))-INDEX('Tables - Part 3'!$CZ$6:$CZ$11,MATCH(COF!JZ24,'Tables - Part 3'!$CY$6:$CY$11,0)))/(KD24-JZ24)+INDEX('Tables - Part 3'!$CZ$6:$CZ$11,MATCH(COF!JZ24,'Tables - Part 3'!$CY$6:$CY$11,0)))))))</f>
        <v>#N/A</v>
      </c>
      <c r="KI24" s="286" t="e">
        <f>IF(CC24=$TK$5,'Tables - Part 3'!$CZ$6,IF(COF!CC24=COF!$TK$6,IF(COF!GH24&lt;'Tables - Part 3'!$CY$6,'Tables - Part 3'!$CZ$6,IF(GH24&gt;='Tables - Part 3'!$CY$11,'Tables - Part 3'!$CZ$11,((COF!GH24-COF!KA24)*(INDEX('Tables - Part 3'!$CZ$6:$CZ$11,MATCH(COF!KE24,'Tables - Part 3'!$CY$6:$CY$11,0))-INDEX('Tables - Part 3'!$CZ$6:$CZ$11,MATCH(COF!KA24,'Tables - Part 3'!$CY$6:$CY$11,0)))/(KE24-KA24)+INDEX('Tables - Part 3'!$CZ$6:$CZ$11,MATCH(COF!KA24,'Tables - Part 3'!$CY$6:$CY$11,0)))))))</f>
        <v>#N/A</v>
      </c>
      <c r="KJ24" s="286" t="e">
        <f>IF(CD24=$TK$5,'Tables - Part 3'!$CZ$6,IF(COF!CD24=COF!$TK$6,IF(COF!GI24&lt;'Tables - Part 3'!$CY$6,'Tables - Part 3'!$CZ$6,IF(GI24&gt;='Tables - Part 3'!$CY$11,'Tables - Part 3'!$CZ$11,((COF!GI24-COF!KB24)*(INDEX('Tables - Part 3'!$CZ$6:$CZ$11,MATCH(COF!KF24,'Tables - Part 3'!$CY$6:$CY$11,0))-INDEX('Tables - Part 3'!$CZ$6:$CZ$11,MATCH(COF!KB24,'Tables - Part 3'!$CY$6:$CY$11,0)))/(KF24-KB24)+INDEX('Tables - Part 3'!$CZ$6:$CZ$11,MATCH(COF!KB24,'Tables - Part 3'!$CY$6:$CY$11,0)))))))</f>
        <v>#N/A</v>
      </c>
      <c r="KK24" s="301" t="e">
        <f>IF(CA24=$TK$5,'Tables - Part 3'!$DA$6,IF(COF!CA24=COF!$TK$6,IF(COF!GF24&lt;'Tables - Part 3'!$CY$6,'Tables - Part 3'!$DA$6,IF(GF24&gt;='Tables - Part 3'!$CY$11,'Tables - Part 3'!$DA$11,((COF!GF24-COF!JY24)*(INDEX('Tables - Part 3'!$DA$6:$DA$11,MATCH(COF!KC24,'Tables - Part 3'!$CY$6:$CY$11,0))-INDEX('Tables - Part 3'!$DA$6:$DA$11,MATCH(COF!JY24,'Tables - Part 3'!$CY$6:$CY$11,0)))/(KC24-JY24)+INDEX('Tables - Part 3'!$DA$6:$DA$16,MATCH(COF!JY24,'Tables - Part 3'!$CY$6:$CY$11,0)))))))</f>
        <v>#N/A</v>
      </c>
      <c r="KL24" s="301" t="e">
        <f>IF(CB24=$TK$5,'Tables - Part 3'!$DA$6,IF(COF!CB24=COF!$TK$6,IF(COF!GG24&lt;'Tables - Part 3'!$CY$6,'Tables - Part 3'!$DA$6,IF(GG24&gt;='Tables - Part 3'!$CY$11,'Tables - Part 3'!$DA$11,((COF!GG24-COF!JZ24)*(INDEX('Tables - Part 3'!$DA$6:$DA$11,MATCH(COF!KD24,'Tables - Part 3'!$CY$6:$CY$11,0))-INDEX('Tables - Part 3'!$DA$6:$DA$11,MATCH(COF!JZ24,'Tables - Part 3'!$CY$6:$CY$11,0)))/(KD24-JZ24)+INDEX('Tables - Part 3'!$DA$6:$DA$16,MATCH(COF!JZ24,'Tables - Part 3'!$CY$6:$CY$11,0)))))))</f>
        <v>#N/A</v>
      </c>
      <c r="KM24" s="301" t="e">
        <f>IF(CC24=$TK$5,'Tables - Part 3'!$DA$6,IF(COF!CC24=COF!$TK$6,IF(COF!GH24&lt;'Tables - Part 3'!$CY$6,'Tables - Part 3'!$DA$6,IF(GH24&gt;='Tables - Part 3'!$CY$11,'Tables - Part 3'!$DA$11,((COF!GH24-COF!KA24)*(INDEX('Tables - Part 3'!$DA$6:$DA$11,MATCH(COF!KE24,'Tables - Part 3'!$CY$6:$CY$11,0))-INDEX('Tables - Part 3'!$DA$6:$DA$11,MATCH(COF!KA24,'Tables - Part 3'!$CY$6:$CY$11,0)))/(KE24-KA24)+INDEX('Tables - Part 3'!$DA$6:$DA$16,MATCH(COF!KA24,'Tables - Part 3'!$CY$6:$CY$11,0)))))))</f>
        <v>#N/A</v>
      </c>
      <c r="KN24" s="301" t="e">
        <f>IF(CD24=$TK$5,'Tables - Part 3'!$DA$6,IF(COF!CD24=COF!$TK$6,IF(COF!GI24&lt;'Tables - Part 3'!$CY$6,'Tables - Part 3'!$DA$6,IF(GI24&gt;='Tables - Part 3'!$CY$11,'Tables - Part 3'!$DA$11,((COF!GI24-COF!KB24)*(INDEX('Tables - Part 3'!$DA$6:$DA$11,MATCH(COF!KF24,'Tables - Part 3'!$CY$6:$CY$11,0))-INDEX('Tables - Part 3'!$DA$6:$DA$11,MATCH(COF!KB24,'Tables - Part 3'!$CY$6:$CY$11,0)))/(KF24-KB24)+INDEX('Tables - Part 3'!$DA$6:$DA$16,MATCH(COF!KB24,'Tables - Part 3'!$CY$6:$CY$11,0)))))))</f>
        <v>#N/A</v>
      </c>
      <c r="KO24" s="153">
        <f t="shared" si="102"/>
        <v>0</v>
      </c>
      <c r="KP24" s="153">
        <f t="shared" si="103"/>
        <v>0</v>
      </c>
      <c r="KQ24" s="153">
        <f t="shared" si="104"/>
        <v>0</v>
      </c>
      <c r="KR24" s="153">
        <f t="shared" si="105"/>
        <v>0</v>
      </c>
      <c r="KS24" s="151" t="e">
        <f t="shared" si="208"/>
        <v>#N/A</v>
      </c>
      <c r="KT24" s="151" t="e">
        <f t="shared" si="209"/>
        <v>#N/A</v>
      </c>
      <c r="KU24" s="151" t="e">
        <f t="shared" si="210"/>
        <v>#N/A</v>
      </c>
      <c r="KV24" s="151" t="e">
        <f t="shared" si="211"/>
        <v>#N/A</v>
      </c>
      <c r="KW24" s="286" t="e">
        <f>IF(CA24=$TK$5,'Tables - Part 3'!$CZ$12,IF(COF!CA24=COF!$TK$6,IF(COF!GF24&lt;'Tables - Part 3'!$CY$12,'Tables - Part 3'!$CZ$12,IF(GF24&gt;='Tables - Part 3'!$CY$17,'Tables - Part 3'!$CZ$17,((COF!GF24-COF!JY24)*(INDEX('Tables - Part 3'!$CZ$12:$CZ$17,MATCH(COF!KC24,'Tables - Part 3'!$CY$12:$CY$17,0))-INDEX('Tables - Part 3'!$CZ$12:$CZ$17,MATCH(COF!JY24,'Tables - Part 3'!$CY$12:$CY$17,0)))/(KC24-JY24)+INDEX('Tables - Part 3'!$CZ$12:$CZ$17,MATCH(COF!JY24,'Tables - Part 3'!$CY$12:$CY$17,0)))))))</f>
        <v>#N/A</v>
      </c>
      <c r="KX24" s="286" t="e">
        <f>IF(CB24=$TK$5,'Tables - Part 3'!$CZ$12,IF(COF!CB24=COF!$TK$6,IF(COF!GG24&lt;'Tables - Part 3'!$CY$12,'Tables - Part 3'!$CZ$12,IF(GG24&gt;='Tables - Part 3'!$CY$17,'Tables - Part 3'!$CZ$17,((COF!GG24-COF!JZ24)*(INDEX('Tables - Part 3'!$CZ$12:$CZ$17,MATCH(COF!KD24,'Tables - Part 3'!$CY$12:$CY$17,0))-INDEX('Tables - Part 3'!$CZ$12:$CZ$17,MATCH(COF!JZ24,'Tables - Part 3'!$CY$12:$CY$17,0)))/(KD24-JZ24)+INDEX('Tables - Part 3'!$CZ$12:$CZ$17,MATCH(COF!JZ24,'Tables - Part 3'!$CY$12:$CY$17,0)))))))</f>
        <v>#N/A</v>
      </c>
      <c r="KY24" s="286" t="e">
        <f>IF(CC24=$TK$5,'Tables - Part 3'!$CZ$12,IF(COF!CC24=COF!$TK$6,IF(COF!GH24&lt;'Tables - Part 3'!$CY$12,'Tables - Part 3'!$CZ$12,IF(GH24&gt;='Tables - Part 3'!$CY$17,'Tables - Part 3'!$CZ$17,((COF!GH24-COF!KA24)*(INDEX('Tables - Part 3'!$CZ$12:$CZ$17,MATCH(COF!KE24,'Tables - Part 3'!$CY$12:$CY$17,0))-INDEX('Tables - Part 3'!$CZ$12:$CZ$17,MATCH(COF!KA24,'Tables - Part 3'!$CY$12:$CY$17,0)))/(KE24-KA24)+INDEX('Tables - Part 3'!$CZ$12:$CZ$17,MATCH(COF!KA24,'Tables - Part 3'!$CY$12:$CY$17,0)))))))</f>
        <v>#N/A</v>
      </c>
      <c r="KZ24" s="286" t="e">
        <f>IF(CD24=$TK$5,'Tables - Part 3'!$CZ$12,IF(COF!CD24=COF!$TK$6,IF(COF!GI24&lt;'Tables - Part 3'!$CY$12,'Tables - Part 3'!$CZ$12,IF(GI24&gt;='Tables - Part 3'!$CY$17,'Tables - Part 3'!$CZ$17,((COF!GI24-COF!KB24)*(INDEX('Tables - Part 3'!$CZ$12:$CZ$17,MATCH(COF!KF24,'Tables - Part 3'!$CY$12:$CY$17,0))-INDEX('Tables - Part 3'!$CZ$12:$CZ$17,MATCH(COF!KB24,'Tables - Part 3'!$CY$12:$CY$17,0)))/(KF24-KB24)+INDEX('Tables - Part 3'!$CZ$12:$CZ$17,MATCH(COF!KB24,'Tables - Part 3'!$CY$12:$CY$17,0)))))))</f>
        <v>#N/A</v>
      </c>
      <c r="LA24" s="286" t="e">
        <f>IF(CA24=$TK$5,'Tables - Part 3'!$DA$6,IF(COF!CA24=COF!$TK$6,IF(COF!GF24&lt;'Tables - Part 3'!$CY$6,'Tables - Part 3'!$DA$6,IF(GF24&gt;='Tables - Part 3'!$CY$11,'Tables - Part 3'!$DA$11,((COF!GF24-COF!JY24)*(INDEX('Tables - Part 3'!$DA$6:$DA$11,MATCH(COF!KC24,'Tables - Part 3'!$CY$6:$CY$11,0))-INDEX('Tables - Part 3'!$DA$6:$DA$11,MATCH(COF!JY24,'Tables - Part 3'!$CY$6:$CY$11,0)))/(KC24-JY24)+INDEX('Tables - Part 3'!$DA$5:$DA$16,MATCH(COF!JY24,'Tables - Part 3'!$CY$6:$CY$11,0)))))))</f>
        <v>#N/A</v>
      </c>
      <c r="LB24" s="286" t="e">
        <f>IF(CB24=$TK$5,'Tables - Part 3'!$DA$6,IF(COF!CB24=COF!$TK$6,IF(COF!GG24&lt;'Tables - Part 3'!$CY$6,'Tables - Part 3'!$DA$6,IF(GG24&gt;='Tables - Part 3'!$CY$11,'Tables - Part 3'!$DA$11,((COF!GG24-COF!JZ24)*(INDEX('Tables - Part 3'!$DA$6:$DA$11,MATCH(COF!KD24,'Tables - Part 3'!$CY$6:$CY$11,0))-INDEX('Tables - Part 3'!$DA$6:$DA$11,MATCH(COF!JZ24,'Tables - Part 3'!$CY$6:$CY$11,0)))/(KD24-JZ24)+INDEX('Tables - Part 3'!$DA$5:$DA$16,MATCH(COF!JZ24,'Tables - Part 3'!$CY$6:$CY$11,0)))))))</f>
        <v>#N/A</v>
      </c>
      <c r="LC24" s="286" t="e">
        <f>IF(CC24=$TK$5,'Tables - Part 3'!$DA$6,IF(COF!CC24=COF!$TK$6,IF(COF!GH24&lt;'Tables - Part 3'!$CY$6,'Tables - Part 3'!$DA$6,IF(GH24&gt;='Tables - Part 3'!$CY$11,'Tables - Part 3'!$DA$11,((COF!GH24-COF!KA24)*(INDEX('Tables - Part 3'!$DA$6:$DA$11,MATCH(COF!KE24,'Tables - Part 3'!$CY$6:$CY$11,0))-INDEX('Tables - Part 3'!$DA$6:$DA$11,MATCH(COF!KA24,'Tables - Part 3'!$CY$6:$CY$11,0)))/(KE24-KA24)+INDEX('Tables - Part 3'!$DA$5:$DA$16,MATCH(COF!KA24,'Tables - Part 3'!$CY$6:$CY$11,0)))))))</f>
        <v>#N/A</v>
      </c>
      <c r="LD24" s="286" t="e">
        <f>IF(CD24=$TK$5,'Tables - Part 3'!$DA$6,IF(COF!CD24=COF!$TK$6,IF(COF!GI24&lt;'Tables - Part 3'!$CY$6,'Tables - Part 3'!$DA$6,IF(GI24&gt;='Tables - Part 3'!$CY$11,'Tables - Part 3'!$DA$11,((COF!GI24-COF!KB24)*(INDEX('Tables - Part 3'!$DA$6:$DA$11,MATCH(COF!KF24,'Tables - Part 3'!$CY$6:$CY$11,0))-INDEX('Tables - Part 3'!$DA$6:$DA$11,MATCH(COF!KB24,'Tables - Part 3'!$CY$6:$CY$11,0)))/(KF24-KB24)+INDEX('Tables - Part 3'!$DA$5:$DA$16,MATCH(COF!KB24,'Tables - Part 3'!$CY$6:$CY$11,0)))))))</f>
        <v>#N/A</v>
      </c>
      <c r="LE24" s="303"/>
      <c r="LF24" s="303"/>
      <c r="LG24" s="303"/>
      <c r="LH24" s="303"/>
      <c r="LI24" s="303"/>
      <c r="LJ24" s="303"/>
      <c r="LK24" s="303"/>
      <c r="LL24" s="151" t="e">
        <f t="shared" si="212"/>
        <v>#N/A</v>
      </c>
      <c r="LM24" s="151" t="e">
        <f t="shared" si="213"/>
        <v>#N/A</v>
      </c>
      <c r="LN24" s="151" t="e">
        <f t="shared" si="214"/>
        <v>#N/A</v>
      </c>
      <c r="LO24" s="151" t="e">
        <f t="shared" si="215"/>
        <v>#N/A</v>
      </c>
      <c r="LP24" s="151">
        <f t="shared" si="106"/>
        <v>0</v>
      </c>
      <c r="LQ24" s="502">
        <f>IF($F24='Tables - Part 3'!$B$17,'Tables - Part 3.B'!$C$11*COF!CJ24,0)</f>
        <v>0</v>
      </c>
      <c r="LR24" s="502">
        <f>IF($F24='Tables - Part 3'!$B$17,'Tables - Part 3.B'!$C$11*COF!CK24,0)</f>
        <v>0</v>
      </c>
      <c r="LS24" s="502">
        <f>IF($F24='Tables - Part 3'!$B$17,'Tables - Part 3.B'!$C$11*COF!CL24,0)</f>
        <v>0</v>
      </c>
      <c r="LT24" s="502">
        <f>IF($F24='Tables - Part 3'!$B$17,'Tables - Part 3.B'!$C$11*COF!CM24,0)</f>
        <v>0</v>
      </c>
      <c r="LU24" s="502">
        <f>IF($F24='Tables - Part 3'!$B$17,'Tables - Part 3.B'!$C$12*POWER(COF!CR24,0.6384),0)</f>
        <v>0</v>
      </c>
      <c r="LV24" s="502">
        <f>IF($F24='Tables - Part 3'!$B$17,'Tables - Part 3.B'!$C$12*POWER(COF!CS24,0.6384),0)</f>
        <v>0</v>
      </c>
      <c r="LW24" s="502">
        <f>IF($F24='Tables - Part 3'!$B$17,'Tables - Part 3.B'!$C$12*POWER(COF!CT24,0.6384),0)</f>
        <v>0</v>
      </c>
      <c r="LX24" s="502">
        <f>IF($F24='Tables - Part 3'!$B$17,'Tables - Part 3.B'!$C$12*POWER(COF!CU24,0.6384),0)</f>
        <v>0</v>
      </c>
      <c r="LY24" s="151" t="e">
        <f>MIN(CJ24/'Tables - Part 3.B'!$C$8,1)</f>
        <v>#N/A</v>
      </c>
      <c r="LZ24" s="151" t="e">
        <f>MIN(CK24/'Tables - Part 3.B'!$C$8,1)</f>
        <v>#N/A</v>
      </c>
      <c r="MA24" s="151" t="e">
        <f>MIN(CL24/'Tables - Part 3.B'!$C$8,1)</f>
        <v>#N/A</v>
      </c>
      <c r="MB24" s="151" t="e">
        <f>MIN(CM24/'Tables - Part 3.B'!$C$8,1)</f>
        <v>#N/A</v>
      </c>
      <c r="MC24" s="286" t="e">
        <f t="shared" si="216"/>
        <v>#N/A</v>
      </c>
      <c r="MD24" s="286" t="e">
        <f t="shared" si="287"/>
        <v>#N/A</v>
      </c>
      <c r="ME24" s="286" t="e">
        <f t="shared" si="287"/>
        <v>#N/A</v>
      </c>
      <c r="MF24" s="286" t="e">
        <f t="shared" si="287"/>
        <v>#N/A</v>
      </c>
      <c r="MG24" s="502">
        <f>IF($F24='Tables - Part 3'!$B$18,0.2*'Tables - Part 3.B'!$C$10*$ML24*POWER('Tables - Part 3.B'!$C$7*CJ24,$MM24),0)</f>
        <v>0</v>
      </c>
      <c r="MH24" s="502">
        <f>IF($F24='Tables - Part 3'!$B$18,0.2*'Tables - Part 3.B'!$C$10*$ML24*POWER('Tables - Part 3.B'!$C$7*CK24,$MM24),0)</f>
        <v>0</v>
      </c>
      <c r="MI24" s="502">
        <f>IF($F24='Tables - Part 3'!$B$18,0.2*'Tables - Part 3.B'!$C$10*$ML24*POWER('Tables - Part 3.B'!$C$7*CL24,$MM24),0)</f>
        <v>0</v>
      </c>
      <c r="MJ24" s="502">
        <f>IF($F24='Tables - Part 3'!$B$18,0.2*'Tables - Part 3.B'!$C$10*$ML24*POWER('Tables - Part 3.B'!$C$7*CM24,$MM24),0)</f>
        <v>0</v>
      </c>
      <c r="MK24" s="286">
        <v>0</v>
      </c>
      <c r="ML24" s="286" t="e">
        <f>2696-21.9*'Tables - Part 3.B'!$C$13*(COF!OO24-COF!$TM$5)+1.474*POWER('Tables - Part 3.B'!$C$13*(COF!OO24-COF!$TM$5),2)</f>
        <v>#VALUE!</v>
      </c>
      <c r="MM24" s="286" t="e">
        <f>0.31-0.00032*POWER('Tables - Part 3.B'!$C$13*(COF!OO24-COF!$TM$5)-40,2)</f>
        <v>#VALUE!</v>
      </c>
      <c r="MN24" s="286">
        <v>0</v>
      </c>
      <c r="MO24" s="286">
        <f t="shared" si="217"/>
        <v>0</v>
      </c>
      <c r="MP24" s="286">
        <f t="shared" si="288"/>
        <v>0</v>
      </c>
      <c r="MQ24" s="286">
        <f t="shared" si="288"/>
        <v>0</v>
      </c>
      <c r="MR24" s="286">
        <f t="shared" si="288"/>
        <v>0</v>
      </c>
      <c r="MS24" s="151" t="e">
        <f t="shared" si="218"/>
        <v>#N/A</v>
      </c>
      <c r="MT24" s="151" t="e">
        <f t="shared" si="219"/>
        <v>#N/A</v>
      </c>
      <c r="MU24" s="151" t="e">
        <f t="shared" si="220"/>
        <v>#N/A</v>
      </c>
      <c r="MV24" s="151" t="e">
        <f t="shared" si="221"/>
        <v>#N/A</v>
      </c>
      <c r="MW24" s="151">
        <f t="shared" si="222"/>
        <v>0</v>
      </c>
      <c r="MX24" s="286">
        <f t="shared" si="223"/>
        <v>0</v>
      </c>
      <c r="MY24" s="286">
        <f t="shared" si="224"/>
        <v>0</v>
      </c>
      <c r="MZ24" s="526">
        <f t="shared" si="109"/>
        <v>0</v>
      </c>
      <c r="NA24" s="151" t="e">
        <f>INDEX('Tables - Part 3'!DQ$5:DQ$32,MATCH($E24,'Tables - Part 3'!$DP$5:$DP$32,0))</f>
        <v>#N/A</v>
      </c>
      <c r="NB24" s="151" t="e">
        <f>INDEX('Tables - Part 3'!DR$5:DR$32,MATCH($E24,'Tables - Part 3'!$DP$5:$DP$32,0))</f>
        <v>#N/A</v>
      </c>
      <c r="NC24" s="151" t="e">
        <f>INDEX('Tables - Part 3'!DS$5:DS$32,MATCH($E24,'Tables - Part 3'!$DP$5:$DP$32,0))</f>
        <v>#N/A</v>
      </c>
      <c r="ND24" s="151" t="e">
        <f>INDEX('Tables - Part 3'!DT$5:DT$32,MATCH($E24,'Tables - Part 3'!$DP$5:$DP$32,0))</f>
        <v>#N/A</v>
      </c>
      <c r="NE24" s="151" t="e">
        <f>IF(W24='Tables - Part 3'!$DV$44,COF!X24,IF(OR(COF!X24&lt;&gt;0,COF!X24&lt;&gt;""),COF!X24,INDEX('Tables - Part 3'!$DW$4:$DW$43,MATCH(COF!W24,'Tables - Part 3'!$DV$4:$DV$43,0))))</f>
        <v>#N/A</v>
      </c>
      <c r="NF24" s="151">
        <f t="shared" si="110"/>
        <v>1</v>
      </c>
      <c r="NG24" s="151" t="e">
        <f t="shared" si="225"/>
        <v>#N/A</v>
      </c>
      <c r="NH24" s="151">
        <f t="shared" si="111"/>
        <v>0</v>
      </c>
      <c r="NI24" s="151" t="e">
        <f>INDEX('Tables - Part 3'!EC$5:EC$31,MATCH(COF!$E24,'Tables - Part 3'!$EB$5:$EB$31,0))</f>
        <v>#N/A</v>
      </c>
      <c r="NJ24" s="151" t="e">
        <f>INDEX('Tables - Part 3'!ED$5:ED$31,MATCH(COF!$E24,'Tables - Part 3'!$EB$5:$EB$31,0))</f>
        <v>#N/A</v>
      </c>
      <c r="NK24" s="151" t="e">
        <f>INDEX('Tables - Part 3'!EE$5:EE$31,MATCH(COF!$E24,'Tables - Part 3'!$EB$5:$EB$31,0))</f>
        <v>#N/A</v>
      </c>
      <c r="NL24" s="151" t="e">
        <f>INDEX('Tables - Part 3'!EF$5:EF$31,MATCH(COF!$E24,'Tables - Part 3'!$EB$5:$EB$31,0))</f>
        <v>#N/A</v>
      </c>
      <c r="NM24" s="151">
        <f t="shared" si="112"/>
        <v>1</v>
      </c>
      <c r="NN24" s="151" t="e">
        <f t="shared" si="226"/>
        <v>#N/A</v>
      </c>
      <c r="NO24" s="151" t="e">
        <f t="shared" si="227"/>
        <v>#NUM!</v>
      </c>
      <c r="NP24" s="151" t="e">
        <f t="shared" si="113"/>
        <v>#N/A</v>
      </c>
      <c r="NQ24" s="151">
        <f t="shared" si="114"/>
        <v>0</v>
      </c>
      <c r="NR24" s="151" t="e">
        <f>INDEX('Tables - Part 3'!$EL$4:$EL$37,MATCH(COF!F24,'Tables - Part 3'!$EH$4:$EH$37,0))</f>
        <v>#N/A</v>
      </c>
      <c r="NS24" s="151" t="e">
        <f>CR24*(1-$NR24)*'Tables - Part 3.B'!$C$15/COF!$AS24</f>
        <v>#N/A</v>
      </c>
      <c r="NT24" s="151" t="e">
        <f>CS24*(1-$NR24)*'Tables - Part 3.B'!$C$15/COF!$AS24</f>
        <v>#N/A</v>
      </c>
      <c r="NU24" s="151" t="e">
        <f>CT24*(1-$NR24)*'Tables - Part 3.B'!$C$15/COF!$AS24</f>
        <v>#N/A</v>
      </c>
      <c r="NV24" s="151" t="e">
        <f>CU24*(1-$NR24)*'Tables - Part 3.B'!$C$15/COF!$AS24</f>
        <v>#N/A</v>
      </c>
      <c r="NW24" s="151" t="e">
        <f t="shared" si="115"/>
        <v>#N/A</v>
      </c>
      <c r="NX24" s="542">
        <f t="shared" si="116"/>
        <v>0</v>
      </c>
      <c r="NY24" s="156" t="e">
        <f>0.61*$ON24*$AS24*(BM24/'Tables - Part 3.B'!$C$4)*SQRT((2*$TM$13*($OO24-$TM$5)/$AS24))</f>
        <v>#N/A</v>
      </c>
      <c r="NZ24" s="155" t="e">
        <f>0.61*$ON24*$AS24*(BN24/'Tables - Part 3.B'!$C$4)*SQRT((2*$TM$13*($OO24-$TM$5)/$AS24))</f>
        <v>#N/A</v>
      </c>
      <c r="OA24" s="155" t="e">
        <f>0.61*$ON24*$AS24*(BO24/'Tables - Part 3.B'!$C$4)*SQRT((2*$TM$13*($OO24-$TM$5)/$AS24))</f>
        <v>#N/A</v>
      </c>
      <c r="OB24" s="155" t="e">
        <f>0.61*$ON24*$AS24*(BP24/'Tables - Part 3.B'!$C$4)*SQRT((2*$TM$13*($OO24-$TM$5)/$AS24))</f>
        <v>#N/A</v>
      </c>
      <c r="OC24" s="155" t="e">
        <f>0.61*$ON24*AS24*(32450/'Tables - Part 3.B'!$C$4)*SQRT((2*$TM$13*(OO24-$TM$5)/AS24))</f>
        <v>#N/A</v>
      </c>
      <c r="OD24" s="156" t="e">
        <f>(0.9/'Tables - Part 3.B'!$C$5)*BM24*$OO24*SQRT(($AV24*$AU24*$TM$13/(8.314*$OP24))*POWER(2/($AV24+1),(($AV24+1)/($AV24-1))))</f>
        <v>#VALUE!</v>
      </c>
      <c r="OE24" s="156" t="e">
        <f>(0.9/'Tables - Part 3.B'!$C$5)*BN24*$OO24*SQRT(($AV24*$AU24*$TM$13/(8.314*$OP24))*POWER(2/($AV24+1),(($AV24+1)/($AV24-1))))</f>
        <v>#VALUE!</v>
      </c>
      <c r="OF24" s="156" t="e">
        <f>(0.9/'Tables - Part 3.B'!$C$5)*BO24*$OO24*SQRT(($AV24*$AU24*$TM$13/(8.314*$OP24))*POWER(2/($AV24+1),(($AV24+1)/($AV24-1))))</f>
        <v>#VALUE!</v>
      </c>
      <c r="OG24" s="156" t="e">
        <f>(0.9/'Tables - Part 3.B'!$C$5)*BP24*$OO24*SQRT(($AV24*$AU24*$TM$13/(8.314*$OP24))*POWER(2/($AV24+1),(($AV24+1)/($AV24-1))))</f>
        <v>#VALUE!</v>
      </c>
      <c r="OH24" s="156" t="e">
        <f>(0.9/'Tables - Part 3.B'!$C$5)*32450*$OO24*SQRT(($AV24*$AU24*$TM$13/(8.314*$OP24))*POWER(2/($AV24+1),(($AV24+1)/($AV24-1))))</f>
        <v>#VALUE!</v>
      </c>
      <c r="OI24" s="156" t="e">
        <f>(0.9/'Tables - Part 3.B'!$C$5)*BM24*$OO24*SQRT((($AU24*$TM$13)/(8.314*$OP24))*((2*$AV24)/($AV24-1))*POWER(($TM$5/$OO24),(2/$AV24))*(1-POWER(($TM$5/$OO24),(($AV24-1)/$AV24))))</f>
        <v>#VALUE!</v>
      </c>
      <c r="OJ24" s="156" t="e">
        <f>(0.9/'Tables - Part 3.B'!$C$5)*BN24*$OO24*SQRT((($AU24*$TM$13)/(8.314*$OP24))*((2*$AV24)/($AV24-1))*POWER(($TM$5/$OO24),(2/$AV24))*(1-POWER(($TM$5/$OO24),(($AV24-1)/$AV24))))</f>
        <v>#VALUE!</v>
      </c>
      <c r="OK24" s="156" t="e">
        <f>(0.9/'Tables - Part 3.B'!$C$5)*BO24*$OO24*SQRT((($AU24*$TM$13)/(8.314*$OP24))*((2*$AV24)/($AV24-1))*POWER(($TM$5/$OO24),(2/$AV24))*(1-POWER(($TM$5/$OO24),(($AV24-1)/$AV24))))</f>
        <v>#VALUE!</v>
      </c>
      <c r="OL24" s="156" t="e">
        <f>(0.9/'Tables - Part 3.B'!$C$5)*BP24*$OO24*SQRT((($AU24*$TM$13)/(8.314*$OP24))*((2*$AV24)/($AV24-1))*POWER(($TM$5/$OO24),(2/$AV24))*(1-POWER(($TM$5/$OO24),(($AV24-1)/$AV24))))</f>
        <v>#VALUE!</v>
      </c>
      <c r="OM24" s="156" t="e">
        <f>(0.9/'Tables - Part 3.B'!$C$5)*32450*$OO24*SQRT((($AU24*$TM$13)/(8.314*$OP24))*((2*$AV24)/($AV24-1))*POWER(($TM$5/$OO24),(2/$AV24))*(1-POWER(($TM$5/$OO24),(($AV24-1)/$AV24))))</f>
        <v>#VALUE!</v>
      </c>
      <c r="ON24" s="156">
        <f t="shared" si="117"/>
        <v>1</v>
      </c>
      <c r="OO24" s="157" t="str">
        <f t="shared" si="118"/>
        <v/>
      </c>
      <c r="OP24" s="157" t="str">
        <f t="shared" si="119"/>
        <v/>
      </c>
      <c r="OQ24" s="158" t="e">
        <f t="shared" si="228"/>
        <v>#N/A</v>
      </c>
      <c r="OR24" s="158" t="e">
        <f>INDEX('Tables - Part 3'!$F$4:$R$35,MATCH(COF!$F24,'Tables - Part 3'!$F$4:$F$35,0),COUNTA('Tables - Part 3'!$F$3:$K$3))</f>
        <v>#N/A</v>
      </c>
      <c r="OS24" s="158" t="e">
        <f t="shared" si="229"/>
        <v>#N/A</v>
      </c>
      <c r="OT24" s="158" t="e">
        <f t="shared" si="230"/>
        <v>#N/A</v>
      </c>
      <c r="OU24" s="158" t="e">
        <f t="shared" si="231"/>
        <v>#N/A</v>
      </c>
      <c r="OV24" s="159" t="e">
        <f>INDEX('Tables - Part 3'!$M$4:$Q$35,MATCH(COF!$F24,'Tables - Part 3'!$F$4:$F$35,0),COUNTA('Tables - Part 3'!$M$3))</f>
        <v>#N/A</v>
      </c>
      <c r="OW24" s="159" t="e">
        <f>INDEX('Tables - Part 3'!$M$4:$Q$35,MATCH(COF!$F24,'Tables - Part 3'!$F$4:$F$35,0),COUNTA('Tables - Part 3'!$M$3:$N$3))</f>
        <v>#N/A</v>
      </c>
      <c r="OX24" s="159" t="e">
        <f>INDEX('Tables - Part 3'!$M$4:$Q$35,MATCH(COF!$F24,'Tables - Part 3'!$F$4:$F$35,0),COUNTA('Tables - Part 3'!$M$3:$O$3))</f>
        <v>#N/A</v>
      </c>
      <c r="OY24" s="159" t="e">
        <f>INDEX('Tables - Part 3'!$M$4:$Q$35,MATCH(COF!$F24,'Tables - Part 3'!$F$4:$F$35,0),COUNTA('Tables - Part 3'!$M$3:$P$3))</f>
        <v>#N/A</v>
      </c>
      <c r="OZ24" s="160" t="e">
        <f>INDEX('Tables - Part 3'!$M$4:$Q$35,MATCH(COF!$F24,'Tables - Part 3'!$F$4:$F$35,0),COUNTA('Tables - Part 3'!$M$3:$Q$3))</f>
        <v>#N/A</v>
      </c>
      <c r="PA24" s="162" t="e">
        <f>INDEX('Tables - Part 3'!$I$4:$I$35,MATCH(COF!$F24,'Tables - Part 3'!$F$4:$F$35,0))</f>
        <v>#N/A</v>
      </c>
      <c r="PB24" s="158" t="e">
        <f t="shared" si="120"/>
        <v>#N/A</v>
      </c>
      <c r="PC24" s="158" t="str">
        <f t="shared" si="121"/>
        <v/>
      </c>
      <c r="PD24" s="158" t="e">
        <f>INDEX('Tables - Part 3'!AW$7:AW$31,MATCH(COF!$F24,'Tables - Part 3'!$AU$7:$AU$31,0),1)</f>
        <v>#N/A</v>
      </c>
      <c r="PE24" s="158" t="e">
        <f>INDEX('Tables - Part 3'!AX$7:AX$31,MATCH(COF!$F24,'Tables - Part 3'!$AU$7:$AU$31,0),1)</f>
        <v>#N/A</v>
      </c>
      <c r="PF24" s="158" t="e">
        <f>INDEX('Tables - Part 3'!AY$7:AY$31,MATCH(COF!$F24,'Tables - Part 3'!$AU$7:$AU$31,0),1)</f>
        <v>#N/A</v>
      </c>
      <c r="PG24" s="158" t="e">
        <f>INDEX('Tables - Part 3'!AZ$7:AZ$31,MATCH(COF!$F24,'Tables - Part 3'!$AU$7:$AU$31,0),1)</f>
        <v>#N/A</v>
      </c>
      <c r="PH24" s="158" t="e">
        <f>INDEX('Tables - Part 3'!BA$7:BA$31,MATCH(COF!$F24,'Tables - Part 3'!$AU$7:$AU$31,0),1)</f>
        <v>#N/A</v>
      </c>
      <c r="PI24" s="158" t="e">
        <f>INDEX('Tables - Part 3'!BB$7:BB$31,MATCH(COF!$F24,'Tables - Part 3'!$AU$7:$AU$31,0),1)</f>
        <v>#N/A</v>
      </c>
      <c r="PJ24" s="158" t="e">
        <f>INDEX('Tables - Part 3'!BC$7:BC$31,MATCH(COF!$F24,'Tables - Part 3'!$AU$7:$AU$31,0),1)</f>
        <v>#N/A</v>
      </c>
      <c r="PK24" s="158" t="e">
        <f>INDEX('Tables - Part 3'!BD$7:BD$31,MATCH(COF!$F24,'Tables - Part 3'!$AU$7:$AU$31,0),1)</f>
        <v>#N/A</v>
      </c>
      <c r="PL24" s="158" t="e">
        <f>INDEX('Tables - Part 3'!BE$7:BE$31,MATCH(COF!$F24,'Tables - Part 3'!$AU$7:$AU$31,0),1)</f>
        <v>#N/A</v>
      </c>
      <c r="PM24" s="158" t="e">
        <f>INDEX('Tables - Part 3'!BF$7:BF$31,MATCH(COF!$F24,'Tables - Part 3'!$AU$7:$AU$31,0),1)</f>
        <v>#N/A</v>
      </c>
      <c r="PN24" s="158" t="e">
        <f>INDEX('Tables - Part 3'!BG$7:BG$31,MATCH(COF!$F24,'Tables - Part 3'!$AU$7:$AU$31,0),1)</f>
        <v>#N/A</v>
      </c>
      <c r="PO24" s="158" t="e">
        <f>INDEX('Tables - Part 3'!BH$7:BH$31,MATCH(COF!$F24,'Tables - Part 3'!$AU$7:$AU$31,0),1)</f>
        <v>#N/A</v>
      </c>
      <c r="PP24" s="158" t="e">
        <f>INDEX('Tables - Part 3'!BI$7:BI$31,MATCH(COF!$F24,'Tables - Part 3'!$AU$7:$AU$31,0),1)</f>
        <v>#N/A</v>
      </c>
      <c r="PQ24" s="158" t="e">
        <f>INDEX('Tables - Part 3'!BJ$7:BJ$31,MATCH(COF!$F24,'Tables - Part 3'!$AU$7:$AU$31,0),1)</f>
        <v>#N/A</v>
      </c>
      <c r="PR24" s="158" t="e">
        <f>INDEX('Tables - Part 3'!BK$7:BK$31,MATCH(COF!$F24,'Tables - Part 3'!$AU$7:$AU$31,0),1)</f>
        <v>#N/A</v>
      </c>
      <c r="PS24" s="158" t="e">
        <f>INDEX('Tables - Part 3'!BL$7:BL$31,MATCH(COF!$F24,'Tables - Part 3'!$AU$7:$AU$31,0),1)</f>
        <v>#N/A</v>
      </c>
      <c r="PT24" s="158" t="e">
        <f>INDEX('Tables - Part 3'!BP$7:BP$31,MATCH(COF!$F24,'Tables - Part 3'!$AU$7:$AU$31,0),1)</f>
        <v>#N/A</v>
      </c>
      <c r="PU24" s="158" t="e">
        <f>INDEX('Tables - Part 3'!BQ$7:BQ$31,MATCH(COF!$F24,'Tables - Part 3'!$AU$7:$AU$31,0),1)</f>
        <v>#N/A</v>
      </c>
      <c r="PV24" s="158" t="e">
        <f>INDEX('Tables - Part 3'!BR$7:BR$31,MATCH(COF!$F24,'Tables - Part 3'!$AU$7:$AU$31,0),1)</f>
        <v>#N/A</v>
      </c>
      <c r="PW24" s="158" t="e">
        <f>INDEX('Tables - Part 3'!BS$7:BS$31,MATCH(COF!$F24,'Tables - Part 3'!$AU$7:$AU$31,0),1)</f>
        <v>#N/A</v>
      </c>
      <c r="PX24" s="158" t="e">
        <f>INDEX('Tables - Part 3'!BT$7:BT$31,MATCH(COF!$F24,'Tables - Part 3'!$AU$7:$AU$31,0),1)</f>
        <v>#N/A</v>
      </c>
      <c r="PY24" s="158" t="e">
        <f>INDEX('Tables - Part 3'!BU$7:BU$31,MATCH(COF!$F24,'Tables - Part 3'!$AU$7:$AU$31,0),1)</f>
        <v>#N/A</v>
      </c>
      <c r="PZ24" s="158" t="e">
        <f>INDEX('Tables - Part 3'!BV$7:BV$31,MATCH(COF!$F24,'Tables - Part 3'!$AU$7:$AU$31,0),1)</f>
        <v>#N/A</v>
      </c>
      <c r="QA24" s="158" t="e">
        <f>INDEX('Tables - Part 3'!BW$7:BW$31,MATCH(COF!$F24,'Tables - Part 3'!$AU$7:$AU$31,0),1)</f>
        <v>#N/A</v>
      </c>
      <c r="QB24" s="158" t="e">
        <f>INDEX('Tables - Part 3'!BX$7:BX$31,MATCH(COF!$F24,'Tables - Part 3'!$AU$7:$AU$31,0),1)</f>
        <v>#N/A</v>
      </c>
      <c r="QC24" s="158" t="e">
        <f>INDEX('Tables - Part 3'!BY$7:BY$31,MATCH(COF!$F24,'Tables - Part 3'!$AU$7:$AU$31,0),1)</f>
        <v>#N/A</v>
      </c>
      <c r="QD24" s="158" t="e">
        <f>INDEX('Tables - Part 3'!BZ$7:BZ$31,MATCH(COF!$F24,'Tables - Part 3'!$AU$7:$AU$31,0),1)</f>
        <v>#N/A</v>
      </c>
      <c r="QE24" s="158" t="e">
        <f>INDEX('Tables - Part 3'!CA$7:CA$31,MATCH(COF!$F24,'Tables - Part 3'!$AU$7:$AU$31,0),1)</f>
        <v>#N/A</v>
      </c>
      <c r="QF24" s="158" t="e">
        <f>INDEX('Tables - Part 3'!CB$7:CB$31,MATCH(COF!$F24,'Tables - Part 3'!$AU$7:$AU$31,0),1)</f>
        <v>#N/A</v>
      </c>
      <c r="QG24" s="158" t="e">
        <f>INDEX('Tables - Part 3'!CC$7:CC$31,MATCH(COF!$F24,'Tables - Part 3'!$AU$7:$AU$31,0),1)</f>
        <v>#N/A</v>
      </c>
      <c r="QH24" s="158" t="e">
        <f>INDEX('Tables - Part 3'!CD$7:CD$31,MATCH(COF!$F24,'Tables - Part 3'!$AU$7:$AU$31,0),1)</f>
        <v>#N/A</v>
      </c>
      <c r="QI24" s="158" t="e">
        <f>INDEX('Tables - Part 3'!CE$7:CE$31,MATCH(COF!$F24,'Tables - Part 3'!$AU$7:$AU$31,0),1)</f>
        <v>#N/A</v>
      </c>
      <c r="QJ24" s="151">
        <f>'Tables - Part 5'!$R$4</f>
        <v>3.1749999999999998</v>
      </c>
      <c r="QK24" s="151">
        <f>'Tables - Part 5'!$R$5</f>
        <v>6.35</v>
      </c>
      <c r="QL24" s="151">
        <f>'Tables - Part 5'!$R$6</f>
        <v>50.8</v>
      </c>
      <c r="QM24" s="151">
        <f t="shared" si="122"/>
        <v>0</v>
      </c>
      <c r="QN24" s="151">
        <f t="shared" si="232"/>
        <v>7.9173043608984015</v>
      </c>
      <c r="QO24" s="151">
        <f t="shared" si="233"/>
        <v>31.669217443593606</v>
      </c>
      <c r="QP24" s="151">
        <f t="shared" si="234"/>
        <v>2026.8299163899908</v>
      </c>
      <c r="QQ24" s="151">
        <f t="shared" si="235"/>
        <v>0</v>
      </c>
      <c r="QR24" s="151">
        <f t="shared" si="236"/>
        <v>0</v>
      </c>
      <c r="QS24" s="151">
        <f>'Tables - Part 3.B'!$C$34*0.61*QN24*SQRT(2*$TM$15*QR24)</f>
        <v>0</v>
      </c>
      <c r="QT24" s="151">
        <f>'Tables - Part 3.B'!$C$34*0.61*QO24*SQRT(2*$TM$15*QS24)</f>
        <v>0</v>
      </c>
      <c r="QU24" s="151">
        <f>'Tables - Part 3.B'!$C$34*0.61*QP24*SQRT(2*$TM$15*QT24)</f>
        <v>0</v>
      </c>
      <c r="QV24" s="151">
        <f>'Tables - Part 3.B'!$C$34*0.61*QQ24*SQRT(2*$TM$15*QU24)</f>
        <v>0</v>
      </c>
      <c r="QW24" s="151">
        <f t="shared" si="237"/>
        <v>0</v>
      </c>
      <c r="QX24" s="151">
        <f t="shared" si="238"/>
        <v>0</v>
      </c>
      <c r="QY24" s="151">
        <f t="shared" si="239"/>
        <v>0</v>
      </c>
      <c r="QZ24" s="151">
        <f t="shared" si="240"/>
        <v>0</v>
      </c>
      <c r="RA24" s="151">
        <f t="shared" si="241"/>
        <v>0</v>
      </c>
      <c r="RB24" s="151">
        <f>QX24*'Tables - Part 3.B'!$C$15</f>
        <v>0</v>
      </c>
      <c r="RC24" s="151">
        <f>QY24*'Tables - Part 3.B'!$C$15</f>
        <v>0</v>
      </c>
      <c r="RD24" s="151">
        <f>QZ24*'Tables - Part 3.B'!$C$15</f>
        <v>0</v>
      </c>
      <c r="RE24" s="151">
        <f>RA24*'Tables - Part 3.B'!$C$15</f>
        <v>0</v>
      </c>
      <c r="RF24" s="151" t="e">
        <f t="shared" si="242"/>
        <v>#N/A</v>
      </c>
      <c r="RG24" s="151" t="e">
        <f t="shared" si="243"/>
        <v>#N/A</v>
      </c>
      <c r="RH24" s="151" t="e">
        <f t="shared" si="244"/>
        <v>#N/A</v>
      </c>
      <c r="RI24" s="151" t="e">
        <f t="shared" si="245"/>
        <v>#N/A</v>
      </c>
      <c r="RJ24" s="151">
        <f t="shared" si="246"/>
        <v>0</v>
      </c>
      <c r="RK24" s="151">
        <f t="shared" si="247"/>
        <v>0</v>
      </c>
      <c r="RL24" s="151">
        <f t="shared" si="248"/>
        <v>0</v>
      </c>
      <c r="RM24" s="151">
        <f t="shared" si="249"/>
        <v>0</v>
      </c>
      <c r="RN24" s="151">
        <v>7</v>
      </c>
      <c r="RO24" s="151">
        <v>1</v>
      </c>
      <c r="RP24" s="151">
        <v>1</v>
      </c>
      <c r="RQ24" s="151">
        <v>1</v>
      </c>
      <c r="RR24" s="151" t="e">
        <f t="shared" si="250"/>
        <v>#DIV/0!</v>
      </c>
      <c r="RS24" s="151" t="e">
        <f t="shared" si="251"/>
        <v>#DIV/0!</v>
      </c>
      <c r="RT24" s="151" t="e">
        <f t="shared" si="252"/>
        <v>#DIV/0!</v>
      </c>
      <c r="RU24" s="151" t="e">
        <f t="shared" si="253"/>
        <v>#DIV/0!</v>
      </c>
      <c r="RV24" s="151" t="e">
        <f t="shared" si="254"/>
        <v>#DIV/0!</v>
      </c>
      <c r="RW24" s="151" t="e">
        <f t="shared" si="255"/>
        <v>#DIV/0!</v>
      </c>
      <c r="RX24" s="151" t="e">
        <f t="shared" si="256"/>
        <v>#DIV/0!</v>
      </c>
      <c r="RY24" s="151" t="e">
        <f t="shared" si="257"/>
        <v>#DIV/0!</v>
      </c>
      <c r="RZ24" s="151" t="e">
        <f t="shared" si="258"/>
        <v>#DIV/0!</v>
      </c>
      <c r="SA24" s="151" t="e">
        <f t="shared" si="259"/>
        <v>#DIV/0!</v>
      </c>
      <c r="SB24" s="151" t="e">
        <f t="shared" si="260"/>
        <v>#DIV/0!</v>
      </c>
      <c r="SC24" s="151" t="e">
        <f t="shared" si="261"/>
        <v>#DIV/0!</v>
      </c>
      <c r="SD24" s="151">
        <f t="shared" si="262"/>
        <v>0</v>
      </c>
      <c r="SE24" s="151">
        <f t="shared" si="263"/>
        <v>0</v>
      </c>
      <c r="SF24" s="151">
        <f t="shared" si="264"/>
        <v>0</v>
      </c>
      <c r="SG24" s="151">
        <f t="shared" si="265"/>
        <v>0</v>
      </c>
      <c r="SH24" s="151">
        <f t="shared" si="266"/>
        <v>0</v>
      </c>
      <c r="SI24" s="151">
        <f t="shared" si="267"/>
        <v>0</v>
      </c>
      <c r="SJ24" s="151">
        <f t="shared" si="268"/>
        <v>0</v>
      </c>
      <c r="SK24" s="151">
        <f t="shared" si="269"/>
        <v>0</v>
      </c>
      <c r="SL24" s="542"/>
      <c r="SM24" s="542"/>
      <c r="SN24" s="542"/>
      <c r="SO24" s="151"/>
      <c r="SP24" s="151"/>
      <c r="SQ24" s="151"/>
      <c r="SR24" s="151"/>
      <c r="SS24" s="151"/>
      <c r="ST24" s="151"/>
      <c r="SU24" s="151"/>
      <c r="SV24" s="151"/>
      <c r="SW24" s="151"/>
      <c r="SX24" s="151"/>
      <c r="SY24" s="151"/>
      <c r="SZ24" s="151"/>
      <c r="TA24" s="151"/>
      <c r="TB24" s="151"/>
      <c r="TC24" s="151"/>
      <c r="TD24" s="151"/>
      <c r="TE24" s="542"/>
    </row>
    <row r="28" spans="2:537" x14ac:dyDescent="0.35">
      <c r="BV28" s="151">
        <f t="shared" ref="BV28" si="289">IF($AR28=$TK$9,NY28,IF($OO28&gt;$PB28,OD28,OI28))</f>
        <v>0</v>
      </c>
      <c r="BW28" s="151">
        <f t="shared" ref="BW28" si="290">IF($AR28=$TK$9,NZ28,IF($OO28&gt;$PB28,OE28,OJ28))</f>
        <v>0</v>
      </c>
      <c r="BX28" s="151">
        <f t="shared" ref="BX28" si="291">IF($AR28=$TK$9,OA28,IF($OO28&gt;$PB28,OF28,OK28))</f>
        <v>0</v>
      </c>
      <c r="BY28" s="151">
        <f t="shared" ref="BY28" si="292">IF($AR28=$TK$9,OB28,IF($OO28&gt;$PB28,OG28,OL28))</f>
        <v>0</v>
      </c>
      <c r="BZ28" s="151">
        <f t="shared" ref="BZ28" si="293">IF($AR28=$TK$9,OC28,IF(OO28&gt;PB28,OH28,OM28))</f>
        <v>0</v>
      </c>
      <c r="CW28" s="151">
        <f>IF(CA28=$TK$5,IF(CR28&gt;'Tables - Part 3.B'!$C$6,4*LOG10('Tables - Part 3.B'!$C$7*CR28)-15,1),1)</f>
        <v>1</v>
      </c>
      <c r="CX28" s="151">
        <f>IF(CB28=$TK$5,IF(CS28&gt;'Tables - Part 3.B'!$C$6,4*LOG10('Tables - Part 3.B'!$C$7*CS28)-15,1),1)</f>
        <v>1</v>
      </c>
      <c r="CY28" s="151">
        <f>IF(CC28=$TK$5,IF(CT28&gt;'Tables - Part 3.B'!$C$6,4*LOG10('Tables - Part 3.B'!$C$7*CT28)-15,1),1)</f>
        <v>1</v>
      </c>
      <c r="CZ28" s="151">
        <f>IF(CD28=$TK$5,IF(CU28&gt;'Tables - Part 3.B'!$C$6,4*LOG10('Tables - Part 3.B'!$C$7*CU28)-15,1),1)</f>
        <v>1</v>
      </c>
      <c r="DB28" s="574" t="e">
        <f>IF(CA35=$TK$5,0,IF($AR35=$TK$8,$PD35*POWER(CJ35,$PE35)*(1-$CV35),IF($AR35=$TK$9,$PF35*POWER(CJ35,$PG35)*(1-$CV35),0)))</f>
        <v>#N/A</v>
      </c>
      <c r="DC28" s="574" t="e">
        <f>IF(CB35=$TK$5,0,IF($AR35=$TK$8,$PD35*POWER(CK35,$PE35)*(1-$CV35),IF($AR35=$TK$9,$PF35*POWER(CK35,$PG35)*(1-$CV35),0)))</f>
        <v>#N/A</v>
      </c>
      <c r="DD28" s="574" t="e">
        <f>IF(CC35=$TK$5,0,IF($AR35=$TK$8,$PD35*POWER(CL35,$PE35)*(1-$CV35),IF($AR35=$TK$9,$PF35*POWER(CL35,$PG35)*(1-$CV35),0)))</f>
        <v>#N/A</v>
      </c>
      <c r="DE28" s="574" t="e">
        <f>IF(CD35=$TK$5,0,IF($AR35=$TK$8,$PD35*POWER(CM35,$PE35)*(1-$CV35),IF($AR35=$TK$9,$PF35*POWER(CM35,$PG35)*(1-$CV35),0)))</f>
        <v>#N/A</v>
      </c>
      <c r="DF28" s="574" t="e">
        <f>IF(CA35=$TK$5,0,IF($AR35=$TK$8,$PH35*POWER(CJ35,$PI35)*(1-$CV35),IF($AR35=$TK$9,$PJ35*POWER(CJ35,$PK35)*(1-$CV35),0)))</f>
        <v>#N/A</v>
      </c>
      <c r="DG28" s="574" t="e">
        <f>IF(CB35=$TK$5,0,IF($AR35=$TK$8,$PH35*POWER(CK35,$PI35)*(1-$CV35),IF($AR35=$TK$9,$PJ35*POWER(CK35,$PK35)*(1-$CV35),0)))</f>
        <v>#N/A</v>
      </c>
      <c r="DH28" s="574" t="e">
        <f>IF(CC35=$TK$5,0,IF($AR35=$TK$8,$PH35*POWER(CL35,$PI35)*(1-$CV35),IF($AR35=$TK$9,$PJ35*POWER(CL35,$PK35)*(1-$CV35),0)))</f>
        <v>#N/A</v>
      </c>
      <c r="DI28" s="574" t="e">
        <f>IF(CD35=$TK$5,0,IF($AR35=$TK$8,$PH35*POWER(CM35,$PI35)*(1-$CV35),IF($AR35=$TK$9,$PJ35*POWER(CM35,$PK35)*(1-$CV35),0)))</f>
        <v>#N/A</v>
      </c>
      <c r="DJ28" s="574">
        <f>IF(CA35=$TK$5,IF($AR35=$TK$8,$PL35*POWER(CR35,$PM35)*((1-$CV35)/CW35),IF($AR35=$TK$9,$PN35*POWER(CR35,$PO35)*((1-$CV35)/CW35),0)),0)</f>
        <v>0</v>
      </c>
      <c r="DK28" s="574">
        <f>IF(CB35=$TK$5,IF($AR35=$TK$8,$PL35*POWER(CS35,$PM35)*((1-$CV35)/CX35),IF($AR35=$TK$9,$PN35*POWER(CS35,$PO35)*((1-$CV35)/CX35),0)),0)</f>
        <v>0</v>
      </c>
      <c r="DL28" s="574">
        <f>IF(CC35=$TK$5,IF($AR35=$TK$8,$PL35*POWER(CT35,$PM35)*((1-$CV35)/CY35),IF($AR35=$TK$9,$PN35*POWER(CT35,$PO35)*((1-$CV35)/CY35),0)),0)</f>
        <v>0</v>
      </c>
      <c r="DM28" s="574">
        <f>IF(CD35=$TK$5,IF($AR35=$TK$8,$PL35*POWER(CU35,$PM35)*((1-$CV35)/CZ35),IF($AR35=$TK$9,$PN35*POWER(CU35,$PO35)*((1-$CV35)/CZ35),0)),0)</f>
        <v>0</v>
      </c>
      <c r="DN28" s="574">
        <f>IF(CA35=$TK$5,IF($AR35=$TK$8,$PP35*POWER(CR35,$PQ35)*((1-$CV35)/CW35),IF($AR35=$TK$9,$PR35*POWER(CR35,$PS35)*((1-$CV35)/CW35),0)),0)</f>
        <v>0</v>
      </c>
      <c r="DO28" s="574">
        <f>IF(CB35=$TK$5,IF($AR35=$TK$8,$PP35*POWER(CS35,$PQ35)*((1-$CV35)/CX35),IF($AR35=$TK$9,$PR35*POWER(CS35,$PS35)*((1-$CV35)/CX35),0)),0)</f>
        <v>0</v>
      </c>
      <c r="DP28" s="574">
        <f>IF(CC35=$TK$5,IF($AR35=$TK$8,$PP35*POWER(CT35,$PQ35)*((1-$CV35)/CY35),IF($AR35=$TK$9,$PR35*POWER(CT35,$PS35)*((1-$CV35)/CY35),0)),0)</f>
        <v>0</v>
      </c>
      <c r="DQ28" s="574">
        <f>IF(CD35=$TK$5,IF($AR35=$TK$8,$PP35*POWER(CU35,$PQ35)*((1-$CV35)/CZ35),IF($AR35=$TK$9,$PR35*POWER(CU35,$PS35)*((1-$CV35)/CZ35),0)),0)</f>
        <v>0</v>
      </c>
      <c r="DR28" s="574" t="e">
        <f>IF(CA35=$TK$5,0,IF($AR35=$TK$8,$PT35*POWER(CJ35,$PU35)*(1-$CV35),IF($AR35=$TK$9,$PV35*POWER(CJ35,$PW35)*(1-$CV35),0)))</f>
        <v>#N/A</v>
      </c>
      <c r="DS28" s="574" t="e">
        <f>IF(CB35=$TK$5,0,IF($AR35=$TK$8,$PT35*POWER(CK35,$PU35)*(1-$CV35),IF($AR35=$TK$9,$PV35*POWER(CK35,$PW35)*(1-$CV35),0)))</f>
        <v>#N/A</v>
      </c>
      <c r="DT28" s="574" t="e">
        <f>IF(CC35=$TK$5,0,IF($AR35=$TK$8,$PT35*POWER(CL35,$PU35)*(1-$CV35),IF($AR35=$TK$9,$PV35*POWER(CL35,$PW35)*(1-$CV35),0)))</f>
        <v>#N/A</v>
      </c>
      <c r="DU28" s="574" t="e">
        <f>IF(CD35=$TK$5,0,IF($AR35=$TK$8,$PT35*POWER(CM35,$PU35)*(1-$CV35),IF($AR35=$TK$9,$PV35*POWER(CM35,$PW35)*(1-$CV35),0)))</f>
        <v>#N/A</v>
      </c>
      <c r="DV28" s="574" t="e">
        <f>IF(CA35=$TK$5,0,IF($AR35=$TK$8,$PX35*POWER(CJ35,$PY35)*(1-$CV35),IF($AR35=$TK$9,$PZ35*POWER(CJ35,$QA35)*(1-$CV35),0)))</f>
        <v>#N/A</v>
      </c>
      <c r="DW28" s="574" t="e">
        <f>IF(CB35=$TK$5,0,IF($AR35=$TK$8,$PX35*POWER(CK35,$PY35)*(1-$CV35),IF($AR35=$TK$9,$PZ35*POWER(CK35,$QA35)*(1-$CV35),0)))</f>
        <v>#N/A</v>
      </c>
      <c r="DX28" s="574" t="e">
        <f>IF(CC35=$TK$5,0,IF($AR35=$TK$8,$PX35*POWER(CL35,$PY35)*(1-$CV35),IF($AR35=$TK$9,$PZ35*POWER(CL35,$QA35)*(1-$CV35),0)))</f>
        <v>#N/A</v>
      </c>
      <c r="DY28" s="574" t="e">
        <f>IF(CD35=$TK$5,0,IF($AR35=$TK$8,$PX35*POWER(CM35,$PY35)*(1-$CV35),IF($AR35=$TK$9,$PZ35*POWER(CM35,$QA35)*(1-$CV35),0)))</f>
        <v>#N/A</v>
      </c>
      <c r="DZ28" s="574">
        <f>IF(CA35=$TK$5,IF($AR35=$TK$8,$QB35*POWER(CR35,$QC35)*((1-$CV35)/CW35),IF($AR35=$TK$9,$QD35*POWER(CR35,$QE35)*((1-$CV35)/CW35),0)),0)</f>
        <v>0</v>
      </c>
      <c r="EA28" s="574">
        <f>IF(CB35=$TK$5,IF($AR35=$TK$8,$QB35*POWER(CS35,$QC35)*((1-$CV35)/CX35),IF($AR35=$TK$9,$QD35*POWER(CS35,$QE35)*((1-$CV35)/CX35),0)),0)</f>
        <v>0</v>
      </c>
      <c r="EB28" s="574">
        <f>IF(CC35=$TK$5,IF($AR35=$TK$8,$QB35*POWER(CT35,$QC35)*((1-$CV35)/CY35),IF($AR35=$TK$9,$QD35*POWER(CT35,$QE35)*((1-$CV35)/CY35),0)),0)</f>
        <v>0</v>
      </c>
      <c r="EC28" s="574">
        <f>IF(CD35=$TK$5,IF($AR35=$TK$8,$QB35*POWER(CU35,$QC35)*((1-$CV35)/CZ35),IF($AR35=$TK$9,$QD35*POWER(CU35,$QE35)*((1-$CV35)/CZ35),0)),0)</f>
        <v>0</v>
      </c>
      <c r="ED28" s="574">
        <f>IF(CA35=$TK$5,IF($AR35=$TK$8,$QF35*POWER(CR35,$QG35)*((1-$CV35)/CW35),IF($AR35=$TK$9,$QH35*POWER(CR35,$QI35)*((1-$CV35)/CW35),0)),0)</f>
        <v>0</v>
      </c>
      <c r="EE28" s="574">
        <f>IF(CB35=$TK$5,IF($AR35=$TK$8,$QF35*POWER(CS35,$QG35)*((1-$CV35)/CX35),IF($AR35=$TK$9,$QH35*POWER(CS35,$QI35)*((1-$CV35)/CX35),0)),0)</f>
        <v>0</v>
      </c>
      <c r="EF28" s="574">
        <f>IF(CC35=$TK$5,IF($AR35=$TK$8,$QF35*POWER(CT35,$QG35)*((1-$CV35)/CY35),IF($AR35=$TK$9,$QH35*POWER(CT35,$QI35)*((1-$CV35)/CY35),0)),0)</f>
        <v>0</v>
      </c>
      <c r="EG28" s="574">
        <f>IF(CD35=$TK$5,IF($AR35=$TK$8,$QF35*POWER(CU35,$QG35)*((1-$CV35)/CZ35),IF($AR35=$TK$9,$QH35*POWER(CU35,$QI35)*((1-$CV35)/CZ35),0)),0)</f>
        <v>0</v>
      </c>
    </row>
    <row r="29" spans="2:537" x14ac:dyDescent="0.35">
      <c r="AC29" s="162" t="s">
        <v>84</v>
      </c>
      <c r="AD29" s="162">
        <f>AU7</f>
        <v>100</v>
      </c>
    </row>
    <row r="30" spans="2:537" x14ac:dyDescent="0.35">
      <c r="AC30" s="162" t="s">
        <v>277</v>
      </c>
      <c r="AD30" s="162">
        <v>1</v>
      </c>
    </row>
    <row r="31" spans="2:537" x14ac:dyDescent="0.35">
      <c r="T31" s="168"/>
      <c r="AC31" s="162" t="s">
        <v>1449</v>
      </c>
      <c r="AD31" s="162">
        <v>8.3140000000000001</v>
      </c>
    </row>
    <row r="32" spans="2:537" x14ac:dyDescent="0.35">
      <c r="AC32" s="162" t="s">
        <v>1450</v>
      </c>
      <c r="AD32" s="162">
        <f>OP7</f>
        <v>333.15</v>
      </c>
      <c r="AR32" s="162">
        <f>(AD29*AD30)/(AD31*AD32)</f>
        <v>3.6103571181133026E-2</v>
      </c>
    </row>
    <row r="33" spans="29:44" x14ac:dyDescent="0.35">
      <c r="AC33" s="162" t="s">
        <v>98</v>
      </c>
      <c r="AD33" s="162" t="e">
        <f>AV11</f>
        <v>#N/A</v>
      </c>
      <c r="AR33" s="162" t="e">
        <f>(2*AD33)/(AD33-1)</f>
        <v>#N/A</v>
      </c>
    </row>
    <row r="34" spans="29:44" x14ac:dyDescent="0.35">
      <c r="AC34" s="162" t="s">
        <v>1451</v>
      </c>
      <c r="AD34" s="162">
        <f>TM5</f>
        <v>101.325</v>
      </c>
      <c r="AR34" s="162" t="e">
        <f>(AD34/AD35)^(2/AD33)</f>
        <v>#N/A</v>
      </c>
    </row>
    <row r="35" spans="29:44" x14ac:dyDescent="0.35">
      <c r="AC35" s="162" t="s">
        <v>1452</v>
      </c>
      <c r="AD35" s="162">
        <v>101</v>
      </c>
      <c r="AR35" s="162" t="e">
        <f>1-(AD34/AD35)^((AD33-1)/AD33)</f>
        <v>#N/A</v>
      </c>
    </row>
    <row r="36" spans="29:44" x14ac:dyDescent="0.35">
      <c r="AC36" s="162" t="s">
        <v>273</v>
      </c>
      <c r="AD36" s="162" t="e">
        <f>AD34*((AD33+1)/2)^(AD33/(AD33-1))</f>
        <v>#N/A</v>
      </c>
    </row>
  </sheetData>
  <mergeCells count="67">
    <mergeCell ref="SH5:SK5"/>
    <mergeCell ref="RN5:RQ5"/>
    <mergeCell ref="RR5:RU5"/>
    <mergeCell ref="RV5:RY5"/>
    <mergeCell ref="RZ5:SC5"/>
    <mergeCell ref="SD5:SG5"/>
    <mergeCell ref="QR5:QV5"/>
    <mergeCell ref="QX5:RA5"/>
    <mergeCell ref="RB5:RE5"/>
    <mergeCell ref="RF5:RI5"/>
    <mergeCell ref="RJ5:RM5"/>
    <mergeCell ref="AQ5:AR5"/>
    <mergeCell ref="EH5:EK5"/>
    <mergeCell ref="EL5:EO5"/>
    <mergeCell ref="EP5:FE5"/>
    <mergeCell ref="MO5:MR5"/>
    <mergeCell ref="MC5:MF5"/>
    <mergeCell ref="LL5:LP5"/>
    <mergeCell ref="LQ5:LX5"/>
    <mergeCell ref="MG5:MM5"/>
    <mergeCell ref="LY5:MB5"/>
    <mergeCell ref="GB5:GE5"/>
    <mergeCell ref="FP5:FS5"/>
    <mergeCell ref="CW5:CZ5"/>
    <mergeCell ref="DB5:DE5"/>
    <mergeCell ref="CF5:CI5"/>
    <mergeCell ref="CJ5:CM5"/>
    <mergeCell ref="NY5:OM5"/>
    <mergeCell ref="QB5:QE5"/>
    <mergeCell ref="FT5:GA5"/>
    <mergeCell ref="FF5:FM5"/>
    <mergeCell ref="FN5:FO5"/>
    <mergeCell ref="MS5:MW5"/>
    <mergeCell ref="NR5:NW5"/>
    <mergeCell ref="NA5:NG5"/>
    <mergeCell ref="I5:J5"/>
    <mergeCell ref="K5:L5"/>
    <mergeCell ref="QF5:QI5"/>
    <mergeCell ref="DF5:DI5"/>
    <mergeCell ref="DJ5:DM5"/>
    <mergeCell ref="DN5:DQ5"/>
    <mergeCell ref="DR5:DU5"/>
    <mergeCell ref="DV5:DY5"/>
    <mergeCell ref="DZ5:EC5"/>
    <mergeCell ref="ED5:EG5"/>
    <mergeCell ref="PH5:PK5"/>
    <mergeCell ref="PL5:PO5"/>
    <mergeCell ref="PP5:PS5"/>
    <mergeCell ref="PT5:PW5"/>
    <mergeCell ref="PX5:QA5"/>
    <mergeCell ref="PD5:PG5"/>
    <mergeCell ref="QJ5:QM5"/>
    <mergeCell ref="QN5:QQ5"/>
    <mergeCell ref="AG5:AH5"/>
    <mergeCell ref="P5:Q5"/>
    <mergeCell ref="BQ5:BU5"/>
    <mergeCell ref="CA5:CD5"/>
    <mergeCell ref="CN5:CQ5"/>
    <mergeCell ref="CR5:CU5"/>
    <mergeCell ref="BA5:BD5"/>
    <mergeCell ref="AS5:AX5"/>
    <mergeCell ref="BM5:BP5"/>
    <mergeCell ref="BV5:BZ5"/>
    <mergeCell ref="W5:Y5"/>
    <mergeCell ref="BE5:BH5"/>
    <mergeCell ref="BI5:BL5"/>
    <mergeCell ref="NI5:NP5"/>
  </mergeCells>
  <pageMargins left="0.511811024" right="0.511811024" top="0.78740157499999996" bottom="0.78740157499999996" header="0.31496062000000002" footer="0.31496062000000002"/>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0000000}">
          <x14:formula1>
            <xm:f>'Tables - Part 3'!$DV$4:$DV$44</xm:f>
          </x14:formula1>
          <xm:sqref>W7:W24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29"/>
  <dimension ref="B1:LC32"/>
  <sheetViews>
    <sheetView zoomScale="60" zoomScaleNormal="60" workbookViewId="0">
      <selection activeCell="G13" sqref="G13"/>
    </sheetView>
  </sheetViews>
  <sheetFormatPr defaultColWidth="9.1796875" defaultRowHeight="14.5" x14ac:dyDescent="0.35"/>
  <cols>
    <col min="1" max="1" width="1.453125" style="162" customWidth="1"/>
    <col min="2" max="2" width="23.54296875" style="162" customWidth="1"/>
    <col min="3" max="3" width="17.453125" style="163" customWidth="1"/>
    <col min="4" max="4" width="34.7265625" style="162" customWidth="1"/>
    <col min="5" max="5" width="30" style="162" customWidth="1"/>
    <col min="6" max="6" width="22.1796875" style="162" customWidth="1"/>
    <col min="7" max="7" width="21.81640625" style="162" customWidth="1"/>
    <col min="8" max="8" width="20.453125" style="162" customWidth="1"/>
    <col min="9" max="9" width="18.7265625" style="162" customWidth="1"/>
    <col min="10" max="10" width="22.81640625" style="162" customWidth="1"/>
    <col min="11" max="11" width="18.453125" style="162" customWidth="1"/>
    <col min="12" max="12" width="18.54296875" style="162" customWidth="1"/>
    <col min="13" max="13" width="19.54296875" style="162" customWidth="1"/>
    <col min="14" max="14" width="16.26953125" style="162" customWidth="1"/>
    <col min="15" max="15" width="11.54296875" style="162" customWidth="1"/>
    <col min="16" max="16" width="22.1796875" style="162" customWidth="1"/>
    <col min="17" max="18" width="16.26953125" style="162" customWidth="1"/>
    <col min="19" max="19" width="12.54296875" style="162" customWidth="1"/>
    <col min="20" max="20" width="17" style="162" customWidth="1"/>
    <col min="21" max="21" width="12.453125" style="162" customWidth="1"/>
    <col min="22" max="22" width="9.1796875" style="162" customWidth="1"/>
    <col min="23" max="23" width="15.453125" style="162" customWidth="1"/>
    <col min="24" max="24" width="9.1796875" style="162" customWidth="1"/>
    <col min="25" max="25" width="13" style="162" customWidth="1"/>
    <col min="26" max="26" width="14.453125" style="162" customWidth="1"/>
    <col min="27" max="29" width="9.1796875" style="162" customWidth="1"/>
    <col min="30" max="30" width="13.81640625" style="162" customWidth="1"/>
    <col min="31" max="33" width="16" style="162" customWidth="1"/>
    <col min="34" max="34" width="9" style="162" customWidth="1"/>
    <col min="35" max="55" width="9.1796875" style="162" customWidth="1"/>
    <col min="56" max="56" width="13.453125" style="162" customWidth="1"/>
    <col min="57" max="59" width="13.81640625" style="162" customWidth="1"/>
    <col min="60" max="63" width="9.1796875" style="162" customWidth="1"/>
    <col min="64" max="64" width="12.1796875" style="162" customWidth="1"/>
    <col min="65" max="71" width="9.1796875" style="162" customWidth="1"/>
    <col min="72" max="72" width="11" style="162" customWidth="1"/>
    <col min="73" max="73" width="10.453125" style="162" customWidth="1"/>
    <col min="74" max="74" width="10.1796875" style="162" customWidth="1"/>
    <col min="75" max="75" width="10.7265625" style="162" customWidth="1"/>
    <col min="76" max="76" width="11.7265625" style="162" customWidth="1"/>
    <col min="77" max="79" width="9.1796875" style="162" customWidth="1"/>
    <col min="80" max="80" width="12.453125" style="162" customWidth="1"/>
    <col min="81" max="81" width="11.81640625" style="162" customWidth="1"/>
    <col min="82" max="82" width="11" style="162" customWidth="1"/>
    <col min="83" max="83" width="11.54296875" style="162" customWidth="1"/>
    <col min="84" max="91" width="9.1796875" style="162" customWidth="1"/>
    <col min="92" max="92" width="10.54296875" style="162" customWidth="1"/>
    <col min="93" max="93" width="11.1796875" style="162" customWidth="1"/>
    <col min="94" max="94" width="10.1796875" style="162" customWidth="1"/>
    <col min="95" max="99" width="10.54296875" style="162" customWidth="1"/>
    <col min="100" max="100" width="9.1796875" style="162" customWidth="1"/>
    <col min="101" max="115" width="10.54296875" style="162" customWidth="1"/>
    <col min="116" max="119" width="10" style="162" customWidth="1"/>
    <col min="120" max="125" width="10.54296875" style="162" customWidth="1"/>
    <col min="126" max="126" width="13.81640625" style="162" customWidth="1"/>
    <col min="127" max="157" width="14.26953125" style="162" customWidth="1"/>
    <col min="158" max="177" width="10.54296875" style="162" customWidth="1"/>
    <col min="178" max="178" width="10.7265625" style="162" customWidth="1"/>
    <col min="179" max="179" width="11.54296875" style="162" customWidth="1"/>
    <col min="180" max="180" width="12.54296875" style="162" customWidth="1"/>
    <col min="181" max="181" width="12.26953125" style="162" customWidth="1"/>
    <col min="182" max="183" width="11.7265625" style="162" customWidth="1"/>
    <col min="184" max="184" width="12.1796875" style="162" customWidth="1"/>
    <col min="185" max="185" width="12.54296875" style="162" customWidth="1"/>
    <col min="186" max="189" width="17" style="162" customWidth="1"/>
    <col min="190" max="197" width="10.7265625" style="162" customWidth="1"/>
    <col min="198" max="202" width="10.54296875" style="162" customWidth="1"/>
    <col min="203" max="213" width="12.54296875" style="162" customWidth="1"/>
    <col min="214" max="214" width="16.1796875" style="162" customWidth="1"/>
    <col min="215" max="215" width="15.453125" style="162" customWidth="1"/>
    <col min="216" max="216" width="16" style="162" customWidth="1"/>
    <col min="217" max="217" width="16.26953125" style="162" customWidth="1"/>
    <col min="218" max="230" width="12.54296875" style="162" customWidth="1"/>
    <col min="231" max="246" width="17.453125" style="162" customWidth="1"/>
    <col min="247" max="249" width="12.54296875" style="162" customWidth="1"/>
    <col min="250" max="267" width="11.1796875" style="162" customWidth="1"/>
    <col min="268" max="268" width="11.453125" style="162" customWidth="1"/>
    <col min="269" max="270" width="12.54296875" style="162" customWidth="1"/>
    <col min="271" max="272" width="11.1796875" style="162" customWidth="1"/>
    <col min="273" max="278" width="11.453125" style="162" customWidth="1"/>
    <col min="279" max="279" width="13.81640625" style="162" customWidth="1"/>
    <col min="280" max="282" width="11.453125" style="162" customWidth="1"/>
    <col min="283" max="283" width="13.26953125" style="162" customWidth="1"/>
    <col min="284" max="284" width="12.81640625" style="162" customWidth="1"/>
    <col min="285" max="294" width="13" style="162" customWidth="1"/>
    <col min="295" max="314" width="13.26953125" style="162" customWidth="1"/>
    <col min="315" max="315" width="13.81640625" style="162" customWidth="1"/>
    <col min="316" max="317" width="10" style="162" customWidth="1"/>
    <col min="318" max="321" width="16.7265625" style="162" customWidth="1"/>
    <col min="322" max="325" width="15" style="162" customWidth="1"/>
    <col min="326" max="329" width="15.26953125" style="162" customWidth="1"/>
    <col min="330" max="333" width="13.81640625" style="162" customWidth="1"/>
    <col min="334" max="375" width="9.1796875" style="162" customWidth="1"/>
    <col min="376" max="16384" width="9.1796875" style="162"/>
  </cols>
  <sheetData>
    <row r="1" spans="2:20" ht="6.75" customHeight="1" thickBot="1" x14ac:dyDescent="0.4">
      <c r="C1" s="162"/>
    </row>
    <row r="2" spans="2:20" ht="15" thickBot="1" x14ac:dyDescent="0.4">
      <c r="B2" s="722" t="s">
        <v>87</v>
      </c>
      <c r="C2" s="723"/>
      <c r="D2" s="724"/>
      <c r="E2" s="320"/>
      <c r="F2" s="311" t="s">
        <v>92</v>
      </c>
      <c r="G2" s="312" t="e">
        <f>IF(C32&lt;&gt;1,"Composição ≠ 100%",L3)</f>
        <v>#REF!</v>
      </c>
      <c r="J2" s="162" t="s">
        <v>92</v>
      </c>
      <c r="K2" s="162" t="e">
        <f>IF(G6="",G2,G6)</f>
        <v>#REF!</v>
      </c>
      <c r="L2" s="162" t="s">
        <v>950</v>
      </c>
      <c r="M2" s="162" t="e">
        <f>INDEX('Tables - Part 3'!I4:I35,MATCH(Test_Fluid!K2,'Tables - Part 3'!F4:F35,0))</f>
        <v>#REF!</v>
      </c>
      <c r="S2" s="725" t="s">
        <v>541</v>
      </c>
      <c r="T2" s="725"/>
    </row>
    <row r="3" spans="2:20" ht="15" thickBot="1" x14ac:dyDescent="0.4">
      <c r="B3" s="172" t="s">
        <v>88</v>
      </c>
      <c r="C3" s="343" t="s">
        <v>104</v>
      </c>
      <c r="D3" s="307" t="s">
        <v>89</v>
      </c>
      <c r="E3" s="321"/>
      <c r="I3" s="177" t="s">
        <v>89</v>
      </c>
      <c r="J3" s="178" t="s">
        <v>95</v>
      </c>
      <c r="K3" s="179">
        <f>SUM(K4:K31)</f>
        <v>0</v>
      </c>
      <c r="L3" s="180" t="e">
        <f>INDEX('Tables - Part 3'!$F$4:$R$35,MATCH(Test_Fluid!$N$3,'Tables - Part 3'!$I$4:$I$35,0),1)</f>
        <v>#N/A</v>
      </c>
      <c r="M3" s="179" t="s">
        <v>94</v>
      </c>
      <c r="N3" s="181" t="e">
        <f>LOOKUP(K3,N4:N31,O4:O31)</f>
        <v>#N/A</v>
      </c>
      <c r="O3" s="182"/>
      <c r="P3" s="183" t="s">
        <v>102</v>
      </c>
      <c r="Q3" s="183"/>
      <c r="R3" s="156"/>
      <c r="S3" s="143" t="s">
        <v>701</v>
      </c>
      <c r="T3" s="186" t="e">
        <f>INDEX($C$4:$C$31,MATCH(S3,$B$4:$B$31,0),1)</f>
        <v>#N/A</v>
      </c>
    </row>
    <row r="4" spans="2:20" x14ac:dyDescent="0.35">
      <c r="B4" s="308" t="e">
        <f>'Tratamento de Dados'!#REF!</f>
        <v>#REF!</v>
      </c>
      <c r="C4" s="164" t="e">
        <f>'Tratamento de Dados'!#REF!</f>
        <v>#REF!</v>
      </c>
      <c r="D4" s="309" t="e">
        <f>IF(ISNA(Test_Fluid!I4),"",Test_Fluid!I4)</f>
        <v>#REF!</v>
      </c>
      <c r="E4" s="322"/>
      <c r="I4" s="190" t="e">
        <f>INDEX('Tables - Part 3'!$B$4:$D$37,MATCH(Test_Fluid!B4,'Tables - Part 3'!$B$4:$B$37,0),3)</f>
        <v>#REF!</v>
      </c>
      <c r="J4" s="191" t="e">
        <f>INDEX('Tables - Part 3'!$F$4:$R$35,MATCH(Test_Fluid!B4,'Tables - Part 3'!$F$4:$F$35,0),4)</f>
        <v>#REF!</v>
      </c>
      <c r="K4" s="156">
        <f>IF(ISERROR(J4),0,Test_Fluid!C4*Test_Fluid!J4)</f>
        <v>0</v>
      </c>
      <c r="L4" s="156" t="str">
        <f t="shared" ref="L4:L31" si="0">IF(ISERROR(J4),"",J4)</f>
        <v/>
      </c>
      <c r="M4" s="156">
        <v>1</v>
      </c>
      <c r="N4" s="156">
        <f t="shared" ref="N4:N31" si="1">IF(ISERROR(O4),1000,O4)</f>
        <v>1000</v>
      </c>
      <c r="O4" s="192" t="e">
        <f t="shared" ref="O4:O31" si="2">SMALL($L$4:$L$31,M4)</f>
        <v>#NUM!</v>
      </c>
      <c r="P4" s="156" t="s">
        <v>100</v>
      </c>
      <c r="Q4" s="156" t="e">
        <f>INDEX('Tables - Part 3'!$F$4:$R$35,MATCH(Test_Fluid!$G$2,'Tables - Part 3'!$F$4:$F$35,0),3)</f>
        <v>#REF!</v>
      </c>
      <c r="R4" s="156"/>
      <c r="S4" s="155" t="s">
        <v>535</v>
      </c>
      <c r="T4" s="195" t="e">
        <f t="shared" ref="T4:T16" si="3">INDEX($C$4:$C$31,MATCH(S4,$B$4:$B$31,0),1)</f>
        <v>#N/A</v>
      </c>
    </row>
    <row r="5" spans="2:20" x14ac:dyDescent="0.35">
      <c r="B5" s="308" t="e">
        <f>'Tratamento de Dados'!#REF!</f>
        <v>#REF!</v>
      </c>
      <c r="C5" s="164" t="e">
        <f>'Tratamento de Dados'!#REF!</f>
        <v>#REF!</v>
      </c>
      <c r="D5" s="309" t="e">
        <f>IF(ISNA(Test_Fluid!I5),"",Test_Fluid!I5)</f>
        <v>#REF!</v>
      </c>
      <c r="E5" s="322"/>
      <c r="I5" s="190" t="e">
        <f>INDEX('Tables - Part 3'!$B$4:$D$37,MATCH(Test_Fluid!B5,'Tables - Part 3'!$B$4:$B$37,0),3)</f>
        <v>#REF!</v>
      </c>
      <c r="J5" s="191" t="e">
        <f>INDEX('Tables - Part 3'!$F$4:$R$35,MATCH(Test_Fluid!B5,'Tables - Part 3'!$F$4:$F$35,0),4)</f>
        <v>#REF!</v>
      </c>
      <c r="K5" s="156">
        <f>IF(ISERROR(J5),0,Test_Fluid!C5*Test_Fluid!J5)</f>
        <v>0</v>
      </c>
      <c r="L5" s="156" t="str">
        <f t="shared" si="0"/>
        <v/>
      </c>
      <c r="M5" s="156">
        <v>2</v>
      </c>
      <c r="N5" s="156">
        <f t="shared" si="1"/>
        <v>1000</v>
      </c>
      <c r="O5" s="192" t="e">
        <f t="shared" si="2"/>
        <v>#NUM!</v>
      </c>
      <c r="P5" s="156" t="s">
        <v>97</v>
      </c>
      <c r="Q5" s="156" t="e">
        <f>INDEX('Tables - Part 3'!$F$4:$R$35,MATCH(Test_Fluid!$G$2,'Tables - Part 3'!$F$4:$F$35,0),12)</f>
        <v>#REF!</v>
      </c>
      <c r="R5" s="156"/>
      <c r="S5" s="155" t="s">
        <v>35</v>
      </c>
      <c r="T5" s="195" t="e">
        <f t="shared" si="3"/>
        <v>#N/A</v>
      </c>
    </row>
    <row r="6" spans="2:20" x14ac:dyDescent="0.35">
      <c r="B6" s="308" t="e">
        <f>'Tratamento de Dados'!#REF!</f>
        <v>#REF!</v>
      </c>
      <c r="C6" s="164" t="e">
        <f>'Tratamento de Dados'!#REF!</f>
        <v>#REF!</v>
      </c>
      <c r="D6" s="309" t="e">
        <f>IF(ISNA(Test_Fluid!I6),"",Test_Fluid!I6)</f>
        <v>#REF!</v>
      </c>
      <c r="E6" s="322"/>
      <c r="I6" s="190" t="e">
        <f>INDEX('Tables - Part 3'!$B$4:$D$37,MATCH(Test_Fluid!B6,'Tables - Part 3'!$B$4:$B$37,0),3)</f>
        <v>#REF!</v>
      </c>
      <c r="J6" s="191" t="e">
        <f>INDEX('Tables - Part 3'!$F$4:$R$35,MATCH(Test_Fluid!B6,'Tables - Part 3'!$F$4:$F$35,0),4)</f>
        <v>#REF!</v>
      </c>
      <c r="K6" s="156">
        <f>IF(ISERROR(J6),0,Test_Fluid!C6*Test_Fluid!J6)</f>
        <v>0</v>
      </c>
      <c r="L6" s="156" t="str">
        <f t="shared" si="0"/>
        <v/>
      </c>
      <c r="M6" s="156">
        <v>3</v>
      </c>
      <c r="N6" s="156">
        <f t="shared" si="1"/>
        <v>1000</v>
      </c>
      <c r="O6" s="192" t="e">
        <f t="shared" si="2"/>
        <v>#NUM!</v>
      </c>
      <c r="P6" s="156" t="s">
        <v>96</v>
      </c>
      <c r="Q6" s="156" t="e">
        <f>INDEX('Tables - Part 3'!$F$4:$R$35,MATCH(Test_Fluid!$G$2,'Tables - Part 3'!$F$4:$F$35,0),2)</f>
        <v>#REF!</v>
      </c>
      <c r="R6" s="156"/>
      <c r="S6" s="155" t="s">
        <v>36</v>
      </c>
      <c r="T6" s="195" t="e">
        <f t="shared" si="3"/>
        <v>#N/A</v>
      </c>
    </row>
    <row r="7" spans="2:20" x14ac:dyDescent="0.35">
      <c r="B7" s="308" t="e">
        <f>'Tratamento de Dados'!#REF!</f>
        <v>#REF!</v>
      </c>
      <c r="C7" s="164" t="e">
        <f>'Tratamento de Dados'!#REF!</f>
        <v>#REF!</v>
      </c>
      <c r="D7" s="309" t="e">
        <f>IF(ISNA(Test_Fluid!I7),"",Test_Fluid!I7)</f>
        <v>#REF!</v>
      </c>
      <c r="E7" s="322"/>
      <c r="I7" s="190" t="e">
        <f>INDEX('Tables - Part 3'!$B$4:$D$37,MATCH(Test_Fluid!B7,'Tables - Part 3'!$B$4:$B$37,0),3)</f>
        <v>#REF!</v>
      </c>
      <c r="J7" s="191" t="e">
        <f>INDEX('Tables - Part 3'!$F$4:$R$35,MATCH(Test_Fluid!B7,'Tables - Part 3'!$F$4:$F$35,0),4)</f>
        <v>#REF!</v>
      </c>
      <c r="K7" s="156">
        <f>IF(ISERROR(J7),0,Test_Fluid!C7*Test_Fluid!J7)</f>
        <v>0</v>
      </c>
      <c r="L7" s="156" t="str">
        <f t="shared" si="0"/>
        <v/>
      </c>
      <c r="M7" s="156">
        <v>4</v>
      </c>
      <c r="N7" s="156">
        <f t="shared" si="1"/>
        <v>1000</v>
      </c>
      <c r="O7" s="192" t="e">
        <f t="shared" si="2"/>
        <v>#NUM!</v>
      </c>
      <c r="P7" s="156" t="s">
        <v>98</v>
      </c>
      <c r="Q7" s="156" t="e">
        <f>Q8/(Q8-8.314)</f>
        <v>#REF!</v>
      </c>
      <c r="R7" s="156"/>
      <c r="S7" s="155" t="s">
        <v>67</v>
      </c>
      <c r="T7" s="195" t="e">
        <f t="shared" si="3"/>
        <v>#N/A</v>
      </c>
    </row>
    <row r="8" spans="2:20" x14ac:dyDescent="0.35">
      <c r="B8" s="308" t="e">
        <f>'Tratamento de Dados'!#REF!</f>
        <v>#REF!</v>
      </c>
      <c r="C8" s="164" t="e">
        <f>'Tratamento de Dados'!#REF!</f>
        <v>#REF!</v>
      </c>
      <c r="D8" s="309" t="e">
        <f>IF(ISNA(Test_Fluid!I8),"",Test_Fluid!I8)</f>
        <v>#REF!</v>
      </c>
      <c r="E8" s="322"/>
      <c r="I8" s="190" t="e">
        <f>INDEX('Tables - Part 3'!$B$4:$D$37,MATCH(Test_Fluid!B8,'Tables - Part 3'!$B$4:$B$37,0),3)</f>
        <v>#REF!</v>
      </c>
      <c r="J8" s="191" t="e">
        <f>INDEX('Tables - Part 3'!$F$4:$R$35,MATCH(Test_Fluid!B8,'Tables - Part 3'!$F$4:$F$35,0),4)</f>
        <v>#REF!</v>
      </c>
      <c r="K8" s="156">
        <f>IF(ISERROR(J8),0,Test_Fluid!C8*Test_Fluid!J8)</f>
        <v>0</v>
      </c>
      <c r="L8" s="156" t="str">
        <f t="shared" si="0"/>
        <v/>
      </c>
      <c r="M8" s="156">
        <v>5</v>
      </c>
      <c r="N8" s="156">
        <f t="shared" si="1"/>
        <v>1000</v>
      </c>
      <c r="O8" s="192" t="e">
        <f t="shared" si="2"/>
        <v>#NUM!</v>
      </c>
      <c r="P8" s="156" t="s">
        <v>99</v>
      </c>
      <c r="Q8" s="156" t="e">
        <f>INDEX('Tables - Part 3'!$F$4:$R$35,MATCH(Test_Fluid!$G$2,'Tables - Part 3'!$F$4:$F$35,0),7)</f>
        <v>#REF!</v>
      </c>
      <c r="R8" s="156"/>
      <c r="S8" s="155" t="s">
        <v>65</v>
      </c>
      <c r="T8" s="195" t="e">
        <f t="shared" si="3"/>
        <v>#N/A</v>
      </c>
    </row>
    <row r="9" spans="2:20" x14ac:dyDescent="0.35">
      <c r="B9" s="308" t="e">
        <f>'Tratamento de Dados'!#REF!</f>
        <v>#REF!</v>
      </c>
      <c r="C9" s="164" t="e">
        <f>'Tratamento de Dados'!#REF!</f>
        <v>#REF!</v>
      </c>
      <c r="D9" s="309" t="e">
        <f>IF(ISNA(Test_Fluid!I9),"",Test_Fluid!I9)</f>
        <v>#REF!</v>
      </c>
      <c r="E9" s="322"/>
      <c r="I9" s="190" t="e">
        <f>INDEX('Tables - Part 3'!$B$4:$D$37,MATCH(Test_Fluid!B9,'Tables - Part 3'!$B$4:$B$37,0),3)</f>
        <v>#REF!</v>
      </c>
      <c r="J9" s="191" t="e">
        <f>INDEX('Tables - Part 3'!$F$4:$R$35,MATCH(Test_Fluid!B9,'Tables - Part 3'!$F$4:$F$35,0),4)</f>
        <v>#REF!</v>
      </c>
      <c r="K9" s="156">
        <f>IF(ISERROR(J9),0,Test_Fluid!C9*Test_Fluid!J9)</f>
        <v>0</v>
      </c>
      <c r="L9" s="156" t="str">
        <f t="shared" si="0"/>
        <v/>
      </c>
      <c r="M9" s="156">
        <v>6</v>
      </c>
      <c r="N9" s="156">
        <f t="shared" si="1"/>
        <v>1000</v>
      </c>
      <c r="O9" s="192" t="e">
        <f t="shared" si="2"/>
        <v>#NUM!</v>
      </c>
      <c r="P9" s="143" t="s">
        <v>99</v>
      </c>
      <c r="Q9" s="144" t="e">
        <f>INDEX('Tables - Part 3'!$F$4:$R$35,MATCH(Test_Fluid!$G$2,'Tables - Part 3'!$F$4:$F$35,0),COUNTA('Tables - Part 3'!$F$3:$K$3))</f>
        <v>#REF!</v>
      </c>
      <c r="R9" s="156"/>
      <c r="S9" s="155" t="s">
        <v>705</v>
      </c>
      <c r="T9" s="195" t="e">
        <f t="shared" si="3"/>
        <v>#N/A</v>
      </c>
    </row>
    <row r="10" spans="2:20" x14ac:dyDescent="0.35">
      <c r="B10" s="308" t="e">
        <f>'Tratamento de Dados'!#REF!</f>
        <v>#REF!</v>
      </c>
      <c r="C10" s="164" t="e">
        <f>'Tratamento de Dados'!#REF!</f>
        <v>#REF!</v>
      </c>
      <c r="D10" s="309" t="e">
        <f>IF(ISNA(Test_Fluid!I10),"",Test_Fluid!I10)</f>
        <v>#REF!</v>
      </c>
      <c r="E10" s="322"/>
      <c r="I10" s="190" t="e">
        <f>INDEX('Tables - Part 3'!$B$4:$D$37,MATCH(Test_Fluid!B10,'Tables - Part 3'!$B$4:$B$37,0),3)</f>
        <v>#REF!</v>
      </c>
      <c r="J10" s="191" t="e">
        <f>INDEX('Tables - Part 3'!$F$4:$R$35,MATCH(Test_Fluid!B10,'Tables - Part 3'!$F$4:$F$35,0),4)</f>
        <v>#REF!</v>
      </c>
      <c r="K10" s="156">
        <f>IF(ISERROR(J10),0,Test_Fluid!C10*Test_Fluid!J10)</f>
        <v>0</v>
      </c>
      <c r="L10" s="156" t="str">
        <f t="shared" si="0"/>
        <v/>
      </c>
      <c r="M10" s="156">
        <v>7</v>
      </c>
      <c r="N10" s="156">
        <f t="shared" si="1"/>
        <v>1000</v>
      </c>
      <c r="O10" s="192" t="e">
        <f t="shared" si="2"/>
        <v>#NUM!</v>
      </c>
      <c r="P10" s="201"/>
      <c r="Q10" s="192"/>
      <c r="R10" s="156"/>
      <c r="S10" s="155" t="s">
        <v>40</v>
      </c>
      <c r="T10" s="195" t="e">
        <f t="shared" si="3"/>
        <v>#N/A</v>
      </c>
    </row>
    <row r="11" spans="2:20" x14ac:dyDescent="0.35">
      <c r="B11" s="308" t="e">
        <f>'Tratamento de Dados'!#REF!</f>
        <v>#REF!</v>
      </c>
      <c r="C11" s="164" t="e">
        <f>'Tratamento de Dados'!#REF!</f>
        <v>#REF!</v>
      </c>
      <c r="D11" s="309" t="e">
        <f>IF(ISNA(Test_Fluid!I11),"",Test_Fluid!I11)</f>
        <v>#REF!</v>
      </c>
      <c r="E11" s="322"/>
      <c r="I11" s="190" t="e">
        <f>INDEX('Tables - Part 3'!$B$4:$D$37,MATCH(Test_Fluid!B11,'Tables - Part 3'!$B$4:$B$37,0),3)</f>
        <v>#REF!</v>
      </c>
      <c r="J11" s="191" t="e">
        <f>INDEX('Tables - Part 3'!$F$4:$R$35,MATCH(Test_Fluid!B11,'Tables - Part 3'!$F$4:$F$35,0),4)</f>
        <v>#REF!</v>
      </c>
      <c r="K11" s="156">
        <f>IF(ISERROR(J11),0,Test_Fluid!C11*Test_Fluid!J11)</f>
        <v>0</v>
      </c>
      <c r="L11" s="156" t="str">
        <f t="shared" si="0"/>
        <v/>
      </c>
      <c r="M11" s="156">
        <v>8</v>
      </c>
      <c r="N11" s="156">
        <f t="shared" si="1"/>
        <v>1000</v>
      </c>
      <c r="O11" s="192" t="e">
        <f t="shared" si="2"/>
        <v>#NUM!</v>
      </c>
      <c r="P11" s="201"/>
      <c r="Q11" s="192"/>
      <c r="R11" s="156"/>
      <c r="S11" s="155" t="s">
        <v>70</v>
      </c>
      <c r="T11" s="195" t="e">
        <f t="shared" si="3"/>
        <v>#N/A</v>
      </c>
    </row>
    <row r="12" spans="2:20" ht="15" thickBot="1" x14ac:dyDescent="0.4">
      <c r="B12" s="308" t="e">
        <f>'Tratamento de Dados'!#REF!</f>
        <v>#REF!</v>
      </c>
      <c r="C12" s="164" t="e">
        <f>'Tratamento de Dados'!#REF!</f>
        <v>#REF!</v>
      </c>
      <c r="D12" s="309" t="e">
        <f>IF(ISNA(Test_Fluid!I12),"",Test_Fluid!I12)</f>
        <v>#REF!</v>
      </c>
      <c r="E12" s="322"/>
      <c r="H12" s="163"/>
      <c r="I12" s="190" t="e">
        <f>INDEX('Tables - Part 3'!$B$4:$D$37,MATCH(Test_Fluid!B12,'Tables - Part 3'!$B$4:$B$37,0),3)</f>
        <v>#REF!</v>
      </c>
      <c r="J12" s="191" t="e">
        <f>INDEX('Tables - Part 3'!$F$4:$R$35,MATCH(Test_Fluid!B12,'Tables - Part 3'!$F$4:$F$35,0),4)</f>
        <v>#REF!</v>
      </c>
      <c r="K12" s="156">
        <f>IF(ISERROR(J12),0,Test_Fluid!C12*Test_Fluid!J12)</f>
        <v>0</v>
      </c>
      <c r="L12" s="156" t="str">
        <f t="shared" si="0"/>
        <v/>
      </c>
      <c r="M12" s="156">
        <v>9</v>
      </c>
      <c r="N12" s="156">
        <f t="shared" si="1"/>
        <v>1000</v>
      </c>
      <c r="O12" s="192" t="e">
        <f t="shared" si="2"/>
        <v>#NUM!</v>
      </c>
      <c r="P12" s="203"/>
      <c r="Q12" s="204"/>
      <c r="R12" s="156"/>
      <c r="S12" s="155" t="s">
        <v>42</v>
      </c>
      <c r="T12" s="195" t="e">
        <f t="shared" si="3"/>
        <v>#N/A</v>
      </c>
    </row>
    <row r="13" spans="2:20" x14ac:dyDescent="0.35">
      <c r="B13" s="308" t="e">
        <f>'Tratamento de Dados'!#REF!</f>
        <v>#REF!</v>
      </c>
      <c r="C13" s="164" t="e">
        <f>'Tratamento de Dados'!#REF!</f>
        <v>#REF!</v>
      </c>
      <c r="D13" s="309" t="e">
        <f>IF(ISNA(Test_Fluid!I13),"",Test_Fluid!I13)</f>
        <v>#REF!</v>
      </c>
      <c r="E13" s="322"/>
      <c r="H13" s="163"/>
      <c r="I13" s="190" t="e">
        <f>INDEX('Tables - Part 3'!$B$4:$D$37,MATCH(Test_Fluid!B13,'Tables - Part 3'!$B$4:$B$37,0),3)</f>
        <v>#REF!</v>
      </c>
      <c r="J13" s="191" t="e">
        <f>INDEX('Tables - Part 3'!$F$4:$R$35,MATCH(Test_Fluid!B13,'Tables - Part 3'!$F$4:$F$35,0),4)</f>
        <v>#REF!</v>
      </c>
      <c r="K13" s="156">
        <f>IF(ISERROR(J13),0,Test_Fluid!C13*Test_Fluid!J13)</f>
        <v>0</v>
      </c>
      <c r="L13" s="156" t="str">
        <f t="shared" si="0"/>
        <v/>
      </c>
      <c r="M13" s="156">
        <v>10</v>
      </c>
      <c r="N13" s="156">
        <f t="shared" si="1"/>
        <v>1000</v>
      </c>
      <c r="O13" s="192" t="e">
        <f t="shared" si="2"/>
        <v>#NUM!</v>
      </c>
      <c r="P13" s="158"/>
      <c r="Q13" s="158"/>
      <c r="R13" s="158"/>
      <c r="S13" s="155" t="s">
        <v>12</v>
      </c>
      <c r="T13" s="195" t="e">
        <f t="shared" si="3"/>
        <v>#N/A</v>
      </c>
    </row>
    <row r="14" spans="2:20" x14ac:dyDescent="0.35">
      <c r="B14" s="308" t="e">
        <f>'Tratamento de Dados'!#REF!</f>
        <v>#REF!</v>
      </c>
      <c r="C14" s="164" t="e">
        <f>'Tratamento de Dados'!#REF!</f>
        <v>#REF!</v>
      </c>
      <c r="D14" s="309" t="e">
        <f>IF(ISNA(Test_Fluid!I14),"",Test_Fluid!I14)</f>
        <v>#REF!</v>
      </c>
      <c r="E14" s="322"/>
      <c r="H14" s="163"/>
      <c r="I14" s="190" t="e">
        <f>INDEX('Tables - Part 3'!$B$4:$D$37,MATCH(Test_Fluid!B14,'Tables - Part 3'!$B$4:$B$37,0),3)</f>
        <v>#REF!</v>
      </c>
      <c r="J14" s="191" t="e">
        <f>INDEX('Tables - Part 3'!$F$4:$R$35,MATCH(Test_Fluid!B14,'Tables - Part 3'!$F$4:$F$35,0),4)</f>
        <v>#REF!</v>
      </c>
      <c r="K14" s="156">
        <f>IF(ISERROR(J14),0,Test_Fluid!C14*Test_Fluid!J14)</f>
        <v>0</v>
      </c>
      <c r="L14" s="156" t="str">
        <f t="shared" si="0"/>
        <v/>
      </c>
      <c r="M14" s="156">
        <v>11</v>
      </c>
      <c r="N14" s="156">
        <f t="shared" si="1"/>
        <v>1000</v>
      </c>
      <c r="O14" s="192" t="e">
        <f t="shared" si="2"/>
        <v>#NUM!</v>
      </c>
      <c r="P14" s="158"/>
      <c r="Q14" s="158"/>
      <c r="R14" s="158"/>
      <c r="S14" s="155" t="s">
        <v>73</v>
      </c>
      <c r="T14" s="195" t="e">
        <f t="shared" si="3"/>
        <v>#N/A</v>
      </c>
    </row>
    <row r="15" spans="2:20" x14ac:dyDescent="0.35">
      <c r="B15" s="308" t="e">
        <f>'Tratamento de Dados'!#REF!</f>
        <v>#REF!</v>
      </c>
      <c r="C15" s="164" t="e">
        <f>'Tratamento de Dados'!#REF!</f>
        <v>#REF!</v>
      </c>
      <c r="D15" s="309" t="e">
        <f>IF(ISNA(Test_Fluid!I15),"",Test_Fluid!I15)</f>
        <v>#REF!</v>
      </c>
      <c r="E15" s="322"/>
      <c r="H15" s="163"/>
      <c r="I15" s="190" t="e">
        <f>INDEX('Tables - Part 3'!$B$4:$D$37,MATCH(Test_Fluid!B15,'Tables - Part 3'!$B$4:$B$37,0),3)</f>
        <v>#REF!</v>
      </c>
      <c r="J15" s="191" t="e">
        <f>INDEX('Tables - Part 3'!$F$4:$R$35,MATCH(Test_Fluid!B15,'Tables - Part 3'!$F$4:$F$35,0),4)</f>
        <v>#REF!</v>
      </c>
      <c r="K15" s="156">
        <f>IF(ISERROR(J15),0,Test_Fluid!C15*Test_Fluid!J15)</f>
        <v>0</v>
      </c>
      <c r="L15" s="156" t="str">
        <f t="shared" si="0"/>
        <v/>
      </c>
      <c r="M15" s="156">
        <v>12</v>
      </c>
      <c r="N15" s="156">
        <f t="shared" si="1"/>
        <v>1000</v>
      </c>
      <c r="O15" s="192" t="e">
        <f t="shared" si="2"/>
        <v>#NUM!</v>
      </c>
      <c r="P15" s="158"/>
      <c r="Q15" s="158"/>
      <c r="R15" s="158"/>
      <c r="S15" s="155" t="s">
        <v>75</v>
      </c>
      <c r="T15" s="195" t="e">
        <f t="shared" si="3"/>
        <v>#N/A</v>
      </c>
    </row>
    <row r="16" spans="2:20" x14ac:dyDescent="0.35">
      <c r="B16" s="308" t="e">
        <f>'Tratamento de Dados'!#REF!</f>
        <v>#REF!</v>
      </c>
      <c r="C16" s="164" t="e">
        <f>'Tratamento de Dados'!#REF!</f>
        <v>#REF!</v>
      </c>
      <c r="D16" s="309" t="e">
        <f>IF(ISNA(Test_Fluid!I16),"",Test_Fluid!I16)</f>
        <v>#REF!</v>
      </c>
      <c r="E16" s="322"/>
      <c r="H16" s="163"/>
      <c r="I16" s="190" t="e">
        <f>INDEX('Tables - Part 3'!$B$4:$D$37,MATCH(Test_Fluid!B16,'Tables - Part 3'!$B$4:$B$37,0),3)</f>
        <v>#REF!</v>
      </c>
      <c r="J16" s="191" t="e">
        <f>INDEX('Tables - Part 3'!$F$4:$R$35,MATCH(Test_Fluid!B16,'Tables - Part 3'!$F$4:$F$35,0),4)</f>
        <v>#REF!</v>
      </c>
      <c r="K16" s="156">
        <f>IF(ISERROR(J16),0,Test_Fluid!C16*Test_Fluid!J16)</f>
        <v>0</v>
      </c>
      <c r="L16" s="156" t="str">
        <f t="shared" si="0"/>
        <v/>
      </c>
      <c r="M16" s="156">
        <v>13</v>
      </c>
      <c r="N16" s="156">
        <f t="shared" si="1"/>
        <v>1000</v>
      </c>
      <c r="O16" s="192" t="e">
        <f t="shared" si="2"/>
        <v>#NUM!</v>
      </c>
      <c r="P16" s="158"/>
      <c r="Q16" s="158"/>
      <c r="R16" s="158"/>
      <c r="S16" s="194" t="s">
        <v>71</v>
      </c>
      <c r="T16" s="160" t="e">
        <f t="shared" si="3"/>
        <v>#N/A</v>
      </c>
    </row>
    <row r="17" spans="2:315" x14ac:dyDescent="0.35">
      <c r="B17" s="308" t="e">
        <f>'Tratamento de Dados'!#REF!</f>
        <v>#REF!</v>
      </c>
      <c r="C17" s="164" t="e">
        <f>'Tratamento de Dados'!#REF!</f>
        <v>#REF!</v>
      </c>
      <c r="D17" s="309" t="e">
        <f>IF(ISNA(Test_Fluid!I17),"",Test_Fluid!I17)</f>
        <v>#REF!</v>
      </c>
      <c r="E17" s="322"/>
      <c r="H17" s="163"/>
      <c r="I17" s="190" t="e">
        <f>INDEX('Tables - Part 3'!$B$4:$D$37,MATCH(Test_Fluid!B17,'Tables - Part 3'!$B$4:$B$37,0),3)</f>
        <v>#REF!</v>
      </c>
      <c r="J17" s="191" t="e">
        <f>INDEX('Tables - Part 3'!$F$4:$R$35,MATCH(Test_Fluid!B17,'Tables - Part 3'!$F$4:$F$35,0),4)</f>
        <v>#REF!</v>
      </c>
      <c r="K17" s="156">
        <f>IF(ISERROR(J17),0,Test_Fluid!C17*Test_Fluid!J17)</f>
        <v>0</v>
      </c>
      <c r="L17" s="156" t="str">
        <f t="shared" si="0"/>
        <v/>
      </c>
      <c r="M17" s="156">
        <v>14</v>
      </c>
      <c r="N17" s="156">
        <f t="shared" si="1"/>
        <v>1000</v>
      </c>
      <c r="O17" s="192" t="e">
        <f t="shared" si="2"/>
        <v>#NUM!</v>
      </c>
      <c r="P17" s="158"/>
      <c r="Q17" s="158"/>
      <c r="R17" s="158"/>
      <c r="S17" s="158"/>
      <c r="T17" s="158"/>
    </row>
    <row r="18" spans="2:315" x14ac:dyDescent="0.35">
      <c r="B18" s="308" t="e">
        <f>'Tratamento de Dados'!#REF!</f>
        <v>#REF!</v>
      </c>
      <c r="C18" s="164" t="e">
        <f>'Tratamento de Dados'!#REF!</f>
        <v>#REF!</v>
      </c>
      <c r="D18" s="309" t="e">
        <f>IF(ISNA(Test_Fluid!I18),"",Test_Fluid!I18)</f>
        <v>#REF!</v>
      </c>
      <c r="E18" s="322"/>
      <c r="H18" s="163"/>
      <c r="I18" s="190" t="e">
        <f>INDEX('Tables - Part 3'!$B$4:$D$37,MATCH(Test_Fluid!B18,'Tables - Part 3'!$B$4:$B$37,0),3)</f>
        <v>#REF!</v>
      </c>
      <c r="J18" s="191" t="e">
        <f>INDEX('Tables - Part 3'!$F$4:$R$35,MATCH(Test_Fluid!B18,'Tables - Part 3'!$F$4:$F$35,0),4)</f>
        <v>#REF!</v>
      </c>
      <c r="K18" s="156">
        <f>IF(ISERROR(J18),0,Test_Fluid!C18*Test_Fluid!J18)</f>
        <v>0</v>
      </c>
      <c r="L18" s="156" t="str">
        <f t="shared" si="0"/>
        <v/>
      </c>
      <c r="M18" s="156">
        <v>15</v>
      </c>
      <c r="N18" s="156">
        <f t="shared" si="1"/>
        <v>1000</v>
      </c>
      <c r="O18" s="192" t="e">
        <f t="shared" si="2"/>
        <v>#NUM!</v>
      </c>
      <c r="P18" s="158"/>
      <c r="Q18" s="158"/>
      <c r="R18" s="158"/>
      <c r="S18" s="158"/>
      <c r="T18" s="158"/>
    </row>
    <row r="19" spans="2:315" x14ac:dyDescent="0.35">
      <c r="B19" s="308" t="e">
        <f>'Tratamento de Dados'!#REF!</f>
        <v>#REF!</v>
      </c>
      <c r="C19" s="164" t="e">
        <f>'Tratamento de Dados'!#REF!</f>
        <v>#REF!</v>
      </c>
      <c r="D19" s="309" t="e">
        <f>IF(ISNA(Test_Fluid!I19),"",Test_Fluid!I19)</f>
        <v>#REF!</v>
      </c>
      <c r="E19" s="322"/>
      <c r="H19" s="163"/>
      <c r="I19" s="190" t="e">
        <f>INDEX('Tables - Part 3'!$B$4:$D$37,MATCH(Test_Fluid!B19,'Tables - Part 3'!$B$4:$B$37,0),3)</f>
        <v>#REF!</v>
      </c>
      <c r="J19" s="191" t="e">
        <f>INDEX('Tables - Part 3'!$F$4:$R$35,MATCH(Test_Fluid!B19,'Tables - Part 3'!$F$4:$F$35,0),4)</f>
        <v>#REF!</v>
      </c>
      <c r="K19" s="156">
        <f>IF(ISERROR(J19),0,Test_Fluid!C19*Test_Fluid!J19)</f>
        <v>0</v>
      </c>
      <c r="L19" s="156" t="str">
        <f t="shared" si="0"/>
        <v/>
      </c>
      <c r="M19" s="156">
        <v>16</v>
      </c>
      <c r="N19" s="156">
        <f t="shared" si="1"/>
        <v>1000</v>
      </c>
      <c r="O19" s="192" t="e">
        <f t="shared" si="2"/>
        <v>#NUM!</v>
      </c>
      <c r="P19" s="158"/>
      <c r="Q19" s="158"/>
      <c r="R19" s="158"/>
      <c r="S19" s="158"/>
      <c r="T19" s="158"/>
    </row>
    <row r="20" spans="2:315" x14ac:dyDescent="0.35">
      <c r="B20" s="308" t="e">
        <f>'Tratamento de Dados'!#REF!</f>
        <v>#REF!</v>
      </c>
      <c r="C20" s="164" t="e">
        <f>'Tratamento de Dados'!#REF!</f>
        <v>#REF!</v>
      </c>
      <c r="D20" s="309" t="e">
        <f>IF(ISNA(Test_Fluid!I20),"",Test_Fluid!I20)</f>
        <v>#REF!</v>
      </c>
      <c r="E20" s="322"/>
      <c r="H20" s="163"/>
      <c r="I20" s="190" t="e">
        <f>INDEX('Tables - Part 3'!$B$4:$D$37,MATCH(Test_Fluid!B20,'Tables - Part 3'!$B$4:$B$37,0),3)</f>
        <v>#REF!</v>
      </c>
      <c r="J20" s="191" t="e">
        <f>INDEX('Tables - Part 3'!$F$4:$R$35,MATCH(Test_Fluid!B20,'Tables - Part 3'!$F$4:$F$35,0),4)</f>
        <v>#REF!</v>
      </c>
      <c r="K20" s="156">
        <f>IF(ISERROR(J20),0,Test_Fluid!C20*Test_Fluid!J20)</f>
        <v>0</v>
      </c>
      <c r="L20" s="156" t="str">
        <f t="shared" si="0"/>
        <v/>
      </c>
      <c r="M20" s="156">
        <v>17</v>
      </c>
      <c r="N20" s="156">
        <f t="shared" si="1"/>
        <v>1000</v>
      </c>
      <c r="O20" s="192" t="e">
        <f t="shared" si="2"/>
        <v>#NUM!</v>
      </c>
      <c r="P20" s="158"/>
      <c r="Q20" s="158"/>
      <c r="R20" s="158"/>
      <c r="S20" s="158"/>
      <c r="T20" s="158"/>
    </row>
    <row r="21" spans="2:315" x14ac:dyDescent="0.35">
      <c r="B21" s="308" t="e">
        <f>'Tratamento de Dados'!#REF!</f>
        <v>#REF!</v>
      </c>
      <c r="C21" s="164" t="e">
        <f>'Tratamento de Dados'!#REF!</f>
        <v>#REF!</v>
      </c>
      <c r="D21" s="309" t="e">
        <f>IF(ISNA(Test_Fluid!I21),"",Test_Fluid!I21)</f>
        <v>#REF!</v>
      </c>
      <c r="E21" s="322"/>
      <c r="I21" s="190" t="e">
        <f>INDEX('Tables - Part 3'!$B$4:$D$37,MATCH(Test_Fluid!B21,'Tables - Part 3'!$B$4:$B$37,0),3)</f>
        <v>#REF!</v>
      </c>
      <c r="J21" s="191" t="e">
        <f>INDEX('Tables - Part 3'!$F$4:$R$35,MATCH(Test_Fluid!B21,'Tables - Part 3'!$F$4:$F$35,0),4)</f>
        <v>#REF!</v>
      </c>
      <c r="K21" s="156">
        <f>IF(ISERROR(J21),0,Test_Fluid!C21*Test_Fluid!J21)</f>
        <v>0</v>
      </c>
      <c r="L21" s="156" t="str">
        <f t="shared" si="0"/>
        <v/>
      </c>
      <c r="M21" s="156">
        <v>18</v>
      </c>
      <c r="N21" s="156">
        <f t="shared" si="1"/>
        <v>1000</v>
      </c>
      <c r="O21" s="192" t="e">
        <f t="shared" si="2"/>
        <v>#NUM!</v>
      </c>
      <c r="P21" s="158"/>
      <c r="Q21" s="158"/>
      <c r="R21" s="158"/>
      <c r="S21" s="158"/>
      <c r="T21" s="158"/>
    </row>
    <row r="22" spans="2:315" x14ac:dyDescent="0.35">
      <c r="B22" s="308" t="e">
        <f>'Tratamento de Dados'!#REF!</f>
        <v>#REF!</v>
      </c>
      <c r="C22" s="164" t="e">
        <f>'Tratamento de Dados'!#REF!</f>
        <v>#REF!</v>
      </c>
      <c r="D22" s="309" t="e">
        <f>IF(ISNA(Test_Fluid!I22),"",Test_Fluid!I22)</f>
        <v>#REF!</v>
      </c>
      <c r="E22" s="322"/>
      <c r="I22" s="190" t="e">
        <f>INDEX('Tables - Part 3'!$B$4:$D$37,MATCH(Test_Fluid!B22,'Tables - Part 3'!$B$4:$B$37,0),3)</f>
        <v>#REF!</v>
      </c>
      <c r="J22" s="191" t="e">
        <f>INDEX('Tables - Part 3'!$F$4:$R$35,MATCH(Test_Fluid!B22,'Tables - Part 3'!$F$4:$F$35,0),4)</f>
        <v>#REF!</v>
      </c>
      <c r="K22" s="156">
        <f>IF(ISERROR(J22),0,Test_Fluid!C22*Test_Fluid!J22)</f>
        <v>0</v>
      </c>
      <c r="L22" s="156" t="str">
        <f t="shared" si="0"/>
        <v/>
      </c>
      <c r="M22" s="156">
        <v>19</v>
      </c>
      <c r="N22" s="156">
        <f t="shared" si="1"/>
        <v>1000</v>
      </c>
      <c r="O22" s="192" t="e">
        <f t="shared" si="2"/>
        <v>#NUM!</v>
      </c>
      <c r="P22" s="158"/>
      <c r="Q22" s="158"/>
      <c r="R22" s="158"/>
      <c r="S22" s="158"/>
      <c r="T22" s="158"/>
    </row>
    <row r="23" spans="2:315" x14ac:dyDescent="0.35">
      <c r="B23" s="308" t="e">
        <f>'Tratamento de Dados'!#REF!</f>
        <v>#REF!</v>
      </c>
      <c r="C23" s="164" t="e">
        <f>'Tratamento de Dados'!#REF!</f>
        <v>#REF!</v>
      </c>
      <c r="D23" s="309" t="e">
        <f>IF(ISNA(Test_Fluid!I23),"",Test_Fluid!I23)</f>
        <v>#REF!</v>
      </c>
      <c r="E23" s="322"/>
      <c r="I23" s="190" t="e">
        <f>INDEX('Tables - Part 3'!$B$4:$D$37,MATCH(Test_Fluid!B23,'Tables - Part 3'!$B$4:$B$37,0),3)</f>
        <v>#REF!</v>
      </c>
      <c r="J23" s="191" t="e">
        <f>INDEX('Tables - Part 3'!$F$4:$R$35,MATCH(Test_Fluid!B23,'Tables - Part 3'!$F$4:$F$35,0),4)</f>
        <v>#REF!</v>
      </c>
      <c r="K23" s="156">
        <f>IF(ISERROR(J23),0,Test_Fluid!C23*Test_Fluid!J23)</f>
        <v>0</v>
      </c>
      <c r="L23" s="156" t="str">
        <f t="shared" si="0"/>
        <v/>
      </c>
      <c r="M23" s="156">
        <v>20</v>
      </c>
      <c r="N23" s="156">
        <f t="shared" si="1"/>
        <v>1000</v>
      </c>
      <c r="O23" s="192" t="e">
        <f t="shared" si="2"/>
        <v>#NUM!</v>
      </c>
      <c r="P23" s="158"/>
      <c r="Q23" s="158"/>
      <c r="R23" s="158"/>
      <c r="S23" s="158"/>
      <c r="T23" s="158"/>
    </row>
    <row r="24" spans="2:315" x14ac:dyDescent="0.35">
      <c r="B24" s="308" t="e">
        <f>'Tratamento de Dados'!#REF!</f>
        <v>#REF!</v>
      </c>
      <c r="C24" s="164" t="e">
        <f>'Tratamento de Dados'!#REF!</f>
        <v>#REF!</v>
      </c>
      <c r="D24" s="309" t="e">
        <f>IF(ISNA(Test_Fluid!I24),"",Test_Fluid!I24)</f>
        <v>#REF!</v>
      </c>
      <c r="E24" s="322"/>
      <c r="I24" s="190" t="e">
        <f>INDEX('Tables - Part 3'!$B$4:$D$37,MATCH(Test_Fluid!B24,'Tables - Part 3'!$B$4:$B$37,0),3)</f>
        <v>#REF!</v>
      </c>
      <c r="J24" s="191" t="e">
        <f>INDEX('Tables - Part 3'!$F$4:$R$35,MATCH(Test_Fluid!B24,'Tables - Part 3'!$F$4:$F$35,0),4)</f>
        <v>#REF!</v>
      </c>
      <c r="K24" s="156">
        <f>IF(ISERROR(J24),0,Test_Fluid!C24*Test_Fluid!J24)</f>
        <v>0</v>
      </c>
      <c r="L24" s="156" t="str">
        <f t="shared" si="0"/>
        <v/>
      </c>
      <c r="M24" s="156">
        <v>21</v>
      </c>
      <c r="N24" s="156">
        <f t="shared" si="1"/>
        <v>1000</v>
      </c>
      <c r="O24" s="192" t="e">
        <f t="shared" si="2"/>
        <v>#NUM!</v>
      </c>
      <c r="P24" s="158"/>
      <c r="Q24" s="158"/>
      <c r="R24" s="158"/>
      <c r="S24" s="158"/>
      <c r="T24" s="158"/>
    </row>
    <row r="25" spans="2:315" x14ac:dyDescent="0.35">
      <c r="B25" s="308" t="e">
        <f>'Tratamento de Dados'!#REF!</f>
        <v>#REF!</v>
      </c>
      <c r="C25" s="164" t="e">
        <f>'Tratamento de Dados'!#REF!</f>
        <v>#REF!</v>
      </c>
      <c r="D25" s="309" t="e">
        <f>IF(ISNA(Test_Fluid!I25),"",Test_Fluid!I25)</f>
        <v>#REF!</v>
      </c>
      <c r="E25" s="322"/>
      <c r="I25" s="190" t="e">
        <f>INDEX('Tables - Part 3'!$B$4:$D$37,MATCH(Test_Fluid!B25,'Tables - Part 3'!$B$4:$B$37,0),3)</f>
        <v>#REF!</v>
      </c>
      <c r="J25" s="191" t="e">
        <f>INDEX('Tables - Part 3'!$F$4:$R$35,MATCH(Test_Fluid!B25,'Tables - Part 3'!$F$4:$F$35,0),4)</f>
        <v>#REF!</v>
      </c>
      <c r="K25" s="156">
        <f>IF(ISERROR(J25),0,Test_Fluid!C25*Test_Fluid!J25)</f>
        <v>0</v>
      </c>
      <c r="L25" s="156" t="str">
        <f t="shared" si="0"/>
        <v/>
      </c>
      <c r="M25" s="156">
        <v>22</v>
      </c>
      <c r="N25" s="156">
        <f t="shared" si="1"/>
        <v>1000</v>
      </c>
      <c r="O25" s="192" t="e">
        <f t="shared" si="2"/>
        <v>#NUM!</v>
      </c>
      <c r="P25" s="158"/>
      <c r="Q25" s="158"/>
      <c r="R25" s="158"/>
      <c r="S25" s="158"/>
      <c r="T25" s="158"/>
    </row>
    <row r="26" spans="2:315" x14ac:dyDescent="0.35">
      <c r="B26" s="308" t="e">
        <f>'Tratamento de Dados'!#REF!</f>
        <v>#REF!</v>
      </c>
      <c r="C26" s="164" t="e">
        <f>'Tratamento de Dados'!#REF!</f>
        <v>#REF!</v>
      </c>
      <c r="D26" s="309" t="e">
        <f>IF(ISNA(Test_Fluid!I26),"",Test_Fluid!I26)</f>
        <v>#REF!</v>
      </c>
      <c r="E26" s="322"/>
      <c r="I26" s="190" t="e">
        <f>INDEX('Tables - Part 3'!$B$4:$D$37,MATCH(Test_Fluid!B26,'Tables - Part 3'!$B$4:$B$37,0),3)</f>
        <v>#REF!</v>
      </c>
      <c r="J26" s="191" t="e">
        <f>INDEX('Tables - Part 3'!$F$4:$R$35,MATCH(Test_Fluid!B26,'Tables - Part 3'!$F$4:$F$35,0),4)</f>
        <v>#REF!</v>
      </c>
      <c r="K26" s="156">
        <f>IF(ISERROR(J26),0,Test_Fluid!C26*Test_Fluid!J26)</f>
        <v>0</v>
      </c>
      <c r="L26" s="156" t="str">
        <f t="shared" si="0"/>
        <v/>
      </c>
      <c r="M26" s="156">
        <v>23</v>
      </c>
      <c r="N26" s="156">
        <f t="shared" si="1"/>
        <v>1000</v>
      </c>
      <c r="O26" s="192" t="e">
        <f t="shared" si="2"/>
        <v>#NUM!</v>
      </c>
      <c r="P26" s="158"/>
      <c r="Q26" s="158"/>
      <c r="R26" s="158"/>
      <c r="S26" s="158"/>
      <c r="T26" s="158"/>
    </row>
    <row r="27" spans="2:315" x14ac:dyDescent="0.35">
      <c r="B27" s="308" t="e">
        <f>'Tratamento de Dados'!#REF!</f>
        <v>#REF!</v>
      </c>
      <c r="C27" s="164" t="e">
        <f>'Tratamento de Dados'!#REF!</f>
        <v>#REF!</v>
      </c>
      <c r="D27" s="309" t="e">
        <f>IF(ISNA(Test_Fluid!I27),"",Test_Fluid!I27)</f>
        <v>#REF!</v>
      </c>
      <c r="E27" s="322"/>
      <c r="I27" s="190" t="e">
        <f>INDEX('Tables - Part 3'!$B$4:$D$37,MATCH(Test_Fluid!B27,'Tables - Part 3'!$B$4:$B$37,0),3)</f>
        <v>#REF!</v>
      </c>
      <c r="J27" s="191" t="e">
        <f>INDEX('Tables - Part 3'!$F$4:$R$35,MATCH(Test_Fluid!B27,'Tables - Part 3'!$F$4:$F$35,0),4)</f>
        <v>#REF!</v>
      </c>
      <c r="K27" s="156">
        <f>IF(ISERROR(J27),0,Test_Fluid!C27*Test_Fluid!J27)</f>
        <v>0</v>
      </c>
      <c r="L27" s="156" t="str">
        <f t="shared" si="0"/>
        <v/>
      </c>
      <c r="M27" s="156">
        <v>24</v>
      </c>
      <c r="N27" s="156">
        <f t="shared" si="1"/>
        <v>1000</v>
      </c>
      <c r="O27" s="192" t="e">
        <f t="shared" si="2"/>
        <v>#NUM!</v>
      </c>
      <c r="P27" s="158"/>
      <c r="Q27" s="158"/>
      <c r="R27" s="158"/>
      <c r="S27" s="158"/>
      <c r="T27" s="158"/>
    </row>
    <row r="28" spans="2:315" x14ac:dyDescent="0.35">
      <c r="B28" s="308" t="e">
        <f>'Tratamento de Dados'!#REF!</f>
        <v>#REF!</v>
      </c>
      <c r="C28" s="164" t="e">
        <f>'Tratamento de Dados'!#REF!</f>
        <v>#REF!</v>
      </c>
      <c r="D28" s="309" t="e">
        <f>IF(ISNA(Test_Fluid!I28),"",Test_Fluid!I28)</f>
        <v>#REF!</v>
      </c>
      <c r="E28" s="322"/>
      <c r="I28" s="190" t="e">
        <f>INDEX('Tables - Part 3'!$B$4:$D$37,MATCH(Test_Fluid!B28,'Tables - Part 3'!$B$4:$B$37,0),3)</f>
        <v>#REF!</v>
      </c>
      <c r="J28" s="191" t="e">
        <f>INDEX('Tables - Part 3'!$F$4:$R$35,MATCH(Test_Fluid!B28,'Tables - Part 3'!$F$4:$F$35,0),4)</f>
        <v>#REF!</v>
      </c>
      <c r="K28" s="156">
        <f>IF(ISERROR(J28),0,Test_Fluid!C28*Test_Fluid!J28)</f>
        <v>0</v>
      </c>
      <c r="L28" s="156" t="str">
        <f t="shared" si="0"/>
        <v/>
      </c>
      <c r="M28" s="156">
        <v>25</v>
      </c>
      <c r="N28" s="156">
        <f t="shared" si="1"/>
        <v>1000</v>
      </c>
      <c r="O28" s="192" t="e">
        <f t="shared" si="2"/>
        <v>#NUM!</v>
      </c>
      <c r="P28" s="158"/>
      <c r="Q28" s="158"/>
      <c r="R28" s="158"/>
      <c r="S28" s="158"/>
      <c r="T28" s="158"/>
      <c r="JJ28" s="167"/>
    </row>
    <row r="29" spans="2:315" x14ac:dyDescent="0.35">
      <c r="B29" s="308" t="e">
        <f>'Tratamento de Dados'!#REF!</f>
        <v>#REF!</v>
      </c>
      <c r="C29" s="164" t="e">
        <f>'Tratamento de Dados'!#REF!</f>
        <v>#REF!</v>
      </c>
      <c r="D29" s="309" t="e">
        <f>IF(ISNA(Test_Fluid!I29),"",Test_Fluid!I29)</f>
        <v>#REF!</v>
      </c>
      <c r="E29" s="322"/>
      <c r="I29" s="190" t="e">
        <f>INDEX('Tables - Part 3'!$B$4:$D$37,MATCH(Test_Fluid!B29,'Tables - Part 3'!$B$4:$B$37,0),3)</f>
        <v>#REF!</v>
      </c>
      <c r="J29" s="191" t="e">
        <f>INDEX('Tables - Part 3'!$F$4:$R$35,MATCH(Test_Fluid!B29,'Tables - Part 3'!$F$4:$F$35,0),4)</f>
        <v>#REF!</v>
      </c>
      <c r="K29" s="156">
        <f>IF(ISERROR(J29),0,Test_Fluid!C29*Test_Fluid!J29)</f>
        <v>0</v>
      </c>
      <c r="L29" s="156" t="str">
        <f t="shared" si="0"/>
        <v/>
      </c>
      <c r="M29" s="156">
        <v>26</v>
      </c>
      <c r="N29" s="156">
        <f t="shared" si="1"/>
        <v>1000</v>
      </c>
      <c r="O29" s="192" t="e">
        <f t="shared" si="2"/>
        <v>#NUM!</v>
      </c>
      <c r="P29" s="158"/>
      <c r="Q29" s="158"/>
      <c r="R29" s="158"/>
      <c r="S29" s="158"/>
      <c r="T29" s="158"/>
    </row>
    <row r="30" spans="2:315" x14ac:dyDescent="0.35">
      <c r="B30" s="308" t="e">
        <f>'Tratamento de Dados'!#REF!</f>
        <v>#REF!</v>
      </c>
      <c r="C30" s="164" t="e">
        <f>'Tratamento de Dados'!#REF!</f>
        <v>#REF!</v>
      </c>
      <c r="D30" s="309" t="e">
        <f>IF(ISNA(Test_Fluid!I30),"",Test_Fluid!I30)</f>
        <v>#REF!</v>
      </c>
      <c r="E30" s="322"/>
      <c r="I30" s="190" t="e">
        <f>INDEX('Tables - Part 3'!$B$4:$D$37,MATCH(Test_Fluid!B30,'Tables - Part 3'!$B$4:$B$37,0),3)</f>
        <v>#REF!</v>
      </c>
      <c r="J30" s="191" t="e">
        <f>INDEX('Tables - Part 3'!$F$4:$R$35,MATCH(Test_Fluid!B30,'Tables - Part 3'!$F$4:$F$35,0),4)</f>
        <v>#REF!</v>
      </c>
      <c r="K30" s="156">
        <f>IF(ISERROR(J30),0,Test_Fluid!C30*Test_Fluid!J30)</f>
        <v>0</v>
      </c>
      <c r="L30" s="156" t="str">
        <f t="shared" si="0"/>
        <v/>
      </c>
      <c r="M30" s="156">
        <v>27</v>
      </c>
      <c r="N30" s="156">
        <f t="shared" si="1"/>
        <v>1000</v>
      </c>
      <c r="O30" s="192" t="e">
        <f t="shared" si="2"/>
        <v>#NUM!</v>
      </c>
      <c r="P30" s="158"/>
      <c r="Q30" s="158"/>
      <c r="R30" s="158"/>
      <c r="S30" s="158"/>
      <c r="T30" s="158"/>
      <c r="LC30" s="168"/>
    </row>
    <row r="31" spans="2:315" ht="15" thickBot="1" x14ac:dyDescent="0.4">
      <c r="B31" s="308" t="e">
        <f>'Tratamento de Dados'!#REF!</f>
        <v>#REF!</v>
      </c>
      <c r="C31" s="164" t="e">
        <f>'Tratamento de Dados'!#REF!</f>
        <v>#REF!</v>
      </c>
      <c r="D31" s="310" t="e">
        <f>IF(ISNA(Test_Fluid!I31),"",Test_Fluid!I31)</f>
        <v>#REF!</v>
      </c>
      <c r="E31" s="322"/>
      <c r="I31" s="205" t="e">
        <f>INDEX('Tables - Part 3'!$B$4:$D$37,MATCH(Test_Fluid!B31,'Tables - Part 3'!$B$4:$B$37,0),3)</f>
        <v>#REF!</v>
      </c>
      <c r="J31" s="197" t="e">
        <f>INDEX('Tables - Part 3'!$F$4:$R$35,MATCH(Test_Fluid!B31,'Tables - Part 3'!$F$4:$F$35,0),4)</f>
        <v>#REF!</v>
      </c>
      <c r="K31" s="203">
        <f>IF(ISERROR(J31),0,Test_Fluid!C31*Test_Fluid!J31)</f>
        <v>0</v>
      </c>
      <c r="L31" s="203" t="str">
        <f t="shared" si="0"/>
        <v/>
      </c>
      <c r="M31" s="203">
        <v>28</v>
      </c>
      <c r="N31" s="203">
        <f t="shared" si="1"/>
        <v>1000</v>
      </c>
      <c r="O31" s="204" t="e">
        <f t="shared" si="2"/>
        <v>#NUM!</v>
      </c>
      <c r="P31" s="158"/>
      <c r="Q31" s="158"/>
      <c r="R31" s="158"/>
      <c r="S31" s="158"/>
      <c r="T31" s="158"/>
      <c r="JJ31" s="167"/>
    </row>
    <row r="32" spans="2:315" ht="15" thickBot="1" x14ac:dyDescent="0.4">
      <c r="B32" s="313" t="s">
        <v>692</v>
      </c>
      <c r="C32" s="314" t="e">
        <f>SUM(C4:C31)</f>
        <v>#REF!</v>
      </c>
      <c r="J32" s="163"/>
      <c r="K32" s="163"/>
      <c r="L32" s="163"/>
      <c r="M32" s="163"/>
      <c r="N32" s="163"/>
      <c r="O32" s="163"/>
      <c r="P32" s="163"/>
    </row>
  </sheetData>
  <mergeCells count="2">
    <mergeCell ref="B2:D2"/>
    <mergeCell ref="S2:T2"/>
  </mergeCells>
  <conditionalFormatting sqref="G2">
    <cfRule type="containsText" dxfId="0" priority="1" operator="containsText" text="100%">
      <formula>NOT(ISERROR(SEARCH("100%",G2)))</formula>
    </cfRule>
  </conditionalFormatting>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0000000}">
          <x14:formula1>
            <xm:f>'Tables - Part 3'!$B$4:$B$37</xm:f>
          </x14:formula1>
          <xm:sqref>B4:B31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
  <sheetViews>
    <sheetView workbookViewId="0"/>
  </sheetViews>
  <sheetFormatPr defaultRowHeight="14.5" x14ac:dyDescent="0.35"/>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11"/>
  <dimension ref="B1:M11"/>
  <sheetViews>
    <sheetView workbookViewId="0">
      <selection activeCell="F20" sqref="F20"/>
    </sheetView>
  </sheetViews>
  <sheetFormatPr defaultRowHeight="14.5" x14ac:dyDescent="0.35"/>
  <cols>
    <col min="1" max="1" width="1.453125" customWidth="1"/>
    <col min="2" max="2" width="22.26953125" customWidth="1"/>
    <col min="3" max="3" width="24.26953125" customWidth="1"/>
    <col min="4" max="4" width="20.453125" customWidth="1"/>
    <col min="5" max="5" width="16" customWidth="1"/>
    <col min="6" max="6" width="24.26953125" customWidth="1"/>
  </cols>
  <sheetData>
    <row r="1" spans="2:13" ht="5.25" customHeight="1" thickBot="1" x14ac:dyDescent="0.4"/>
    <row r="2" spans="2:13" x14ac:dyDescent="0.35">
      <c r="B2" s="726" t="s">
        <v>980</v>
      </c>
      <c r="C2" s="728" t="s">
        <v>981</v>
      </c>
      <c r="D2" s="729"/>
      <c r="E2" s="730" t="s">
        <v>984</v>
      </c>
      <c r="F2" s="731"/>
      <c r="H2" s="702" t="s">
        <v>957</v>
      </c>
      <c r="I2" s="702"/>
      <c r="J2" s="703" t="s">
        <v>1017</v>
      </c>
      <c r="K2" s="741"/>
      <c r="L2" s="702" t="s">
        <v>972</v>
      </c>
      <c r="M2" s="702"/>
    </row>
    <row r="3" spans="2:13" ht="15" thickBot="1" x14ac:dyDescent="0.4">
      <c r="B3" s="727"/>
      <c r="C3" s="319" t="s">
        <v>982</v>
      </c>
      <c r="D3" s="319" t="s">
        <v>983</v>
      </c>
      <c r="E3" s="319" t="s">
        <v>980</v>
      </c>
      <c r="F3" s="91" t="s">
        <v>985</v>
      </c>
      <c r="H3" s="315" t="s">
        <v>1003</v>
      </c>
      <c r="I3" s="315" t="s">
        <v>1004</v>
      </c>
      <c r="J3" s="323" t="s">
        <v>1003</v>
      </c>
      <c r="K3" s="323" t="s">
        <v>1004</v>
      </c>
      <c r="L3" s="315" t="s">
        <v>1003</v>
      </c>
      <c r="M3" s="315" t="s">
        <v>1004</v>
      </c>
    </row>
    <row r="4" spans="2:13" x14ac:dyDescent="0.35">
      <c r="B4" s="316">
        <v>1</v>
      </c>
      <c r="C4" s="108" t="s">
        <v>986</v>
      </c>
      <c r="D4" s="329" t="s">
        <v>992</v>
      </c>
      <c r="E4" s="108" t="s">
        <v>278</v>
      </c>
      <c r="F4" s="121" t="s">
        <v>998</v>
      </c>
      <c r="H4" s="315" t="s">
        <v>1008</v>
      </c>
      <c r="I4" s="53">
        <v>3.0599999999999998E-5</v>
      </c>
      <c r="J4" s="323" t="s">
        <v>1008</v>
      </c>
      <c r="K4" s="323">
        <v>1</v>
      </c>
      <c r="L4" s="315" t="s">
        <v>1008</v>
      </c>
      <c r="M4" s="315">
        <v>9.2899999999999991</v>
      </c>
    </row>
    <row r="5" spans="2:13" x14ac:dyDescent="0.35">
      <c r="B5" s="317">
        <v>2</v>
      </c>
      <c r="C5" s="111" t="s">
        <v>987</v>
      </c>
      <c r="D5" s="111" t="s">
        <v>993</v>
      </c>
      <c r="E5" s="111" t="s">
        <v>279</v>
      </c>
      <c r="F5" s="122" t="s">
        <v>999</v>
      </c>
      <c r="H5" s="53">
        <v>3.0599999999999998E-5</v>
      </c>
      <c r="I5" s="53">
        <v>3.0600000000000001E-4</v>
      </c>
      <c r="J5" s="323">
        <v>1</v>
      </c>
      <c r="K5" s="323">
        <v>10</v>
      </c>
      <c r="L5" s="315">
        <v>9.2899999999999991</v>
      </c>
      <c r="M5" s="315">
        <v>92.9</v>
      </c>
    </row>
    <row r="6" spans="2:13" x14ac:dyDescent="0.35">
      <c r="B6" s="317">
        <v>3</v>
      </c>
      <c r="C6" s="111" t="s">
        <v>988</v>
      </c>
      <c r="D6" s="111" t="s">
        <v>994</v>
      </c>
      <c r="E6" s="117" t="s">
        <v>280</v>
      </c>
      <c r="F6" s="122" t="s">
        <v>1000</v>
      </c>
      <c r="H6" s="53">
        <v>3.0600000000000001E-4</v>
      </c>
      <c r="I6" s="53">
        <v>3.0599999999999998E-3</v>
      </c>
      <c r="J6" s="323">
        <v>10</v>
      </c>
      <c r="K6" s="323">
        <v>100</v>
      </c>
      <c r="L6" s="315">
        <v>92.9</v>
      </c>
      <c r="M6" s="315">
        <v>929</v>
      </c>
    </row>
    <row r="7" spans="2:13" x14ac:dyDescent="0.35">
      <c r="B7" s="317">
        <v>4</v>
      </c>
      <c r="C7" s="111" t="s">
        <v>989</v>
      </c>
      <c r="D7" s="111" t="s">
        <v>995</v>
      </c>
      <c r="E7" s="117" t="s">
        <v>274</v>
      </c>
      <c r="F7" s="122" t="s">
        <v>1001</v>
      </c>
      <c r="H7" s="53">
        <v>3.0599999999999998E-3</v>
      </c>
      <c r="I7" s="53">
        <v>3.0599999999999999E-2</v>
      </c>
      <c r="J7" s="323">
        <v>100</v>
      </c>
      <c r="K7" s="323">
        <v>1000</v>
      </c>
      <c r="L7" s="315">
        <v>929</v>
      </c>
      <c r="M7" s="315">
        <v>9290</v>
      </c>
    </row>
    <row r="8" spans="2:13" ht="15" thickBot="1" x14ac:dyDescent="0.4">
      <c r="B8" s="325">
        <v>5</v>
      </c>
      <c r="C8" s="326" t="s">
        <v>990</v>
      </c>
      <c r="D8" s="327" t="s">
        <v>996</v>
      </c>
      <c r="E8" s="327" t="s">
        <v>281</v>
      </c>
      <c r="F8" s="328" t="s">
        <v>1002</v>
      </c>
      <c r="H8" s="53">
        <v>3.0599999999999999E-2</v>
      </c>
      <c r="I8" s="315" t="s">
        <v>1008</v>
      </c>
      <c r="J8" s="323">
        <v>1000</v>
      </c>
      <c r="K8" s="323" t="s">
        <v>1008</v>
      </c>
      <c r="L8" s="315">
        <v>9290</v>
      </c>
      <c r="M8" s="315" t="s">
        <v>1008</v>
      </c>
    </row>
    <row r="9" spans="2:13" ht="15.75" customHeight="1" x14ac:dyDescent="0.35">
      <c r="B9" s="732" t="s">
        <v>991</v>
      </c>
      <c r="C9" s="733"/>
      <c r="D9" s="733"/>
      <c r="E9" s="733"/>
      <c r="F9" s="734"/>
    </row>
    <row r="10" spans="2:13" x14ac:dyDescent="0.35">
      <c r="B10" s="735"/>
      <c r="C10" s="736"/>
      <c r="D10" s="736"/>
      <c r="E10" s="736"/>
      <c r="F10" s="737"/>
    </row>
    <row r="11" spans="2:13" ht="15" thickBot="1" x14ac:dyDescent="0.4">
      <c r="B11" s="738"/>
      <c r="C11" s="739"/>
      <c r="D11" s="739"/>
      <c r="E11" s="739"/>
      <c r="F11" s="740"/>
    </row>
  </sheetData>
  <mergeCells count="7">
    <mergeCell ref="L2:M2"/>
    <mergeCell ref="B2:B3"/>
    <mergeCell ref="C2:D2"/>
    <mergeCell ref="E2:F2"/>
    <mergeCell ref="B9:F11"/>
    <mergeCell ref="H2:I2"/>
    <mergeCell ref="J2:K2"/>
  </mergeCells>
  <pageMargins left="0.511811024" right="0.511811024" top="0.78740157499999996" bottom="0.78740157499999996" header="0.31496062000000002" footer="0.31496062000000002"/>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ilha12"/>
  <dimension ref="B1:FU31"/>
  <sheetViews>
    <sheetView topLeftCell="Q1" zoomScale="80" zoomScaleNormal="80" workbookViewId="0">
      <selection activeCell="U5" sqref="U5"/>
    </sheetView>
  </sheetViews>
  <sheetFormatPr defaultRowHeight="14.5" x14ac:dyDescent="0.35"/>
  <cols>
    <col min="1" max="1" width="1.81640625" customWidth="1"/>
    <col min="2" max="2" width="15.54296875" customWidth="1"/>
    <col min="3" max="3" width="16.26953125" customWidth="1"/>
    <col min="7" max="7" width="15" customWidth="1"/>
    <col min="8" max="8" width="11.7265625" customWidth="1"/>
    <col min="10" max="10" width="13.26953125" customWidth="1"/>
    <col min="11" max="11" width="19.81640625" customWidth="1"/>
    <col min="12" max="12" width="24" customWidth="1"/>
    <col min="13" max="13" width="20.26953125" customWidth="1"/>
    <col min="14" max="14" width="7.1796875" customWidth="1"/>
    <col min="15" max="15" width="27.81640625" customWidth="1"/>
    <col min="16" max="16" width="14.453125" customWidth="1"/>
    <col min="17" max="17" width="13" customWidth="1"/>
    <col min="18" max="18" width="12" customWidth="1"/>
    <col min="19" max="19" width="14" customWidth="1"/>
    <col min="20" max="20" width="12.81640625" customWidth="1"/>
    <col min="22" max="22" width="19.7265625" customWidth="1"/>
    <col min="23" max="23" width="21.26953125" customWidth="1"/>
    <col min="24" max="24" width="26.26953125" customWidth="1"/>
    <col min="25" max="25" width="18" customWidth="1"/>
    <col min="27" max="27" width="12.1796875" customWidth="1"/>
    <col min="28" max="28" width="13.1796875" customWidth="1"/>
    <col min="29" max="29" width="14.54296875" customWidth="1"/>
    <col min="30" max="30" width="15.26953125" customWidth="1"/>
    <col min="31" max="31" width="12.7265625" customWidth="1"/>
    <col min="32" max="32" width="13.1796875" customWidth="1"/>
    <col min="33" max="33" width="15.453125" customWidth="1"/>
    <col min="35" max="35" width="12.1796875" customWidth="1"/>
    <col min="36" max="36" width="32.7265625" bestFit="1" customWidth="1"/>
    <col min="37" max="37" width="38.81640625" customWidth="1"/>
    <col min="38" max="38" width="36" bestFit="1" customWidth="1"/>
    <col min="40" max="40" width="13.26953125" customWidth="1"/>
    <col min="41" max="41" width="54.81640625" customWidth="1"/>
    <col min="42" max="43" width="39.26953125" customWidth="1"/>
    <col min="45" max="45" width="13.1796875" bestFit="1" customWidth="1"/>
    <col min="46" max="46" width="23" customWidth="1"/>
    <col min="63" max="64" width="32.54296875" customWidth="1"/>
    <col min="66" max="66" width="14.81640625" customWidth="1"/>
    <col min="67" max="67" width="10.7265625" customWidth="1"/>
    <col min="68" max="68" width="18.81640625" customWidth="1"/>
    <col min="69" max="69" width="23" customWidth="1"/>
    <col min="70" max="70" width="15.26953125" customWidth="1"/>
    <col min="72" max="72" width="17.81640625" customWidth="1"/>
    <col min="73" max="73" width="5.54296875" bestFit="1" customWidth="1"/>
    <col min="74" max="74" width="10.54296875" bestFit="1" customWidth="1"/>
    <col min="75" max="75" width="9.26953125" bestFit="1" customWidth="1"/>
    <col min="77" max="77" width="13.81640625" customWidth="1"/>
    <col min="78" max="78" width="17" customWidth="1"/>
    <col min="80" max="81" width="32.54296875" customWidth="1"/>
    <col min="83" max="83" width="14.81640625" customWidth="1"/>
    <col min="84" max="84" width="10.7265625" customWidth="1"/>
    <col min="85" max="85" width="18.81640625" customWidth="1"/>
    <col min="86" max="86" width="23" customWidth="1"/>
    <col min="87" max="87" width="15.26953125" customWidth="1"/>
    <col min="89" max="89" width="17.81640625" customWidth="1"/>
    <col min="90" max="90" width="23.1796875" customWidth="1"/>
    <col min="92" max="92" width="13.81640625" customWidth="1"/>
    <col min="94" max="94" width="13.81640625" customWidth="1"/>
    <col min="95" max="95" width="17" customWidth="1"/>
    <col min="97" max="98" width="32.54296875" customWidth="1"/>
    <col min="100" max="100" width="43.453125" customWidth="1"/>
    <col min="101" max="101" width="43.81640625" customWidth="1"/>
    <col min="103" max="103" width="17.81640625" customWidth="1"/>
    <col min="104" max="104" width="20.54296875" customWidth="1"/>
    <col min="105" max="105" width="14.81640625" bestFit="1" customWidth="1"/>
    <col min="106" max="106" width="17" customWidth="1"/>
    <col min="108" max="109" width="32.54296875" customWidth="1"/>
    <col min="111" max="111" width="53.81640625" bestFit="1" customWidth="1"/>
    <col min="112" max="112" width="17.7265625" customWidth="1"/>
    <col min="113" max="113" width="18.1796875" customWidth="1"/>
    <col min="114" max="114" width="17.81640625" customWidth="1"/>
    <col min="116" max="117" width="32.54296875" customWidth="1"/>
    <col min="119" max="119" width="53.81640625" bestFit="1" customWidth="1"/>
    <col min="120" max="121" width="17.7265625" customWidth="1"/>
    <col min="122" max="122" width="18.1796875" customWidth="1"/>
    <col min="123" max="123" width="17.81640625" customWidth="1"/>
    <col min="125" max="126" width="32.54296875" customWidth="1"/>
    <col min="128" max="128" width="5.54296875" bestFit="1" customWidth="1"/>
    <col min="129" max="129" width="10.54296875" bestFit="1" customWidth="1"/>
    <col min="130" max="130" width="6.54296875" customWidth="1"/>
    <col min="131" max="131" width="6.453125" bestFit="1" customWidth="1"/>
    <col min="132" max="132" width="10.54296875" bestFit="1" customWidth="1"/>
    <col min="133" max="133" width="8" customWidth="1"/>
    <col min="135" max="136" width="32.54296875" customWidth="1"/>
    <col min="138" max="138" width="15.1796875" bestFit="1" customWidth="1"/>
    <col min="139" max="139" width="19.1796875" customWidth="1"/>
    <col min="140" max="140" width="17.81640625" customWidth="1"/>
    <col min="141" max="141" width="26" customWidth="1"/>
    <col min="143" max="143" width="26" customWidth="1"/>
    <col min="144" max="144" width="21.54296875" customWidth="1"/>
    <col min="146" max="146" width="33.1796875" bestFit="1" customWidth="1"/>
    <col min="147" max="147" width="33.26953125" customWidth="1"/>
    <col min="149" max="149" width="18.54296875" customWidth="1"/>
    <col min="150" max="150" width="17.453125" customWidth="1"/>
    <col min="151" max="152" width="17.1796875" customWidth="1"/>
    <col min="153" max="153" width="16.81640625" customWidth="1"/>
    <col min="155" max="155" width="18.54296875" customWidth="1"/>
    <col min="156" max="156" width="17.453125" customWidth="1"/>
    <col min="157" max="158" width="17.1796875" customWidth="1"/>
    <col min="159" max="159" width="16.81640625" customWidth="1"/>
    <col min="161" max="161" width="34" customWidth="1"/>
    <col min="162" max="162" width="38.81640625" customWidth="1"/>
    <col min="164" max="164" width="18.54296875" customWidth="1"/>
    <col min="165" max="165" width="17.453125" customWidth="1"/>
    <col min="166" max="167" width="17.1796875" customWidth="1"/>
    <col min="168" max="168" width="16.81640625" customWidth="1"/>
    <col min="170" max="170" width="34" customWidth="1"/>
    <col min="171" max="171" width="38.81640625" customWidth="1"/>
    <col min="173" max="173" width="18.54296875" customWidth="1"/>
    <col min="174" max="174" width="17.453125" customWidth="1"/>
    <col min="175" max="176" width="17.1796875" customWidth="1"/>
    <col min="177" max="177" width="16.81640625" customWidth="1"/>
  </cols>
  <sheetData>
    <row r="1" spans="2:177" ht="10.5" customHeight="1" thickBot="1" x14ac:dyDescent="0.4"/>
    <row r="2" spans="2:177" ht="15" thickBot="1" x14ac:dyDescent="0.4">
      <c r="B2" s="808" t="s">
        <v>106</v>
      </c>
      <c r="C2" s="809"/>
      <c r="D2" s="809"/>
      <c r="E2" s="809"/>
      <c r="F2" s="809"/>
      <c r="G2" s="809"/>
      <c r="H2" s="810"/>
      <c r="J2" s="779" t="s">
        <v>797</v>
      </c>
      <c r="K2" s="780"/>
      <c r="L2" s="780"/>
      <c r="M2" s="781"/>
      <c r="O2" s="779" t="s">
        <v>933</v>
      </c>
      <c r="P2" s="780"/>
      <c r="Q2" s="780"/>
      <c r="R2" s="780"/>
      <c r="S2" s="780"/>
      <c r="T2" s="781"/>
      <c r="V2" s="808" t="s">
        <v>819</v>
      </c>
      <c r="W2" s="809"/>
      <c r="X2" s="809"/>
      <c r="Y2" s="810"/>
      <c r="AA2" s="779" t="s">
        <v>1062</v>
      </c>
      <c r="AB2" s="780"/>
      <c r="AC2" s="780"/>
      <c r="AD2" s="780"/>
      <c r="AE2" s="780"/>
      <c r="AF2" s="780"/>
      <c r="AG2" s="781"/>
      <c r="AN2" s="779" t="s">
        <v>1076</v>
      </c>
      <c r="AO2" s="780"/>
      <c r="AP2" s="781"/>
      <c r="AQ2" s="68"/>
      <c r="AS2" s="804" t="s">
        <v>1105</v>
      </c>
      <c r="AT2" s="805"/>
      <c r="AV2" s="808" t="s">
        <v>871</v>
      </c>
      <c r="AW2" s="809"/>
      <c r="AX2" s="809"/>
      <c r="AY2" s="809"/>
      <c r="AZ2" s="809"/>
      <c r="BA2" s="809"/>
      <c r="BB2" s="809"/>
      <c r="BC2" s="809"/>
      <c r="BD2" s="809"/>
      <c r="BE2" s="809"/>
      <c r="BF2" s="809"/>
      <c r="BG2" s="809"/>
      <c r="BH2" s="809"/>
      <c r="BI2" s="810"/>
      <c r="BK2" s="804" t="s">
        <v>1104</v>
      </c>
      <c r="BL2" s="805"/>
      <c r="BN2" s="808" t="s">
        <v>1106</v>
      </c>
      <c r="BO2" s="809"/>
      <c r="BP2" s="809"/>
      <c r="BQ2" s="809"/>
      <c r="BR2" s="810"/>
      <c r="BT2" s="808" t="s">
        <v>1108</v>
      </c>
      <c r="BU2" s="809"/>
      <c r="BV2" s="809"/>
      <c r="BW2" s="809"/>
      <c r="BX2" s="809"/>
      <c r="BY2" s="809"/>
      <c r="BZ2" s="810"/>
      <c r="CB2" s="757" t="s">
        <v>1116</v>
      </c>
      <c r="CC2" s="758"/>
      <c r="CE2" s="808" t="s">
        <v>828</v>
      </c>
      <c r="CF2" s="809"/>
      <c r="CG2" s="809"/>
      <c r="CH2" s="809"/>
      <c r="CI2" s="810"/>
      <c r="CK2" s="808" t="s">
        <v>848</v>
      </c>
      <c r="CL2" s="809"/>
      <c r="CM2" s="809"/>
      <c r="CN2" s="809"/>
      <c r="CO2" s="809"/>
      <c r="CP2" s="809"/>
      <c r="CQ2" s="810"/>
      <c r="CS2" s="804" t="s">
        <v>863</v>
      </c>
      <c r="CT2" s="805"/>
      <c r="CV2" s="804" t="s">
        <v>875</v>
      </c>
      <c r="CW2" s="805"/>
      <c r="CY2" s="808" t="s">
        <v>1120</v>
      </c>
      <c r="CZ2" s="809"/>
      <c r="DA2" s="809"/>
      <c r="DB2" s="810"/>
      <c r="DD2" s="757" t="s">
        <v>1121</v>
      </c>
      <c r="DE2" s="758"/>
      <c r="DG2" s="757" t="s">
        <v>1139</v>
      </c>
      <c r="DH2" s="767"/>
      <c r="DI2" s="767"/>
      <c r="DJ2" s="758"/>
      <c r="DL2" s="757" t="s">
        <v>1138</v>
      </c>
      <c r="DM2" s="758"/>
      <c r="DO2" s="757" t="s">
        <v>1159</v>
      </c>
      <c r="DP2" s="767"/>
      <c r="DQ2" s="767"/>
      <c r="DR2" s="767"/>
      <c r="DS2" s="758"/>
      <c r="DU2" s="757" t="s">
        <v>1160</v>
      </c>
      <c r="DV2" s="758"/>
      <c r="DX2" s="768" t="s">
        <v>1194</v>
      </c>
      <c r="DY2" s="769"/>
      <c r="DZ2" s="769"/>
      <c r="EA2" s="769"/>
      <c r="EB2" s="769"/>
      <c r="EC2" s="770"/>
      <c r="EE2" s="757" t="s">
        <v>1193</v>
      </c>
      <c r="EF2" s="758"/>
      <c r="EH2" s="757" t="s">
        <v>1200</v>
      </c>
      <c r="EI2" s="767"/>
      <c r="EJ2" s="767"/>
      <c r="EK2" s="758"/>
      <c r="EM2" s="757" t="s">
        <v>1201</v>
      </c>
      <c r="EN2" s="758"/>
      <c r="EP2" s="757" t="s">
        <v>1201</v>
      </c>
      <c r="EQ2" s="758"/>
      <c r="ES2" s="742" t="s">
        <v>907</v>
      </c>
      <c r="ET2" s="743"/>
      <c r="EU2" s="743"/>
      <c r="EV2" s="743"/>
      <c r="EW2" s="744"/>
      <c r="EY2" s="742" t="s">
        <v>1220</v>
      </c>
      <c r="EZ2" s="743"/>
      <c r="FA2" s="743"/>
      <c r="FB2" s="743"/>
      <c r="FC2" s="744"/>
      <c r="FE2" s="757" t="s">
        <v>1230</v>
      </c>
      <c r="FF2" s="758"/>
      <c r="FH2" s="808" t="s">
        <v>1295</v>
      </c>
      <c r="FI2" s="809"/>
      <c r="FJ2" s="809"/>
      <c r="FK2" s="809"/>
      <c r="FL2" s="810"/>
      <c r="FN2" s="757" t="s">
        <v>1304</v>
      </c>
      <c r="FO2" s="758"/>
      <c r="FQ2" s="808" t="s">
        <v>1305</v>
      </c>
      <c r="FR2" s="809"/>
      <c r="FS2" s="809"/>
      <c r="FT2" s="809"/>
      <c r="FU2" s="810"/>
    </row>
    <row r="3" spans="2:177" ht="30.75" customHeight="1" thickBot="1" x14ac:dyDescent="0.4">
      <c r="B3" s="818" t="s">
        <v>107</v>
      </c>
      <c r="C3" s="819" t="s">
        <v>108</v>
      </c>
      <c r="D3" s="728" t="s">
        <v>109</v>
      </c>
      <c r="E3" s="813"/>
      <c r="F3" s="813"/>
      <c r="G3" s="729"/>
      <c r="H3" s="821" t="s">
        <v>114</v>
      </c>
      <c r="J3" s="220" t="s">
        <v>792</v>
      </c>
      <c r="K3" s="221" t="s">
        <v>796</v>
      </c>
      <c r="L3" s="221" t="s">
        <v>798</v>
      </c>
      <c r="M3" s="222" t="s">
        <v>799</v>
      </c>
      <c r="O3" s="81" t="s">
        <v>800</v>
      </c>
      <c r="P3" s="15" t="s">
        <v>804</v>
      </c>
      <c r="Q3" s="15" t="s">
        <v>805</v>
      </c>
      <c r="R3" s="15" t="s">
        <v>806</v>
      </c>
      <c r="S3" s="15" t="s">
        <v>807</v>
      </c>
      <c r="T3" s="29" t="s">
        <v>808</v>
      </c>
      <c r="V3" s="811" t="s">
        <v>818</v>
      </c>
      <c r="W3" s="728" t="s">
        <v>820</v>
      </c>
      <c r="X3" s="813"/>
      <c r="Y3" s="814"/>
      <c r="AA3" s="777" t="s">
        <v>1071</v>
      </c>
      <c r="AB3" s="730" t="s">
        <v>1063</v>
      </c>
      <c r="AC3" s="730"/>
      <c r="AD3" s="730"/>
      <c r="AE3" s="730"/>
      <c r="AF3" s="730"/>
      <c r="AG3" s="731"/>
      <c r="AI3" s="801" t="s">
        <v>1075</v>
      </c>
      <c r="AJ3" s="802"/>
      <c r="AK3" s="802"/>
      <c r="AL3" s="803"/>
      <c r="AN3" s="81" t="s">
        <v>1077</v>
      </c>
      <c r="AO3" s="15" t="s">
        <v>1078</v>
      </c>
      <c r="AP3" s="29" t="s">
        <v>1079</v>
      </c>
      <c r="AQ3" s="544" t="s">
        <v>1431</v>
      </c>
      <c r="AS3" s="14" t="s">
        <v>864</v>
      </c>
      <c r="AT3" s="29" t="s">
        <v>865</v>
      </c>
      <c r="AV3" s="825" t="s">
        <v>861</v>
      </c>
      <c r="AW3" s="791" t="s">
        <v>885</v>
      </c>
      <c r="AX3" s="792"/>
      <c r="AY3" s="792"/>
      <c r="AZ3" s="792"/>
      <c r="BA3" s="792"/>
      <c r="BB3" s="792"/>
      <c r="BC3" s="792"/>
      <c r="BD3" s="792"/>
      <c r="BE3" s="792"/>
      <c r="BF3" s="792"/>
      <c r="BG3" s="792"/>
      <c r="BH3" s="792"/>
      <c r="BI3" s="793"/>
      <c r="BK3" s="14" t="s">
        <v>864</v>
      </c>
      <c r="BL3" s="29" t="s">
        <v>865</v>
      </c>
      <c r="BN3" s="811" t="s">
        <v>829</v>
      </c>
      <c r="BO3" s="728" t="s">
        <v>830</v>
      </c>
      <c r="BP3" s="813"/>
      <c r="BQ3" s="813"/>
      <c r="BR3" s="814"/>
      <c r="BT3" s="777" t="s">
        <v>849</v>
      </c>
      <c r="BU3" s="730" t="s">
        <v>1109</v>
      </c>
      <c r="BV3" s="730"/>
      <c r="BW3" s="730"/>
      <c r="BX3" s="730"/>
      <c r="BY3" s="730"/>
      <c r="BZ3" s="731"/>
      <c r="CB3" s="447" t="s">
        <v>864</v>
      </c>
      <c r="CC3" s="35" t="s">
        <v>865</v>
      </c>
      <c r="CE3" s="811" t="s">
        <v>829</v>
      </c>
      <c r="CF3" s="728" t="s">
        <v>830</v>
      </c>
      <c r="CG3" s="813"/>
      <c r="CH3" s="813"/>
      <c r="CI3" s="814"/>
      <c r="CK3" s="777" t="s">
        <v>849</v>
      </c>
      <c r="CL3" s="806" t="s">
        <v>850</v>
      </c>
      <c r="CM3" s="806"/>
      <c r="CN3" s="806" t="s">
        <v>851</v>
      </c>
      <c r="CO3" s="806"/>
      <c r="CP3" s="806" t="s">
        <v>852</v>
      </c>
      <c r="CQ3" s="806"/>
      <c r="CS3" s="14" t="s">
        <v>864</v>
      </c>
      <c r="CT3" s="29" t="s">
        <v>865</v>
      </c>
      <c r="CV3" s="251" t="s">
        <v>874</v>
      </c>
      <c r="CW3" s="35" t="s">
        <v>876</v>
      </c>
      <c r="CY3" s="777" t="s">
        <v>829</v>
      </c>
      <c r="CZ3" s="730" t="s">
        <v>1122</v>
      </c>
      <c r="DA3" s="730"/>
      <c r="DB3" s="731"/>
      <c r="DD3" s="452" t="s">
        <v>864</v>
      </c>
      <c r="DE3" s="35" t="s">
        <v>865</v>
      </c>
      <c r="DG3" s="771" t="s">
        <v>1140</v>
      </c>
      <c r="DH3" s="772"/>
      <c r="DI3" s="772"/>
      <c r="DJ3" s="773"/>
      <c r="DL3" s="456" t="s">
        <v>864</v>
      </c>
      <c r="DM3" s="35" t="s">
        <v>865</v>
      </c>
      <c r="DO3" s="771" t="s">
        <v>1161</v>
      </c>
      <c r="DP3" s="772"/>
      <c r="DQ3" s="772"/>
      <c r="DR3" s="772"/>
      <c r="DS3" s="773"/>
      <c r="DU3" s="464" t="s">
        <v>864</v>
      </c>
      <c r="DV3" s="35" t="s">
        <v>865</v>
      </c>
      <c r="DX3" s="726" t="s">
        <v>1110</v>
      </c>
      <c r="DY3" s="730"/>
      <c r="DZ3" s="730"/>
      <c r="EA3" s="730" t="s">
        <v>1111</v>
      </c>
      <c r="EB3" s="730"/>
      <c r="EC3" s="731"/>
      <c r="EE3" s="466" t="s">
        <v>864</v>
      </c>
      <c r="EF3" s="35" t="s">
        <v>865</v>
      </c>
      <c r="EH3" s="765" t="s">
        <v>1203</v>
      </c>
      <c r="EI3" s="482" t="s">
        <v>1206</v>
      </c>
      <c r="EJ3" s="482"/>
      <c r="EK3" s="483"/>
      <c r="EM3" s="469" t="s">
        <v>864</v>
      </c>
      <c r="EN3" s="35" t="s">
        <v>865</v>
      </c>
      <c r="EP3" s="469" t="s">
        <v>874</v>
      </c>
      <c r="EQ3" s="35" t="s">
        <v>1202</v>
      </c>
      <c r="ES3" s="468" t="s">
        <v>908</v>
      </c>
      <c r="ET3" s="745" t="s">
        <v>909</v>
      </c>
      <c r="EU3" s="746"/>
      <c r="EV3" s="746"/>
      <c r="EW3" s="747"/>
      <c r="EY3" s="488" t="s">
        <v>908</v>
      </c>
      <c r="EZ3" s="745" t="s">
        <v>909</v>
      </c>
      <c r="FA3" s="746"/>
      <c r="FB3" s="746"/>
      <c r="FC3" s="747"/>
      <c r="FE3" s="492" t="s">
        <v>1229</v>
      </c>
      <c r="FF3" s="35" t="s">
        <v>1231</v>
      </c>
      <c r="FH3" s="777" t="s">
        <v>1296</v>
      </c>
      <c r="FI3" s="745" t="s">
        <v>909</v>
      </c>
      <c r="FJ3" s="746"/>
      <c r="FK3" s="746"/>
      <c r="FL3" s="747"/>
      <c r="FN3" s="493" t="s">
        <v>864</v>
      </c>
      <c r="FO3" s="35" t="s">
        <v>865</v>
      </c>
      <c r="FQ3" s="777" t="s">
        <v>1296</v>
      </c>
      <c r="FR3" s="745" t="s">
        <v>909</v>
      </c>
      <c r="FS3" s="746"/>
      <c r="FT3" s="746"/>
      <c r="FU3" s="747"/>
    </row>
    <row r="4" spans="2:177" ht="58.5" thickBot="1" x14ac:dyDescent="0.4">
      <c r="B4" s="778"/>
      <c r="C4" s="820"/>
      <c r="D4" s="50" t="s">
        <v>110</v>
      </c>
      <c r="E4" s="50" t="s">
        <v>111</v>
      </c>
      <c r="F4" s="50" t="s">
        <v>112</v>
      </c>
      <c r="G4" s="50" t="s">
        <v>113</v>
      </c>
      <c r="H4" s="822"/>
      <c r="J4" s="92" t="s">
        <v>793</v>
      </c>
      <c r="K4" s="223">
        <v>0.5</v>
      </c>
      <c r="L4" s="223">
        <v>0.7</v>
      </c>
      <c r="M4" s="224">
        <v>0.8</v>
      </c>
      <c r="O4" s="37" t="s">
        <v>801</v>
      </c>
      <c r="P4" s="38">
        <v>0.33</v>
      </c>
      <c r="Q4" s="38">
        <v>0.4</v>
      </c>
      <c r="R4" s="38">
        <v>0.5</v>
      </c>
      <c r="S4" s="38">
        <v>0.7</v>
      </c>
      <c r="T4" s="39">
        <v>0.9</v>
      </c>
      <c r="V4" s="812"/>
      <c r="W4" s="50" t="s">
        <v>821</v>
      </c>
      <c r="X4" s="50" t="s">
        <v>822</v>
      </c>
      <c r="Y4" s="226" t="s">
        <v>823</v>
      </c>
      <c r="AA4" s="778"/>
      <c r="AB4" s="415" t="s">
        <v>1070</v>
      </c>
      <c r="AC4" s="415" t="s">
        <v>1069</v>
      </c>
      <c r="AD4" s="415" t="s">
        <v>1064</v>
      </c>
      <c r="AE4" s="415" t="s">
        <v>1065</v>
      </c>
      <c r="AF4" s="416" t="s">
        <v>1066</v>
      </c>
      <c r="AG4" s="417" t="s">
        <v>1067</v>
      </c>
      <c r="AI4" s="81" t="s">
        <v>1068</v>
      </c>
      <c r="AJ4" s="15" t="s">
        <v>1072</v>
      </c>
      <c r="AK4" s="15" t="s">
        <v>1073</v>
      </c>
      <c r="AL4" s="29" t="s">
        <v>1074</v>
      </c>
      <c r="AN4" s="425" t="s">
        <v>1080</v>
      </c>
      <c r="AO4" s="427" t="s">
        <v>1083</v>
      </c>
      <c r="AP4" s="429">
        <v>10</v>
      </c>
      <c r="AQ4" s="545">
        <v>3</v>
      </c>
      <c r="AS4" s="239" t="s">
        <v>841</v>
      </c>
      <c r="AT4" s="224">
        <v>5000</v>
      </c>
      <c r="AV4" s="826"/>
      <c r="AW4" s="693" t="s">
        <v>281</v>
      </c>
      <c r="AX4" s="703" t="s">
        <v>886</v>
      </c>
      <c r="AY4" s="704"/>
      <c r="AZ4" s="704"/>
      <c r="BA4" s="741"/>
      <c r="BB4" s="703" t="s">
        <v>887</v>
      </c>
      <c r="BC4" s="704"/>
      <c r="BD4" s="704"/>
      <c r="BE4" s="741"/>
      <c r="BF4" s="703" t="s">
        <v>888</v>
      </c>
      <c r="BG4" s="704"/>
      <c r="BH4" s="704"/>
      <c r="BI4" s="794"/>
      <c r="BK4" s="239" t="s">
        <v>841</v>
      </c>
      <c r="BL4" s="224">
        <v>100</v>
      </c>
      <c r="BN4" s="829"/>
      <c r="BO4" s="448" t="s">
        <v>845</v>
      </c>
      <c r="BP4" s="448" t="s">
        <v>831</v>
      </c>
      <c r="BQ4" s="448" t="s">
        <v>832</v>
      </c>
      <c r="BR4" s="231" t="s">
        <v>833</v>
      </c>
      <c r="BT4" s="823"/>
      <c r="BU4" s="806" t="s">
        <v>1110</v>
      </c>
      <c r="BV4" s="806"/>
      <c r="BW4" s="806"/>
      <c r="BX4" s="806" t="s">
        <v>1111</v>
      </c>
      <c r="BY4" s="806"/>
      <c r="BZ4" s="807"/>
      <c r="CB4" s="239" t="s">
        <v>841</v>
      </c>
      <c r="CC4" s="224">
        <v>100</v>
      </c>
      <c r="CE4" s="829"/>
      <c r="CF4" s="216" t="s">
        <v>845</v>
      </c>
      <c r="CG4" s="216" t="s">
        <v>831</v>
      </c>
      <c r="CH4" s="216" t="s">
        <v>832</v>
      </c>
      <c r="CI4" s="231" t="s">
        <v>833</v>
      </c>
      <c r="CK4" s="778"/>
      <c r="CL4" s="230" t="s">
        <v>853</v>
      </c>
      <c r="CM4" s="230" t="s">
        <v>854</v>
      </c>
      <c r="CN4" s="230" t="s">
        <v>853</v>
      </c>
      <c r="CO4" s="230" t="s">
        <v>854</v>
      </c>
      <c r="CP4" s="230" t="s">
        <v>853</v>
      </c>
      <c r="CQ4" s="230" t="s">
        <v>854</v>
      </c>
      <c r="CS4" s="239" t="s">
        <v>841</v>
      </c>
      <c r="CT4" s="224">
        <v>100</v>
      </c>
      <c r="CV4" s="239" t="s">
        <v>898</v>
      </c>
      <c r="CW4" s="224">
        <v>1</v>
      </c>
      <c r="CY4" s="823"/>
      <c r="CZ4" s="453" t="s">
        <v>1123</v>
      </c>
      <c r="DA4" s="806" t="s">
        <v>1124</v>
      </c>
      <c r="DB4" s="807"/>
      <c r="DD4" s="239" t="s">
        <v>841</v>
      </c>
      <c r="DE4" s="224">
        <v>1000</v>
      </c>
      <c r="DG4" s="765" t="s">
        <v>1137</v>
      </c>
      <c r="DH4" s="775" t="s">
        <v>1149</v>
      </c>
      <c r="DI4" s="775"/>
      <c r="DJ4" s="776"/>
      <c r="DL4" s="239" t="s">
        <v>841</v>
      </c>
      <c r="DM4" s="224">
        <v>5000</v>
      </c>
      <c r="DO4" s="774" t="s">
        <v>1164</v>
      </c>
      <c r="DP4" s="775" t="s">
        <v>1163</v>
      </c>
      <c r="DQ4" s="775"/>
      <c r="DR4" s="775"/>
      <c r="DS4" s="776"/>
      <c r="DU4" s="239" t="s">
        <v>841</v>
      </c>
      <c r="DV4" s="224">
        <v>5000</v>
      </c>
      <c r="DX4" s="465" t="s">
        <v>1112</v>
      </c>
      <c r="DY4" s="416" t="s">
        <v>1113</v>
      </c>
      <c r="DZ4" s="416" t="s">
        <v>1114</v>
      </c>
      <c r="EA4" s="416" t="s">
        <v>1112</v>
      </c>
      <c r="EB4" s="416" t="s">
        <v>1113</v>
      </c>
      <c r="EC4" s="474" t="s">
        <v>1114</v>
      </c>
      <c r="EE4" s="239" t="s">
        <v>841</v>
      </c>
      <c r="EF4" s="224">
        <v>100</v>
      </c>
      <c r="EH4" s="766"/>
      <c r="EI4" s="415" t="s">
        <v>1208</v>
      </c>
      <c r="EJ4" s="415" t="s">
        <v>1207</v>
      </c>
      <c r="EK4" s="417" t="s">
        <v>1209</v>
      </c>
      <c r="EM4" s="239" t="s">
        <v>841</v>
      </c>
      <c r="EN4" s="224">
        <v>100</v>
      </c>
      <c r="EP4" s="475" t="s">
        <v>877</v>
      </c>
      <c r="EQ4" s="39">
        <v>2</v>
      </c>
      <c r="ES4" s="470"/>
      <c r="ET4" s="259" t="s">
        <v>904</v>
      </c>
      <c r="EU4" s="259" t="s">
        <v>840</v>
      </c>
      <c r="EV4" s="259" t="s">
        <v>905</v>
      </c>
      <c r="EW4" s="91" t="s">
        <v>906</v>
      </c>
      <c r="EY4" s="470"/>
      <c r="EZ4" s="259" t="s">
        <v>904</v>
      </c>
      <c r="FA4" s="259" t="s">
        <v>840</v>
      </c>
      <c r="FB4" s="259" t="s">
        <v>905</v>
      </c>
      <c r="FC4" s="91" t="s">
        <v>906</v>
      </c>
      <c r="FE4" s="475" t="s">
        <v>1232</v>
      </c>
      <c r="FF4" s="39">
        <v>1.25</v>
      </c>
      <c r="FH4" s="824"/>
      <c r="FI4" s="259" t="s">
        <v>904</v>
      </c>
      <c r="FJ4" s="259" t="s">
        <v>840</v>
      </c>
      <c r="FK4" s="259" t="s">
        <v>905</v>
      </c>
      <c r="FL4" s="91" t="s">
        <v>906</v>
      </c>
      <c r="FN4" s="239" t="s">
        <v>841</v>
      </c>
      <c r="FO4" s="224">
        <v>50</v>
      </c>
      <c r="FQ4" s="824"/>
      <c r="FR4" s="259" t="s">
        <v>904</v>
      </c>
      <c r="FS4" s="259" t="s">
        <v>840</v>
      </c>
      <c r="FT4" s="259" t="s">
        <v>905</v>
      </c>
      <c r="FU4" s="91" t="s">
        <v>906</v>
      </c>
    </row>
    <row r="5" spans="2:177" ht="58.5" thickBot="1" x14ac:dyDescent="0.4">
      <c r="B5" s="24" t="s">
        <v>115</v>
      </c>
      <c r="C5" s="25" t="s">
        <v>116</v>
      </c>
      <c r="D5" s="51">
        <v>7.9999999999999996E-6</v>
      </c>
      <c r="E5" s="51">
        <v>2.0000000000000002E-5</v>
      </c>
      <c r="F5" s="51">
        <v>1.9999999999999999E-6</v>
      </c>
      <c r="G5" s="25">
        <v>0</v>
      </c>
      <c r="H5" s="52">
        <v>3.0000000000000001E-5</v>
      </c>
      <c r="J5" s="19" t="s">
        <v>794</v>
      </c>
      <c r="K5" s="17">
        <v>0.3</v>
      </c>
      <c r="L5" s="17">
        <v>0.2</v>
      </c>
      <c r="M5" s="20">
        <v>0.15</v>
      </c>
      <c r="O5" s="40" t="s">
        <v>802</v>
      </c>
      <c r="P5" s="36">
        <v>0.33</v>
      </c>
      <c r="Q5" s="36">
        <v>0.33</v>
      </c>
      <c r="R5" s="36">
        <v>0.3</v>
      </c>
      <c r="S5" s="36">
        <v>0.2</v>
      </c>
      <c r="T5" s="41">
        <v>0.09</v>
      </c>
      <c r="V5" s="25"/>
      <c r="W5" s="51"/>
      <c r="X5" s="51"/>
      <c r="Y5" s="51"/>
      <c r="AA5" s="64">
        <v>1</v>
      </c>
      <c r="AB5" s="413">
        <v>0.3</v>
      </c>
      <c r="AC5" s="413">
        <v>0.5</v>
      </c>
      <c r="AD5" s="264">
        <v>9</v>
      </c>
      <c r="AE5" s="264">
        <v>3</v>
      </c>
      <c r="AF5" s="414">
        <v>0.01</v>
      </c>
      <c r="AG5" s="265">
        <v>1</v>
      </c>
      <c r="AI5" s="419">
        <v>1</v>
      </c>
      <c r="AJ5" s="264">
        <v>30</v>
      </c>
      <c r="AK5" s="264">
        <v>1</v>
      </c>
      <c r="AL5" s="420">
        <v>0.1</v>
      </c>
      <c r="AN5" s="426" t="s">
        <v>1081</v>
      </c>
      <c r="AO5" s="428" t="s">
        <v>1084</v>
      </c>
      <c r="AP5" s="430">
        <v>2</v>
      </c>
      <c r="AQ5" s="545">
        <v>2</v>
      </c>
      <c r="AS5" s="240" t="s">
        <v>111</v>
      </c>
      <c r="AT5" s="20">
        <v>500</v>
      </c>
      <c r="AV5" s="827"/>
      <c r="AW5" s="828"/>
      <c r="AX5" s="22" t="s">
        <v>274</v>
      </c>
      <c r="AY5" s="22" t="s">
        <v>280</v>
      </c>
      <c r="AZ5" s="22" t="s">
        <v>279</v>
      </c>
      <c r="BA5" s="22" t="s">
        <v>278</v>
      </c>
      <c r="BB5" s="22" t="s">
        <v>274</v>
      </c>
      <c r="BC5" s="22" t="s">
        <v>280</v>
      </c>
      <c r="BD5" s="22" t="s">
        <v>279</v>
      </c>
      <c r="BE5" s="22" t="s">
        <v>278</v>
      </c>
      <c r="BF5" s="22" t="s">
        <v>274</v>
      </c>
      <c r="BG5" s="22" t="s">
        <v>280</v>
      </c>
      <c r="BH5" s="22" t="s">
        <v>279</v>
      </c>
      <c r="BI5" s="23" t="s">
        <v>278</v>
      </c>
      <c r="BK5" s="240" t="s">
        <v>111</v>
      </c>
      <c r="BL5" s="20">
        <v>10</v>
      </c>
      <c r="BN5" s="444" t="s">
        <v>838</v>
      </c>
      <c r="BO5" s="232" t="s">
        <v>839</v>
      </c>
      <c r="BP5" s="232" t="s">
        <v>840</v>
      </c>
      <c r="BQ5" s="232" t="s">
        <v>841</v>
      </c>
      <c r="BR5" s="233" t="s">
        <v>841</v>
      </c>
      <c r="BT5" s="824"/>
      <c r="BU5" s="415" t="s">
        <v>1112</v>
      </c>
      <c r="BV5" s="415" t="s">
        <v>1113</v>
      </c>
      <c r="BW5" s="415" t="s">
        <v>1114</v>
      </c>
      <c r="BX5" s="415" t="s">
        <v>1112</v>
      </c>
      <c r="BY5" s="415" t="s">
        <v>1113</v>
      </c>
      <c r="BZ5" s="417" t="s">
        <v>1114</v>
      </c>
      <c r="CB5" s="240" t="s">
        <v>111</v>
      </c>
      <c r="CC5" s="20">
        <v>10</v>
      </c>
      <c r="CE5" s="37" t="s">
        <v>838</v>
      </c>
      <c r="CF5" s="232" t="s">
        <v>839</v>
      </c>
      <c r="CG5" s="232" t="s">
        <v>840</v>
      </c>
      <c r="CH5" s="232" t="s">
        <v>841</v>
      </c>
      <c r="CI5" s="233" t="s">
        <v>841</v>
      </c>
      <c r="CK5" s="239" t="s">
        <v>839</v>
      </c>
      <c r="CL5" s="232" t="s">
        <v>841</v>
      </c>
      <c r="CM5" s="232" t="s">
        <v>841</v>
      </c>
      <c r="CN5" s="232" t="s">
        <v>841</v>
      </c>
      <c r="CO5" s="232" t="s">
        <v>111</v>
      </c>
      <c r="CP5" s="232" t="s">
        <v>111</v>
      </c>
      <c r="CQ5" s="233" t="s">
        <v>839</v>
      </c>
      <c r="CS5" s="240" t="s">
        <v>111</v>
      </c>
      <c r="CT5" s="20">
        <v>10</v>
      </c>
      <c r="CV5" s="240" t="s">
        <v>877</v>
      </c>
      <c r="CW5" s="20">
        <v>2</v>
      </c>
      <c r="CY5" s="824"/>
      <c r="CZ5" s="415" t="s">
        <v>1125</v>
      </c>
      <c r="DA5" s="415" t="s">
        <v>1131</v>
      </c>
      <c r="DB5" s="417" t="s">
        <v>1132</v>
      </c>
      <c r="DD5" s="240" t="s">
        <v>111</v>
      </c>
      <c r="DE5" s="20">
        <v>100</v>
      </c>
      <c r="DG5" s="766"/>
      <c r="DH5" s="415" t="s">
        <v>1146</v>
      </c>
      <c r="DI5" s="415" t="s">
        <v>1147</v>
      </c>
      <c r="DJ5" s="417" t="s">
        <v>1148</v>
      </c>
      <c r="DL5" s="240" t="s">
        <v>111</v>
      </c>
      <c r="DM5" s="20">
        <v>500</v>
      </c>
      <c r="DO5" s="766"/>
      <c r="DP5" s="415" t="s">
        <v>1165</v>
      </c>
      <c r="DQ5" s="415" t="s">
        <v>1166</v>
      </c>
      <c r="DR5" s="415" t="s">
        <v>1167</v>
      </c>
      <c r="DS5" s="417" t="s">
        <v>1168</v>
      </c>
      <c r="DU5" s="240" t="s">
        <v>111</v>
      </c>
      <c r="DV5" s="20">
        <v>500</v>
      </c>
      <c r="DX5" s="471" t="s">
        <v>839</v>
      </c>
      <c r="DY5" s="472" t="s">
        <v>111</v>
      </c>
      <c r="DZ5" s="472" t="s">
        <v>841</v>
      </c>
      <c r="EA5" s="472" t="s">
        <v>898</v>
      </c>
      <c r="EB5" s="472" t="s">
        <v>839</v>
      </c>
      <c r="EC5" s="473" t="s">
        <v>841</v>
      </c>
      <c r="EE5" s="240" t="s">
        <v>111</v>
      </c>
      <c r="EF5" s="20">
        <v>10</v>
      </c>
      <c r="EH5" s="479" t="s">
        <v>1204</v>
      </c>
      <c r="EI5" s="126" t="s">
        <v>841</v>
      </c>
      <c r="EJ5" s="126" t="s">
        <v>841</v>
      </c>
      <c r="EK5" s="480" t="s">
        <v>839</v>
      </c>
      <c r="EM5" s="240" t="s">
        <v>111</v>
      </c>
      <c r="EN5" s="20">
        <v>10</v>
      </c>
      <c r="EP5" s="476" t="s">
        <v>878</v>
      </c>
      <c r="EQ5" s="41">
        <v>2</v>
      </c>
      <c r="ES5" s="260">
        <v>-12</v>
      </c>
      <c r="ET5" s="261">
        <v>0</v>
      </c>
      <c r="EU5" s="261">
        <v>0</v>
      </c>
      <c r="EV5" s="261">
        <v>0</v>
      </c>
      <c r="EW5" s="262">
        <v>0</v>
      </c>
      <c r="EY5" s="260">
        <v>-12</v>
      </c>
      <c r="EZ5" s="261">
        <v>0</v>
      </c>
      <c r="FA5" s="261">
        <v>0</v>
      </c>
      <c r="FB5" s="261">
        <v>0</v>
      </c>
      <c r="FC5" s="262">
        <v>0</v>
      </c>
      <c r="FE5" s="476" t="s">
        <v>1233</v>
      </c>
      <c r="FF5" s="41">
        <v>0.75</v>
      </c>
      <c r="FH5" s="260" t="s">
        <v>1297</v>
      </c>
      <c r="FI5" s="261" t="s">
        <v>898</v>
      </c>
      <c r="FJ5" s="261" t="s">
        <v>898</v>
      </c>
      <c r="FK5" s="261" t="s">
        <v>898</v>
      </c>
      <c r="FL5" s="262" t="s">
        <v>898</v>
      </c>
      <c r="FN5" s="240" t="s">
        <v>111</v>
      </c>
      <c r="FO5" s="20">
        <v>10</v>
      </c>
      <c r="FQ5" s="260" t="s">
        <v>1297</v>
      </c>
      <c r="FR5" s="261" t="s">
        <v>898</v>
      </c>
      <c r="FS5" s="261" t="s">
        <v>898</v>
      </c>
      <c r="FT5" s="261" t="s">
        <v>898</v>
      </c>
      <c r="FU5" s="262" t="s">
        <v>898</v>
      </c>
    </row>
    <row r="6" spans="2:177" ht="44" thickBot="1" x14ac:dyDescent="0.4">
      <c r="B6" s="19" t="s">
        <v>115</v>
      </c>
      <c r="C6" s="17" t="s">
        <v>117</v>
      </c>
      <c r="D6" s="51">
        <v>7.9999999999999996E-6</v>
      </c>
      <c r="E6" s="53">
        <v>2.0000000000000002E-5</v>
      </c>
      <c r="F6" s="53">
        <v>1.9999999999999999E-6</v>
      </c>
      <c r="G6" s="53">
        <v>5.9999999999999997E-7</v>
      </c>
      <c r="H6" s="52">
        <v>3.0599999999999998E-5</v>
      </c>
      <c r="J6" s="21" t="s">
        <v>795</v>
      </c>
      <c r="K6" s="22">
        <v>0.2</v>
      </c>
      <c r="L6" s="22">
        <v>0.1</v>
      </c>
      <c r="M6" s="23">
        <v>0.05</v>
      </c>
      <c r="O6" s="43" t="s">
        <v>803</v>
      </c>
      <c r="P6" s="44">
        <v>0.33</v>
      </c>
      <c r="Q6" s="44">
        <v>0.27</v>
      </c>
      <c r="R6" s="44">
        <v>0.2</v>
      </c>
      <c r="S6" s="44">
        <v>0.1</v>
      </c>
      <c r="T6" s="45">
        <v>0.01</v>
      </c>
      <c r="AA6" s="401">
        <v>2</v>
      </c>
      <c r="AB6" s="406">
        <v>0.5</v>
      </c>
      <c r="AC6" s="407">
        <v>1</v>
      </c>
      <c r="AD6" s="407">
        <v>40</v>
      </c>
      <c r="AE6" s="407">
        <v>4</v>
      </c>
      <c r="AF6" s="405">
        <v>0.03</v>
      </c>
      <c r="AG6" s="409">
        <v>1</v>
      </c>
      <c r="AI6" s="421">
        <v>2</v>
      </c>
      <c r="AJ6" s="407">
        <v>89</v>
      </c>
      <c r="AK6" s="407">
        <v>4</v>
      </c>
      <c r="AL6" s="422">
        <v>0.13</v>
      </c>
      <c r="AN6" s="431" t="s">
        <v>1082</v>
      </c>
      <c r="AO6" s="432" t="s">
        <v>1085</v>
      </c>
      <c r="AP6" s="433">
        <v>1</v>
      </c>
      <c r="AQ6" s="545">
        <v>1</v>
      </c>
      <c r="AS6" s="440" t="s">
        <v>839</v>
      </c>
      <c r="AT6" s="441">
        <v>50</v>
      </c>
      <c r="AV6" s="92">
        <v>0</v>
      </c>
      <c r="AW6" s="223">
        <v>0</v>
      </c>
      <c r="AX6" s="223">
        <v>0</v>
      </c>
      <c r="AY6" s="223">
        <v>0</v>
      </c>
      <c r="AZ6" s="223">
        <v>0</v>
      </c>
      <c r="BA6" s="223">
        <v>0</v>
      </c>
      <c r="BB6" s="223">
        <v>0</v>
      </c>
      <c r="BC6" s="223">
        <v>0</v>
      </c>
      <c r="BD6" s="223">
        <v>0</v>
      </c>
      <c r="BE6" s="223">
        <v>0</v>
      </c>
      <c r="BF6" s="223">
        <v>0</v>
      </c>
      <c r="BG6" s="223">
        <v>0</v>
      </c>
      <c r="BH6" s="223">
        <v>0</v>
      </c>
      <c r="BI6" s="224">
        <v>0</v>
      </c>
      <c r="BK6" s="440" t="s">
        <v>839</v>
      </c>
      <c r="BL6" s="441">
        <v>1</v>
      </c>
      <c r="BN6" s="445" t="s">
        <v>834</v>
      </c>
      <c r="BO6" s="53" t="s">
        <v>839</v>
      </c>
      <c r="BP6" s="53" t="s">
        <v>839</v>
      </c>
      <c r="BQ6" s="53" t="s">
        <v>839</v>
      </c>
      <c r="BR6" s="234" t="s">
        <v>840</v>
      </c>
      <c r="BT6" s="455" t="s">
        <v>841</v>
      </c>
      <c r="BU6" s="51" t="s">
        <v>839</v>
      </c>
      <c r="BV6" s="51" t="s">
        <v>111</v>
      </c>
      <c r="BW6" s="51" t="s">
        <v>841</v>
      </c>
      <c r="BX6" s="51" t="s">
        <v>898</v>
      </c>
      <c r="BY6" s="51" t="s">
        <v>839</v>
      </c>
      <c r="BZ6" s="454" t="s">
        <v>111</v>
      </c>
      <c r="CB6" s="240" t="s">
        <v>839</v>
      </c>
      <c r="CC6" s="20">
        <v>1</v>
      </c>
      <c r="CE6" s="40" t="s">
        <v>834</v>
      </c>
      <c r="CF6" s="53" t="s">
        <v>839</v>
      </c>
      <c r="CG6" s="53" t="s">
        <v>839</v>
      </c>
      <c r="CH6" s="53" t="s">
        <v>839</v>
      </c>
      <c r="CI6" s="234" t="s">
        <v>840</v>
      </c>
      <c r="CK6" s="240" t="s">
        <v>840</v>
      </c>
      <c r="CL6" s="53" t="s">
        <v>841</v>
      </c>
      <c r="CM6" s="53" t="s">
        <v>111</v>
      </c>
      <c r="CN6" s="53" t="s">
        <v>111</v>
      </c>
      <c r="CO6" s="53" t="s">
        <v>839</v>
      </c>
      <c r="CP6" s="53" t="s">
        <v>839</v>
      </c>
      <c r="CQ6" s="234" t="s">
        <v>839</v>
      </c>
      <c r="CS6" s="241" t="s">
        <v>839</v>
      </c>
      <c r="CT6" s="23">
        <v>1</v>
      </c>
      <c r="CV6" s="240" t="s">
        <v>878</v>
      </c>
      <c r="CW6" s="20">
        <v>2</v>
      </c>
      <c r="CY6" s="455" t="s">
        <v>1126</v>
      </c>
      <c r="CZ6" s="51" t="s">
        <v>898</v>
      </c>
      <c r="DA6" s="51" t="s">
        <v>898</v>
      </c>
      <c r="DB6" s="454" t="s">
        <v>898</v>
      </c>
      <c r="DD6" s="240" t="s">
        <v>839</v>
      </c>
      <c r="DE6" s="20">
        <v>10</v>
      </c>
      <c r="DG6" s="263" t="s">
        <v>1141</v>
      </c>
      <c r="DH6" s="264" t="s">
        <v>111</v>
      </c>
      <c r="DI6" s="264" t="s">
        <v>898</v>
      </c>
      <c r="DJ6" s="265" t="s">
        <v>898</v>
      </c>
      <c r="DL6" s="240" t="s">
        <v>839</v>
      </c>
      <c r="DM6" s="20">
        <v>50</v>
      </c>
      <c r="DO6" s="263" t="s">
        <v>1169</v>
      </c>
      <c r="DP6" s="264" t="s">
        <v>839</v>
      </c>
      <c r="DQ6" s="264" t="s">
        <v>839</v>
      </c>
      <c r="DR6" s="264" t="s">
        <v>839</v>
      </c>
      <c r="DS6" s="265" t="s">
        <v>111</v>
      </c>
      <c r="DU6" s="240" t="s">
        <v>839</v>
      </c>
      <c r="DV6" s="20">
        <v>50</v>
      </c>
      <c r="EE6" s="240" t="s">
        <v>839</v>
      </c>
      <c r="EF6" s="20">
        <v>1</v>
      </c>
      <c r="EH6" s="481" t="s">
        <v>854</v>
      </c>
      <c r="EI6" s="411" t="s">
        <v>111</v>
      </c>
      <c r="EJ6" s="115" t="s">
        <v>841</v>
      </c>
      <c r="EK6" s="433" t="s">
        <v>839</v>
      </c>
      <c r="EM6" s="240" t="s">
        <v>839</v>
      </c>
      <c r="EN6" s="20">
        <v>1</v>
      </c>
      <c r="EP6" s="478" t="s">
        <v>879</v>
      </c>
      <c r="EQ6" s="41">
        <v>4</v>
      </c>
      <c r="ES6" s="263">
        <v>-8</v>
      </c>
      <c r="ET6" s="266">
        <v>7.5999999999999998E-2</v>
      </c>
      <c r="EU6" s="266">
        <v>2.5000000000000001E-2</v>
      </c>
      <c r="EV6" s="264">
        <v>0</v>
      </c>
      <c r="EW6" s="265">
        <v>0</v>
      </c>
      <c r="EY6" s="263">
        <v>-8</v>
      </c>
      <c r="EZ6" s="266">
        <v>7.5999999999999998E-2</v>
      </c>
      <c r="FA6" s="266">
        <v>2.5000000000000001E-2</v>
      </c>
      <c r="FB6" s="264">
        <v>0</v>
      </c>
      <c r="FC6" s="265">
        <v>0</v>
      </c>
      <c r="FE6" s="478" t="s">
        <v>1234</v>
      </c>
      <c r="FF6" s="41">
        <v>1</v>
      </c>
      <c r="FH6" s="263" t="s">
        <v>1298</v>
      </c>
      <c r="FI6" s="266" t="s">
        <v>841</v>
      </c>
      <c r="FJ6" s="266" t="s">
        <v>111</v>
      </c>
      <c r="FK6" s="264" t="s">
        <v>839</v>
      </c>
      <c r="FL6" s="265" t="s">
        <v>898</v>
      </c>
      <c r="FN6" s="240" t="s">
        <v>839</v>
      </c>
      <c r="FO6" s="20">
        <v>1</v>
      </c>
      <c r="FQ6" s="263" t="s">
        <v>1298</v>
      </c>
      <c r="FR6" s="266" t="s">
        <v>841</v>
      </c>
      <c r="FS6" s="266" t="s">
        <v>841</v>
      </c>
      <c r="FT6" s="266" t="s">
        <v>111</v>
      </c>
      <c r="FU6" s="265" t="s">
        <v>839</v>
      </c>
    </row>
    <row r="7" spans="2:177" ht="15" thickBot="1" x14ac:dyDescent="0.4">
      <c r="B7" s="19" t="s">
        <v>119</v>
      </c>
      <c r="C7" s="54" t="s">
        <v>120</v>
      </c>
      <c r="D7" s="51">
        <v>7.9999999999999996E-6</v>
      </c>
      <c r="E7" s="53">
        <v>2.0000000000000002E-5</v>
      </c>
      <c r="F7" s="53">
        <v>1.9999999999999999E-6</v>
      </c>
      <c r="G7" s="53">
        <v>5.9999999999999997E-7</v>
      </c>
      <c r="H7" s="52">
        <v>3.0599999999999998E-5</v>
      </c>
      <c r="AA7" s="401">
        <v>3</v>
      </c>
      <c r="AB7" s="406">
        <v>0.7</v>
      </c>
      <c r="AC7" s="407">
        <v>2</v>
      </c>
      <c r="AD7" s="407">
        <v>146</v>
      </c>
      <c r="AE7" s="407">
        <v>6</v>
      </c>
      <c r="AF7" s="405">
        <v>0.05</v>
      </c>
      <c r="AG7" s="409">
        <v>1</v>
      </c>
      <c r="AI7" s="421">
        <v>3</v>
      </c>
      <c r="AJ7" s="407">
        <v>230</v>
      </c>
      <c r="AK7" s="407">
        <v>16</v>
      </c>
      <c r="AL7" s="422">
        <v>0.15</v>
      </c>
      <c r="AS7" s="241" t="s">
        <v>898</v>
      </c>
      <c r="AT7" s="23">
        <v>0</v>
      </c>
      <c r="AV7" s="19">
        <v>1</v>
      </c>
      <c r="AW7" s="400">
        <v>1</v>
      </c>
      <c r="AX7" s="400">
        <v>1</v>
      </c>
      <c r="AY7" s="400">
        <v>1</v>
      </c>
      <c r="AZ7" s="400">
        <v>1</v>
      </c>
      <c r="BA7" s="400">
        <v>1</v>
      </c>
      <c r="BB7" s="400">
        <v>1</v>
      </c>
      <c r="BC7" s="400">
        <v>1</v>
      </c>
      <c r="BD7" s="400">
        <v>1</v>
      </c>
      <c r="BE7" s="400">
        <v>1</v>
      </c>
      <c r="BF7" s="17">
        <v>1</v>
      </c>
      <c r="BG7" s="17">
        <v>1</v>
      </c>
      <c r="BH7" s="17">
        <v>1</v>
      </c>
      <c r="BI7" s="20">
        <v>1</v>
      </c>
      <c r="BK7" s="241" t="s">
        <v>898</v>
      </c>
      <c r="BL7" s="23">
        <v>0</v>
      </c>
      <c r="BN7" s="445" t="s">
        <v>835</v>
      </c>
      <c r="BO7" s="53" t="s">
        <v>839</v>
      </c>
      <c r="BP7" s="53" t="s">
        <v>840</v>
      </c>
      <c r="BQ7" s="53" t="s">
        <v>840</v>
      </c>
      <c r="BR7" s="234" t="s">
        <v>840</v>
      </c>
      <c r="BT7" s="240" t="s">
        <v>840</v>
      </c>
      <c r="BU7" s="53" t="s">
        <v>839</v>
      </c>
      <c r="BV7" s="53" t="s">
        <v>111</v>
      </c>
      <c r="BW7" s="53" t="s">
        <v>841</v>
      </c>
      <c r="BX7" s="53" t="s">
        <v>898</v>
      </c>
      <c r="BY7" s="53" t="s">
        <v>898</v>
      </c>
      <c r="BZ7" s="234" t="s">
        <v>839</v>
      </c>
      <c r="CB7" s="241" t="s">
        <v>898</v>
      </c>
      <c r="CC7" s="23">
        <v>0</v>
      </c>
      <c r="CE7" s="40" t="s">
        <v>835</v>
      </c>
      <c r="CF7" s="53" t="s">
        <v>839</v>
      </c>
      <c r="CG7" s="53" t="s">
        <v>840</v>
      </c>
      <c r="CH7" s="53" t="s">
        <v>840</v>
      </c>
      <c r="CI7" s="234" t="s">
        <v>840</v>
      </c>
      <c r="CK7" s="241" t="s">
        <v>841</v>
      </c>
      <c r="CL7" s="235" t="s">
        <v>111</v>
      </c>
      <c r="CM7" s="235" t="s">
        <v>839</v>
      </c>
      <c r="CN7" s="235" t="s">
        <v>839</v>
      </c>
      <c r="CO7" s="235" t="s">
        <v>839</v>
      </c>
      <c r="CP7" s="235" t="s">
        <v>839</v>
      </c>
      <c r="CQ7" s="236" t="s">
        <v>839</v>
      </c>
      <c r="CV7" s="241" t="s">
        <v>879</v>
      </c>
      <c r="CW7" s="23">
        <v>4</v>
      </c>
      <c r="CY7" s="240" t="s">
        <v>1127</v>
      </c>
      <c r="CZ7" s="51" t="s">
        <v>898</v>
      </c>
      <c r="DA7" s="53" t="s">
        <v>839</v>
      </c>
      <c r="DB7" s="234" t="s">
        <v>111</v>
      </c>
      <c r="DD7" s="241" t="s">
        <v>898</v>
      </c>
      <c r="DE7" s="23">
        <v>0</v>
      </c>
      <c r="DG7" s="459" t="s">
        <v>1142</v>
      </c>
      <c r="DH7" s="458" t="s">
        <v>841</v>
      </c>
      <c r="DI7" s="407" t="s">
        <v>898</v>
      </c>
      <c r="DJ7" s="409" t="s">
        <v>898</v>
      </c>
      <c r="DL7" s="241" t="s">
        <v>898</v>
      </c>
      <c r="DM7" s="23">
        <v>0</v>
      </c>
      <c r="DO7" s="459" t="s">
        <v>1170</v>
      </c>
      <c r="DP7" s="458" t="s">
        <v>839</v>
      </c>
      <c r="DQ7" s="458" t="s">
        <v>111</v>
      </c>
      <c r="DR7" s="407" t="s">
        <v>111</v>
      </c>
      <c r="DS7" s="409" t="s">
        <v>841</v>
      </c>
      <c r="DU7" s="241" t="s">
        <v>898</v>
      </c>
      <c r="DV7" s="23">
        <v>0</v>
      </c>
      <c r="EE7" s="241" t="s">
        <v>898</v>
      </c>
      <c r="EF7" s="23">
        <v>0</v>
      </c>
      <c r="EM7" s="241" t="s">
        <v>898</v>
      </c>
      <c r="EN7" s="23">
        <v>0</v>
      </c>
      <c r="EP7" s="477" t="s">
        <v>898</v>
      </c>
      <c r="EQ7" s="45">
        <v>1</v>
      </c>
      <c r="ES7" s="263">
        <v>6</v>
      </c>
      <c r="ET7" s="266">
        <v>0.254</v>
      </c>
      <c r="EU7" s="266">
        <v>0.127</v>
      </c>
      <c r="EV7" s="266">
        <v>7.5999999999999998E-2</v>
      </c>
      <c r="EW7" s="267">
        <v>2.5000000000000001E-2</v>
      </c>
      <c r="EY7" s="263">
        <v>6</v>
      </c>
      <c r="EZ7" s="266">
        <v>0.254</v>
      </c>
      <c r="FA7" s="266">
        <v>0.127</v>
      </c>
      <c r="FB7" s="266">
        <v>7.5999999999999998E-2</v>
      </c>
      <c r="FC7" s="267">
        <v>2.5000000000000001E-2</v>
      </c>
      <c r="FE7" s="476" t="s">
        <v>1067</v>
      </c>
      <c r="FF7" s="41">
        <v>1.25</v>
      </c>
      <c r="FH7" s="263" t="s">
        <v>1175</v>
      </c>
      <c r="FI7" s="266" t="s">
        <v>111</v>
      </c>
      <c r="FJ7" s="266" t="s">
        <v>839</v>
      </c>
      <c r="FK7" s="266" t="s">
        <v>839</v>
      </c>
      <c r="FL7" s="267" t="s">
        <v>898</v>
      </c>
      <c r="FN7" s="241" t="s">
        <v>898</v>
      </c>
      <c r="FO7" s="23">
        <v>0</v>
      </c>
      <c r="FQ7" s="263" t="s">
        <v>1175</v>
      </c>
      <c r="FR7" s="266" t="s">
        <v>841</v>
      </c>
      <c r="FS7" s="266" t="s">
        <v>111</v>
      </c>
      <c r="FT7" s="266" t="s">
        <v>839</v>
      </c>
      <c r="FU7" s="267" t="s">
        <v>898</v>
      </c>
    </row>
    <row r="8" spans="2:177" ht="15" thickBot="1" x14ac:dyDescent="0.4">
      <c r="B8" s="19" t="s">
        <v>119</v>
      </c>
      <c r="C8" s="17" t="s">
        <v>118</v>
      </c>
      <c r="D8" s="51">
        <v>7.9999999999999996E-6</v>
      </c>
      <c r="E8" s="53">
        <v>2.0000000000000002E-5</v>
      </c>
      <c r="F8" s="53">
        <v>1.9999999999999999E-6</v>
      </c>
      <c r="G8" s="53">
        <v>5.9999999999999997E-7</v>
      </c>
      <c r="H8" s="52">
        <v>3.0599999999999998E-5</v>
      </c>
      <c r="AA8" s="401">
        <v>4</v>
      </c>
      <c r="AB8" s="407">
        <v>1</v>
      </c>
      <c r="AC8" s="407">
        <v>4</v>
      </c>
      <c r="AD8" s="407">
        <v>428</v>
      </c>
      <c r="AE8" s="407">
        <v>7</v>
      </c>
      <c r="AF8" s="405">
        <v>0.15</v>
      </c>
      <c r="AG8" s="409">
        <v>1</v>
      </c>
      <c r="AI8" s="423">
        <v>4</v>
      </c>
      <c r="AJ8" s="407">
        <v>518</v>
      </c>
      <c r="AK8" s="407">
        <v>53</v>
      </c>
      <c r="AL8" s="422">
        <v>0.17</v>
      </c>
      <c r="AV8" s="19">
        <v>10</v>
      </c>
      <c r="AW8" s="400">
        <v>10</v>
      </c>
      <c r="AX8" s="400">
        <v>8</v>
      </c>
      <c r="AY8" s="400">
        <v>3</v>
      </c>
      <c r="AZ8" s="400">
        <v>1</v>
      </c>
      <c r="BA8" s="400">
        <v>1</v>
      </c>
      <c r="BB8" s="400">
        <v>6</v>
      </c>
      <c r="BC8" s="400">
        <v>2</v>
      </c>
      <c r="BD8" s="400">
        <v>1</v>
      </c>
      <c r="BE8" s="400">
        <v>1</v>
      </c>
      <c r="BF8" s="17">
        <v>4</v>
      </c>
      <c r="BG8" s="17">
        <v>1</v>
      </c>
      <c r="BH8" s="17">
        <v>1</v>
      </c>
      <c r="BI8" s="20">
        <v>1</v>
      </c>
      <c r="BN8" s="445" t="s">
        <v>836</v>
      </c>
      <c r="BO8" s="53" t="s">
        <v>839</v>
      </c>
      <c r="BP8" s="53" t="s">
        <v>840</v>
      </c>
      <c r="BQ8" s="53" t="s">
        <v>840</v>
      </c>
      <c r="BR8" s="234" t="s">
        <v>841</v>
      </c>
      <c r="BT8" s="241" t="s">
        <v>839</v>
      </c>
      <c r="BU8" s="235" t="s">
        <v>839</v>
      </c>
      <c r="BV8" s="235" t="s">
        <v>839</v>
      </c>
      <c r="BW8" s="235" t="s">
        <v>111</v>
      </c>
      <c r="BX8" s="235" t="s">
        <v>898</v>
      </c>
      <c r="BY8" s="235" t="s">
        <v>898</v>
      </c>
      <c r="BZ8" s="236" t="s">
        <v>898</v>
      </c>
      <c r="CE8" s="40" t="s">
        <v>836</v>
      </c>
      <c r="CF8" s="53" t="s">
        <v>839</v>
      </c>
      <c r="CG8" s="53" t="s">
        <v>840</v>
      </c>
      <c r="CH8" s="53" t="s">
        <v>840</v>
      </c>
      <c r="CI8" s="234" t="s">
        <v>841</v>
      </c>
      <c r="CY8" s="240" t="s">
        <v>1128</v>
      </c>
      <c r="CZ8" s="51" t="s">
        <v>898</v>
      </c>
      <c r="DA8" s="53" t="s">
        <v>839</v>
      </c>
      <c r="DB8" s="457" t="s">
        <v>841</v>
      </c>
      <c r="DG8" s="459" t="s">
        <v>1143</v>
      </c>
      <c r="DH8" s="458" t="s">
        <v>839</v>
      </c>
      <c r="DI8" s="458" t="s">
        <v>898</v>
      </c>
      <c r="DJ8" s="460" t="s">
        <v>898</v>
      </c>
      <c r="DO8" s="459" t="s">
        <v>1171</v>
      </c>
      <c r="DP8" s="458" t="s">
        <v>111</v>
      </c>
      <c r="DQ8" s="458" t="s">
        <v>111</v>
      </c>
      <c r="DR8" s="458" t="s">
        <v>841</v>
      </c>
      <c r="DS8" s="460" t="s">
        <v>841</v>
      </c>
      <c r="EP8" s="759" t="s">
        <v>1205</v>
      </c>
      <c r="EQ8" s="760"/>
      <c r="ES8" s="263">
        <v>32</v>
      </c>
      <c r="ET8" s="266">
        <v>0.254</v>
      </c>
      <c r="EU8" s="266">
        <v>0.127</v>
      </c>
      <c r="EV8" s="266">
        <v>7.5999999999999998E-2</v>
      </c>
      <c r="EW8" s="267">
        <v>2.5000000000000001E-2</v>
      </c>
      <c r="EY8" s="263">
        <v>32</v>
      </c>
      <c r="EZ8" s="266">
        <v>0.254</v>
      </c>
      <c r="FA8" s="266">
        <v>0.127</v>
      </c>
      <c r="FB8" s="266">
        <v>7.5999999999999998E-2</v>
      </c>
      <c r="FC8" s="267">
        <v>2.5000000000000001E-2</v>
      </c>
      <c r="FE8" s="490" t="s">
        <v>1236</v>
      </c>
      <c r="FF8" s="41">
        <v>1.25</v>
      </c>
      <c r="FH8" s="268" t="s">
        <v>1173</v>
      </c>
      <c r="FI8" s="269" t="s">
        <v>898</v>
      </c>
      <c r="FJ8" s="269" t="s">
        <v>898</v>
      </c>
      <c r="FK8" s="269" t="s">
        <v>898</v>
      </c>
      <c r="FL8" s="270" t="s">
        <v>898</v>
      </c>
      <c r="FQ8" s="268" t="s">
        <v>1173</v>
      </c>
      <c r="FR8" s="269" t="s">
        <v>898</v>
      </c>
      <c r="FS8" s="269" t="s">
        <v>898</v>
      </c>
      <c r="FT8" s="269" t="s">
        <v>898</v>
      </c>
      <c r="FU8" s="270" t="s">
        <v>898</v>
      </c>
    </row>
    <row r="9" spans="2:177" ht="15.75" customHeight="1" thickBot="1" x14ac:dyDescent="0.4">
      <c r="B9" s="19" t="s">
        <v>121</v>
      </c>
      <c r="C9" s="17" t="s">
        <v>131</v>
      </c>
      <c r="D9" s="51">
        <v>2.8E-5</v>
      </c>
      <c r="E9" s="53">
        <v>0</v>
      </c>
      <c r="F9" s="53">
        <v>0</v>
      </c>
      <c r="G9" s="53">
        <v>2.6000000000000001E-6</v>
      </c>
      <c r="H9" s="52">
        <v>3.0599999999999998E-5</v>
      </c>
      <c r="AA9" s="401">
        <v>5</v>
      </c>
      <c r="AB9" s="407">
        <v>1</v>
      </c>
      <c r="AC9" s="407">
        <v>9</v>
      </c>
      <c r="AD9" s="407">
        <v>1017</v>
      </c>
      <c r="AE9" s="407">
        <v>9</v>
      </c>
      <c r="AF9" s="408">
        <v>1</v>
      </c>
      <c r="AG9" s="409">
        <v>1</v>
      </c>
      <c r="AI9" s="423">
        <v>5</v>
      </c>
      <c r="AJ9" s="407">
        <v>1017</v>
      </c>
      <c r="AK9" s="407">
        <v>146</v>
      </c>
      <c r="AL9" s="424">
        <v>0.2</v>
      </c>
      <c r="AV9" s="19">
        <v>50</v>
      </c>
      <c r="AW9" s="17">
        <v>50</v>
      </c>
      <c r="AX9" s="17">
        <v>40</v>
      </c>
      <c r="AY9" s="17">
        <v>17</v>
      </c>
      <c r="AZ9" s="17">
        <v>5</v>
      </c>
      <c r="BA9" s="17">
        <v>3</v>
      </c>
      <c r="BB9" s="17">
        <v>30</v>
      </c>
      <c r="BC9" s="17">
        <v>10</v>
      </c>
      <c r="BD9" s="17">
        <v>2</v>
      </c>
      <c r="BE9" s="17">
        <v>1</v>
      </c>
      <c r="BF9" s="17">
        <v>20</v>
      </c>
      <c r="BG9" s="17">
        <v>5</v>
      </c>
      <c r="BH9" s="17">
        <v>1</v>
      </c>
      <c r="BI9" s="20">
        <v>1</v>
      </c>
      <c r="BN9" s="446" t="s">
        <v>837</v>
      </c>
      <c r="BO9" s="235" t="s">
        <v>839</v>
      </c>
      <c r="BP9" s="235" t="s">
        <v>840</v>
      </c>
      <c r="BQ9" s="235" t="s">
        <v>841</v>
      </c>
      <c r="BR9" s="236" t="s">
        <v>841</v>
      </c>
      <c r="BT9" s="782" t="s">
        <v>1115</v>
      </c>
      <c r="BU9" s="783"/>
      <c r="BV9" s="783"/>
      <c r="BW9" s="783"/>
      <c r="BX9" s="783"/>
      <c r="BY9" s="783"/>
      <c r="BZ9" s="784"/>
      <c r="CE9" s="43" t="s">
        <v>837</v>
      </c>
      <c r="CF9" s="235" t="s">
        <v>839</v>
      </c>
      <c r="CG9" s="235" t="s">
        <v>840</v>
      </c>
      <c r="CH9" s="235" t="s">
        <v>841</v>
      </c>
      <c r="CI9" s="236" t="s">
        <v>841</v>
      </c>
      <c r="CY9" s="240" t="s">
        <v>1129</v>
      </c>
      <c r="CZ9" s="51" t="s">
        <v>898</v>
      </c>
      <c r="DA9" s="235" t="s">
        <v>841</v>
      </c>
      <c r="DB9" s="236" t="s">
        <v>841</v>
      </c>
      <c r="DG9" s="459" t="s">
        <v>1144</v>
      </c>
      <c r="DH9" s="458" t="s">
        <v>111</v>
      </c>
      <c r="DI9" s="458" t="s">
        <v>111</v>
      </c>
      <c r="DJ9" s="460" t="s">
        <v>839</v>
      </c>
      <c r="DO9" s="459" t="s">
        <v>1172</v>
      </c>
      <c r="DP9" s="458" t="s">
        <v>111</v>
      </c>
      <c r="DQ9" s="458" t="s">
        <v>841</v>
      </c>
      <c r="DR9" s="458" t="s">
        <v>841</v>
      </c>
      <c r="DS9" s="460" t="s">
        <v>841</v>
      </c>
      <c r="EP9" s="761"/>
      <c r="EQ9" s="762"/>
      <c r="ES9" s="263">
        <v>71</v>
      </c>
      <c r="ET9" s="266">
        <v>0.254</v>
      </c>
      <c r="EU9" s="266">
        <v>0.127</v>
      </c>
      <c r="EV9" s="266">
        <v>5.0999999999999997E-2</v>
      </c>
      <c r="EW9" s="267">
        <v>2.5000000000000001E-2</v>
      </c>
      <c r="EY9" s="263">
        <v>71</v>
      </c>
      <c r="EZ9" s="266">
        <v>0.50800000000000001</v>
      </c>
      <c r="FA9" s="266">
        <v>0.254</v>
      </c>
      <c r="FB9" s="266">
        <v>0.127</v>
      </c>
      <c r="FC9" s="267">
        <v>5.0999999999999997E-2</v>
      </c>
      <c r="FE9" s="490" t="s">
        <v>1237</v>
      </c>
      <c r="FF9" s="41">
        <v>1.25</v>
      </c>
      <c r="FH9" s="830" t="s">
        <v>1299</v>
      </c>
      <c r="FI9" s="831"/>
      <c r="FJ9" s="831"/>
      <c r="FK9" s="831"/>
      <c r="FL9" s="832"/>
      <c r="FQ9" s="830" t="s">
        <v>1299</v>
      </c>
      <c r="FR9" s="831"/>
      <c r="FS9" s="831"/>
      <c r="FT9" s="831"/>
      <c r="FU9" s="832"/>
    </row>
    <row r="10" spans="2:177" ht="15" customHeight="1" thickBot="1" x14ac:dyDescent="0.4">
      <c r="B10" s="19" t="s">
        <v>121</v>
      </c>
      <c r="C10" s="17" t="s">
        <v>122</v>
      </c>
      <c r="D10" s="51">
        <v>2.8E-5</v>
      </c>
      <c r="E10" s="53">
        <v>0</v>
      </c>
      <c r="F10" s="53">
        <v>0</v>
      </c>
      <c r="G10" s="53">
        <v>2.6000000000000001E-6</v>
      </c>
      <c r="H10" s="52">
        <v>3.0599999999999998E-5</v>
      </c>
      <c r="AA10" s="401">
        <v>6</v>
      </c>
      <c r="AB10" s="407">
        <v>2</v>
      </c>
      <c r="AC10" s="407">
        <v>16</v>
      </c>
      <c r="AD10" s="407">
        <v>1978</v>
      </c>
      <c r="AE10" s="407">
        <v>11</v>
      </c>
      <c r="AF10" s="408">
        <v>1</v>
      </c>
      <c r="AG10" s="409">
        <v>1</v>
      </c>
      <c r="AI10" s="401">
        <v>6</v>
      </c>
      <c r="AJ10" s="407">
        <v>1758</v>
      </c>
      <c r="AK10" s="407">
        <v>351</v>
      </c>
      <c r="AL10" s="409">
        <v>1</v>
      </c>
      <c r="AV10" s="19">
        <v>100</v>
      </c>
      <c r="AW10" s="17">
        <v>100</v>
      </c>
      <c r="AX10" s="17">
        <v>80</v>
      </c>
      <c r="AY10" s="17">
        <v>33</v>
      </c>
      <c r="AZ10" s="17">
        <v>10</v>
      </c>
      <c r="BA10" s="17">
        <v>5</v>
      </c>
      <c r="BB10" s="17">
        <v>60</v>
      </c>
      <c r="BC10" s="17">
        <v>20</v>
      </c>
      <c r="BD10" s="17">
        <v>4</v>
      </c>
      <c r="BE10" s="17">
        <v>1</v>
      </c>
      <c r="BF10" s="17">
        <v>40</v>
      </c>
      <c r="BG10" s="17">
        <v>10</v>
      </c>
      <c r="BH10" s="17">
        <v>2</v>
      </c>
      <c r="BI10" s="20">
        <v>1</v>
      </c>
      <c r="BN10" s="795" t="s">
        <v>1107</v>
      </c>
      <c r="BO10" s="796"/>
      <c r="BP10" s="796"/>
      <c r="BQ10" s="796"/>
      <c r="BR10" s="797"/>
      <c r="BT10" s="788"/>
      <c r="BU10" s="789"/>
      <c r="BV10" s="789"/>
      <c r="BW10" s="789"/>
      <c r="BX10" s="789"/>
      <c r="BY10" s="789"/>
      <c r="BZ10" s="790"/>
      <c r="CE10" s="795" t="s">
        <v>842</v>
      </c>
      <c r="CF10" s="796"/>
      <c r="CG10" s="796"/>
      <c r="CH10" s="796"/>
      <c r="CI10" s="797"/>
      <c r="CY10" s="782" t="s">
        <v>1130</v>
      </c>
      <c r="CZ10" s="783"/>
      <c r="DA10" s="783"/>
      <c r="DB10" s="784"/>
      <c r="DG10" s="461" t="s">
        <v>1145</v>
      </c>
      <c r="DH10" s="462" t="s">
        <v>839</v>
      </c>
      <c r="DI10" s="462" t="s">
        <v>839</v>
      </c>
      <c r="DJ10" s="463" t="s">
        <v>839</v>
      </c>
      <c r="DO10" s="461" t="s">
        <v>1173</v>
      </c>
      <c r="DP10" s="462" t="s">
        <v>841</v>
      </c>
      <c r="DQ10" s="462" t="s">
        <v>841</v>
      </c>
      <c r="DR10" s="462" t="s">
        <v>841</v>
      </c>
      <c r="DS10" s="463" t="s">
        <v>841</v>
      </c>
      <c r="EP10" s="761"/>
      <c r="EQ10" s="762"/>
      <c r="ES10" s="263">
        <v>107</v>
      </c>
      <c r="ET10" s="266">
        <v>5.0999999999999997E-2</v>
      </c>
      <c r="EU10" s="266">
        <v>2.5000000000000001E-2</v>
      </c>
      <c r="EV10" s="264">
        <v>0</v>
      </c>
      <c r="EW10" s="265">
        <v>0</v>
      </c>
      <c r="EY10" s="263">
        <v>107</v>
      </c>
      <c r="EZ10" s="266">
        <v>0.254</v>
      </c>
      <c r="FA10" s="266">
        <v>0.127</v>
      </c>
      <c r="FB10" s="266">
        <v>2.5000000000000001E-2</v>
      </c>
      <c r="FC10" s="267">
        <v>2.5000000000000001E-2</v>
      </c>
      <c r="FE10" s="491" t="s">
        <v>1235</v>
      </c>
      <c r="FF10" s="45">
        <v>1.25</v>
      </c>
    </row>
    <row r="11" spans="2:177" ht="15" thickBot="1" x14ac:dyDescent="0.4">
      <c r="B11" s="19" t="s">
        <v>121</v>
      </c>
      <c r="C11" s="17" t="s">
        <v>132</v>
      </c>
      <c r="D11" s="51">
        <v>7.9999999999999996E-6</v>
      </c>
      <c r="E11" s="53">
        <v>2.0000000000000002E-5</v>
      </c>
      <c r="F11" s="53">
        <v>0</v>
      </c>
      <c r="G11" s="53">
        <v>2.6000000000000001E-6</v>
      </c>
      <c r="H11" s="52">
        <v>3.0599999999999998E-5</v>
      </c>
      <c r="AA11" s="401">
        <v>7</v>
      </c>
      <c r="AB11" s="407">
        <v>3</v>
      </c>
      <c r="AC11" s="407">
        <v>30</v>
      </c>
      <c r="AD11" s="407">
        <v>3000</v>
      </c>
      <c r="AE11" s="407">
        <v>13</v>
      </c>
      <c r="AF11" s="408">
        <v>1</v>
      </c>
      <c r="AG11" s="409">
        <v>2</v>
      </c>
      <c r="AI11" s="401">
        <v>7</v>
      </c>
      <c r="AJ11" s="407">
        <v>2697</v>
      </c>
      <c r="AK11" s="407">
        <v>738</v>
      </c>
      <c r="AL11" s="409">
        <v>4</v>
      </c>
      <c r="AV11" s="19">
        <v>500</v>
      </c>
      <c r="AW11" s="17">
        <v>500</v>
      </c>
      <c r="AX11" s="17">
        <v>400</v>
      </c>
      <c r="AY11" s="17">
        <v>170</v>
      </c>
      <c r="AZ11" s="17">
        <v>50</v>
      </c>
      <c r="BA11" s="17">
        <v>25</v>
      </c>
      <c r="BB11" s="17">
        <v>300</v>
      </c>
      <c r="BC11" s="17">
        <v>100</v>
      </c>
      <c r="BD11" s="17">
        <v>20</v>
      </c>
      <c r="BE11" s="17">
        <v>5</v>
      </c>
      <c r="BF11" s="17">
        <v>200</v>
      </c>
      <c r="BG11" s="17">
        <v>50</v>
      </c>
      <c r="BH11" s="17">
        <v>8</v>
      </c>
      <c r="BI11" s="20">
        <v>1</v>
      </c>
      <c r="BN11" s="798"/>
      <c r="BO11" s="799"/>
      <c r="BP11" s="799"/>
      <c r="BQ11" s="799"/>
      <c r="BR11" s="800"/>
      <c r="CE11" s="798"/>
      <c r="CF11" s="799"/>
      <c r="CG11" s="799"/>
      <c r="CH11" s="799"/>
      <c r="CI11" s="800"/>
      <c r="CY11" s="788"/>
      <c r="CZ11" s="789"/>
      <c r="DA11" s="789"/>
      <c r="DB11" s="790"/>
      <c r="DG11" s="771" t="s">
        <v>1150</v>
      </c>
      <c r="DH11" s="772"/>
      <c r="DI11" s="772"/>
      <c r="DJ11" s="773"/>
      <c r="DO11" s="771" t="s">
        <v>1162</v>
      </c>
      <c r="DP11" s="772"/>
      <c r="DQ11" s="772"/>
      <c r="DR11" s="772"/>
      <c r="DS11" s="773"/>
      <c r="EP11" s="761"/>
      <c r="EQ11" s="762"/>
      <c r="ES11" s="268">
        <v>121</v>
      </c>
      <c r="ET11" s="269">
        <v>0</v>
      </c>
      <c r="EU11" s="269">
        <v>0</v>
      </c>
      <c r="EV11" s="269">
        <v>0</v>
      </c>
      <c r="EW11" s="270">
        <v>0</v>
      </c>
      <c r="EY11" s="263">
        <v>135</v>
      </c>
      <c r="EZ11" s="266">
        <v>0.254</v>
      </c>
      <c r="FA11" s="266">
        <v>5.0999999999999997E-2</v>
      </c>
      <c r="FB11" s="266">
        <v>2.5000000000000001E-2</v>
      </c>
      <c r="FC11" s="265">
        <v>0</v>
      </c>
    </row>
    <row r="12" spans="2:177" ht="15" thickBot="1" x14ac:dyDescent="0.4">
      <c r="B12" s="19" t="s">
        <v>121</v>
      </c>
      <c r="C12" s="17" t="s">
        <v>123</v>
      </c>
      <c r="D12" s="51">
        <v>7.9999999999999996E-6</v>
      </c>
      <c r="E12" s="53">
        <v>2.0000000000000002E-5</v>
      </c>
      <c r="F12" s="53">
        <v>0</v>
      </c>
      <c r="G12" s="53">
        <v>2.6000000000000001E-6</v>
      </c>
      <c r="H12" s="52">
        <v>3.0599999999999998E-5</v>
      </c>
      <c r="AA12" s="401">
        <v>8</v>
      </c>
      <c r="AB12" s="407">
        <v>4</v>
      </c>
      <c r="AC12" s="407">
        <v>53</v>
      </c>
      <c r="AD12" s="407">
        <v>3000</v>
      </c>
      <c r="AE12" s="407">
        <v>16</v>
      </c>
      <c r="AF12" s="408">
        <v>1</v>
      </c>
      <c r="AG12" s="409">
        <v>3</v>
      </c>
      <c r="AI12" s="401">
        <v>8</v>
      </c>
      <c r="AJ12" s="407">
        <v>3000</v>
      </c>
      <c r="AK12" s="407">
        <v>1358</v>
      </c>
      <c r="AL12" s="409">
        <v>16</v>
      </c>
      <c r="AV12" s="19">
        <v>1000</v>
      </c>
      <c r="AW12" s="17">
        <v>1000</v>
      </c>
      <c r="AX12" s="17">
        <v>800</v>
      </c>
      <c r="AY12" s="17">
        <v>330</v>
      </c>
      <c r="AZ12" s="17">
        <v>100</v>
      </c>
      <c r="BA12" s="17">
        <v>50</v>
      </c>
      <c r="BB12" s="17">
        <v>600</v>
      </c>
      <c r="BC12" s="17">
        <v>200</v>
      </c>
      <c r="BD12" s="17">
        <v>40</v>
      </c>
      <c r="BE12" s="17">
        <v>10</v>
      </c>
      <c r="BF12" s="17">
        <v>400</v>
      </c>
      <c r="BG12" s="17">
        <v>100</v>
      </c>
      <c r="BH12" s="17">
        <v>16</v>
      </c>
      <c r="BI12" s="20">
        <v>2</v>
      </c>
      <c r="DG12" s="765" t="s">
        <v>1137</v>
      </c>
      <c r="DH12" s="775" t="s">
        <v>1149</v>
      </c>
      <c r="DI12" s="775"/>
      <c r="DJ12" s="776"/>
      <c r="DO12" s="774" t="s">
        <v>1164</v>
      </c>
      <c r="DP12" s="775" t="s">
        <v>1163</v>
      </c>
      <c r="DQ12" s="775"/>
      <c r="DR12" s="775"/>
      <c r="DS12" s="776"/>
      <c r="EP12" s="763"/>
      <c r="EQ12" s="764"/>
      <c r="ES12" s="748" t="s">
        <v>910</v>
      </c>
      <c r="ET12" s="749"/>
      <c r="EU12" s="749"/>
      <c r="EV12" s="749"/>
      <c r="EW12" s="750"/>
      <c r="EY12" s="263">
        <v>162</v>
      </c>
      <c r="EZ12" s="266">
        <v>0.127</v>
      </c>
      <c r="FA12" s="266">
        <v>2.5000000000000001E-2</v>
      </c>
      <c r="FB12" s="264">
        <v>0</v>
      </c>
      <c r="FC12" s="265">
        <v>0</v>
      </c>
    </row>
    <row r="13" spans="2:177" ht="29.5" thickBot="1" x14ac:dyDescent="0.4">
      <c r="B13" s="19" t="s">
        <v>121</v>
      </c>
      <c r="C13" s="17" t="s">
        <v>133</v>
      </c>
      <c r="D13" s="51">
        <v>7.9999999999999996E-6</v>
      </c>
      <c r="E13" s="53">
        <v>2.0000000000000002E-5</v>
      </c>
      <c r="F13" s="53">
        <v>1.9999999999999999E-6</v>
      </c>
      <c r="G13" s="53">
        <v>5.9999999999999997E-7</v>
      </c>
      <c r="H13" s="52">
        <v>3.0599999999999998E-5</v>
      </c>
      <c r="AA13" s="401">
        <v>9</v>
      </c>
      <c r="AB13" s="407">
        <v>6</v>
      </c>
      <c r="AC13" s="407">
        <v>89</v>
      </c>
      <c r="AD13" s="407">
        <v>3000</v>
      </c>
      <c r="AE13" s="407">
        <v>20</v>
      </c>
      <c r="AF13" s="408">
        <v>2</v>
      </c>
      <c r="AG13" s="409">
        <v>7</v>
      </c>
      <c r="AI13" s="401">
        <v>9</v>
      </c>
      <c r="AJ13" s="407">
        <v>3000</v>
      </c>
      <c r="AK13" s="407">
        <v>2209</v>
      </c>
      <c r="AL13" s="409">
        <v>53</v>
      </c>
      <c r="AV13" s="21">
        <v>5000</v>
      </c>
      <c r="AW13" s="22">
        <v>5000</v>
      </c>
      <c r="AX13" s="22">
        <v>4000</v>
      </c>
      <c r="AY13" s="22">
        <v>1670</v>
      </c>
      <c r="AZ13" s="22">
        <v>500</v>
      </c>
      <c r="BA13" s="22">
        <v>250</v>
      </c>
      <c r="BB13" s="22">
        <v>3000</v>
      </c>
      <c r="BC13" s="22">
        <v>1000</v>
      </c>
      <c r="BD13" s="22">
        <v>250</v>
      </c>
      <c r="BE13" s="22">
        <v>50</v>
      </c>
      <c r="BF13" s="22">
        <v>2000</v>
      </c>
      <c r="BG13" s="22">
        <v>500</v>
      </c>
      <c r="BH13" s="22">
        <v>80</v>
      </c>
      <c r="BI13" s="23">
        <v>10</v>
      </c>
      <c r="DG13" s="766"/>
      <c r="DH13" s="415" t="s">
        <v>1146</v>
      </c>
      <c r="DI13" s="415" t="s">
        <v>1147</v>
      </c>
      <c r="DJ13" s="417" t="s">
        <v>1148</v>
      </c>
      <c r="DO13" s="766"/>
      <c r="DP13" s="415" t="s">
        <v>1165</v>
      </c>
      <c r="DQ13" s="415" t="s">
        <v>1166</v>
      </c>
      <c r="DR13" s="415" t="s">
        <v>1167</v>
      </c>
      <c r="DS13" s="417" t="s">
        <v>1168</v>
      </c>
      <c r="ES13" s="751"/>
      <c r="ET13" s="752"/>
      <c r="EU13" s="752"/>
      <c r="EV13" s="752"/>
      <c r="EW13" s="753"/>
      <c r="EY13" s="268">
        <v>176</v>
      </c>
      <c r="EZ13" s="269">
        <v>0</v>
      </c>
      <c r="FA13" s="269">
        <v>0</v>
      </c>
      <c r="FB13" s="269">
        <v>0</v>
      </c>
      <c r="FC13" s="270">
        <v>0</v>
      </c>
    </row>
    <row r="14" spans="2:177" x14ac:dyDescent="0.35">
      <c r="B14" s="19" t="s">
        <v>121</v>
      </c>
      <c r="C14" s="17" t="s">
        <v>134</v>
      </c>
      <c r="D14" s="51">
        <v>7.9999999999999996E-6</v>
      </c>
      <c r="E14" s="53">
        <v>2.0000000000000002E-5</v>
      </c>
      <c r="F14" s="53">
        <v>1.9999999999999999E-6</v>
      </c>
      <c r="G14" s="53">
        <v>5.9999999999999997E-7</v>
      </c>
      <c r="H14" s="52">
        <v>3.0599999999999998E-5</v>
      </c>
      <c r="AA14" s="401">
        <v>10</v>
      </c>
      <c r="AB14" s="407">
        <v>9</v>
      </c>
      <c r="AC14" s="407">
        <v>146</v>
      </c>
      <c r="AD14" s="407">
        <v>3000</v>
      </c>
      <c r="AE14" s="407">
        <v>25</v>
      </c>
      <c r="AF14" s="408">
        <v>3</v>
      </c>
      <c r="AG14" s="409">
        <v>13</v>
      </c>
      <c r="AI14" s="401">
        <v>10</v>
      </c>
      <c r="AJ14" s="407">
        <v>3000</v>
      </c>
      <c r="AK14" s="407">
        <v>3000</v>
      </c>
      <c r="AL14" s="409">
        <v>146</v>
      </c>
      <c r="AV14" s="825" t="s">
        <v>861</v>
      </c>
      <c r="AW14" s="791" t="s">
        <v>885</v>
      </c>
      <c r="AX14" s="792"/>
      <c r="AY14" s="792"/>
      <c r="AZ14" s="792"/>
      <c r="BA14" s="792"/>
      <c r="BB14" s="792"/>
      <c r="BC14" s="792"/>
      <c r="BD14" s="792"/>
      <c r="BE14" s="792"/>
      <c r="BF14" s="792"/>
      <c r="BG14" s="792"/>
      <c r="BH14" s="792"/>
      <c r="BI14" s="793"/>
      <c r="DG14" s="263" t="s">
        <v>1141</v>
      </c>
      <c r="DH14" s="264" t="s">
        <v>841</v>
      </c>
      <c r="DI14" s="264" t="s">
        <v>898</v>
      </c>
      <c r="DJ14" s="265" t="s">
        <v>898</v>
      </c>
      <c r="DO14" s="263" t="s">
        <v>1169</v>
      </c>
      <c r="DP14" s="264" t="s">
        <v>898</v>
      </c>
      <c r="DQ14" s="264" t="s">
        <v>898</v>
      </c>
      <c r="DR14" s="264" t="s">
        <v>898</v>
      </c>
      <c r="DS14" s="265" t="s">
        <v>898</v>
      </c>
      <c r="ES14" s="751"/>
      <c r="ET14" s="752"/>
      <c r="EU14" s="752"/>
      <c r="EV14" s="752"/>
      <c r="EW14" s="753"/>
      <c r="EY14" s="748" t="s">
        <v>1221</v>
      </c>
      <c r="EZ14" s="749"/>
      <c r="FA14" s="749"/>
      <c r="FB14" s="749"/>
      <c r="FC14" s="750"/>
    </row>
    <row r="15" spans="2:177" x14ac:dyDescent="0.35">
      <c r="B15" s="19" t="s">
        <v>121</v>
      </c>
      <c r="C15" s="17" t="s">
        <v>135</v>
      </c>
      <c r="D15" s="51">
        <v>7.9999999999999996E-6</v>
      </c>
      <c r="E15" s="53">
        <v>2.0000000000000002E-5</v>
      </c>
      <c r="F15" s="53">
        <v>1.9999999999999999E-6</v>
      </c>
      <c r="G15" s="53">
        <v>5.9999999999999997E-7</v>
      </c>
      <c r="H15" s="52">
        <v>3.0599999999999998E-5</v>
      </c>
      <c r="AA15" s="401">
        <v>11</v>
      </c>
      <c r="AB15" s="407">
        <v>12</v>
      </c>
      <c r="AC15" s="407">
        <v>230</v>
      </c>
      <c r="AD15" s="407">
        <v>3000</v>
      </c>
      <c r="AE15" s="407">
        <v>30</v>
      </c>
      <c r="AF15" s="408">
        <v>4</v>
      </c>
      <c r="AG15" s="409">
        <v>26</v>
      </c>
      <c r="AI15" s="401">
        <v>11</v>
      </c>
      <c r="AJ15" s="407">
        <v>3000</v>
      </c>
      <c r="AK15" s="407">
        <v>3000</v>
      </c>
      <c r="AL15" s="409">
        <v>351</v>
      </c>
      <c r="AV15" s="826"/>
      <c r="AW15" s="693" t="s">
        <v>281</v>
      </c>
      <c r="AX15" s="703" t="s">
        <v>889</v>
      </c>
      <c r="AY15" s="704"/>
      <c r="AZ15" s="704"/>
      <c r="BA15" s="741"/>
      <c r="BB15" s="703" t="s">
        <v>890</v>
      </c>
      <c r="BC15" s="704"/>
      <c r="BD15" s="704"/>
      <c r="BE15" s="741"/>
      <c r="BF15" s="703" t="s">
        <v>891</v>
      </c>
      <c r="BG15" s="704"/>
      <c r="BH15" s="704"/>
      <c r="BI15" s="794"/>
      <c r="DG15" s="459" t="s">
        <v>1142</v>
      </c>
      <c r="DH15" s="458" t="s">
        <v>841</v>
      </c>
      <c r="DI15" s="407" t="s">
        <v>898</v>
      </c>
      <c r="DJ15" s="409" t="s">
        <v>898</v>
      </c>
      <c r="DO15" s="459" t="s">
        <v>1174</v>
      </c>
      <c r="DP15" s="458" t="s">
        <v>839</v>
      </c>
      <c r="DQ15" s="458" t="s">
        <v>839</v>
      </c>
      <c r="DR15" s="407" t="s">
        <v>839</v>
      </c>
      <c r="DS15" s="409" t="s">
        <v>839</v>
      </c>
      <c r="ES15" s="751"/>
      <c r="ET15" s="752"/>
      <c r="EU15" s="752"/>
      <c r="EV15" s="752"/>
      <c r="EW15" s="753"/>
      <c r="EY15" s="751"/>
      <c r="EZ15" s="752"/>
      <c r="FA15" s="752"/>
      <c r="FB15" s="752"/>
      <c r="FC15" s="753"/>
    </row>
    <row r="16" spans="2:177" ht="15" thickBot="1" x14ac:dyDescent="0.4">
      <c r="B16" s="19" t="s">
        <v>121</v>
      </c>
      <c r="C16" s="17" t="s">
        <v>136</v>
      </c>
      <c r="D16" s="51">
        <v>7.9999999999999996E-6</v>
      </c>
      <c r="E16" s="53">
        <v>2.0000000000000002E-5</v>
      </c>
      <c r="F16" s="53">
        <v>1.9999999999999999E-6</v>
      </c>
      <c r="G16" s="53">
        <v>5.9999999999999997E-7</v>
      </c>
      <c r="H16" s="52">
        <v>3.0599999999999998E-5</v>
      </c>
      <c r="AA16" s="401">
        <v>12</v>
      </c>
      <c r="AB16" s="407">
        <v>16</v>
      </c>
      <c r="AC16" s="407">
        <v>351</v>
      </c>
      <c r="AD16" s="407">
        <v>3000</v>
      </c>
      <c r="AE16" s="407">
        <v>36</v>
      </c>
      <c r="AF16" s="408">
        <v>5</v>
      </c>
      <c r="AG16" s="409">
        <v>47</v>
      </c>
      <c r="AI16" s="401">
        <v>12</v>
      </c>
      <c r="AJ16" s="407">
        <v>3000</v>
      </c>
      <c r="AK16" s="407">
        <v>3000</v>
      </c>
      <c r="AL16" s="409">
        <v>738</v>
      </c>
      <c r="AV16" s="827"/>
      <c r="AW16" s="828"/>
      <c r="AX16" s="22" t="s">
        <v>274</v>
      </c>
      <c r="AY16" s="22" t="s">
        <v>280</v>
      </c>
      <c r="AZ16" s="22" t="s">
        <v>279</v>
      </c>
      <c r="BA16" s="22" t="s">
        <v>278</v>
      </c>
      <c r="BB16" s="22" t="s">
        <v>274</v>
      </c>
      <c r="BC16" s="22" t="s">
        <v>280</v>
      </c>
      <c r="BD16" s="22" t="s">
        <v>279</v>
      </c>
      <c r="BE16" s="22" t="s">
        <v>278</v>
      </c>
      <c r="BF16" s="22" t="s">
        <v>274</v>
      </c>
      <c r="BG16" s="22" t="s">
        <v>280</v>
      </c>
      <c r="BH16" s="22" t="s">
        <v>279</v>
      </c>
      <c r="BI16" s="23" t="s">
        <v>278</v>
      </c>
      <c r="DG16" s="459" t="s">
        <v>1143</v>
      </c>
      <c r="DH16" s="458" t="s">
        <v>111</v>
      </c>
      <c r="DI16" s="458" t="s">
        <v>898</v>
      </c>
      <c r="DJ16" s="460" t="s">
        <v>898</v>
      </c>
      <c r="DO16" s="459" t="s">
        <v>1175</v>
      </c>
      <c r="DP16" s="458" t="s">
        <v>839</v>
      </c>
      <c r="DQ16" s="458" t="s">
        <v>839</v>
      </c>
      <c r="DR16" s="458" t="s">
        <v>839</v>
      </c>
      <c r="DS16" s="460" t="s">
        <v>111</v>
      </c>
      <c r="ES16" s="751"/>
      <c r="ET16" s="752"/>
      <c r="EU16" s="752"/>
      <c r="EV16" s="752"/>
      <c r="EW16" s="753"/>
      <c r="EY16" s="751"/>
      <c r="EZ16" s="752"/>
      <c r="FA16" s="752"/>
      <c r="FB16" s="752"/>
      <c r="FC16" s="753"/>
    </row>
    <row r="17" spans="2:159" ht="15" thickBot="1" x14ac:dyDescent="0.4">
      <c r="B17" s="19" t="s">
        <v>121</v>
      </c>
      <c r="C17" s="17" t="s">
        <v>124</v>
      </c>
      <c r="D17" s="51">
        <v>7.9999999999999996E-6</v>
      </c>
      <c r="E17" s="53">
        <v>2.0000000000000002E-5</v>
      </c>
      <c r="F17" s="53">
        <v>1.9999999999999999E-6</v>
      </c>
      <c r="G17" s="53">
        <v>5.9999999999999997E-7</v>
      </c>
      <c r="H17" s="52">
        <v>3.0599999999999998E-5</v>
      </c>
      <c r="AA17" s="401">
        <v>13</v>
      </c>
      <c r="AB17" s="407">
        <v>22</v>
      </c>
      <c r="AC17" s="407">
        <v>518</v>
      </c>
      <c r="AD17" s="407">
        <v>3000</v>
      </c>
      <c r="AE17" s="407">
        <v>44</v>
      </c>
      <c r="AF17" s="408">
        <v>7</v>
      </c>
      <c r="AG17" s="409">
        <v>82</v>
      </c>
      <c r="AI17" s="401">
        <v>13</v>
      </c>
      <c r="AJ17" s="407">
        <v>3000</v>
      </c>
      <c r="AK17" s="407">
        <v>3000</v>
      </c>
      <c r="AL17" s="409">
        <v>1358</v>
      </c>
      <c r="AV17" s="92">
        <v>0</v>
      </c>
      <c r="AW17" s="223">
        <v>0</v>
      </c>
      <c r="AX17" s="223">
        <v>0</v>
      </c>
      <c r="AY17" s="223">
        <v>0</v>
      </c>
      <c r="AZ17" s="223">
        <v>0</v>
      </c>
      <c r="BA17" s="223">
        <v>0</v>
      </c>
      <c r="BB17" s="223">
        <v>0</v>
      </c>
      <c r="BC17" s="223">
        <v>0</v>
      </c>
      <c r="BD17" s="223">
        <v>0</v>
      </c>
      <c r="BE17" s="223">
        <v>0</v>
      </c>
      <c r="BF17" s="223">
        <v>0</v>
      </c>
      <c r="BG17" s="223">
        <v>0</v>
      </c>
      <c r="BH17" s="223">
        <v>0</v>
      </c>
      <c r="BI17" s="224">
        <v>0</v>
      </c>
      <c r="DG17" s="459" t="s">
        <v>1144</v>
      </c>
      <c r="DH17" s="458" t="s">
        <v>841</v>
      </c>
      <c r="DI17" s="458" t="s">
        <v>841</v>
      </c>
      <c r="DJ17" s="460" t="s">
        <v>839</v>
      </c>
      <c r="DO17" s="461" t="s">
        <v>1173</v>
      </c>
      <c r="DP17" s="462" t="s">
        <v>111</v>
      </c>
      <c r="DQ17" s="462" t="s">
        <v>111</v>
      </c>
      <c r="DR17" s="462" t="s">
        <v>111</v>
      </c>
      <c r="DS17" s="463" t="s">
        <v>841</v>
      </c>
      <c r="ES17" s="754"/>
      <c r="ET17" s="755"/>
      <c r="EU17" s="755"/>
      <c r="EV17" s="755"/>
      <c r="EW17" s="756"/>
      <c r="EY17" s="751"/>
      <c r="EZ17" s="752"/>
      <c r="FA17" s="752"/>
      <c r="FB17" s="752"/>
      <c r="FC17" s="753"/>
    </row>
    <row r="18" spans="2:159" ht="15" thickBot="1" x14ac:dyDescent="0.4">
      <c r="B18" s="19" t="s">
        <v>125</v>
      </c>
      <c r="C18" s="17" t="s">
        <v>137</v>
      </c>
      <c r="D18" s="51">
        <v>7.9999999999999996E-6</v>
      </c>
      <c r="E18" s="53">
        <v>2.0000000000000002E-5</v>
      </c>
      <c r="F18" s="53">
        <v>1.9999999999999999E-6</v>
      </c>
      <c r="G18" s="53">
        <v>5.9999999999999997E-7</v>
      </c>
      <c r="H18" s="52">
        <v>3.06</v>
      </c>
      <c r="AA18" s="401">
        <v>14</v>
      </c>
      <c r="AB18" s="407">
        <v>30</v>
      </c>
      <c r="AC18" s="407">
        <v>738</v>
      </c>
      <c r="AD18" s="407">
        <v>3000</v>
      </c>
      <c r="AE18" s="407">
        <v>53</v>
      </c>
      <c r="AF18" s="408">
        <v>9</v>
      </c>
      <c r="AG18" s="409">
        <v>139</v>
      </c>
      <c r="AI18" s="401">
        <v>14</v>
      </c>
      <c r="AJ18" s="407">
        <v>3000</v>
      </c>
      <c r="AK18" s="407">
        <v>3000</v>
      </c>
      <c r="AL18" s="409">
        <v>2209</v>
      </c>
      <c r="AV18" s="19">
        <v>1</v>
      </c>
      <c r="AW18" s="17">
        <v>1</v>
      </c>
      <c r="AX18" s="17">
        <v>1</v>
      </c>
      <c r="AY18" s="17">
        <v>1</v>
      </c>
      <c r="AZ18" s="17">
        <v>1</v>
      </c>
      <c r="BA18" s="17">
        <v>1</v>
      </c>
      <c r="BB18" s="17">
        <v>1</v>
      </c>
      <c r="BC18" s="17">
        <v>1</v>
      </c>
      <c r="BD18" s="17">
        <v>1</v>
      </c>
      <c r="BE18" s="17">
        <v>1</v>
      </c>
      <c r="BF18" s="17">
        <v>1</v>
      </c>
      <c r="BG18" s="17">
        <v>1</v>
      </c>
      <c r="BH18" s="17">
        <v>1</v>
      </c>
      <c r="BI18" s="20">
        <v>1</v>
      </c>
      <c r="DG18" s="461" t="s">
        <v>1145</v>
      </c>
      <c r="DH18" s="462" t="s">
        <v>111</v>
      </c>
      <c r="DI18" s="462" t="s">
        <v>839</v>
      </c>
      <c r="DJ18" s="463" t="s">
        <v>839</v>
      </c>
      <c r="EY18" s="751"/>
      <c r="EZ18" s="752"/>
      <c r="FA18" s="752"/>
      <c r="FB18" s="752"/>
      <c r="FC18" s="753"/>
    </row>
    <row r="19" spans="2:159" ht="15" customHeight="1" thickBot="1" x14ac:dyDescent="0.4">
      <c r="B19" s="19" t="s">
        <v>125</v>
      </c>
      <c r="C19" s="17" t="s">
        <v>138</v>
      </c>
      <c r="D19" s="51">
        <v>7.9999999999999996E-6</v>
      </c>
      <c r="E19" s="53">
        <v>2.0000000000000002E-5</v>
      </c>
      <c r="F19" s="53">
        <v>1.9999999999999999E-6</v>
      </c>
      <c r="G19" s="53">
        <v>5.9999999999999997E-7</v>
      </c>
      <c r="H19" s="52">
        <v>3.06</v>
      </c>
      <c r="AA19" s="401">
        <v>15</v>
      </c>
      <c r="AB19" s="407">
        <v>40</v>
      </c>
      <c r="AC19" s="407">
        <v>1017</v>
      </c>
      <c r="AD19" s="407">
        <v>3000</v>
      </c>
      <c r="AE19" s="407">
        <v>63</v>
      </c>
      <c r="AF19" s="408">
        <v>11</v>
      </c>
      <c r="AG19" s="409">
        <v>228</v>
      </c>
      <c r="AI19" s="401">
        <v>15</v>
      </c>
      <c r="AJ19" s="407">
        <v>3000</v>
      </c>
      <c r="AK19" s="407">
        <v>3000</v>
      </c>
      <c r="AL19" s="409">
        <v>3000</v>
      </c>
      <c r="AV19" s="19">
        <v>10</v>
      </c>
      <c r="AW19" s="17">
        <v>10</v>
      </c>
      <c r="AX19" s="17">
        <v>2</v>
      </c>
      <c r="AY19" s="17">
        <v>1</v>
      </c>
      <c r="AZ19" s="17">
        <v>1</v>
      </c>
      <c r="BA19" s="17">
        <v>1</v>
      </c>
      <c r="BB19" s="17">
        <v>1</v>
      </c>
      <c r="BC19" s="17">
        <v>1</v>
      </c>
      <c r="BD19" s="17">
        <v>1</v>
      </c>
      <c r="BE19" s="17">
        <v>1</v>
      </c>
      <c r="BF19" s="17">
        <v>1</v>
      </c>
      <c r="BG19" s="17">
        <v>1</v>
      </c>
      <c r="BH19" s="17">
        <v>1</v>
      </c>
      <c r="BI19" s="20">
        <v>1</v>
      </c>
      <c r="DG19" s="782" t="s">
        <v>1151</v>
      </c>
      <c r="DH19" s="783"/>
      <c r="DI19" s="783"/>
      <c r="DJ19" s="784"/>
      <c r="EY19" s="754"/>
      <c r="EZ19" s="755"/>
      <c r="FA19" s="755"/>
      <c r="FB19" s="755"/>
      <c r="FC19" s="756"/>
    </row>
    <row r="20" spans="2:159" x14ac:dyDescent="0.35">
      <c r="B20" s="19" t="s">
        <v>125</v>
      </c>
      <c r="C20" s="17" t="s">
        <v>126</v>
      </c>
      <c r="D20" s="51">
        <v>7.9999999999999996E-6</v>
      </c>
      <c r="E20" s="53">
        <v>2.0000000000000002E-5</v>
      </c>
      <c r="F20" s="53">
        <v>1.9999999999999999E-6</v>
      </c>
      <c r="G20" s="53">
        <v>5.9999999999999997E-7</v>
      </c>
      <c r="H20" s="52">
        <v>3.06</v>
      </c>
      <c r="AA20" s="401">
        <v>16</v>
      </c>
      <c r="AB20" s="407">
        <v>53</v>
      </c>
      <c r="AC20" s="407">
        <v>1358</v>
      </c>
      <c r="AD20" s="407">
        <v>3000</v>
      </c>
      <c r="AE20" s="407">
        <v>75</v>
      </c>
      <c r="AF20" s="408">
        <v>15</v>
      </c>
      <c r="AG20" s="409">
        <v>359</v>
      </c>
      <c r="AI20" s="401">
        <v>16</v>
      </c>
      <c r="AJ20" s="407">
        <v>3000</v>
      </c>
      <c r="AK20" s="407">
        <v>3000</v>
      </c>
      <c r="AL20" s="409">
        <v>3000</v>
      </c>
      <c r="AV20" s="19">
        <v>50</v>
      </c>
      <c r="AW20" s="17">
        <v>50</v>
      </c>
      <c r="AX20" s="17">
        <v>10</v>
      </c>
      <c r="AY20" s="17">
        <v>2</v>
      </c>
      <c r="AZ20" s="17">
        <v>1</v>
      </c>
      <c r="BA20" s="17">
        <v>1</v>
      </c>
      <c r="BB20" s="17">
        <v>5</v>
      </c>
      <c r="BC20" s="17">
        <v>1</v>
      </c>
      <c r="BD20" s="17">
        <v>1</v>
      </c>
      <c r="BE20" s="17">
        <v>1</v>
      </c>
      <c r="BF20" s="17">
        <v>1</v>
      </c>
      <c r="BG20" s="17">
        <v>1</v>
      </c>
      <c r="BH20" s="17">
        <v>1</v>
      </c>
      <c r="BI20" s="20">
        <v>1</v>
      </c>
      <c r="DG20" s="785"/>
      <c r="DH20" s="786"/>
      <c r="DI20" s="786"/>
      <c r="DJ20" s="787"/>
    </row>
    <row r="21" spans="2:159" ht="15" thickBot="1" x14ac:dyDescent="0.4">
      <c r="B21" s="19" t="s">
        <v>127</v>
      </c>
      <c r="C21" s="17" t="s">
        <v>128</v>
      </c>
      <c r="D21" s="51">
        <v>7.2000000000000005E-4</v>
      </c>
      <c r="E21" s="53">
        <v>0</v>
      </c>
      <c r="F21" s="53">
        <v>0</v>
      </c>
      <c r="G21" s="53">
        <v>1.9999999999999999E-6</v>
      </c>
      <c r="H21" s="52">
        <v>7.2199999999999999E-4</v>
      </c>
      <c r="AA21" s="401">
        <v>17</v>
      </c>
      <c r="AB21" s="407">
        <v>69</v>
      </c>
      <c r="AC21" s="407">
        <v>1758</v>
      </c>
      <c r="AD21" s="407">
        <v>3000</v>
      </c>
      <c r="AE21" s="407">
        <v>89</v>
      </c>
      <c r="AF21" s="408">
        <v>19</v>
      </c>
      <c r="AG21" s="409">
        <v>548</v>
      </c>
      <c r="AI21" s="401">
        <v>17</v>
      </c>
      <c r="AJ21" s="407">
        <v>3000</v>
      </c>
      <c r="AK21" s="407">
        <v>3000</v>
      </c>
      <c r="AL21" s="409">
        <v>3000</v>
      </c>
      <c r="AV21" s="19">
        <v>100</v>
      </c>
      <c r="AW21" s="17">
        <v>100</v>
      </c>
      <c r="AX21" s="17">
        <v>20</v>
      </c>
      <c r="AY21" s="17">
        <v>5</v>
      </c>
      <c r="AZ21" s="17">
        <v>1</v>
      </c>
      <c r="BA21" s="17">
        <v>1</v>
      </c>
      <c r="BB21" s="17">
        <v>10</v>
      </c>
      <c r="BC21" s="17">
        <v>2</v>
      </c>
      <c r="BD21" s="17">
        <v>1</v>
      </c>
      <c r="BE21" s="17">
        <v>1</v>
      </c>
      <c r="BF21" s="17">
        <v>5</v>
      </c>
      <c r="BG21" s="17">
        <v>1</v>
      </c>
      <c r="BH21" s="17">
        <v>1</v>
      </c>
      <c r="BI21" s="20">
        <v>1</v>
      </c>
      <c r="DG21" s="788"/>
      <c r="DH21" s="789"/>
      <c r="DI21" s="789"/>
      <c r="DJ21" s="790"/>
    </row>
    <row r="22" spans="2:159" x14ac:dyDescent="0.35">
      <c r="B22" s="19" t="s">
        <v>127</v>
      </c>
      <c r="C22" s="17" t="s">
        <v>129</v>
      </c>
      <c r="D22" s="51">
        <v>6.9999999999999994E-5</v>
      </c>
      <c r="E22" s="53">
        <v>2.5000000000000001E-5</v>
      </c>
      <c r="F22" s="53">
        <v>5.0000000000000004E-6</v>
      </c>
      <c r="G22" s="53">
        <v>9.9999999999999995E-8</v>
      </c>
      <c r="H22" s="52">
        <v>1E-4</v>
      </c>
      <c r="AA22" s="401">
        <v>18</v>
      </c>
      <c r="AB22" s="407">
        <v>89</v>
      </c>
      <c r="AC22" s="407">
        <v>2209</v>
      </c>
      <c r="AD22" s="407">
        <v>3000</v>
      </c>
      <c r="AE22" s="407">
        <v>105</v>
      </c>
      <c r="AF22" s="408">
        <v>25</v>
      </c>
      <c r="AG22" s="409">
        <v>808</v>
      </c>
      <c r="AI22" s="401">
        <v>18</v>
      </c>
      <c r="AJ22" s="407">
        <v>3000</v>
      </c>
      <c r="AK22" s="407">
        <v>3000</v>
      </c>
      <c r="AL22" s="409">
        <v>3000</v>
      </c>
      <c r="AV22" s="19">
        <v>500</v>
      </c>
      <c r="AW22" s="17">
        <v>500</v>
      </c>
      <c r="AX22" s="17">
        <v>100</v>
      </c>
      <c r="AY22" s="17">
        <v>25</v>
      </c>
      <c r="AZ22" s="17">
        <v>2</v>
      </c>
      <c r="BA22" s="17">
        <v>1</v>
      </c>
      <c r="BB22" s="17">
        <v>50</v>
      </c>
      <c r="BC22" s="17">
        <v>10</v>
      </c>
      <c r="BD22" s="17">
        <v>1</v>
      </c>
      <c r="BE22" s="17">
        <v>1</v>
      </c>
      <c r="BF22" s="17">
        <v>25</v>
      </c>
      <c r="BG22" s="17">
        <v>5</v>
      </c>
      <c r="BH22" s="17">
        <v>1</v>
      </c>
      <c r="BI22" s="20">
        <v>1</v>
      </c>
    </row>
    <row r="23" spans="2:159" x14ac:dyDescent="0.35">
      <c r="B23" s="19" t="s">
        <v>166</v>
      </c>
      <c r="C23" s="17" t="s">
        <v>139</v>
      </c>
      <c r="D23" s="51">
        <v>7.9999999999999996E-6</v>
      </c>
      <c r="E23" s="53">
        <v>2.0000000000000002E-5</v>
      </c>
      <c r="F23" s="53">
        <v>1.9999999999999999E-6</v>
      </c>
      <c r="G23" s="53">
        <v>5.9999999999999997E-7</v>
      </c>
      <c r="H23" s="52">
        <v>3.0599999999999998E-5</v>
      </c>
      <c r="AA23" s="401">
        <v>19</v>
      </c>
      <c r="AB23" s="407">
        <v>115</v>
      </c>
      <c r="AC23" s="407">
        <v>2697</v>
      </c>
      <c r="AD23" s="407">
        <v>3000</v>
      </c>
      <c r="AE23" s="407">
        <v>124</v>
      </c>
      <c r="AF23" s="408">
        <v>31</v>
      </c>
      <c r="AG23" s="409">
        <v>1151</v>
      </c>
      <c r="AI23" s="401">
        <v>19</v>
      </c>
      <c r="AJ23" s="407">
        <v>3000</v>
      </c>
      <c r="AK23" s="407">
        <v>3000</v>
      </c>
      <c r="AL23" s="409">
        <v>3000</v>
      </c>
      <c r="AV23" s="19">
        <v>1000</v>
      </c>
      <c r="AW23" s="17">
        <v>1000</v>
      </c>
      <c r="AX23" s="17">
        <v>200</v>
      </c>
      <c r="AY23" s="17">
        <v>50</v>
      </c>
      <c r="AZ23" s="17">
        <v>5</v>
      </c>
      <c r="BA23" s="17">
        <v>1</v>
      </c>
      <c r="BB23" s="17">
        <v>100</v>
      </c>
      <c r="BC23" s="17">
        <v>25</v>
      </c>
      <c r="BD23" s="17">
        <v>2</v>
      </c>
      <c r="BE23" s="17">
        <v>1</v>
      </c>
      <c r="BF23" s="17">
        <v>50</v>
      </c>
      <c r="BG23" s="17">
        <v>10</v>
      </c>
      <c r="BH23" s="17">
        <v>1</v>
      </c>
      <c r="BI23" s="20">
        <v>1</v>
      </c>
    </row>
    <row r="24" spans="2:159" ht="15" thickBot="1" x14ac:dyDescent="0.4">
      <c r="B24" s="19" t="s">
        <v>166</v>
      </c>
      <c r="C24" s="17" t="s">
        <v>140</v>
      </c>
      <c r="D24" s="51">
        <v>7.9999999999999996E-6</v>
      </c>
      <c r="E24" s="53">
        <v>2.0000000000000002E-5</v>
      </c>
      <c r="F24" s="53">
        <v>1.9999999999999999E-6</v>
      </c>
      <c r="G24" s="53">
        <v>5.9999999999999997E-7</v>
      </c>
      <c r="H24" s="52">
        <v>3.0599999999999998E-5</v>
      </c>
      <c r="AA24" s="401">
        <v>20</v>
      </c>
      <c r="AB24" s="407">
        <v>146</v>
      </c>
      <c r="AC24" s="407">
        <v>3000</v>
      </c>
      <c r="AD24" s="407">
        <v>3000</v>
      </c>
      <c r="AE24" s="407">
        <v>146</v>
      </c>
      <c r="AF24" s="408">
        <v>40</v>
      </c>
      <c r="AG24" s="409">
        <v>1587</v>
      </c>
      <c r="AI24" s="401">
        <v>20</v>
      </c>
      <c r="AJ24" s="407">
        <v>3000</v>
      </c>
      <c r="AK24" s="407">
        <v>3000</v>
      </c>
      <c r="AL24" s="409">
        <v>3000</v>
      </c>
      <c r="AV24" s="21">
        <v>5000</v>
      </c>
      <c r="AW24" s="22">
        <v>5000</v>
      </c>
      <c r="AX24" s="22">
        <v>1000</v>
      </c>
      <c r="AY24" s="22">
        <v>250</v>
      </c>
      <c r="AZ24" s="22">
        <v>25</v>
      </c>
      <c r="BA24" s="22">
        <v>2</v>
      </c>
      <c r="BB24" s="22">
        <v>500</v>
      </c>
      <c r="BC24" s="22">
        <v>125</v>
      </c>
      <c r="BD24" s="22">
        <v>5</v>
      </c>
      <c r="BE24" s="22">
        <v>1</v>
      </c>
      <c r="BF24" s="22">
        <v>250</v>
      </c>
      <c r="BG24" s="22">
        <v>50</v>
      </c>
      <c r="BH24" s="22">
        <v>2</v>
      </c>
      <c r="BI24" s="23">
        <v>1</v>
      </c>
    </row>
    <row r="25" spans="2:159" x14ac:dyDescent="0.35">
      <c r="B25" s="19" t="s">
        <v>166</v>
      </c>
      <c r="C25" s="17" t="s">
        <v>141</v>
      </c>
      <c r="D25" s="51">
        <v>7.9999999999999996E-6</v>
      </c>
      <c r="E25" s="53">
        <v>2.0000000000000002E-5</v>
      </c>
      <c r="F25" s="53">
        <v>1.9999999999999999E-6</v>
      </c>
      <c r="G25" s="53">
        <v>5.9999999999999997E-7</v>
      </c>
      <c r="H25" s="52">
        <v>3.0599999999999998E-5</v>
      </c>
      <c r="AA25" s="401">
        <v>21</v>
      </c>
      <c r="AB25" s="407">
        <v>184</v>
      </c>
      <c r="AC25" s="407">
        <v>3000</v>
      </c>
      <c r="AD25" s="407">
        <v>3000</v>
      </c>
      <c r="AE25" s="407">
        <v>170</v>
      </c>
      <c r="AF25" s="408">
        <v>50</v>
      </c>
      <c r="AG25" s="409">
        <v>2119</v>
      </c>
      <c r="AI25" s="401">
        <v>21</v>
      </c>
      <c r="AJ25" s="407">
        <v>3000</v>
      </c>
      <c r="AK25" s="407">
        <v>3000</v>
      </c>
      <c r="AL25" s="409">
        <v>3000</v>
      </c>
    </row>
    <row r="26" spans="2:159" x14ac:dyDescent="0.35">
      <c r="B26" s="19" t="s">
        <v>166</v>
      </c>
      <c r="C26" s="17" t="s">
        <v>142</v>
      </c>
      <c r="D26" s="51">
        <v>7.9999999999999996E-6</v>
      </c>
      <c r="E26" s="53">
        <v>2.0000000000000002E-5</v>
      </c>
      <c r="F26" s="53">
        <v>1.9999999999999999E-6</v>
      </c>
      <c r="G26" s="53">
        <v>5.9999999999999997E-7</v>
      </c>
      <c r="H26" s="52">
        <v>3.0599999999999998E-5</v>
      </c>
      <c r="AA26" s="401">
        <v>22</v>
      </c>
      <c r="AB26" s="407">
        <v>230</v>
      </c>
      <c r="AC26" s="407">
        <v>3000</v>
      </c>
      <c r="AD26" s="407">
        <v>3000</v>
      </c>
      <c r="AE26" s="407">
        <v>199</v>
      </c>
      <c r="AF26" s="408">
        <v>63</v>
      </c>
      <c r="AG26" s="409">
        <v>2743</v>
      </c>
      <c r="AI26" s="401">
        <v>22</v>
      </c>
      <c r="AJ26" s="407">
        <v>3000</v>
      </c>
      <c r="AK26" s="407">
        <v>3000</v>
      </c>
      <c r="AL26" s="409">
        <v>3000</v>
      </c>
    </row>
    <row r="27" spans="2:159" x14ac:dyDescent="0.35">
      <c r="B27" s="19" t="s">
        <v>166</v>
      </c>
      <c r="C27" s="17" t="s">
        <v>143</v>
      </c>
      <c r="D27" s="51">
        <v>7.9999999999999996E-6</v>
      </c>
      <c r="E27" s="53">
        <v>2.0000000000000002E-5</v>
      </c>
      <c r="F27" s="53">
        <v>1.9999999999999999E-6</v>
      </c>
      <c r="G27" s="53">
        <v>5.9999999999999997E-7</v>
      </c>
      <c r="H27" s="52">
        <v>3.0599999999999998E-5</v>
      </c>
      <c r="AA27" s="401">
        <v>23</v>
      </c>
      <c r="AB27" s="407">
        <v>286</v>
      </c>
      <c r="AC27" s="407">
        <v>3000</v>
      </c>
      <c r="AD27" s="407">
        <v>3000</v>
      </c>
      <c r="AE27" s="407">
        <v>230</v>
      </c>
      <c r="AF27" s="408">
        <v>78</v>
      </c>
      <c r="AG27" s="409">
        <v>3000</v>
      </c>
      <c r="AI27" s="401">
        <v>23</v>
      </c>
      <c r="AJ27" s="407">
        <v>3000</v>
      </c>
      <c r="AK27" s="407">
        <v>3000</v>
      </c>
      <c r="AL27" s="409">
        <v>3000</v>
      </c>
    </row>
    <row r="28" spans="2:159" x14ac:dyDescent="0.35">
      <c r="B28" s="19" t="s">
        <v>166</v>
      </c>
      <c r="C28" s="17" t="s">
        <v>144</v>
      </c>
      <c r="D28" s="51">
        <v>7.9999999999999996E-6</v>
      </c>
      <c r="E28" s="53">
        <v>2.0000000000000002E-5</v>
      </c>
      <c r="F28" s="53">
        <v>1.9999999999999999E-6</v>
      </c>
      <c r="G28" s="53">
        <v>5.9999999999999997E-7</v>
      </c>
      <c r="H28" s="52">
        <v>3.0599999999999998E-5</v>
      </c>
      <c r="AA28" s="401">
        <v>24</v>
      </c>
      <c r="AB28" s="407">
        <v>351</v>
      </c>
      <c r="AC28" s="407">
        <v>3000</v>
      </c>
      <c r="AD28" s="407">
        <v>3000</v>
      </c>
      <c r="AE28" s="407">
        <v>266</v>
      </c>
      <c r="AF28" s="408">
        <v>97</v>
      </c>
      <c r="AG28" s="409">
        <v>3000</v>
      </c>
      <c r="AI28" s="401">
        <v>24</v>
      </c>
      <c r="AJ28" s="407">
        <v>3000</v>
      </c>
      <c r="AK28" s="407">
        <v>3000</v>
      </c>
      <c r="AL28" s="409">
        <v>3000</v>
      </c>
    </row>
    <row r="29" spans="2:159" ht="15" thickBot="1" x14ac:dyDescent="0.4">
      <c r="B29" s="19" t="s">
        <v>166</v>
      </c>
      <c r="C29" s="17" t="s">
        <v>145</v>
      </c>
      <c r="D29" s="51">
        <v>7.9999999999999996E-6</v>
      </c>
      <c r="E29" s="53">
        <v>2.0000000000000002E-5</v>
      </c>
      <c r="F29" s="53">
        <v>1.9999999999999999E-6</v>
      </c>
      <c r="G29" s="53">
        <v>5.9999999999999997E-7</v>
      </c>
      <c r="H29" s="52">
        <v>3.0599999999999998E-5</v>
      </c>
      <c r="AA29" s="402">
        <v>25</v>
      </c>
      <c r="AB29" s="410">
        <v>428</v>
      </c>
      <c r="AC29" s="410">
        <v>3000</v>
      </c>
      <c r="AD29" s="410">
        <v>3000</v>
      </c>
      <c r="AE29" s="410">
        <v>306</v>
      </c>
      <c r="AF29" s="411">
        <v>119</v>
      </c>
      <c r="AG29" s="412">
        <v>3000</v>
      </c>
      <c r="AI29" s="402">
        <v>25</v>
      </c>
      <c r="AJ29" s="410">
        <v>3000</v>
      </c>
      <c r="AK29" s="410">
        <v>3000</v>
      </c>
      <c r="AL29" s="412">
        <v>3000</v>
      </c>
    </row>
    <row r="30" spans="2:159" ht="15" thickBot="1" x14ac:dyDescent="0.4">
      <c r="B30" s="19" t="s">
        <v>166</v>
      </c>
      <c r="C30" s="22" t="s">
        <v>130</v>
      </c>
      <c r="D30" s="51">
        <v>7.9999999999999996E-6</v>
      </c>
      <c r="E30" s="53">
        <v>2.0000000000000002E-5</v>
      </c>
      <c r="F30" s="53">
        <v>1.9999999999999999E-6</v>
      </c>
      <c r="G30" s="53">
        <v>5.9999999999999997E-7</v>
      </c>
      <c r="H30" s="52">
        <v>3.0599999999999998E-5</v>
      </c>
      <c r="AJ30" s="418"/>
      <c r="AK30" s="418"/>
    </row>
    <row r="31" spans="2:159" ht="15" thickBot="1" x14ac:dyDescent="0.4">
      <c r="B31" s="815" t="s">
        <v>146</v>
      </c>
      <c r="C31" s="816"/>
      <c r="D31" s="816"/>
      <c r="E31" s="816"/>
      <c r="F31" s="816"/>
      <c r="G31" s="816"/>
      <c r="H31" s="817"/>
    </row>
  </sheetData>
  <mergeCells count="101">
    <mergeCell ref="FQ2:FU2"/>
    <mergeCell ref="FQ3:FQ4"/>
    <mergeCell ref="FR3:FU3"/>
    <mergeCell ref="FQ9:FU9"/>
    <mergeCell ref="FH2:FL2"/>
    <mergeCell ref="FN2:FO2"/>
    <mergeCell ref="FI3:FL3"/>
    <mergeCell ref="FH3:FH4"/>
    <mergeCell ref="FH9:FL9"/>
    <mergeCell ref="CY2:DB2"/>
    <mergeCell ref="DD2:DE2"/>
    <mergeCell ref="CY3:CY5"/>
    <mergeCell ref="CZ3:DB3"/>
    <mergeCell ref="DA4:DB4"/>
    <mergeCell ref="AV14:AV16"/>
    <mergeCell ref="AW14:BI14"/>
    <mergeCell ref="AW15:AW16"/>
    <mergeCell ref="AX15:BA15"/>
    <mergeCell ref="BB15:BE15"/>
    <mergeCell ref="BF15:BI15"/>
    <mergeCell ref="AV3:AV5"/>
    <mergeCell ref="AW4:AW5"/>
    <mergeCell ref="CE2:CI2"/>
    <mergeCell ref="CE3:CE4"/>
    <mergeCell ref="CF3:CI3"/>
    <mergeCell ref="AV2:BI2"/>
    <mergeCell ref="BK2:BL2"/>
    <mergeCell ref="BN2:BR2"/>
    <mergeCell ref="BT2:BZ2"/>
    <mergeCell ref="CB2:CC2"/>
    <mergeCell ref="BN3:BN4"/>
    <mergeCell ref="BO3:BR3"/>
    <mergeCell ref="BT3:BT5"/>
    <mergeCell ref="O2:T2"/>
    <mergeCell ref="V2:Y2"/>
    <mergeCell ref="V3:V4"/>
    <mergeCell ref="W3:Y3"/>
    <mergeCell ref="J2:M2"/>
    <mergeCell ref="B31:H31"/>
    <mergeCell ref="B2:H2"/>
    <mergeCell ref="D3:G3"/>
    <mergeCell ref="B3:B4"/>
    <mergeCell ref="C3:C4"/>
    <mergeCell ref="H3:H4"/>
    <mergeCell ref="BU4:BW4"/>
    <mergeCell ref="BX4:BZ4"/>
    <mergeCell ref="CV2:CW2"/>
    <mergeCell ref="CS2:CT2"/>
    <mergeCell ref="CK2:CQ2"/>
    <mergeCell ref="CK3:CK4"/>
    <mergeCell ref="CL3:CM3"/>
    <mergeCell ref="CN3:CO3"/>
    <mergeCell ref="CP3:CQ3"/>
    <mergeCell ref="AA3:AA4"/>
    <mergeCell ref="AB3:AG3"/>
    <mergeCell ref="AA2:AG2"/>
    <mergeCell ref="DG11:DJ11"/>
    <mergeCell ref="DG12:DG13"/>
    <mergeCell ref="DH12:DJ12"/>
    <mergeCell ref="DG19:DJ21"/>
    <mergeCell ref="CY10:DB11"/>
    <mergeCell ref="DL2:DM2"/>
    <mergeCell ref="DH4:DJ4"/>
    <mergeCell ref="DG4:DG5"/>
    <mergeCell ref="DG3:DJ3"/>
    <mergeCell ref="DG2:DJ2"/>
    <mergeCell ref="AW3:BI3"/>
    <mergeCell ref="AX4:BA4"/>
    <mergeCell ref="BB4:BE4"/>
    <mergeCell ref="BF4:BI4"/>
    <mergeCell ref="CE10:CI11"/>
    <mergeCell ref="BN10:BR11"/>
    <mergeCell ref="BT9:BZ10"/>
    <mergeCell ref="AI3:AL3"/>
    <mergeCell ref="AN2:AP2"/>
    <mergeCell ref="AS2:AT2"/>
    <mergeCell ref="BU3:BZ3"/>
    <mergeCell ref="DX2:EC2"/>
    <mergeCell ref="EA3:EC3"/>
    <mergeCell ref="DX3:DZ3"/>
    <mergeCell ref="DO11:DS11"/>
    <mergeCell ref="DO12:DO13"/>
    <mergeCell ref="DP12:DS12"/>
    <mergeCell ref="DO2:DS2"/>
    <mergeCell ref="DU2:DV2"/>
    <mergeCell ref="DO3:DS3"/>
    <mergeCell ref="DO4:DO5"/>
    <mergeCell ref="DP4:DS4"/>
    <mergeCell ref="EY2:FC2"/>
    <mergeCell ref="EZ3:FC3"/>
    <mergeCell ref="EY14:FC19"/>
    <mergeCell ref="FE2:FF2"/>
    <mergeCell ref="EE2:EF2"/>
    <mergeCell ref="ES2:EW2"/>
    <mergeCell ref="ET3:EW3"/>
    <mergeCell ref="ES12:EW17"/>
    <mergeCell ref="EM2:EN2"/>
    <mergeCell ref="EP2:EQ2"/>
    <mergeCell ref="EP8:EQ12"/>
    <mergeCell ref="EH3:EH4"/>
    <mergeCell ref="EH2:EK2"/>
  </mergeCells>
  <pageMargins left="0.511811024" right="0.511811024" top="0.78740157499999996" bottom="0.78740157499999996" header="0.31496062000000002" footer="0.31496062000000002"/>
  <pageSetup paperSize="9" orientation="portrait" r:id="rId1"/>
  <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ilha13"/>
  <dimension ref="B1:EL88"/>
  <sheetViews>
    <sheetView topLeftCell="CR1" zoomScale="70" zoomScaleNormal="70" workbookViewId="0">
      <selection activeCell="DB11" sqref="DB11"/>
    </sheetView>
  </sheetViews>
  <sheetFormatPr defaultRowHeight="14.5" x14ac:dyDescent="0.35"/>
  <cols>
    <col min="1" max="1" width="1.7265625" customWidth="1"/>
    <col min="2" max="2" width="27.7265625" customWidth="1"/>
    <col min="3" max="3" width="24.7265625" customWidth="1"/>
    <col min="4" max="4" width="49.453125" customWidth="1"/>
    <col min="6" max="6" width="14.453125" customWidth="1"/>
    <col min="7" max="7" width="9.1796875" customWidth="1"/>
    <col min="8" max="8" width="11.1796875" customWidth="1"/>
    <col min="9" max="9" width="8" customWidth="1"/>
    <col min="10" max="11" width="12" customWidth="1"/>
    <col min="12" max="12" width="13" customWidth="1"/>
    <col min="13" max="14" width="13.26953125" customWidth="1"/>
    <col min="15" max="15" width="14.1796875" customWidth="1"/>
    <col min="16" max="16" width="15.453125" customWidth="1"/>
    <col min="17" max="17" width="13.453125" customWidth="1"/>
    <col min="21" max="21" width="32.1796875" customWidth="1"/>
    <col min="22" max="22" width="32.1796875" bestFit="1" customWidth="1"/>
    <col min="23" max="23" width="47.453125" customWidth="1"/>
    <col min="24" max="24" width="12.7265625" customWidth="1"/>
    <col min="25" max="25" width="20.81640625" customWidth="1"/>
    <col min="26" max="26" width="17.1796875" customWidth="1"/>
    <col min="27" max="27" width="10.26953125" customWidth="1"/>
    <col min="28" max="28" width="9" customWidth="1"/>
    <col min="29" max="29" width="17.453125" customWidth="1"/>
    <col min="30" max="30" width="8" customWidth="1"/>
    <col min="32" max="32" width="76.453125" customWidth="1"/>
    <col min="33" max="33" width="25.1796875" customWidth="1"/>
    <col min="35" max="35" width="10.7265625" customWidth="1"/>
    <col min="36" max="36" width="10.1796875" customWidth="1"/>
    <col min="37" max="37" width="39.81640625" customWidth="1"/>
    <col min="38" max="38" width="23.7265625" customWidth="1"/>
    <col min="40" max="40" width="20.81640625" customWidth="1"/>
    <col min="41" max="42" width="17.1796875" customWidth="1"/>
    <col min="43" max="43" width="33.453125" customWidth="1"/>
    <col min="44" max="44" width="11" customWidth="1"/>
    <col min="45" max="45" width="9" customWidth="1"/>
    <col min="47" max="47" width="13.1796875" customWidth="1"/>
    <col min="48" max="48" width="10.26953125" customWidth="1"/>
    <col min="49" max="64" width="6.54296875" customWidth="1"/>
    <col min="66" max="66" width="13.1796875" customWidth="1"/>
    <col min="67" max="67" width="10.26953125" customWidth="1"/>
    <col min="68" max="83" width="6.54296875" customWidth="1"/>
    <col min="85" max="85" width="45" customWidth="1"/>
    <col min="86" max="86" width="35.1796875" customWidth="1"/>
    <col min="87" max="87" width="22" customWidth="1"/>
    <col min="89" max="89" width="29.54296875" customWidth="1"/>
    <col min="90" max="90" width="12.1796875" customWidth="1"/>
    <col min="91" max="91" width="14.81640625" customWidth="1"/>
    <col min="92" max="92" width="14" customWidth="1"/>
    <col min="93" max="93" width="14.81640625" customWidth="1"/>
    <col min="95" max="95" width="29.54296875" customWidth="1"/>
    <col min="96" max="96" width="13.54296875" customWidth="1"/>
    <col min="97" max="97" width="12.81640625" customWidth="1"/>
    <col min="98" max="98" width="14.453125" customWidth="1"/>
    <col min="99" max="99" width="13.1796875" customWidth="1"/>
    <col min="101" max="101" width="15.453125" customWidth="1"/>
    <col min="102" max="102" width="10.1796875" customWidth="1"/>
    <col min="103" max="103" width="12.1796875" customWidth="1"/>
    <col min="104" max="104" width="10" customWidth="1"/>
    <col min="106" max="106" width="10.54296875" customWidth="1"/>
    <col min="119" max="119" width="16.7265625" bestFit="1" customWidth="1"/>
    <col min="120" max="120" width="14.54296875" bestFit="1" customWidth="1"/>
    <col min="122" max="122" width="10.26953125" bestFit="1" customWidth="1"/>
    <col min="124" max="124" width="10.7265625" bestFit="1" customWidth="1"/>
    <col min="126" max="126" width="26.81640625" bestFit="1" customWidth="1"/>
    <col min="127" max="127" width="10.81640625" customWidth="1"/>
    <col min="128" max="128" width="26.81640625" customWidth="1"/>
    <col min="129" max="129" width="10.7265625" bestFit="1" customWidth="1"/>
    <col min="131" max="131" width="16.7265625" bestFit="1" customWidth="1"/>
    <col min="132" max="132" width="14.54296875" bestFit="1" customWidth="1"/>
    <col min="134" max="134" width="10.26953125" bestFit="1" customWidth="1"/>
    <col min="136" max="136" width="10.7265625" bestFit="1" customWidth="1"/>
    <col min="138" max="138" width="27.7265625" customWidth="1"/>
    <col min="139" max="139" width="8" customWidth="1"/>
    <col min="140" max="140" width="10.1796875" bestFit="1" customWidth="1"/>
    <col min="141" max="141" width="8.453125" customWidth="1"/>
    <col min="142" max="142" width="35.54296875" customWidth="1"/>
  </cols>
  <sheetData>
    <row r="1" spans="2:142" ht="9" customHeight="1" thickBot="1" x14ac:dyDescent="0.4"/>
    <row r="2" spans="2:142" ht="15" thickBot="1" x14ac:dyDescent="0.4">
      <c r="B2" s="779" t="s">
        <v>0</v>
      </c>
      <c r="C2" s="780"/>
      <c r="D2" s="781"/>
      <c r="E2" s="3"/>
      <c r="F2" s="808" t="s">
        <v>50</v>
      </c>
      <c r="G2" s="809"/>
      <c r="H2" s="809"/>
      <c r="I2" s="809"/>
      <c r="J2" s="809"/>
      <c r="K2" s="809"/>
      <c r="L2" s="809"/>
      <c r="M2" s="809"/>
      <c r="N2" s="809"/>
      <c r="O2" s="809"/>
      <c r="P2" s="809"/>
      <c r="Q2" s="809"/>
      <c r="R2" s="810"/>
      <c r="S2" s="68"/>
      <c r="U2" s="808" t="s">
        <v>77</v>
      </c>
      <c r="V2" s="809"/>
      <c r="W2" s="810"/>
      <c r="Y2" s="779" t="s">
        <v>156</v>
      </c>
      <c r="Z2" s="780"/>
      <c r="AA2" s="780"/>
      <c r="AB2" s="780"/>
      <c r="AC2" s="780"/>
      <c r="AD2" s="781"/>
      <c r="AF2" s="779" t="s">
        <v>291</v>
      </c>
      <c r="AG2" s="781"/>
      <c r="AI2" s="757" t="s">
        <v>302</v>
      </c>
      <c r="AJ2" s="767"/>
      <c r="AK2" s="767"/>
      <c r="AL2" s="758"/>
      <c r="AN2" s="779" t="s">
        <v>322</v>
      </c>
      <c r="AO2" s="780"/>
      <c r="AP2" s="780"/>
      <c r="AQ2" s="780"/>
      <c r="AR2" s="780"/>
      <c r="AS2" s="781"/>
      <c r="AU2" s="779" t="s">
        <v>395</v>
      </c>
      <c r="AV2" s="780"/>
      <c r="AW2" s="780"/>
      <c r="AX2" s="780"/>
      <c r="AY2" s="780"/>
      <c r="AZ2" s="780"/>
      <c r="BA2" s="780"/>
      <c r="BB2" s="780"/>
      <c r="BC2" s="780"/>
      <c r="BD2" s="780"/>
      <c r="BE2" s="780"/>
      <c r="BF2" s="780"/>
      <c r="BG2" s="780"/>
      <c r="BH2" s="780"/>
      <c r="BI2" s="780"/>
      <c r="BJ2" s="780"/>
      <c r="BK2" s="780"/>
      <c r="BL2" s="781"/>
      <c r="BN2" s="779" t="s">
        <v>394</v>
      </c>
      <c r="BO2" s="780"/>
      <c r="BP2" s="780"/>
      <c r="BQ2" s="780"/>
      <c r="BR2" s="780"/>
      <c r="BS2" s="780"/>
      <c r="BT2" s="780"/>
      <c r="BU2" s="780"/>
      <c r="BV2" s="780"/>
      <c r="BW2" s="780"/>
      <c r="BX2" s="780"/>
      <c r="BY2" s="780"/>
      <c r="BZ2" s="780"/>
      <c r="CA2" s="780"/>
      <c r="CB2" s="780"/>
      <c r="CC2" s="780"/>
      <c r="CD2" s="780"/>
      <c r="CE2" s="781"/>
      <c r="CG2" s="779" t="s">
        <v>363</v>
      </c>
      <c r="CH2" s="780"/>
      <c r="CI2" s="781"/>
      <c r="CK2" s="804" t="s">
        <v>539</v>
      </c>
      <c r="CL2" s="852"/>
      <c r="CM2" s="852"/>
      <c r="CN2" s="852"/>
      <c r="CO2" s="805"/>
      <c r="CQ2" s="804" t="s">
        <v>540</v>
      </c>
      <c r="CR2" s="852"/>
      <c r="CS2" s="852"/>
      <c r="CT2" s="852"/>
      <c r="CU2" s="805"/>
      <c r="CW2" s="849" t="s">
        <v>518</v>
      </c>
      <c r="CX2" s="850"/>
      <c r="CY2" s="850"/>
      <c r="CZ2" s="850"/>
      <c r="DA2" s="850"/>
      <c r="DB2" s="850"/>
      <c r="DC2" s="851"/>
      <c r="DE2" s="849" t="s">
        <v>1338</v>
      </c>
      <c r="DF2" s="850"/>
      <c r="DG2" s="850"/>
      <c r="DH2" s="850"/>
      <c r="DI2" s="850"/>
      <c r="DJ2" s="850"/>
      <c r="DK2" s="850"/>
      <c r="DL2" s="850"/>
      <c r="DM2" s="851"/>
      <c r="DO2" s="849" t="s">
        <v>1339</v>
      </c>
      <c r="DP2" s="850"/>
      <c r="DQ2" s="850"/>
      <c r="DR2" s="850"/>
      <c r="DS2" s="850"/>
      <c r="DT2" s="851"/>
      <c r="DV2" s="858" t="s">
        <v>1343</v>
      </c>
      <c r="DW2" s="859"/>
      <c r="DX2" s="859"/>
      <c r="DY2" s="860"/>
      <c r="EA2" s="849" t="s">
        <v>1383</v>
      </c>
      <c r="EB2" s="850"/>
      <c r="EC2" s="850"/>
      <c r="ED2" s="850"/>
      <c r="EE2" s="850"/>
      <c r="EF2" s="851"/>
      <c r="EH2" s="779" t="s">
        <v>1387</v>
      </c>
      <c r="EI2" s="780"/>
      <c r="EJ2" s="780"/>
      <c r="EK2" s="780"/>
      <c r="EL2" s="781"/>
    </row>
    <row r="3" spans="2:142" ht="45.75" customHeight="1" thickBot="1" x14ac:dyDescent="0.4">
      <c r="B3" s="14" t="s">
        <v>1</v>
      </c>
      <c r="C3" s="15" t="s">
        <v>386</v>
      </c>
      <c r="D3" s="16" t="s">
        <v>2</v>
      </c>
      <c r="F3" s="14" t="s">
        <v>86</v>
      </c>
      <c r="G3" s="28" t="s">
        <v>84</v>
      </c>
      <c r="H3" s="15" t="s">
        <v>85</v>
      </c>
      <c r="I3" s="15" t="s">
        <v>59</v>
      </c>
      <c r="J3" s="15" t="s">
        <v>58</v>
      </c>
      <c r="K3" s="69" t="s">
        <v>272</v>
      </c>
      <c r="L3" s="15" t="s">
        <v>52</v>
      </c>
      <c r="M3" s="13" t="s">
        <v>53</v>
      </c>
      <c r="N3" s="13" t="s">
        <v>54</v>
      </c>
      <c r="O3" s="13" t="s">
        <v>55</v>
      </c>
      <c r="P3" s="13" t="s">
        <v>56</v>
      </c>
      <c r="Q3" s="13" t="s">
        <v>57</v>
      </c>
      <c r="R3" s="29" t="s">
        <v>101</v>
      </c>
      <c r="S3" s="55"/>
      <c r="U3" s="33" t="s">
        <v>78</v>
      </c>
      <c r="V3" s="34" t="s">
        <v>79</v>
      </c>
      <c r="W3" s="35" t="s">
        <v>80</v>
      </c>
      <c r="Y3" s="33" t="s">
        <v>148</v>
      </c>
      <c r="Z3" s="34" t="s">
        <v>149</v>
      </c>
      <c r="AA3" s="845" t="s">
        <v>150</v>
      </c>
      <c r="AB3" s="846"/>
      <c r="AC3" s="845" t="s">
        <v>151</v>
      </c>
      <c r="AD3" s="847"/>
      <c r="AF3" s="70" t="s">
        <v>292</v>
      </c>
      <c r="AG3" s="74" t="s">
        <v>300</v>
      </c>
      <c r="AI3" s="726" t="s">
        <v>303</v>
      </c>
      <c r="AJ3" s="730"/>
      <c r="AK3" s="82" t="s">
        <v>306</v>
      </c>
      <c r="AL3" s="83" t="s">
        <v>312</v>
      </c>
      <c r="AN3" s="81" t="s">
        <v>323</v>
      </c>
      <c r="AO3" s="15" t="s">
        <v>324</v>
      </c>
      <c r="AP3" s="15"/>
      <c r="AQ3" s="78" t="s">
        <v>325</v>
      </c>
      <c r="AR3" s="78" t="s">
        <v>327</v>
      </c>
      <c r="AS3" s="77" t="s">
        <v>326</v>
      </c>
      <c r="AU3" s="777" t="s">
        <v>86</v>
      </c>
      <c r="AV3" s="833" t="s">
        <v>381</v>
      </c>
      <c r="AW3" s="730" t="s">
        <v>387</v>
      </c>
      <c r="AX3" s="730"/>
      <c r="AY3" s="730"/>
      <c r="AZ3" s="730"/>
      <c r="BA3" s="730"/>
      <c r="BB3" s="730"/>
      <c r="BC3" s="730"/>
      <c r="BD3" s="730"/>
      <c r="BE3" s="730" t="s">
        <v>421</v>
      </c>
      <c r="BF3" s="730"/>
      <c r="BG3" s="730"/>
      <c r="BH3" s="730"/>
      <c r="BI3" s="730"/>
      <c r="BJ3" s="730"/>
      <c r="BK3" s="730"/>
      <c r="BL3" s="731"/>
      <c r="BN3" s="777" t="s">
        <v>86</v>
      </c>
      <c r="BO3" s="833" t="s">
        <v>381</v>
      </c>
      <c r="BP3" s="730" t="s">
        <v>387</v>
      </c>
      <c r="BQ3" s="730"/>
      <c r="BR3" s="730"/>
      <c r="BS3" s="730"/>
      <c r="BT3" s="730"/>
      <c r="BU3" s="730"/>
      <c r="BV3" s="730"/>
      <c r="BW3" s="730"/>
      <c r="BX3" s="730" t="s">
        <v>421</v>
      </c>
      <c r="BY3" s="730"/>
      <c r="BZ3" s="730"/>
      <c r="CA3" s="730"/>
      <c r="CB3" s="730"/>
      <c r="CC3" s="730"/>
      <c r="CD3" s="730"/>
      <c r="CE3" s="731"/>
      <c r="CG3" s="89" t="s">
        <v>364</v>
      </c>
      <c r="CH3" s="88" t="s">
        <v>365</v>
      </c>
      <c r="CI3" s="86" t="s">
        <v>374</v>
      </c>
      <c r="CK3" s="726" t="s">
        <v>533</v>
      </c>
      <c r="CL3" s="728" t="s">
        <v>534</v>
      </c>
      <c r="CM3" s="729"/>
      <c r="CN3" s="730" t="s">
        <v>535</v>
      </c>
      <c r="CO3" s="731"/>
      <c r="CQ3" s="726" t="s">
        <v>533</v>
      </c>
      <c r="CR3" s="728" t="s">
        <v>35</v>
      </c>
      <c r="CS3" s="729"/>
      <c r="CT3" s="730" t="s">
        <v>36</v>
      </c>
      <c r="CU3" s="731"/>
      <c r="CW3" s="726" t="s">
        <v>519</v>
      </c>
      <c r="CX3" s="105"/>
      <c r="CY3" s="730" t="s">
        <v>520</v>
      </c>
      <c r="CZ3" s="730" t="s">
        <v>521</v>
      </c>
      <c r="DA3" s="730"/>
      <c r="DB3" s="730" t="s">
        <v>522</v>
      </c>
      <c r="DC3" s="731"/>
      <c r="DO3" s="861" t="s">
        <v>107</v>
      </c>
      <c r="DP3" s="862" t="s">
        <v>108</v>
      </c>
      <c r="DQ3" s="863" t="s">
        <v>1340</v>
      </c>
      <c r="DR3" s="864"/>
      <c r="DS3" s="864"/>
      <c r="DT3" s="865"/>
      <c r="DV3" s="81" t="s">
        <v>1137</v>
      </c>
      <c r="DW3" s="15" t="s">
        <v>1344</v>
      </c>
      <c r="DX3" s="15" t="s">
        <v>1137</v>
      </c>
      <c r="DY3" s="29" t="s">
        <v>1344</v>
      </c>
      <c r="EA3" s="861" t="s">
        <v>107</v>
      </c>
      <c r="EB3" s="862" t="s">
        <v>108</v>
      </c>
      <c r="EC3" s="863" t="s">
        <v>1384</v>
      </c>
      <c r="ED3" s="864"/>
      <c r="EE3" s="864"/>
      <c r="EF3" s="865"/>
      <c r="EH3" s="14" t="s">
        <v>86</v>
      </c>
      <c r="EI3" s="534" t="s">
        <v>84</v>
      </c>
      <c r="EJ3" s="534" t="s">
        <v>1419</v>
      </c>
      <c r="EK3" s="15" t="s">
        <v>950</v>
      </c>
      <c r="EL3" s="29" t="s">
        <v>1388</v>
      </c>
    </row>
    <row r="4" spans="2:142" ht="30" customHeight="1" thickBot="1" x14ac:dyDescent="0.4">
      <c r="B4" s="24" t="s">
        <v>693</v>
      </c>
      <c r="C4" s="25" t="s">
        <v>15</v>
      </c>
      <c r="D4" s="4" t="s">
        <v>16</v>
      </c>
      <c r="F4" s="24" t="s">
        <v>693</v>
      </c>
      <c r="G4" s="25">
        <v>23</v>
      </c>
      <c r="H4" s="46">
        <v>250.512</v>
      </c>
      <c r="I4" s="25">
        <v>-125</v>
      </c>
      <c r="J4" s="25" t="s">
        <v>60</v>
      </c>
      <c r="K4" s="25" t="s">
        <v>269</v>
      </c>
      <c r="L4" s="32">
        <f>M4+N4*$R$39+O4*POWER($R$39,2)+P4*POWER($R$39,3)</f>
        <v>49.275675726904865</v>
      </c>
      <c r="M4" s="26">
        <v>12.3</v>
      </c>
      <c r="N4" s="26">
        <v>0.11499999999999999</v>
      </c>
      <c r="O4" s="26">
        <v>-2.8700000000000003E-5</v>
      </c>
      <c r="P4" s="26">
        <v>-1.3000000000000001E-9</v>
      </c>
      <c r="Q4" s="25" t="s">
        <v>61</v>
      </c>
      <c r="R4" s="27">
        <v>558</v>
      </c>
      <c r="S4" s="55"/>
      <c r="U4" s="274" t="s">
        <v>60</v>
      </c>
      <c r="V4" s="38" t="s">
        <v>60</v>
      </c>
      <c r="W4" s="39" t="s">
        <v>81</v>
      </c>
      <c r="Y4" s="37">
        <v>1</v>
      </c>
      <c r="Z4" s="38" t="s">
        <v>110</v>
      </c>
      <c r="AA4" s="56" t="s">
        <v>152</v>
      </c>
      <c r="AB4" s="56">
        <v>0</v>
      </c>
      <c r="AC4" s="38" t="s">
        <v>157</v>
      </c>
      <c r="AD4" s="59">
        <v>6.4</v>
      </c>
      <c r="AF4" s="71" t="s">
        <v>293</v>
      </c>
      <c r="AG4" s="41" t="s">
        <v>278</v>
      </c>
      <c r="AI4" s="75" t="s">
        <v>304</v>
      </c>
      <c r="AJ4" s="76" t="s">
        <v>305</v>
      </c>
      <c r="AK4" s="84"/>
      <c r="AL4" s="85"/>
      <c r="AN4" s="64" t="s">
        <v>278</v>
      </c>
      <c r="AO4" s="65" t="s">
        <v>278</v>
      </c>
      <c r="AP4" s="65" t="str">
        <f t="shared" ref="AP4:AP30" si="0">CONCATENATE(AN4,AO4)</f>
        <v>AA</v>
      </c>
      <c r="AQ4" s="79" t="s">
        <v>328</v>
      </c>
      <c r="AR4" s="79">
        <v>20</v>
      </c>
      <c r="AS4" s="80">
        <v>6.4</v>
      </c>
      <c r="AU4" s="823"/>
      <c r="AV4" s="834"/>
      <c r="AW4" s="835" t="s">
        <v>388</v>
      </c>
      <c r="AX4" s="836"/>
      <c r="AY4" s="836"/>
      <c r="AZ4" s="837"/>
      <c r="BA4" s="835" t="s">
        <v>389</v>
      </c>
      <c r="BB4" s="836"/>
      <c r="BC4" s="836"/>
      <c r="BD4" s="837"/>
      <c r="BE4" s="835" t="s">
        <v>390</v>
      </c>
      <c r="BF4" s="836"/>
      <c r="BG4" s="836"/>
      <c r="BH4" s="837"/>
      <c r="BI4" s="835" t="s">
        <v>391</v>
      </c>
      <c r="BJ4" s="836"/>
      <c r="BK4" s="836"/>
      <c r="BL4" s="838"/>
      <c r="BN4" s="823"/>
      <c r="BO4" s="834"/>
      <c r="BP4" s="835" t="s">
        <v>388</v>
      </c>
      <c r="BQ4" s="836"/>
      <c r="BR4" s="836"/>
      <c r="BS4" s="837"/>
      <c r="BT4" s="835" t="s">
        <v>389</v>
      </c>
      <c r="BU4" s="836"/>
      <c r="BV4" s="836"/>
      <c r="BW4" s="837"/>
      <c r="BX4" s="835" t="s">
        <v>390</v>
      </c>
      <c r="BY4" s="836"/>
      <c r="BZ4" s="836"/>
      <c r="CA4" s="837"/>
      <c r="CB4" s="835" t="s">
        <v>391</v>
      </c>
      <c r="CC4" s="836"/>
      <c r="CD4" s="836"/>
      <c r="CE4" s="838"/>
      <c r="CG4" s="54" t="s">
        <v>366</v>
      </c>
      <c r="CH4" s="36" t="s">
        <v>370</v>
      </c>
      <c r="CI4" s="36">
        <v>0.25</v>
      </c>
      <c r="CK4" s="727"/>
      <c r="CL4" s="90" t="s">
        <v>536</v>
      </c>
      <c r="CM4" s="90" t="s">
        <v>537</v>
      </c>
      <c r="CN4" s="90" t="s">
        <v>536</v>
      </c>
      <c r="CO4" s="91" t="s">
        <v>537</v>
      </c>
      <c r="CQ4" s="727"/>
      <c r="CR4" s="90" t="s">
        <v>523</v>
      </c>
      <c r="CS4" s="90" t="s">
        <v>524</v>
      </c>
      <c r="CT4" s="90" t="s">
        <v>523</v>
      </c>
      <c r="CU4" s="91" t="s">
        <v>524</v>
      </c>
      <c r="CW4" s="727"/>
      <c r="CX4" s="106"/>
      <c r="CY4" s="848"/>
      <c r="CZ4" s="90" t="s">
        <v>523</v>
      </c>
      <c r="DA4" s="90" t="s">
        <v>524</v>
      </c>
      <c r="DB4" s="90" t="s">
        <v>523</v>
      </c>
      <c r="DC4" s="91" t="s">
        <v>524</v>
      </c>
      <c r="DO4" s="727"/>
      <c r="DP4" s="848"/>
      <c r="DQ4" s="516" t="s">
        <v>110</v>
      </c>
      <c r="DR4" s="516" t="s">
        <v>111</v>
      </c>
      <c r="DS4" s="516" t="s">
        <v>112</v>
      </c>
      <c r="DT4" s="91" t="s">
        <v>113</v>
      </c>
      <c r="DV4" s="530" t="s">
        <v>1356</v>
      </c>
      <c r="DW4" s="223">
        <v>1</v>
      </c>
      <c r="DX4" s="531" t="s">
        <v>1370</v>
      </c>
      <c r="DY4" s="27">
        <v>6.4</v>
      </c>
      <c r="EA4" s="727"/>
      <c r="EB4" s="848"/>
      <c r="EC4" s="516" t="s">
        <v>110</v>
      </c>
      <c r="ED4" s="516" t="s">
        <v>111</v>
      </c>
      <c r="EE4" s="516" t="s">
        <v>112</v>
      </c>
      <c r="EF4" s="91" t="s">
        <v>113</v>
      </c>
      <c r="EH4" s="24" t="s">
        <v>693</v>
      </c>
      <c r="EI4" s="535"/>
      <c r="EJ4" s="535"/>
      <c r="EK4" s="25"/>
      <c r="EL4" s="27">
        <v>1</v>
      </c>
    </row>
    <row r="5" spans="2:142" ht="30.75" customHeight="1" x14ac:dyDescent="0.35">
      <c r="B5" s="19" t="s">
        <v>694</v>
      </c>
      <c r="C5" s="17" t="s">
        <v>15</v>
      </c>
      <c r="D5" s="5" t="s">
        <v>17</v>
      </c>
      <c r="F5" s="19" t="s">
        <v>694</v>
      </c>
      <c r="G5" s="17">
        <v>51</v>
      </c>
      <c r="H5" s="46">
        <v>538.37900000000002</v>
      </c>
      <c r="I5" s="17">
        <v>-21</v>
      </c>
      <c r="J5" s="17" t="s">
        <v>60</v>
      </c>
      <c r="K5" s="25" t="s">
        <v>269</v>
      </c>
      <c r="L5" s="32">
        <f>M5+N5*$R$39+O5*POWER($R$39,2)+P5*POWER($R$39,3)</f>
        <v>99.027138663248863</v>
      </c>
      <c r="M5" s="18">
        <v>2.6320000000000001</v>
      </c>
      <c r="N5" s="17">
        <v>0.31879999999999997</v>
      </c>
      <c r="O5" s="17">
        <v>-1.3500000000000003E-4</v>
      </c>
      <c r="P5" s="17">
        <v>1.4699999999999999E-8</v>
      </c>
      <c r="Q5" s="17" t="s">
        <v>61</v>
      </c>
      <c r="R5" s="20">
        <v>369</v>
      </c>
      <c r="S5" s="55"/>
      <c r="U5" s="40" t="s">
        <v>60</v>
      </c>
      <c r="V5" s="36" t="s">
        <v>51</v>
      </c>
      <c r="W5" s="41" t="s">
        <v>81</v>
      </c>
      <c r="Y5" s="40">
        <v>2</v>
      </c>
      <c r="Z5" s="36" t="s">
        <v>111</v>
      </c>
      <c r="AA5" s="57" t="s">
        <v>153</v>
      </c>
      <c r="AB5" s="57">
        <v>6.4</v>
      </c>
      <c r="AC5" s="62" t="s">
        <v>160</v>
      </c>
      <c r="AD5" s="60">
        <v>25</v>
      </c>
      <c r="AF5" s="71" t="s">
        <v>294</v>
      </c>
      <c r="AG5" s="41" t="s">
        <v>279</v>
      </c>
      <c r="AI5" s="40" t="s">
        <v>278</v>
      </c>
      <c r="AJ5" s="36" t="s">
        <v>278</v>
      </c>
      <c r="AK5" s="36" t="s">
        <v>307</v>
      </c>
      <c r="AL5" s="41">
        <v>0.25</v>
      </c>
      <c r="AN5" s="40" t="s">
        <v>278</v>
      </c>
      <c r="AO5" s="36" t="s">
        <v>279</v>
      </c>
      <c r="AP5" s="36" t="str">
        <f t="shared" si="0"/>
        <v>AB</v>
      </c>
      <c r="AQ5" s="57" t="s">
        <v>331</v>
      </c>
      <c r="AR5" s="57">
        <v>30</v>
      </c>
      <c r="AS5" s="41">
        <v>6.4</v>
      </c>
      <c r="AU5" s="823"/>
      <c r="AV5" s="834"/>
      <c r="AW5" s="835" t="s">
        <v>60</v>
      </c>
      <c r="AX5" s="837"/>
      <c r="AY5" s="835" t="s">
        <v>51</v>
      </c>
      <c r="AZ5" s="837"/>
      <c r="BA5" s="835" t="s">
        <v>60</v>
      </c>
      <c r="BB5" s="837"/>
      <c r="BC5" s="835" t="s">
        <v>51</v>
      </c>
      <c r="BD5" s="837"/>
      <c r="BE5" s="835" t="s">
        <v>60</v>
      </c>
      <c r="BF5" s="837"/>
      <c r="BG5" s="835" t="s">
        <v>51</v>
      </c>
      <c r="BH5" s="837"/>
      <c r="BI5" s="835" t="s">
        <v>60</v>
      </c>
      <c r="BJ5" s="837"/>
      <c r="BK5" s="835" t="s">
        <v>51</v>
      </c>
      <c r="BL5" s="838"/>
      <c r="BN5" s="823"/>
      <c r="BO5" s="834"/>
      <c r="BP5" s="835" t="s">
        <v>60</v>
      </c>
      <c r="BQ5" s="837"/>
      <c r="BR5" s="835" t="s">
        <v>51</v>
      </c>
      <c r="BS5" s="837"/>
      <c r="BT5" s="835" t="s">
        <v>60</v>
      </c>
      <c r="BU5" s="837"/>
      <c r="BV5" s="835" t="s">
        <v>51</v>
      </c>
      <c r="BW5" s="837"/>
      <c r="BX5" s="835" t="s">
        <v>60</v>
      </c>
      <c r="BY5" s="837"/>
      <c r="BZ5" s="835" t="s">
        <v>51</v>
      </c>
      <c r="CA5" s="837"/>
      <c r="CB5" s="835" t="s">
        <v>60</v>
      </c>
      <c r="CC5" s="837"/>
      <c r="CD5" s="835" t="s">
        <v>51</v>
      </c>
      <c r="CE5" s="838"/>
      <c r="CG5" s="36" t="s">
        <v>367</v>
      </c>
      <c r="CH5" s="36" t="s">
        <v>371</v>
      </c>
      <c r="CI5" s="36">
        <v>0.2</v>
      </c>
      <c r="CK5" s="37">
        <v>5</v>
      </c>
      <c r="CL5" s="108">
        <v>1.1400999999999999</v>
      </c>
      <c r="CM5" s="108">
        <v>3.5682999999999998</v>
      </c>
      <c r="CN5" s="108">
        <v>1.2411000000000001</v>
      </c>
      <c r="CO5" s="121">
        <v>3.9685999999999999</v>
      </c>
      <c r="CQ5" s="37">
        <v>5</v>
      </c>
      <c r="CR5" s="124">
        <v>636.70000000000005</v>
      </c>
      <c r="CS5" s="128">
        <v>1.1830000000000001</v>
      </c>
      <c r="CT5" s="126">
        <v>3350</v>
      </c>
      <c r="CU5" s="130">
        <v>1.097</v>
      </c>
      <c r="CW5" s="107" t="s">
        <v>525</v>
      </c>
      <c r="CX5" s="109" t="s">
        <v>67</v>
      </c>
      <c r="CY5" s="38" t="s">
        <v>526</v>
      </c>
      <c r="CZ5" s="108">
        <v>3.4531000000000001</v>
      </c>
      <c r="DA5" s="38">
        <v>0.94110000000000005</v>
      </c>
      <c r="DB5" s="38" t="s">
        <v>61</v>
      </c>
      <c r="DC5" s="39" t="s">
        <v>61</v>
      </c>
      <c r="DO5" s="92" t="s">
        <v>115</v>
      </c>
      <c r="DP5" s="223" t="s">
        <v>116</v>
      </c>
      <c r="DQ5" s="93">
        <v>10000</v>
      </c>
      <c r="DR5" s="93">
        <v>20000</v>
      </c>
      <c r="DS5" s="93">
        <v>100000</v>
      </c>
      <c r="DT5" s="527">
        <v>300000</v>
      </c>
      <c r="DV5" s="528" t="s">
        <v>1357</v>
      </c>
      <c r="DW5" s="514">
        <v>1.2</v>
      </c>
      <c r="DX5" s="532" t="s">
        <v>1371</v>
      </c>
      <c r="DY5" s="20">
        <v>6.8</v>
      </c>
      <c r="EA5" s="92" t="s">
        <v>115</v>
      </c>
      <c r="EB5" s="223" t="s">
        <v>116</v>
      </c>
      <c r="EC5" s="93">
        <v>0</v>
      </c>
      <c r="ED5" s="93">
        <v>3</v>
      </c>
      <c r="EE5" s="93">
        <v>7</v>
      </c>
      <c r="EF5" s="527">
        <v>0</v>
      </c>
      <c r="EH5" s="19" t="s">
        <v>694</v>
      </c>
      <c r="EI5" s="515"/>
      <c r="EJ5" s="515"/>
      <c r="EK5" s="514"/>
      <c r="EL5" s="20">
        <v>1</v>
      </c>
    </row>
    <row r="6" spans="2:142" ht="29.5" thickBot="1" x14ac:dyDescent="0.4">
      <c r="B6" s="19" t="s">
        <v>173</v>
      </c>
      <c r="C6" s="17" t="s">
        <v>15</v>
      </c>
      <c r="D6" s="5" t="s">
        <v>18</v>
      </c>
      <c r="F6" s="19" t="s">
        <v>173</v>
      </c>
      <c r="G6" s="17">
        <v>72</v>
      </c>
      <c r="H6" s="46">
        <v>625.19899999999996</v>
      </c>
      <c r="I6" s="17">
        <v>36</v>
      </c>
      <c r="J6" s="17" t="s">
        <v>51</v>
      </c>
      <c r="K6" s="25" t="s">
        <v>269</v>
      </c>
      <c r="L6" s="32">
        <f>M6+N6*$R$39+O6*POWER($R$39,2)+P6*POWER($R$39,3)</f>
        <v>138.37239811868636</v>
      </c>
      <c r="M6" s="17">
        <v>-3.6259999999999999</v>
      </c>
      <c r="N6" s="17">
        <v>0.48730000000000001</v>
      </c>
      <c r="O6" s="17">
        <v>-2.6000000000000003E-4</v>
      </c>
      <c r="P6" s="17">
        <v>5.2999999999999998E-8</v>
      </c>
      <c r="Q6" s="17" t="s">
        <v>61</v>
      </c>
      <c r="R6" s="20">
        <v>284</v>
      </c>
      <c r="S6" s="55"/>
      <c r="U6" s="40" t="s">
        <v>51</v>
      </c>
      <c r="V6" s="36" t="s">
        <v>60</v>
      </c>
      <c r="W6" s="42" t="s">
        <v>83</v>
      </c>
      <c r="Y6" s="40">
        <v>3</v>
      </c>
      <c r="Z6" s="36" t="s">
        <v>112</v>
      </c>
      <c r="AA6" s="57" t="s">
        <v>154</v>
      </c>
      <c r="AB6" s="57">
        <v>51</v>
      </c>
      <c r="AC6" s="62" t="s">
        <v>159</v>
      </c>
      <c r="AD6" s="60">
        <v>102</v>
      </c>
      <c r="AF6" s="72" t="s">
        <v>295</v>
      </c>
      <c r="AG6" s="45" t="s">
        <v>280</v>
      </c>
      <c r="AI6" s="40" t="s">
        <v>278</v>
      </c>
      <c r="AJ6" s="36" t="s">
        <v>279</v>
      </c>
      <c r="AK6" s="36" t="s">
        <v>308</v>
      </c>
      <c r="AL6" s="41">
        <v>0.2</v>
      </c>
      <c r="AN6" s="40" t="s">
        <v>278</v>
      </c>
      <c r="AO6" s="36" t="s">
        <v>280</v>
      </c>
      <c r="AP6" s="36" t="str">
        <f t="shared" si="0"/>
        <v>AC</v>
      </c>
      <c r="AQ6" s="57" t="s">
        <v>334</v>
      </c>
      <c r="AR6" s="57">
        <v>40</v>
      </c>
      <c r="AS6" s="41">
        <v>6.4</v>
      </c>
      <c r="AU6" s="823"/>
      <c r="AV6" s="834"/>
      <c r="AW6" s="90" t="s">
        <v>392</v>
      </c>
      <c r="AX6" s="90" t="s">
        <v>393</v>
      </c>
      <c r="AY6" s="90" t="s">
        <v>392</v>
      </c>
      <c r="AZ6" s="90" t="s">
        <v>393</v>
      </c>
      <c r="BA6" s="90" t="s">
        <v>392</v>
      </c>
      <c r="BB6" s="90" t="s">
        <v>393</v>
      </c>
      <c r="BC6" s="90" t="s">
        <v>392</v>
      </c>
      <c r="BD6" s="90" t="s">
        <v>393</v>
      </c>
      <c r="BE6" s="90" t="s">
        <v>392</v>
      </c>
      <c r="BF6" s="90" t="s">
        <v>393</v>
      </c>
      <c r="BG6" s="90" t="s">
        <v>392</v>
      </c>
      <c r="BH6" s="90" t="s">
        <v>393</v>
      </c>
      <c r="BI6" s="90" t="s">
        <v>392</v>
      </c>
      <c r="BJ6" s="90" t="s">
        <v>393</v>
      </c>
      <c r="BK6" s="90" t="s">
        <v>392</v>
      </c>
      <c r="BL6" s="91" t="s">
        <v>393</v>
      </c>
      <c r="BN6" s="823"/>
      <c r="BO6" s="834"/>
      <c r="BP6" s="90" t="s">
        <v>392</v>
      </c>
      <c r="BQ6" s="90" t="s">
        <v>393</v>
      </c>
      <c r="BR6" s="90" t="s">
        <v>392</v>
      </c>
      <c r="BS6" s="90" t="s">
        <v>393</v>
      </c>
      <c r="BT6" s="90" t="s">
        <v>392</v>
      </c>
      <c r="BU6" s="90" t="s">
        <v>393</v>
      </c>
      <c r="BV6" s="90" t="s">
        <v>392</v>
      </c>
      <c r="BW6" s="90" t="s">
        <v>393</v>
      </c>
      <c r="BX6" s="90" t="s">
        <v>392</v>
      </c>
      <c r="BY6" s="90" t="s">
        <v>393</v>
      </c>
      <c r="BZ6" s="90" t="s">
        <v>392</v>
      </c>
      <c r="CA6" s="90" t="s">
        <v>393</v>
      </c>
      <c r="CB6" s="90" t="s">
        <v>392</v>
      </c>
      <c r="CC6" s="90" t="s">
        <v>393</v>
      </c>
      <c r="CD6" s="90" t="s">
        <v>392</v>
      </c>
      <c r="CE6" s="91" t="s">
        <v>393</v>
      </c>
      <c r="CG6" s="36" t="s">
        <v>368</v>
      </c>
      <c r="CH6" s="36" t="s">
        <v>372</v>
      </c>
      <c r="CI6" s="36">
        <v>0.05</v>
      </c>
      <c r="CK6" s="40">
        <v>10</v>
      </c>
      <c r="CL6" s="111">
        <v>1.1031</v>
      </c>
      <c r="CM6" s="111">
        <v>3.8431000000000002</v>
      </c>
      <c r="CN6" s="111">
        <v>1.2410000000000001</v>
      </c>
      <c r="CO6" s="122">
        <v>4.0948000000000002</v>
      </c>
      <c r="CQ6" s="64">
        <v>10</v>
      </c>
      <c r="CR6" s="125">
        <v>846.3</v>
      </c>
      <c r="CS6" s="129">
        <v>1.181</v>
      </c>
      <c r="CT6" s="127">
        <v>3518</v>
      </c>
      <c r="CU6" s="131">
        <v>1.095</v>
      </c>
      <c r="CW6" s="857" t="s">
        <v>527</v>
      </c>
      <c r="CX6" s="36" t="s">
        <v>65</v>
      </c>
      <c r="CY6" s="17">
        <v>3</v>
      </c>
      <c r="CZ6" s="36">
        <v>9.5500000000000007</v>
      </c>
      <c r="DA6" s="36">
        <v>1.1499999999999999</v>
      </c>
      <c r="DB6" s="36" t="s">
        <v>61</v>
      </c>
      <c r="DC6" s="41" t="s">
        <v>61</v>
      </c>
      <c r="DO6" s="19" t="s">
        <v>115</v>
      </c>
      <c r="DP6" s="514" t="s">
        <v>117</v>
      </c>
      <c r="DQ6" s="87">
        <v>5000</v>
      </c>
      <c r="DR6" s="87">
        <v>10000</v>
      </c>
      <c r="DS6" s="87">
        <v>50000</v>
      </c>
      <c r="DT6" s="5">
        <v>100000</v>
      </c>
      <c r="DV6" s="528" t="s">
        <v>1345</v>
      </c>
      <c r="DW6" s="514">
        <v>1.3</v>
      </c>
      <c r="DX6" s="532" t="s">
        <v>1372</v>
      </c>
      <c r="DY6" s="20">
        <v>7</v>
      </c>
      <c r="EA6" s="19" t="s">
        <v>115</v>
      </c>
      <c r="EB6" s="514" t="s">
        <v>117</v>
      </c>
      <c r="EC6" s="87">
        <v>0</v>
      </c>
      <c r="ED6" s="87">
        <v>3</v>
      </c>
      <c r="EE6" s="87">
        <v>7</v>
      </c>
      <c r="EF6" s="5">
        <v>0</v>
      </c>
      <c r="EH6" s="19" t="s">
        <v>173</v>
      </c>
      <c r="EI6" s="515"/>
      <c r="EJ6" s="515"/>
      <c r="EK6" s="514"/>
      <c r="EL6" s="20">
        <v>1</v>
      </c>
    </row>
    <row r="7" spans="2:142" ht="15.75" customHeight="1" thickBot="1" x14ac:dyDescent="0.4">
      <c r="B7" s="19" t="s">
        <v>695</v>
      </c>
      <c r="C7" s="17" t="s">
        <v>15</v>
      </c>
      <c r="D7" s="5" t="s">
        <v>19</v>
      </c>
      <c r="F7" s="19" t="s">
        <v>695</v>
      </c>
      <c r="G7" s="17">
        <v>100</v>
      </c>
      <c r="H7" s="46">
        <v>684.01800000000003</v>
      </c>
      <c r="I7" s="17">
        <v>99</v>
      </c>
      <c r="J7" s="17" t="s">
        <v>51</v>
      </c>
      <c r="K7" s="25" t="s">
        <v>269</v>
      </c>
      <c r="L7" s="32">
        <f t="shared" ref="L7:L12" si="1">M7+N7*$R$39+O7*POWER($R$39,2)+P7*POWER($R$39,3)</f>
        <v>191.43615282337507</v>
      </c>
      <c r="M7" s="17">
        <v>-5.1459999999999999</v>
      </c>
      <c r="N7" s="17">
        <v>0.67600000000000005</v>
      </c>
      <c r="O7" s="17">
        <v>-3.6499999999999998E-4</v>
      </c>
      <c r="P7" s="17">
        <v>7.6599999999999998E-8</v>
      </c>
      <c r="Q7" s="17" t="s">
        <v>61</v>
      </c>
      <c r="R7" s="20">
        <v>223</v>
      </c>
      <c r="S7" s="55"/>
      <c r="U7" s="43" t="s">
        <v>51</v>
      </c>
      <c r="V7" s="44" t="s">
        <v>51</v>
      </c>
      <c r="W7" s="45" t="s">
        <v>82</v>
      </c>
      <c r="Y7" s="43">
        <v>4</v>
      </c>
      <c r="Z7" s="44" t="s">
        <v>113</v>
      </c>
      <c r="AA7" s="58" t="s">
        <v>155</v>
      </c>
      <c r="AB7" s="58">
        <v>152</v>
      </c>
      <c r="AC7" s="63" t="s">
        <v>158</v>
      </c>
      <c r="AD7" s="61">
        <v>406</v>
      </c>
      <c r="AF7" s="70" t="s">
        <v>296</v>
      </c>
      <c r="AG7" s="74" t="s">
        <v>301</v>
      </c>
      <c r="AI7" s="40" t="s">
        <v>345</v>
      </c>
      <c r="AJ7" s="36" t="s">
        <v>280</v>
      </c>
      <c r="AK7" s="36" t="s">
        <v>309</v>
      </c>
      <c r="AL7" s="41">
        <v>0.1</v>
      </c>
      <c r="AN7" s="40" t="s">
        <v>279</v>
      </c>
      <c r="AO7" s="36" t="s">
        <v>278</v>
      </c>
      <c r="AP7" s="36" t="str">
        <f t="shared" si="0"/>
        <v>BA</v>
      </c>
      <c r="AQ7" s="57" t="s">
        <v>334</v>
      </c>
      <c r="AR7" s="57">
        <v>40</v>
      </c>
      <c r="AS7" s="41">
        <v>6.4</v>
      </c>
      <c r="AU7" s="92" t="s">
        <v>693</v>
      </c>
      <c r="AV7" s="93" t="s">
        <v>15</v>
      </c>
      <c r="AW7" s="93">
        <v>8.6690000000000005</v>
      </c>
      <c r="AX7" s="93">
        <v>0.98</v>
      </c>
      <c r="AY7" s="95"/>
      <c r="AZ7" s="95"/>
      <c r="BA7" s="93">
        <v>55.13</v>
      </c>
      <c r="BB7" s="93">
        <v>0.95</v>
      </c>
      <c r="BC7" s="95"/>
      <c r="BD7" s="95"/>
      <c r="BE7" s="93">
        <v>6.4690000000000003</v>
      </c>
      <c r="BF7" s="93">
        <v>0.67</v>
      </c>
      <c r="BG7" s="95"/>
      <c r="BH7" s="95"/>
      <c r="BI7" s="93">
        <v>163.69999999999999</v>
      </c>
      <c r="BJ7" s="93">
        <v>0.62</v>
      </c>
      <c r="BK7" s="95"/>
      <c r="BL7" s="97"/>
      <c r="BN7" s="92" t="s">
        <v>693</v>
      </c>
      <c r="BO7" s="93" t="s">
        <v>15</v>
      </c>
      <c r="BP7" s="93">
        <v>21.83</v>
      </c>
      <c r="BQ7" s="93">
        <v>0.96</v>
      </c>
      <c r="BR7" s="95"/>
      <c r="BS7" s="95"/>
      <c r="BT7" s="93">
        <v>143.19999999999999</v>
      </c>
      <c r="BU7" s="93">
        <v>0.92</v>
      </c>
      <c r="BV7" s="95"/>
      <c r="BW7" s="95"/>
      <c r="BX7" s="93">
        <v>12.46</v>
      </c>
      <c r="BY7" s="93">
        <v>0.67</v>
      </c>
      <c r="BZ7" s="95"/>
      <c r="CA7" s="95"/>
      <c r="CB7" s="93">
        <v>473.9</v>
      </c>
      <c r="CC7" s="93">
        <v>0.63</v>
      </c>
      <c r="CD7" s="95"/>
      <c r="CE7" s="97"/>
      <c r="CG7" s="276" t="s">
        <v>369</v>
      </c>
      <c r="CH7" s="276" t="s">
        <v>373</v>
      </c>
      <c r="CI7" s="276">
        <v>0.15</v>
      </c>
      <c r="CK7" s="40">
        <v>20</v>
      </c>
      <c r="CL7" s="117">
        <v>1.0815999999999999</v>
      </c>
      <c r="CM7" s="117">
        <v>4.1040000000000001</v>
      </c>
      <c r="CN7" s="117">
        <v>1.2370000000000001</v>
      </c>
      <c r="CO7" s="112">
        <v>4.2380000000000004</v>
      </c>
      <c r="CQ7" s="64">
        <v>15</v>
      </c>
      <c r="CR7" s="127">
        <v>1053</v>
      </c>
      <c r="CS7" s="129">
        <v>1.18</v>
      </c>
      <c r="CT7" s="127">
        <v>3798</v>
      </c>
      <c r="CU7" s="131">
        <v>1.0920000000000001</v>
      </c>
      <c r="CW7" s="857"/>
      <c r="CX7" s="36" t="s">
        <v>65</v>
      </c>
      <c r="CY7" s="17">
        <v>5</v>
      </c>
      <c r="CZ7" s="36">
        <v>60.09</v>
      </c>
      <c r="DA7" s="36">
        <v>1.06</v>
      </c>
      <c r="DB7" s="36" t="s">
        <v>61</v>
      </c>
      <c r="DC7" s="41" t="s">
        <v>61</v>
      </c>
      <c r="DO7" s="19" t="s">
        <v>119</v>
      </c>
      <c r="DP7" s="54" t="s">
        <v>120</v>
      </c>
      <c r="DQ7" s="87">
        <v>1000</v>
      </c>
      <c r="DR7" s="87">
        <v>2000</v>
      </c>
      <c r="DS7" s="87">
        <v>20000</v>
      </c>
      <c r="DT7" s="5">
        <v>60000</v>
      </c>
      <c r="DV7" s="528" t="s">
        <v>1346</v>
      </c>
      <c r="DW7" s="514">
        <v>1.7</v>
      </c>
      <c r="DX7" s="532" t="s">
        <v>1373</v>
      </c>
      <c r="DY7" s="20">
        <v>7.8</v>
      </c>
      <c r="EA7" s="19" t="s">
        <v>119</v>
      </c>
      <c r="EB7" s="54" t="s">
        <v>120</v>
      </c>
      <c r="EC7" s="87">
        <v>2</v>
      </c>
      <c r="ED7" s="87">
        <v>3</v>
      </c>
      <c r="EE7" s="87">
        <v>3</v>
      </c>
      <c r="EF7" s="5">
        <v>10</v>
      </c>
      <c r="EH7" s="19" t="s">
        <v>695</v>
      </c>
      <c r="EI7" s="515"/>
      <c r="EJ7" s="515"/>
      <c r="EK7" s="514"/>
      <c r="EL7" s="20">
        <v>0.9</v>
      </c>
    </row>
    <row r="8" spans="2:142" ht="15.75" customHeight="1" x14ac:dyDescent="0.35">
      <c r="B8" s="19" t="s">
        <v>696</v>
      </c>
      <c r="C8" s="17" t="s">
        <v>15</v>
      </c>
      <c r="D8" s="5" t="s">
        <v>20</v>
      </c>
      <c r="F8" s="19" t="s">
        <v>696</v>
      </c>
      <c r="G8" s="17">
        <v>149</v>
      </c>
      <c r="H8" s="46">
        <v>734.01199999999994</v>
      </c>
      <c r="I8" s="17">
        <v>184</v>
      </c>
      <c r="J8" s="17" t="s">
        <v>51</v>
      </c>
      <c r="K8" s="25" t="s">
        <v>269</v>
      </c>
      <c r="L8" s="32">
        <f t="shared" si="1"/>
        <v>284.03708592594325</v>
      </c>
      <c r="M8" s="17">
        <v>-8.5</v>
      </c>
      <c r="N8" s="17">
        <v>1.01</v>
      </c>
      <c r="O8" s="17">
        <v>-5.5599999999999996E-4</v>
      </c>
      <c r="P8" s="17">
        <v>1.1799999999999998E-7</v>
      </c>
      <c r="Q8" s="17" t="s">
        <v>61</v>
      </c>
      <c r="R8" s="20">
        <v>208</v>
      </c>
      <c r="S8" s="55"/>
      <c r="AF8" s="71" t="s">
        <v>297</v>
      </c>
      <c r="AG8" s="41" t="s">
        <v>278</v>
      </c>
      <c r="AI8" s="40" t="s">
        <v>279</v>
      </c>
      <c r="AJ8" s="36" t="s">
        <v>279</v>
      </c>
      <c r="AK8" s="36" t="s">
        <v>310</v>
      </c>
      <c r="AL8" s="41">
        <v>0.15</v>
      </c>
      <c r="AN8" s="40" t="s">
        <v>279</v>
      </c>
      <c r="AO8" s="36" t="s">
        <v>279</v>
      </c>
      <c r="AP8" s="36" t="str">
        <f t="shared" si="0"/>
        <v>BB</v>
      </c>
      <c r="AQ8" s="57" t="s">
        <v>334</v>
      </c>
      <c r="AR8" s="57">
        <v>40</v>
      </c>
      <c r="AS8" s="41">
        <v>6.4</v>
      </c>
      <c r="AU8" s="19" t="s">
        <v>694</v>
      </c>
      <c r="AV8" s="87" t="s">
        <v>15</v>
      </c>
      <c r="AW8" s="87">
        <v>10.130000000000001</v>
      </c>
      <c r="AX8" s="87">
        <v>1</v>
      </c>
      <c r="AY8" s="96"/>
      <c r="AZ8" s="96"/>
      <c r="BA8" s="87">
        <v>64.23</v>
      </c>
      <c r="BB8" s="87">
        <v>1</v>
      </c>
      <c r="BC8" s="96"/>
      <c r="BD8" s="96"/>
      <c r="BE8" s="87">
        <v>4.59</v>
      </c>
      <c r="BF8" s="87">
        <v>0.72</v>
      </c>
      <c r="BG8" s="96"/>
      <c r="BH8" s="96"/>
      <c r="BI8" s="87">
        <v>79.94</v>
      </c>
      <c r="BJ8" s="87">
        <v>0.63</v>
      </c>
      <c r="BK8" s="96"/>
      <c r="BL8" s="98"/>
      <c r="BN8" s="19" t="s">
        <v>694</v>
      </c>
      <c r="BO8" s="87" t="s">
        <v>15</v>
      </c>
      <c r="BP8" s="87">
        <v>25.64</v>
      </c>
      <c r="BQ8" s="87">
        <v>1</v>
      </c>
      <c r="BR8" s="96"/>
      <c r="BS8" s="96"/>
      <c r="BT8" s="87">
        <v>171.4</v>
      </c>
      <c r="BU8" s="87">
        <v>1</v>
      </c>
      <c r="BV8" s="96"/>
      <c r="BW8" s="96"/>
      <c r="BX8" s="87">
        <v>9.702</v>
      </c>
      <c r="BY8" s="87">
        <v>0.75</v>
      </c>
      <c r="BZ8" s="96"/>
      <c r="CA8" s="96"/>
      <c r="CB8" s="87">
        <v>270.39999999999998</v>
      </c>
      <c r="CC8" s="87">
        <v>0.63</v>
      </c>
      <c r="CD8" s="96"/>
      <c r="CE8" s="98"/>
      <c r="CG8" s="17" t="s">
        <v>898</v>
      </c>
      <c r="CH8" s="36"/>
      <c r="CI8" s="36"/>
      <c r="CK8" s="40">
        <v>40</v>
      </c>
      <c r="CL8" s="117">
        <v>1.0942000000000001</v>
      </c>
      <c r="CM8" s="117">
        <v>4.3295000000000003</v>
      </c>
      <c r="CN8" s="117">
        <v>1.2297</v>
      </c>
      <c r="CO8" s="118">
        <v>4.3625999999999996</v>
      </c>
      <c r="CQ8" s="64">
        <v>20</v>
      </c>
      <c r="CR8" s="127">
        <v>1256</v>
      </c>
      <c r="CS8" s="129">
        <v>1.1779999999999999</v>
      </c>
      <c r="CT8" s="127">
        <v>4191</v>
      </c>
      <c r="CU8" s="131">
        <v>1.089</v>
      </c>
      <c r="CW8" s="857"/>
      <c r="CX8" s="36" t="s">
        <v>65</v>
      </c>
      <c r="CY8" s="17">
        <v>10</v>
      </c>
      <c r="CZ8" s="36">
        <v>189.42</v>
      </c>
      <c r="DA8" s="36">
        <v>1.1299999999999999</v>
      </c>
      <c r="DB8" s="36" t="s">
        <v>61</v>
      </c>
      <c r="DC8" s="41" t="s">
        <v>61</v>
      </c>
      <c r="DO8" s="19" t="s">
        <v>119</v>
      </c>
      <c r="DP8" s="514" t="s">
        <v>118</v>
      </c>
      <c r="DQ8" s="87">
        <v>1000</v>
      </c>
      <c r="DR8" s="87">
        <v>2000</v>
      </c>
      <c r="DS8" s="87">
        <v>20000</v>
      </c>
      <c r="DT8" s="5">
        <v>60000</v>
      </c>
      <c r="DV8" s="528" t="s">
        <v>1347</v>
      </c>
      <c r="DW8" s="514">
        <v>1.7</v>
      </c>
      <c r="DX8" s="532" t="s">
        <v>1374</v>
      </c>
      <c r="DY8" s="20">
        <v>8</v>
      </c>
      <c r="EA8" s="19" t="s">
        <v>119</v>
      </c>
      <c r="EB8" s="514" t="s">
        <v>118</v>
      </c>
      <c r="EC8" s="87">
        <v>2</v>
      </c>
      <c r="ED8" s="87">
        <v>3</v>
      </c>
      <c r="EE8" s="87">
        <v>3</v>
      </c>
      <c r="EF8" s="5">
        <v>10</v>
      </c>
      <c r="EH8" s="19" t="s">
        <v>696</v>
      </c>
      <c r="EI8" s="515"/>
      <c r="EJ8" s="515"/>
      <c r="EK8" s="514"/>
      <c r="EL8" s="20">
        <v>0.5</v>
      </c>
    </row>
    <row r="9" spans="2:142" ht="29.5" thickBot="1" x14ac:dyDescent="0.4">
      <c r="B9" s="19" t="s">
        <v>697</v>
      </c>
      <c r="C9" s="17" t="s">
        <v>15</v>
      </c>
      <c r="D9" s="5" t="s">
        <v>21</v>
      </c>
      <c r="F9" s="19" t="s">
        <v>697</v>
      </c>
      <c r="G9" s="17">
        <v>205</v>
      </c>
      <c r="H9" s="46">
        <v>764.52700000000004</v>
      </c>
      <c r="I9" s="17">
        <v>261</v>
      </c>
      <c r="J9" s="17" t="s">
        <v>51</v>
      </c>
      <c r="K9" s="25" t="s">
        <v>269</v>
      </c>
      <c r="L9" s="32">
        <f t="shared" si="1"/>
        <v>390.25377333510602</v>
      </c>
      <c r="M9" s="17">
        <v>-11.7</v>
      </c>
      <c r="N9" s="17">
        <v>1.39</v>
      </c>
      <c r="O9" s="17">
        <v>-7.7200000000000001E-4</v>
      </c>
      <c r="P9" s="17">
        <v>1.6699999999999997E-7</v>
      </c>
      <c r="Q9" s="17" t="s">
        <v>61</v>
      </c>
      <c r="R9" s="20">
        <v>202</v>
      </c>
      <c r="S9" s="55"/>
      <c r="W9" s="47"/>
      <c r="AF9" s="71" t="s">
        <v>298</v>
      </c>
      <c r="AG9" s="41" t="s">
        <v>279</v>
      </c>
      <c r="AI9" s="43" t="s">
        <v>280</v>
      </c>
      <c r="AJ9" s="44" t="s">
        <v>280</v>
      </c>
      <c r="AK9" s="44" t="s">
        <v>311</v>
      </c>
      <c r="AL9" s="45">
        <v>0</v>
      </c>
      <c r="AN9" s="40" t="s">
        <v>279</v>
      </c>
      <c r="AO9" s="36" t="s">
        <v>280</v>
      </c>
      <c r="AP9" s="36" t="str">
        <f t="shared" si="0"/>
        <v>BC</v>
      </c>
      <c r="AQ9" s="57" t="s">
        <v>337</v>
      </c>
      <c r="AR9" s="57">
        <v>60</v>
      </c>
      <c r="AS9" s="41">
        <v>6.4</v>
      </c>
      <c r="AU9" s="19" t="s">
        <v>173</v>
      </c>
      <c r="AV9" s="87" t="s">
        <v>15</v>
      </c>
      <c r="AW9" s="87">
        <v>5.1150000000000002</v>
      </c>
      <c r="AX9" s="87">
        <v>0.99</v>
      </c>
      <c r="AY9" s="87">
        <v>100.6</v>
      </c>
      <c r="AZ9" s="87">
        <v>0.89</v>
      </c>
      <c r="BA9" s="87">
        <v>62.41</v>
      </c>
      <c r="BB9" s="87">
        <v>1</v>
      </c>
      <c r="BC9" s="96"/>
      <c r="BD9" s="96"/>
      <c r="BE9" s="87">
        <v>2.214</v>
      </c>
      <c r="BF9" s="87">
        <v>0.73</v>
      </c>
      <c r="BG9" s="87">
        <v>0.27100000000000002</v>
      </c>
      <c r="BH9" s="87">
        <v>0.85</v>
      </c>
      <c r="BI9" s="87">
        <v>41.38</v>
      </c>
      <c r="BJ9" s="87">
        <v>0.61</v>
      </c>
      <c r="BK9" s="96"/>
      <c r="BL9" s="98"/>
      <c r="BN9" s="19" t="s">
        <v>173</v>
      </c>
      <c r="BO9" s="87" t="s">
        <v>15</v>
      </c>
      <c r="BP9" s="87">
        <v>12.71</v>
      </c>
      <c r="BQ9" s="87">
        <v>1</v>
      </c>
      <c r="BR9" s="87">
        <v>290.10000000000002</v>
      </c>
      <c r="BS9" s="87">
        <v>0.89</v>
      </c>
      <c r="BT9" s="87">
        <v>166.1</v>
      </c>
      <c r="BU9" s="87">
        <v>1</v>
      </c>
      <c r="BV9" s="96"/>
      <c r="BW9" s="96"/>
      <c r="BX9" s="87">
        <v>4.82</v>
      </c>
      <c r="BY9" s="87">
        <v>0.76</v>
      </c>
      <c r="BZ9" s="87">
        <v>0.79</v>
      </c>
      <c r="CA9" s="87">
        <v>0.85</v>
      </c>
      <c r="CB9" s="87">
        <v>146.69999999999999</v>
      </c>
      <c r="CC9" s="87">
        <v>0.63</v>
      </c>
      <c r="CD9" s="96"/>
      <c r="CE9" s="98"/>
      <c r="CK9" s="40">
        <v>60</v>
      </c>
      <c r="CL9" s="117">
        <v>1.1031</v>
      </c>
      <c r="CM9" s="117">
        <v>4.4576000000000002</v>
      </c>
      <c r="CN9" s="117">
        <v>1.2265999999999999</v>
      </c>
      <c r="CO9" s="118">
        <v>4.4364999999999997</v>
      </c>
      <c r="CQ9" s="64">
        <v>25</v>
      </c>
      <c r="CR9" s="127">
        <v>1455</v>
      </c>
      <c r="CS9" s="129">
        <v>1.1759999999999999</v>
      </c>
      <c r="CT9" s="127">
        <v>4694</v>
      </c>
      <c r="CU9" s="131">
        <v>1.085</v>
      </c>
      <c r="CW9" s="857"/>
      <c r="CX9" s="36" t="s">
        <v>65</v>
      </c>
      <c r="CY9" s="17">
        <v>20</v>
      </c>
      <c r="CZ9" s="36">
        <v>651.49</v>
      </c>
      <c r="DA9" s="36">
        <v>1.1100000000000001</v>
      </c>
      <c r="DB9" s="36" t="s">
        <v>61</v>
      </c>
      <c r="DC9" s="41" t="s">
        <v>61</v>
      </c>
      <c r="DO9" s="19" t="s">
        <v>119</v>
      </c>
      <c r="DP9" s="514" t="s">
        <v>1341</v>
      </c>
      <c r="DQ9" s="87">
        <v>1000</v>
      </c>
      <c r="DR9" s="87">
        <v>2000</v>
      </c>
      <c r="DS9" s="87">
        <v>20000</v>
      </c>
      <c r="DT9" s="5">
        <v>60000</v>
      </c>
      <c r="DV9" s="528" t="s">
        <v>1349</v>
      </c>
      <c r="DW9" s="514">
        <v>2</v>
      </c>
      <c r="DX9" s="532" t="s">
        <v>1375</v>
      </c>
      <c r="DY9" s="20">
        <v>8.4</v>
      </c>
      <c r="EA9" s="19" t="s">
        <v>119</v>
      </c>
      <c r="EB9" s="514" t="s">
        <v>1341</v>
      </c>
      <c r="EC9" s="87">
        <v>0</v>
      </c>
      <c r="ED9" s="87">
        <v>0</v>
      </c>
      <c r="EE9" s="87">
        <v>0</v>
      </c>
      <c r="EF9" s="5">
        <v>0</v>
      </c>
      <c r="EH9" s="19" t="s">
        <v>697</v>
      </c>
      <c r="EI9" s="515"/>
      <c r="EJ9" s="515"/>
      <c r="EK9" s="514"/>
      <c r="EL9" s="20">
        <v>0.1</v>
      </c>
    </row>
    <row r="10" spans="2:142" ht="15" thickBot="1" x14ac:dyDescent="0.4">
      <c r="B10" s="19" t="s">
        <v>698</v>
      </c>
      <c r="C10" s="17" t="s">
        <v>15</v>
      </c>
      <c r="D10" s="5" t="s">
        <v>22</v>
      </c>
      <c r="F10" s="19" t="s">
        <v>698</v>
      </c>
      <c r="G10" s="17">
        <v>280</v>
      </c>
      <c r="H10" s="46">
        <v>775.01900000000001</v>
      </c>
      <c r="I10" s="17">
        <v>344</v>
      </c>
      <c r="J10" s="17" t="s">
        <v>51</v>
      </c>
      <c r="K10" s="25" t="s">
        <v>269</v>
      </c>
      <c r="L10" s="32">
        <f t="shared" si="1"/>
        <v>511.88738885513862</v>
      </c>
      <c r="M10" s="17">
        <v>-22.4</v>
      </c>
      <c r="N10" s="17">
        <v>1.94</v>
      </c>
      <c r="O10" s="17">
        <v>-1.1200000000000001E-3</v>
      </c>
      <c r="P10" s="17">
        <v>-2.5299999999999995E-7</v>
      </c>
      <c r="Q10" s="17" t="s">
        <v>61</v>
      </c>
      <c r="R10" s="20">
        <v>202</v>
      </c>
      <c r="S10" s="55"/>
      <c r="AF10" s="73" t="s">
        <v>299</v>
      </c>
      <c r="AG10" s="45" t="s">
        <v>280</v>
      </c>
      <c r="AN10" s="40" t="s">
        <v>280</v>
      </c>
      <c r="AO10" s="36" t="s">
        <v>278</v>
      </c>
      <c r="AP10" s="36" t="str">
        <f t="shared" si="0"/>
        <v>CA</v>
      </c>
      <c r="AQ10" s="57" t="s">
        <v>337</v>
      </c>
      <c r="AR10" s="57">
        <v>60</v>
      </c>
      <c r="AS10" s="41">
        <v>6.4</v>
      </c>
      <c r="AU10" s="19" t="s">
        <v>695</v>
      </c>
      <c r="AV10" s="87" t="s">
        <v>15</v>
      </c>
      <c r="AW10" s="87">
        <v>5.8460000000000001</v>
      </c>
      <c r="AX10" s="87">
        <v>0.98</v>
      </c>
      <c r="AY10" s="87">
        <v>34.17</v>
      </c>
      <c r="AZ10" s="87">
        <v>0.89</v>
      </c>
      <c r="BA10" s="87">
        <v>63.98</v>
      </c>
      <c r="BB10" s="87">
        <v>1</v>
      </c>
      <c r="BC10" s="87">
        <v>103.4</v>
      </c>
      <c r="BD10" s="87">
        <v>0.95</v>
      </c>
      <c r="BE10" s="87">
        <v>2.1880000000000002</v>
      </c>
      <c r="BF10" s="87">
        <v>0.66</v>
      </c>
      <c r="BG10" s="87">
        <v>0.749</v>
      </c>
      <c r="BH10" s="87">
        <v>0.78</v>
      </c>
      <c r="BI10" s="87">
        <v>41.49</v>
      </c>
      <c r="BJ10" s="87">
        <v>0.61</v>
      </c>
      <c r="BK10" s="87">
        <v>8.18</v>
      </c>
      <c r="BL10" s="5">
        <v>0.55000000000000004</v>
      </c>
      <c r="BN10" s="19" t="s">
        <v>695</v>
      </c>
      <c r="BO10" s="87" t="s">
        <v>15</v>
      </c>
      <c r="BP10" s="87">
        <v>13.49</v>
      </c>
      <c r="BQ10" s="87">
        <v>0.96</v>
      </c>
      <c r="BR10" s="87">
        <v>96.88</v>
      </c>
      <c r="BS10" s="87">
        <v>0.89</v>
      </c>
      <c r="BT10" s="87">
        <v>169.7</v>
      </c>
      <c r="BU10" s="87">
        <v>1</v>
      </c>
      <c r="BV10" s="87">
        <v>252.8</v>
      </c>
      <c r="BW10" s="87">
        <v>0.92</v>
      </c>
      <c r="BX10" s="87">
        <v>4.2160000000000002</v>
      </c>
      <c r="BY10" s="87">
        <v>0.67</v>
      </c>
      <c r="BZ10" s="87">
        <v>2.1859999999999999</v>
      </c>
      <c r="CA10" s="87">
        <v>0.78</v>
      </c>
      <c r="CB10" s="87">
        <v>147.19999999999999</v>
      </c>
      <c r="CC10" s="87">
        <v>0.63</v>
      </c>
      <c r="CD10" s="87">
        <v>31.89</v>
      </c>
      <c r="CE10" s="5">
        <v>0.54</v>
      </c>
      <c r="CK10" s="123" t="s">
        <v>538</v>
      </c>
      <c r="CL10" s="119">
        <v>1.4056</v>
      </c>
      <c r="CM10" s="119">
        <v>0.33606000000000003</v>
      </c>
      <c r="CN10" s="119">
        <v>0.96740000000000004</v>
      </c>
      <c r="CO10" s="120">
        <v>2.7839999999999998</v>
      </c>
      <c r="CQ10" s="64">
        <v>30</v>
      </c>
      <c r="CR10" s="127">
        <v>1650</v>
      </c>
      <c r="CS10" s="129">
        <v>1.1739999999999999</v>
      </c>
      <c r="CT10" s="127">
        <v>5312</v>
      </c>
      <c r="CU10" s="131">
        <v>1.0820000000000001</v>
      </c>
      <c r="CW10" s="857"/>
      <c r="CX10" s="36" t="s">
        <v>65</v>
      </c>
      <c r="CY10" s="17">
        <v>40</v>
      </c>
      <c r="CZ10" s="36">
        <v>1252.67</v>
      </c>
      <c r="DA10" s="36">
        <v>1.17</v>
      </c>
      <c r="DB10" s="36" t="s">
        <v>61</v>
      </c>
      <c r="DC10" s="41" t="s">
        <v>61</v>
      </c>
      <c r="DO10" s="19" t="s">
        <v>121</v>
      </c>
      <c r="DP10" s="514" t="s">
        <v>131</v>
      </c>
      <c r="DQ10" s="87">
        <v>5</v>
      </c>
      <c r="DR10" s="87">
        <v>0</v>
      </c>
      <c r="DS10" s="87">
        <v>0</v>
      </c>
      <c r="DT10" s="5">
        <v>20</v>
      </c>
      <c r="DV10" s="528" t="s">
        <v>1358</v>
      </c>
      <c r="DW10" s="514">
        <v>2.1</v>
      </c>
      <c r="DX10" s="532" t="s">
        <v>1376</v>
      </c>
      <c r="DY10" s="20">
        <v>8.5</v>
      </c>
      <c r="EA10" s="19" t="s">
        <v>121</v>
      </c>
      <c r="EB10" s="514" t="s">
        <v>131</v>
      </c>
      <c r="EC10" s="87">
        <v>0</v>
      </c>
      <c r="ED10" s="87">
        <v>0</v>
      </c>
      <c r="EE10" s="87">
        <v>0</v>
      </c>
      <c r="EF10" s="5">
        <v>1</v>
      </c>
      <c r="EH10" s="19" t="s">
        <v>698</v>
      </c>
      <c r="EI10" s="515"/>
      <c r="EJ10" s="515"/>
      <c r="EK10" s="514"/>
      <c r="EL10" s="20">
        <v>0.05</v>
      </c>
    </row>
    <row r="11" spans="2:142" x14ac:dyDescent="0.35">
      <c r="B11" s="19" t="s">
        <v>699</v>
      </c>
      <c r="C11" s="17" t="s">
        <v>15</v>
      </c>
      <c r="D11" s="5" t="s">
        <v>23</v>
      </c>
      <c r="F11" s="19" t="s">
        <v>699</v>
      </c>
      <c r="G11" s="17">
        <v>422</v>
      </c>
      <c r="H11" s="46">
        <v>900.02599999999995</v>
      </c>
      <c r="I11" s="17">
        <v>527</v>
      </c>
      <c r="J11" s="17" t="s">
        <v>51</v>
      </c>
      <c r="K11" s="25" t="s">
        <v>269</v>
      </c>
      <c r="L11" s="32">
        <f t="shared" si="1"/>
        <v>511.88738885513862</v>
      </c>
      <c r="M11" s="17">
        <v>-22.4</v>
      </c>
      <c r="N11" s="17">
        <v>1.94</v>
      </c>
      <c r="O11" s="17">
        <v>-1.1200000000000001E-3</v>
      </c>
      <c r="P11" s="17">
        <v>-2.5299999999999995E-7</v>
      </c>
      <c r="Q11" s="17" t="s">
        <v>61</v>
      </c>
      <c r="R11" s="20">
        <v>202</v>
      </c>
      <c r="S11" s="55"/>
      <c r="AN11" s="40" t="s">
        <v>280</v>
      </c>
      <c r="AO11" s="36" t="s">
        <v>279</v>
      </c>
      <c r="AP11" s="36" t="str">
        <f t="shared" si="0"/>
        <v>CB</v>
      </c>
      <c r="AQ11" s="57" t="s">
        <v>337</v>
      </c>
      <c r="AR11" s="57">
        <v>60</v>
      </c>
      <c r="AS11" s="41">
        <v>6.4</v>
      </c>
      <c r="AU11" s="19" t="s">
        <v>696</v>
      </c>
      <c r="AV11" s="87" t="s">
        <v>15</v>
      </c>
      <c r="AW11" s="87">
        <v>2.419</v>
      </c>
      <c r="AX11" s="87">
        <v>0.98</v>
      </c>
      <c r="AY11" s="87">
        <v>24.6</v>
      </c>
      <c r="AZ11" s="87">
        <v>0.9</v>
      </c>
      <c r="BA11" s="87">
        <v>76.98</v>
      </c>
      <c r="BB11" s="87">
        <v>0.95</v>
      </c>
      <c r="BC11" s="87">
        <v>110.3</v>
      </c>
      <c r="BD11" s="87">
        <v>0.95</v>
      </c>
      <c r="BE11" s="87">
        <v>1.111</v>
      </c>
      <c r="BF11" s="87">
        <v>0.66</v>
      </c>
      <c r="BG11" s="87">
        <v>0.55900000000000005</v>
      </c>
      <c r="BH11" s="87">
        <v>0.76</v>
      </c>
      <c r="BI11" s="87">
        <v>42.28</v>
      </c>
      <c r="BJ11" s="87">
        <v>0.61</v>
      </c>
      <c r="BK11" s="87">
        <v>0.84799999999999998</v>
      </c>
      <c r="BL11" s="5">
        <v>0.53</v>
      </c>
      <c r="BN11" s="19" t="s">
        <v>696</v>
      </c>
      <c r="BO11" s="87" t="s">
        <v>15</v>
      </c>
      <c r="BP11" s="87">
        <v>5.7549999999999999</v>
      </c>
      <c r="BQ11" s="87">
        <v>0.96</v>
      </c>
      <c r="BR11" s="87">
        <v>70.03</v>
      </c>
      <c r="BS11" s="87">
        <v>0.89</v>
      </c>
      <c r="BT11" s="87">
        <v>188.6</v>
      </c>
      <c r="BU11" s="87">
        <v>0.92</v>
      </c>
      <c r="BV11" s="87">
        <v>269.39999999999998</v>
      </c>
      <c r="BW11" s="87">
        <v>0.92</v>
      </c>
      <c r="BX11" s="87">
        <v>2.0350000000000001</v>
      </c>
      <c r="BY11" s="87">
        <v>0.66</v>
      </c>
      <c r="BZ11" s="87">
        <v>1.609</v>
      </c>
      <c r="CA11" s="87">
        <v>0.76</v>
      </c>
      <c r="CB11" s="87">
        <v>151</v>
      </c>
      <c r="CC11" s="87">
        <v>0.63</v>
      </c>
      <c r="CD11" s="87">
        <v>2.847</v>
      </c>
      <c r="CE11" s="5">
        <v>0.54</v>
      </c>
      <c r="CQ11" s="64">
        <v>35</v>
      </c>
      <c r="CR11" s="127">
        <v>1842</v>
      </c>
      <c r="CS11" s="129">
        <v>1.1719999999999999</v>
      </c>
      <c r="CT11" s="127">
        <v>6032</v>
      </c>
      <c r="CU11" s="131">
        <v>1.077</v>
      </c>
      <c r="CW11" s="857"/>
      <c r="CX11" s="36" t="s">
        <v>65</v>
      </c>
      <c r="CY11" s="17">
        <v>60</v>
      </c>
      <c r="CZ11" s="36">
        <v>1521.89</v>
      </c>
      <c r="DA11" s="36">
        <v>1.21</v>
      </c>
      <c r="DB11" s="36" t="s">
        <v>61</v>
      </c>
      <c r="DC11" s="41" t="s">
        <v>61</v>
      </c>
      <c r="DO11" s="19" t="s">
        <v>121</v>
      </c>
      <c r="DP11" s="514" t="s">
        <v>122</v>
      </c>
      <c r="DQ11" s="87">
        <v>5</v>
      </c>
      <c r="DR11" s="87">
        <v>0</v>
      </c>
      <c r="DS11" s="87">
        <v>0</v>
      </c>
      <c r="DT11" s="5">
        <v>40</v>
      </c>
      <c r="DV11" s="528" t="s">
        <v>1067</v>
      </c>
      <c r="DW11" s="514">
        <v>2.5</v>
      </c>
      <c r="DX11" s="532" t="s">
        <v>1350</v>
      </c>
      <c r="DY11" s="20">
        <v>8.8000000000000007</v>
      </c>
      <c r="EA11" s="19" t="s">
        <v>121</v>
      </c>
      <c r="EB11" s="514" t="s">
        <v>122</v>
      </c>
      <c r="EC11" s="87">
        <v>0</v>
      </c>
      <c r="ED11" s="87">
        <v>0</v>
      </c>
      <c r="EE11" s="87">
        <v>0</v>
      </c>
      <c r="EF11" s="5">
        <v>1</v>
      </c>
      <c r="EH11" s="19" t="s">
        <v>699</v>
      </c>
      <c r="EI11" s="515"/>
      <c r="EJ11" s="515"/>
      <c r="EK11" s="514"/>
      <c r="EL11" s="20">
        <v>0.02</v>
      </c>
    </row>
    <row r="12" spans="2:142" ht="30" customHeight="1" x14ac:dyDescent="0.35">
      <c r="B12" s="19" t="s">
        <v>700</v>
      </c>
      <c r="C12" s="17" t="s">
        <v>15</v>
      </c>
      <c r="D12" s="5" t="s">
        <v>24</v>
      </c>
      <c r="F12" s="19" t="s">
        <v>704</v>
      </c>
      <c r="G12" s="17">
        <v>149</v>
      </c>
      <c r="H12" s="46">
        <v>734.01199999999994</v>
      </c>
      <c r="I12" s="17">
        <v>184</v>
      </c>
      <c r="J12" s="17" t="s">
        <v>51</v>
      </c>
      <c r="K12" s="25" t="s">
        <v>269</v>
      </c>
      <c r="L12" s="32">
        <f t="shared" si="1"/>
        <v>284.03708592594325</v>
      </c>
      <c r="M12" s="17">
        <v>-8.5</v>
      </c>
      <c r="N12" s="17">
        <v>1.01</v>
      </c>
      <c r="O12" s="17">
        <v>-5.5599999999999996E-4</v>
      </c>
      <c r="P12" s="17">
        <v>1.1799999999999998E-7</v>
      </c>
      <c r="Q12" s="17" t="s">
        <v>61</v>
      </c>
      <c r="R12" s="20" t="s">
        <v>76</v>
      </c>
      <c r="S12" s="55"/>
      <c r="AN12" s="40" t="s">
        <v>280</v>
      </c>
      <c r="AO12" s="36" t="s">
        <v>280</v>
      </c>
      <c r="AP12" s="36" t="str">
        <f t="shared" si="0"/>
        <v>CC</v>
      </c>
      <c r="AQ12" s="57" t="s">
        <v>337</v>
      </c>
      <c r="AR12" s="57">
        <v>60</v>
      </c>
      <c r="AS12" s="41">
        <v>6.4</v>
      </c>
      <c r="AU12" s="19" t="s">
        <v>697</v>
      </c>
      <c r="AV12" s="87" t="s">
        <v>15</v>
      </c>
      <c r="AW12" s="96"/>
      <c r="AX12" s="96"/>
      <c r="AY12" s="87">
        <v>12.11</v>
      </c>
      <c r="AZ12" s="87">
        <v>0.9</v>
      </c>
      <c r="BA12" s="96"/>
      <c r="BB12" s="96"/>
      <c r="BC12" s="87">
        <v>196.7</v>
      </c>
      <c r="BD12" s="87">
        <v>0.92</v>
      </c>
      <c r="BE12" s="96"/>
      <c r="BF12" s="96"/>
      <c r="BG12" s="87">
        <v>8.5999999999999993E-2</v>
      </c>
      <c r="BH12" s="87">
        <v>0.88</v>
      </c>
      <c r="BI12" s="96"/>
      <c r="BJ12" s="96"/>
      <c r="BK12" s="87">
        <v>1.714</v>
      </c>
      <c r="BL12" s="5">
        <v>0.88</v>
      </c>
      <c r="BN12" s="19" t="s">
        <v>697</v>
      </c>
      <c r="BO12" s="87" t="s">
        <v>15</v>
      </c>
      <c r="BP12" s="96"/>
      <c r="BQ12" s="96"/>
      <c r="BR12" s="87">
        <v>34.36</v>
      </c>
      <c r="BS12" s="87">
        <v>0.89</v>
      </c>
      <c r="BT12" s="96"/>
      <c r="BU12" s="96"/>
      <c r="BV12" s="87">
        <v>539.4</v>
      </c>
      <c r="BW12" s="87">
        <v>0.9</v>
      </c>
      <c r="BX12" s="96"/>
      <c r="BY12" s="96"/>
      <c r="BZ12" s="87">
        <v>0.24199999999999999</v>
      </c>
      <c r="CA12" s="87">
        <v>0.88</v>
      </c>
      <c r="CB12" s="96"/>
      <c r="CC12" s="96"/>
      <c r="CD12" s="87">
        <v>4.843</v>
      </c>
      <c r="CE12" s="5">
        <v>0.88</v>
      </c>
      <c r="CQ12" s="64">
        <v>40</v>
      </c>
      <c r="CR12" s="127">
        <v>2029</v>
      </c>
      <c r="CS12" s="129">
        <v>1.169</v>
      </c>
      <c r="CT12" s="127">
        <v>6860</v>
      </c>
      <c r="CU12" s="131">
        <v>1.0720000000000001</v>
      </c>
      <c r="CW12" s="857" t="s">
        <v>528</v>
      </c>
      <c r="CX12" s="36" t="s">
        <v>705</v>
      </c>
      <c r="CY12" s="17">
        <v>3</v>
      </c>
      <c r="CZ12" s="36">
        <v>47.39</v>
      </c>
      <c r="DA12" s="36">
        <v>1.0900000000000001</v>
      </c>
      <c r="DB12" s="36" t="s">
        <v>61</v>
      </c>
      <c r="DC12" s="41" t="s">
        <v>61</v>
      </c>
      <c r="DO12" s="19" t="s">
        <v>121</v>
      </c>
      <c r="DP12" s="514" t="s">
        <v>132</v>
      </c>
      <c r="DQ12" s="87">
        <v>5</v>
      </c>
      <c r="DR12" s="87">
        <v>10</v>
      </c>
      <c r="DS12" s="87">
        <v>0</v>
      </c>
      <c r="DT12" s="5">
        <v>60</v>
      </c>
      <c r="DV12" s="528" t="s">
        <v>1359</v>
      </c>
      <c r="DW12" s="514">
        <v>2.5</v>
      </c>
      <c r="DX12" s="532" t="s">
        <v>1377</v>
      </c>
      <c r="DY12" s="20">
        <v>11</v>
      </c>
      <c r="EA12" s="19" t="s">
        <v>121</v>
      </c>
      <c r="EB12" s="514" t="s">
        <v>132</v>
      </c>
      <c r="EC12" s="87">
        <v>0</v>
      </c>
      <c r="ED12" s="87">
        <v>1</v>
      </c>
      <c r="EE12" s="87">
        <v>0</v>
      </c>
      <c r="EF12" s="5">
        <v>2</v>
      </c>
      <c r="EH12" s="19" t="s">
        <v>700</v>
      </c>
      <c r="EI12" s="515"/>
      <c r="EJ12" s="515"/>
      <c r="EK12" s="514"/>
      <c r="EL12" s="20">
        <v>1</v>
      </c>
    </row>
    <row r="13" spans="2:142" x14ac:dyDescent="0.35">
      <c r="B13" s="19" t="s">
        <v>535</v>
      </c>
      <c r="C13" s="17" t="s">
        <v>15</v>
      </c>
      <c r="D13" s="5" t="s">
        <v>25</v>
      </c>
      <c r="F13" s="19" t="s">
        <v>703</v>
      </c>
      <c r="G13" s="17">
        <v>104</v>
      </c>
      <c r="H13" s="46">
        <v>683.98599999999999</v>
      </c>
      <c r="I13" s="17">
        <v>145</v>
      </c>
      <c r="J13" s="17" t="s">
        <v>51</v>
      </c>
      <c r="K13" s="17" t="s">
        <v>270</v>
      </c>
      <c r="L13" s="32">
        <f>M13+N13*(POWER((O13/$R$39)/(SINH((O13/$R$39))),2)+P13*(POWER((Q13/$R$39)/(SINH((Q13/$R$39))),2)))</f>
        <v>4231658.6412582966</v>
      </c>
      <c r="M13" s="17">
        <v>89300</v>
      </c>
      <c r="N13" s="17">
        <v>215000</v>
      </c>
      <c r="O13" s="17">
        <v>772</v>
      </c>
      <c r="P13" s="17">
        <v>99900</v>
      </c>
      <c r="Q13" s="17">
        <v>2440</v>
      </c>
      <c r="R13" s="20">
        <v>490</v>
      </c>
      <c r="S13" s="55"/>
      <c r="AN13" s="40" t="s">
        <v>278</v>
      </c>
      <c r="AO13" s="36" t="s">
        <v>278</v>
      </c>
      <c r="AP13" s="36" t="str">
        <f t="shared" si="0"/>
        <v>AA</v>
      </c>
      <c r="AQ13" s="57" t="s">
        <v>329</v>
      </c>
      <c r="AR13" s="57">
        <v>10</v>
      </c>
      <c r="AS13" s="41">
        <v>25</v>
      </c>
      <c r="AU13" s="19" t="s">
        <v>698</v>
      </c>
      <c r="AV13" s="87" t="s">
        <v>15</v>
      </c>
      <c r="AW13" s="96"/>
      <c r="AX13" s="96"/>
      <c r="AY13" s="87">
        <v>3.7850000000000001</v>
      </c>
      <c r="AZ13" s="87">
        <v>0.9</v>
      </c>
      <c r="BA13" s="96"/>
      <c r="BB13" s="96"/>
      <c r="BC13" s="87">
        <v>165.5</v>
      </c>
      <c r="BD13" s="87">
        <v>0.92</v>
      </c>
      <c r="BE13" s="96"/>
      <c r="BF13" s="96"/>
      <c r="BG13" s="87">
        <v>2.1000000000000001E-2</v>
      </c>
      <c r="BH13" s="87">
        <v>0.91</v>
      </c>
      <c r="BI13" s="96"/>
      <c r="BJ13" s="96"/>
      <c r="BK13" s="87">
        <v>1.0680000000000001</v>
      </c>
      <c r="BL13" s="5">
        <v>0.91</v>
      </c>
      <c r="BN13" s="19" t="s">
        <v>698</v>
      </c>
      <c r="BO13" s="87" t="s">
        <v>15</v>
      </c>
      <c r="BP13" s="96"/>
      <c r="BQ13" s="96"/>
      <c r="BR13" s="87">
        <v>10.7</v>
      </c>
      <c r="BS13" s="87">
        <v>0.89</v>
      </c>
      <c r="BT13" s="96"/>
      <c r="BU13" s="96"/>
      <c r="BV13" s="87">
        <v>458</v>
      </c>
      <c r="BW13" s="87">
        <v>0.9</v>
      </c>
      <c r="BX13" s="96"/>
      <c r="BY13" s="96"/>
      <c r="BZ13" s="87">
        <v>6.0999999999999999E-2</v>
      </c>
      <c r="CA13" s="87">
        <v>0.91</v>
      </c>
      <c r="CB13" s="96"/>
      <c r="CC13" s="96"/>
      <c r="CD13" s="87">
        <v>3.052</v>
      </c>
      <c r="CE13" s="5">
        <v>0.91</v>
      </c>
      <c r="CQ13" s="64">
        <v>45</v>
      </c>
      <c r="CR13" s="127">
        <v>2213</v>
      </c>
      <c r="CS13" s="129">
        <v>1.1659999999999999</v>
      </c>
      <c r="CT13" s="127">
        <v>7788</v>
      </c>
      <c r="CU13" s="131">
        <v>1.0660000000000001</v>
      </c>
      <c r="CW13" s="857"/>
      <c r="CX13" s="36" t="s">
        <v>705</v>
      </c>
      <c r="CY13" s="17">
        <v>5</v>
      </c>
      <c r="CZ13" s="36">
        <v>123.67</v>
      </c>
      <c r="DA13" s="36">
        <v>1.1499999999999999</v>
      </c>
      <c r="DB13" s="36" t="s">
        <v>61</v>
      </c>
      <c r="DC13" s="41" t="s">
        <v>61</v>
      </c>
      <c r="DO13" s="19" t="s">
        <v>121</v>
      </c>
      <c r="DP13" s="514" t="s">
        <v>123</v>
      </c>
      <c r="DQ13" s="87">
        <v>5</v>
      </c>
      <c r="DR13" s="87">
        <v>20</v>
      </c>
      <c r="DS13" s="87">
        <v>0</v>
      </c>
      <c r="DT13" s="5">
        <v>120</v>
      </c>
      <c r="DV13" s="528" t="s">
        <v>1351</v>
      </c>
      <c r="DW13" s="514">
        <v>2.6</v>
      </c>
      <c r="DX13" s="532" t="s">
        <v>1378</v>
      </c>
      <c r="DY13" s="20">
        <v>15</v>
      </c>
      <c r="EA13" s="19" t="s">
        <v>121</v>
      </c>
      <c r="EB13" s="514" t="s">
        <v>123</v>
      </c>
      <c r="EC13" s="87">
        <v>0</v>
      </c>
      <c r="ED13" s="87">
        <v>1</v>
      </c>
      <c r="EE13" s="87">
        <v>2</v>
      </c>
      <c r="EF13" s="5">
        <v>3</v>
      </c>
      <c r="EH13" s="19" t="s">
        <v>535</v>
      </c>
      <c r="EI13" s="515"/>
      <c r="EJ13" s="515"/>
      <c r="EK13" s="514"/>
      <c r="EL13" s="20">
        <v>1</v>
      </c>
    </row>
    <row r="14" spans="2:142" x14ac:dyDescent="0.35">
      <c r="B14" s="19" t="s">
        <v>701</v>
      </c>
      <c r="C14" s="17" t="s">
        <v>15</v>
      </c>
      <c r="D14" s="5" t="s">
        <v>26</v>
      </c>
      <c r="F14" s="19" t="s">
        <v>45</v>
      </c>
      <c r="G14" s="17">
        <v>104</v>
      </c>
      <c r="H14" s="46">
        <v>683.98599999999999</v>
      </c>
      <c r="I14" s="17">
        <v>145</v>
      </c>
      <c r="J14" s="17" t="s">
        <v>51</v>
      </c>
      <c r="K14" s="17" t="s">
        <v>270</v>
      </c>
      <c r="L14" s="32">
        <f>M14+N14*(POWER((O14/$R$39)/(SINH((O14/$R$39))),2)+P14*(POWER((Q14/$R$39)/(SINH((Q14/$R$39))),2)))</f>
        <v>4231658.6412582966</v>
      </c>
      <c r="M14" s="17">
        <v>89300</v>
      </c>
      <c r="N14" s="17">
        <v>215000</v>
      </c>
      <c r="O14" s="17">
        <v>772</v>
      </c>
      <c r="P14" s="17">
        <v>99900</v>
      </c>
      <c r="Q14" s="17">
        <v>2440</v>
      </c>
      <c r="R14" s="20">
        <v>490</v>
      </c>
      <c r="S14" s="55"/>
      <c r="AN14" s="40" t="s">
        <v>278</v>
      </c>
      <c r="AO14" s="36" t="s">
        <v>279</v>
      </c>
      <c r="AP14" s="36" t="str">
        <f t="shared" si="0"/>
        <v>AB</v>
      </c>
      <c r="AQ14" s="57" t="s">
        <v>332</v>
      </c>
      <c r="AR14" s="57">
        <v>20</v>
      </c>
      <c r="AS14" s="41">
        <v>25</v>
      </c>
      <c r="AU14" s="19" t="s">
        <v>699</v>
      </c>
      <c r="AV14" s="87" t="s">
        <v>15</v>
      </c>
      <c r="AW14" s="96"/>
      <c r="AX14" s="96"/>
      <c r="AY14" s="87">
        <v>2.0979999999999999</v>
      </c>
      <c r="AZ14" s="87">
        <v>0.91</v>
      </c>
      <c r="BA14" s="96"/>
      <c r="BB14" s="96"/>
      <c r="BC14" s="87">
        <v>103</v>
      </c>
      <c r="BD14" s="87">
        <v>0.9</v>
      </c>
      <c r="BE14" s="96"/>
      <c r="BF14" s="96"/>
      <c r="BG14" s="87">
        <v>6.0000000000000001E-3</v>
      </c>
      <c r="BH14" s="87">
        <v>0.99</v>
      </c>
      <c r="BI14" s="96"/>
      <c r="BJ14" s="96"/>
      <c r="BK14" s="87">
        <v>0.28399999999999997</v>
      </c>
      <c r="BL14" s="5">
        <v>0.99</v>
      </c>
      <c r="BN14" s="19" t="s">
        <v>699</v>
      </c>
      <c r="BO14" s="87" t="s">
        <v>15</v>
      </c>
      <c r="BP14" s="96"/>
      <c r="BQ14" s="96"/>
      <c r="BR14" s="87">
        <v>6.1959999999999997</v>
      </c>
      <c r="BS14" s="87">
        <v>0.89</v>
      </c>
      <c r="BT14" s="96"/>
      <c r="BU14" s="96"/>
      <c r="BV14" s="87">
        <v>303.60000000000002</v>
      </c>
      <c r="BW14" s="87">
        <v>0.9</v>
      </c>
      <c r="BX14" s="96"/>
      <c r="BY14" s="96"/>
      <c r="BZ14" s="87">
        <v>1.6E-2</v>
      </c>
      <c r="CA14" s="87">
        <v>0.99</v>
      </c>
      <c r="CB14" s="96"/>
      <c r="CC14" s="96"/>
      <c r="CD14" s="87">
        <v>0.83299999999999996</v>
      </c>
      <c r="CE14" s="5">
        <v>0.99</v>
      </c>
      <c r="CQ14" s="64">
        <v>50</v>
      </c>
      <c r="CR14" s="127">
        <v>2389</v>
      </c>
      <c r="CS14" s="129">
        <v>1.161</v>
      </c>
      <c r="CT14" s="127">
        <v>8798</v>
      </c>
      <c r="CU14" s="131">
        <v>1.0569999999999999</v>
      </c>
      <c r="CW14" s="857"/>
      <c r="CX14" s="36" t="s">
        <v>705</v>
      </c>
      <c r="CY14" s="17">
        <v>10</v>
      </c>
      <c r="CZ14" s="36">
        <v>531.45000000000005</v>
      </c>
      <c r="DA14" s="36">
        <v>1.1000000000000001</v>
      </c>
      <c r="DB14" s="36" t="s">
        <v>61</v>
      </c>
      <c r="DC14" s="41" t="s">
        <v>61</v>
      </c>
      <c r="DO14" s="19" t="s">
        <v>121</v>
      </c>
      <c r="DP14" s="514" t="s">
        <v>133</v>
      </c>
      <c r="DQ14" s="87">
        <v>5</v>
      </c>
      <c r="DR14" s="87">
        <v>30</v>
      </c>
      <c r="DS14" s="87">
        <v>60</v>
      </c>
      <c r="DT14" s="5">
        <v>180</v>
      </c>
      <c r="DV14" s="528" t="s">
        <v>1360</v>
      </c>
      <c r="DW14" s="514">
        <v>2.8</v>
      </c>
      <c r="DX14" s="532" t="s">
        <v>1379</v>
      </c>
      <c r="DY14" s="20">
        <v>15</v>
      </c>
      <c r="EA14" s="19" t="s">
        <v>121</v>
      </c>
      <c r="EB14" s="514" t="s">
        <v>133</v>
      </c>
      <c r="EC14" s="87">
        <v>0</v>
      </c>
      <c r="ED14" s="87">
        <v>2</v>
      </c>
      <c r="EE14" s="87">
        <v>2</v>
      </c>
      <c r="EF14" s="5">
        <v>3</v>
      </c>
      <c r="EH14" s="19" t="s">
        <v>701</v>
      </c>
      <c r="EI14" s="515"/>
      <c r="EJ14" s="515"/>
      <c r="EK14" s="514"/>
      <c r="EL14" s="20">
        <v>1</v>
      </c>
    </row>
    <row r="15" spans="2:142" x14ac:dyDescent="0.35">
      <c r="B15" s="19" t="s">
        <v>702</v>
      </c>
      <c r="C15" s="17" t="s">
        <v>15</v>
      </c>
      <c r="D15" s="5" t="s">
        <v>27</v>
      </c>
      <c r="F15" s="19" t="s">
        <v>28</v>
      </c>
      <c r="G15" s="17">
        <v>18</v>
      </c>
      <c r="H15" s="46">
        <v>997.947</v>
      </c>
      <c r="I15" s="17">
        <v>100</v>
      </c>
      <c r="J15" s="17" t="s">
        <v>51</v>
      </c>
      <c r="K15" s="17" t="s">
        <v>271</v>
      </c>
      <c r="L15" s="32">
        <f>M15+N15*$R$39+O15*POWER($R$39,2)+P15*POWER($R$39,3)+Q15*POWER($R$39,4)</f>
        <v>75957.106940638594</v>
      </c>
      <c r="M15" s="17">
        <v>276000</v>
      </c>
      <c r="N15" s="17">
        <v>-2090</v>
      </c>
      <c r="O15" s="18">
        <v>8.125</v>
      </c>
      <c r="P15" s="17">
        <v>-1.41E-2</v>
      </c>
      <c r="Q15" s="17">
        <v>9.3699999999999984E-6</v>
      </c>
      <c r="R15" s="20" t="s">
        <v>61</v>
      </c>
      <c r="S15" s="55"/>
      <c r="AN15" s="40" t="s">
        <v>278</v>
      </c>
      <c r="AO15" s="36" t="s">
        <v>280</v>
      </c>
      <c r="AP15" s="36" t="str">
        <f t="shared" si="0"/>
        <v>AC</v>
      </c>
      <c r="AQ15" s="57" t="s">
        <v>335</v>
      </c>
      <c r="AR15" s="57">
        <v>30</v>
      </c>
      <c r="AS15" s="41">
        <v>25</v>
      </c>
      <c r="AU15" s="19" t="s">
        <v>704</v>
      </c>
      <c r="AV15" s="87" t="s">
        <v>31</v>
      </c>
      <c r="AW15" s="87">
        <v>2.419</v>
      </c>
      <c r="AX15" s="87">
        <v>0.98</v>
      </c>
      <c r="AY15" s="87">
        <v>24.6</v>
      </c>
      <c r="AZ15" s="87">
        <v>0.9</v>
      </c>
      <c r="BA15" s="87">
        <v>76.98</v>
      </c>
      <c r="BB15" s="87">
        <v>0.95</v>
      </c>
      <c r="BC15" s="87">
        <v>110.3</v>
      </c>
      <c r="BD15" s="87">
        <v>0.95</v>
      </c>
      <c r="BE15" s="87">
        <v>1.111</v>
      </c>
      <c r="BF15" s="87">
        <v>0.66</v>
      </c>
      <c r="BG15" s="87">
        <v>0.55900000000000005</v>
      </c>
      <c r="BH15" s="87">
        <v>0.76</v>
      </c>
      <c r="BI15" s="87">
        <v>42.28</v>
      </c>
      <c r="BJ15" s="87">
        <v>0.61</v>
      </c>
      <c r="BK15" s="87">
        <v>0.84799999999999998</v>
      </c>
      <c r="BL15" s="5">
        <v>0.53</v>
      </c>
      <c r="BN15" s="19" t="s">
        <v>704</v>
      </c>
      <c r="BO15" s="87" t="s">
        <v>31</v>
      </c>
      <c r="BP15" s="87">
        <v>5.7549999999999999</v>
      </c>
      <c r="BQ15" s="87">
        <v>0.96</v>
      </c>
      <c r="BR15" s="87">
        <v>70.03</v>
      </c>
      <c r="BS15" s="87">
        <v>0.89</v>
      </c>
      <c r="BT15" s="87">
        <v>188.6</v>
      </c>
      <c r="BU15" s="87">
        <v>0.92</v>
      </c>
      <c r="BV15" s="87">
        <v>269.39999999999998</v>
      </c>
      <c r="BW15" s="87">
        <v>0.92</v>
      </c>
      <c r="BX15" s="87">
        <v>2.0350000000000001</v>
      </c>
      <c r="BY15" s="87">
        <v>0.66</v>
      </c>
      <c r="BZ15" s="87">
        <v>1.609</v>
      </c>
      <c r="CA15" s="87">
        <v>0.76</v>
      </c>
      <c r="CB15" s="87">
        <v>151</v>
      </c>
      <c r="CC15" s="87">
        <v>0.63</v>
      </c>
      <c r="CD15" s="87">
        <v>2.847</v>
      </c>
      <c r="CE15" s="5">
        <v>0.54</v>
      </c>
      <c r="CQ15" s="64">
        <v>55</v>
      </c>
      <c r="CR15" s="127">
        <v>2558</v>
      </c>
      <c r="CS15" s="129">
        <v>1.155</v>
      </c>
      <c r="CT15" s="127">
        <v>9890</v>
      </c>
      <c r="CU15" s="131">
        <v>1.046</v>
      </c>
      <c r="CW15" s="857"/>
      <c r="CX15" s="36" t="s">
        <v>705</v>
      </c>
      <c r="CY15" s="17">
        <v>20</v>
      </c>
      <c r="CZ15" s="36">
        <v>950.02</v>
      </c>
      <c r="DA15" s="36">
        <v>1.18</v>
      </c>
      <c r="DB15" s="36" t="s">
        <v>61</v>
      </c>
      <c r="DC15" s="41" t="s">
        <v>61</v>
      </c>
      <c r="DO15" s="19" t="s">
        <v>121</v>
      </c>
      <c r="DP15" s="514" t="s">
        <v>134</v>
      </c>
      <c r="DQ15" s="87">
        <v>5</v>
      </c>
      <c r="DR15" s="87">
        <v>40</v>
      </c>
      <c r="DS15" s="87">
        <v>80</v>
      </c>
      <c r="DT15" s="5">
        <v>240</v>
      </c>
      <c r="DV15" s="528" t="s">
        <v>1361</v>
      </c>
      <c r="DW15" s="514">
        <v>2.8</v>
      </c>
      <c r="DX15" s="532" t="s">
        <v>1348</v>
      </c>
      <c r="DY15" s="20">
        <v>18</v>
      </c>
      <c r="EA15" s="19" t="s">
        <v>121</v>
      </c>
      <c r="EB15" s="514" t="s">
        <v>134</v>
      </c>
      <c r="EC15" s="87">
        <v>0</v>
      </c>
      <c r="ED15" s="87">
        <v>2</v>
      </c>
      <c r="EE15" s="87">
        <v>2</v>
      </c>
      <c r="EF15" s="5">
        <v>4</v>
      </c>
      <c r="EH15" s="19" t="s">
        <v>702</v>
      </c>
      <c r="EI15" s="515"/>
      <c r="EJ15" s="515"/>
      <c r="EK15" s="514"/>
      <c r="EL15" s="20">
        <v>1</v>
      </c>
    </row>
    <row r="16" spans="2:142" x14ac:dyDescent="0.35">
      <c r="B16" s="19" t="s">
        <v>28</v>
      </c>
      <c r="C16" s="17" t="s">
        <v>15</v>
      </c>
      <c r="D16" s="5" t="s">
        <v>28</v>
      </c>
      <c r="F16" s="19" t="s">
        <v>29</v>
      </c>
      <c r="G16" s="17">
        <v>18</v>
      </c>
      <c r="H16" s="46">
        <v>997.947</v>
      </c>
      <c r="I16" s="17">
        <v>100</v>
      </c>
      <c r="J16" s="17" t="s">
        <v>60</v>
      </c>
      <c r="K16" s="17" t="s">
        <v>271</v>
      </c>
      <c r="L16" s="32">
        <f>M16+N16*$R$39+O16*POWER($R$39,2)+P16*POWER($R$39,3)+Q16*POWER($R$39,4)</f>
        <v>18590278286399.285</v>
      </c>
      <c r="M16" s="17">
        <v>33400</v>
      </c>
      <c r="N16" s="17">
        <v>26800</v>
      </c>
      <c r="O16" s="17">
        <v>2610</v>
      </c>
      <c r="P16" s="17">
        <v>8900</v>
      </c>
      <c r="Q16" s="17">
        <v>1170</v>
      </c>
      <c r="R16" s="20" t="s">
        <v>61</v>
      </c>
      <c r="S16" s="55"/>
      <c r="AN16" s="40" t="s">
        <v>279</v>
      </c>
      <c r="AO16" s="36" t="s">
        <v>278</v>
      </c>
      <c r="AP16" s="36" t="str">
        <f t="shared" si="0"/>
        <v>BA</v>
      </c>
      <c r="AQ16" s="57" t="s">
        <v>335</v>
      </c>
      <c r="AR16" s="57">
        <v>30</v>
      </c>
      <c r="AS16" s="41">
        <v>25</v>
      </c>
      <c r="AU16" s="19" t="s">
        <v>703</v>
      </c>
      <c r="AV16" s="87" t="s">
        <v>31</v>
      </c>
      <c r="AW16" s="87">
        <v>3.952</v>
      </c>
      <c r="AX16" s="87">
        <v>1.097</v>
      </c>
      <c r="AY16" s="87">
        <v>21.1</v>
      </c>
      <c r="AZ16" s="87">
        <v>0</v>
      </c>
      <c r="BA16" s="87">
        <v>80.11</v>
      </c>
      <c r="BB16" s="87">
        <v>1.0549999999999999</v>
      </c>
      <c r="BC16" s="96"/>
      <c r="BD16" s="96"/>
      <c r="BE16" s="87">
        <v>1.804</v>
      </c>
      <c r="BF16" s="87">
        <v>0.66700000000000004</v>
      </c>
      <c r="BG16" s="87">
        <v>14.36</v>
      </c>
      <c r="BH16" s="87">
        <v>0</v>
      </c>
      <c r="BI16" s="87">
        <v>83.68</v>
      </c>
      <c r="BJ16" s="87">
        <v>0.71299999999999997</v>
      </c>
      <c r="BK16" s="87">
        <v>143.6</v>
      </c>
      <c r="BL16" s="5">
        <v>0</v>
      </c>
      <c r="BN16" s="19" t="s">
        <v>703</v>
      </c>
      <c r="BO16" s="87" t="s">
        <v>31</v>
      </c>
      <c r="BP16" s="87">
        <v>12.76</v>
      </c>
      <c r="BQ16" s="87">
        <v>0.96299999999999997</v>
      </c>
      <c r="BR16" s="87">
        <v>66.010000000000005</v>
      </c>
      <c r="BS16" s="87">
        <v>0.88300000000000001</v>
      </c>
      <c r="BT16" s="87">
        <v>261.89999999999998</v>
      </c>
      <c r="BU16" s="87">
        <v>0.93700000000000006</v>
      </c>
      <c r="BV16" s="101">
        <v>56</v>
      </c>
      <c r="BW16" s="101">
        <v>0.26800000000000002</v>
      </c>
      <c r="BX16" s="87">
        <v>2.8889999999999998</v>
      </c>
      <c r="BY16" s="87">
        <v>0.68600000000000005</v>
      </c>
      <c r="BZ16" s="87">
        <v>2.7E-2</v>
      </c>
      <c r="CA16" s="87">
        <v>0.93500000000000005</v>
      </c>
      <c r="CB16" s="87">
        <v>83.68</v>
      </c>
      <c r="CC16" s="87">
        <v>0.71299999999999997</v>
      </c>
      <c r="CD16" s="87">
        <v>0.27300000000000002</v>
      </c>
      <c r="CE16" s="5">
        <v>0.93500000000000005</v>
      </c>
      <c r="CM16" s="132"/>
      <c r="CQ16" s="64">
        <v>60</v>
      </c>
      <c r="CR16" s="127">
        <v>2714</v>
      </c>
      <c r="CS16" s="129">
        <v>1.145</v>
      </c>
      <c r="CT16" s="127">
        <v>10994</v>
      </c>
      <c r="CU16" s="131">
        <v>1.026</v>
      </c>
      <c r="CW16" s="857"/>
      <c r="CX16" s="36" t="s">
        <v>705</v>
      </c>
      <c r="CY16" s="17">
        <v>40</v>
      </c>
      <c r="CZ16" s="36">
        <v>1851.8</v>
      </c>
      <c r="DA16" s="36">
        <v>1.2</v>
      </c>
      <c r="DB16" s="36" t="s">
        <v>61</v>
      </c>
      <c r="DC16" s="41" t="s">
        <v>61</v>
      </c>
      <c r="DO16" s="19" t="s">
        <v>121</v>
      </c>
      <c r="DP16" s="514" t="s">
        <v>135</v>
      </c>
      <c r="DQ16" s="87">
        <v>5</v>
      </c>
      <c r="DR16" s="87">
        <v>60</v>
      </c>
      <c r="DS16" s="87">
        <v>120</v>
      </c>
      <c r="DT16" s="5">
        <v>360</v>
      </c>
      <c r="DV16" s="528" t="s">
        <v>1362</v>
      </c>
      <c r="DW16" s="514">
        <v>3.2</v>
      </c>
      <c r="DX16" s="532" t="s">
        <v>1066</v>
      </c>
      <c r="DY16" s="20">
        <v>20</v>
      </c>
      <c r="EA16" s="19" t="s">
        <v>121</v>
      </c>
      <c r="EB16" s="514" t="s">
        <v>135</v>
      </c>
      <c r="EC16" s="87">
        <v>1</v>
      </c>
      <c r="ED16" s="87">
        <v>3</v>
      </c>
      <c r="EE16" s="87">
        <v>4</v>
      </c>
      <c r="EF16" s="5">
        <v>4</v>
      </c>
      <c r="EH16" s="19" t="s">
        <v>28</v>
      </c>
      <c r="EI16" s="515"/>
      <c r="EJ16" s="515"/>
      <c r="EK16" s="514"/>
      <c r="EL16" s="20">
        <v>1</v>
      </c>
    </row>
    <row r="17" spans="2:142" ht="15" thickBot="1" x14ac:dyDescent="0.4">
      <c r="B17" s="19" t="s">
        <v>29</v>
      </c>
      <c r="C17" s="17" t="s">
        <v>15</v>
      </c>
      <c r="D17" s="5" t="s">
        <v>29</v>
      </c>
      <c r="F17" s="19" t="s">
        <v>62</v>
      </c>
      <c r="G17" s="17">
        <v>18</v>
      </c>
      <c r="H17" s="46">
        <v>997.947</v>
      </c>
      <c r="I17" s="17">
        <v>100</v>
      </c>
      <c r="J17" s="17" t="s">
        <v>51</v>
      </c>
      <c r="K17" s="17" t="s">
        <v>271</v>
      </c>
      <c r="L17" s="32">
        <f>M17+N17*$R$39+O17*POWER($R$39,2)+P17*POWER($R$39,3)+Q17*POWER($R$39,4)</f>
        <v>75957.106940638594</v>
      </c>
      <c r="M17" s="17">
        <v>276000</v>
      </c>
      <c r="N17" s="17">
        <v>-2090</v>
      </c>
      <c r="O17" s="18">
        <v>8.125</v>
      </c>
      <c r="P17" s="17">
        <v>-1.41E-2</v>
      </c>
      <c r="Q17" s="17">
        <v>9.3699999999999984E-6</v>
      </c>
      <c r="R17" s="20" t="s">
        <v>61</v>
      </c>
      <c r="S17" s="55"/>
      <c r="AN17" s="40" t="s">
        <v>279</v>
      </c>
      <c r="AO17" s="36" t="s">
        <v>279</v>
      </c>
      <c r="AP17" s="36" t="str">
        <f t="shared" si="0"/>
        <v>BB</v>
      </c>
      <c r="AQ17" s="57" t="s">
        <v>335</v>
      </c>
      <c r="AR17" s="57">
        <v>30</v>
      </c>
      <c r="AS17" s="41">
        <v>25</v>
      </c>
      <c r="AU17" s="19" t="s">
        <v>45</v>
      </c>
      <c r="AV17" s="87" t="s">
        <v>31</v>
      </c>
      <c r="AW17" s="87">
        <v>3.952</v>
      </c>
      <c r="AX17" s="87">
        <v>1.097</v>
      </c>
      <c r="AY17" s="87">
        <v>21.1</v>
      </c>
      <c r="AZ17" s="87">
        <v>0</v>
      </c>
      <c r="BA17" s="87">
        <v>80.11</v>
      </c>
      <c r="BB17" s="87">
        <v>1.0549999999999999</v>
      </c>
      <c r="BC17" s="96"/>
      <c r="BD17" s="96"/>
      <c r="BE17" s="87">
        <v>1.804</v>
      </c>
      <c r="BF17" s="87">
        <v>0.66700000000000004</v>
      </c>
      <c r="BG17" s="87">
        <v>14.36</v>
      </c>
      <c r="BH17" s="87">
        <v>0</v>
      </c>
      <c r="BI17" s="87">
        <v>83.68</v>
      </c>
      <c r="BJ17" s="87">
        <v>0.71299999999999997</v>
      </c>
      <c r="BK17" s="87">
        <v>143.6</v>
      </c>
      <c r="BL17" s="5">
        <v>1</v>
      </c>
      <c r="BN17" s="19" t="s">
        <v>45</v>
      </c>
      <c r="BO17" s="87" t="s">
        <v>31</v>
      </c>
      <c r="BP17" s="87">
        <v>12.76</v>
      </c>
      <c r="BQ17" s="87">
        <v>0.96299999999999997</v>
      </c>
      <c r="BR17" s="87">
        <v>66.010000000000005</v>
      </c>
      <c r="BS17" s="87">
        <v>0.88300000000000001</v>
      </c>
      <c r="BT17" s="87">
        <v>261.89999999999998</v>
      </c>
      <c r="BU17" s="87">
        <v>0.93700000000000006</v>
      </c>
      <c r="BV17" s="101">
        <v>56</v>
      </c>
      <c r="BW17" s="101">
        <v>0.26800000000000002</v>
      </c>
      <c r="BX17" s="87">
        <v>2.8889999999999998</v>
      </c>
      <c r="BY17" s="87">
        <v>0.68600000000000005</v>
      </c>
      <c r="BZ17" s="87">
        <v>2.7E-2</v>
      </c>
      <c r="CA17" s="87">
        <v>0.93500000000000005</v>
      </c>
      <c r="CB17" s="87">
        <v>83.68</v>
      </c>
      <c r="CC17" s="87">
        <v>0.71299999999999997</v>
      </c>
      <c r="CD17" s="87">
        <v>0.27300000000000002</v>
      </c>
      <c r="CE17" s="5">
        <v>0.93500000000000005</v>
      </c>
      <c r="CQ17" s="123" t="s">
        <v>538</v>
      </c>
      <c r="CR17" s="115">
        <v>2.6840000000000002</v>
      </c>
      <c r="CS17" s="119">
        <v>0.90110000000000001</v>
      </c>
      <c r="CT17" s="115">
        <v>3.528</v>
      </c>
      <c r="CU17" s="116">
        <v>1.177</v>
      </c>
      <c r="CW17" s="857"/>
      <c r="CX17" s="36" t="s">
        <v>705</v>
      </c>
      <c r="CY17" s="17">
        <v>60</v>
      </c>
      <c r="CZ17" s="36">
        <v>2118.87</v>
      </c>
      <c r="DA17" s="36">
        <v>1.23</v>
      </c>
      <c r="DB17" s="36" t="s">
        <v>61</v>
      </c>
      <c r="DC17" s="41" t="s">
        <v>61</v>
      </c>
      <c r="DO17" s="19" t="s">
        <v>121</v>
      </c>
      <c r="DP17" s="514" t="s">
        <v>136</v>
      </c>
      <c r="DQ17" s="87">
        <v>5</v>
      </c>
      <c r="DR17" s="87">
        <v>80</v>
      </c>
      <c r="DS17" s="87">
        <v>160</v>
      </c>
      <c r="DT17" s="5">
        <v>500</v>
      </c>
      <c r="DV17" s="528" t="s">
        <v>1363</v>
      </c>
      <c r="DW17" s="514">
        <v>3.3</v>
      </c>
      <c r="DX17" s="532" t="s">
        <v>1352</v>
      </c>
      <c r="DY17" s="20">
        <v>20</v>
      </c>
      <c r="EA17" s="19" t="s">
        <v>121</v>
      </c>
      <c r="EB17" s="514" t="s">
        <v>136</v>
      </c>
      <c r="EC17" s="87">
        <v>1</v>
      </c>
      <c r="ED17" s="87">
        <v>3</v>
      </c>
      <c r="EE17" s="87">
        <v>4</v>
      </c>
      <c r="EF17" s="5">
        <v>5</v>
      </c>
      <c r="EH17" s="19" t="s">
        <v>29</v>
      </c>
      <c r="EI17" s="515"/>
      <c r="EJ17" s="515"/>
      <c r="EK17" s="514"/>
      <c r="EL17" s="20">
        <v>1</v>
      </c>
    </row>
    <row r="18" spans="2:142" x14ac:dyDescent="0.35">
      <c r="B18" s="19" t="s">
        <v>62</v>
      </c>
      <c r="C18" s="17" t="s">
        <v>15</v>
      </c>
      <c r="D18" s="5" t="s">
        <v>30</v>
      </c>
      <c r="F18" s="19" t="s">
        <v>43</v>
      </c>
      <c r="G18" s="17">
        <v>32</v>
      </c>
      <c r="H18" s="46">
        <v>800.92</v>
      </c>
      <c r="I18" s="17">
        <v>65</v>
      </c>
      <c r="J18" s="17" t="s">
        <v>51</v>
      </c>
      <c r="K18" s="17" t="s">
        <v>270</v>
      </c>
      <c r="L18" s="32">
        <f>M18+N18*(POWER((O18/$R$39)/(SINH((O18/$R$39))),2)+P18*(POWER((Q18/$R$39)/(SINH((Q18/$R$39))),2)))</f>
        <v>767216463.56001902</v>
      </c>
      <c r="M18" s="17">
        <v>39300</v>
      </c>
      <c r="N18" s="17">
        <v>87899.999999999985</v>
      </c>
      <c r="O18" s="17">
        <v>1920</v>
      </c>
      <c r="P18" s="17">
        <v>53700</v>
      </c>
      <c r="Q18" s="17">
        <v>897.00000000000011</v>
      </c>
      <c r="R18" s="20">
        <v>464</v>
      </c>
      <c r="S18" s="55"/>
      <c r="AN18" s="40" t="s">
        <v>279</v>
      </c>
      <c r="AO18" s="36" t="s">
        <v>280</v>
      </c>
      <c r="AP18" s="36" t="str">
        <f t="shared" si="0"/>
        <v>BC</v>
      </c>
      <c r="AQ18" s="57" t="s">
        <v>335</v>
      </c>
      <c r="AR18" s="57">
        <v>30</v>
      </c>
      <c r="AS18" s="41">
        <v>25</v>
      </c>
      <c r="AU18" s="19" t="s">
        <v>28</v>
      </c>
      <c r="AV18" s="87" t="s">
        <v>15</v>
      </c>
      <c r="AW18" s="96"/>
      <c r="AX18" s="96"/>
      <c r="AY18" s="96"/>
      <c r="AZ18" s="96"/>
      <c r="BA18" s="96"/>
      <c r="BB18" s="96"/>
      <c r="BC18" s="96"/>
      <c r="BD18" s="96"/>
      <c r="BE18" s="96"/>
      <c r="BF18" s="96"/>
      <c r="BG18" s="96"/>
      <c r="BH18" s="96"/>
      <c r="BI18" s="96"/>
      <c r="BJ18" s="96"/>
      <c r="BK18" s="96"/>
      <c r="BL18" s="98"/>
      <c r="BN18" s="19" t="s">
        <v>701</v>
      </c>
      <c r="BO18" s="87" t="s">
        <v>15</v>
      </c>
      <c r="BP18" s="96"/>
      <c r="BQ18" s="96"/>
      <c r="BR18" s="96"/>
      <c r="BS18" s="96"/>
      <c r="BT18" s="96"/>
      <c r="BU18" s="96"/>
      <c r="BV18" s="96"/>
      <c r="BW18" s="96"/>
      <c r="BX18" s="96"/>
      <c r="BY18" s="96"/>
      <c r="BZ18" s="96"/>
      <c r="CA18" s="96"/>
      <c r="CB18" s="96"/>
      <c r="CC18" s="96"/>
      <c r="CD18" s="96"/>
      <c r="CE18" s="98"/>
      <c r="CW18" s="857" t="s">
        <v>40</v>
      </c>
      <c r="CX18" s="36" t="s">
        <v>40</v>
      </c>
      <c r="CY18" s="17">
        <v>3</v>
      </c>
      <c r="CZ18" s="36">
        <v>13230.9</v>
      </c>
      <c r="DA18" s="36">
        <v>1.25</v>
      </c>
      <c r="DB18" s="36">
        <v>1114.96</v>
      </c>
      <c r="DC18" s="41">
        <v>1.08</v>
      </c>
      <c r="DO18" s="19" t="s">
        <v>121</v>
      </c>
      <c r="DP18" s="514" t="s">
        <v>124</v>
      </c>
      <c r="DQ18" s="87">
        <v>10</v>
      </c>
      <c r="DR18" s="87">
        <v>120</v>
      </c>
      <c r="DS18" s="87">
        <v>240</v>
      </c>
      <c r="DT18" s="5">
        <v>700</v>
      </c>
      <c r="DV18" s="528" t="s">
        <v>1364</v>
      </c>
      <c r="DW18" s="514">
        <v>3.3</v>
      </c>
      <c r="DX18" s="532" t="s">
        <v>1380</v>
      </c>
      <c r="DY18" s="20">
        <v>26</v>
      </c>
      <c r="EA18" s="19" t="s">
        <v>121</v>
      </c>
      <c r="EB18" s="514" t="s">
        <v>124</v>
      </c>
      <c r="EC18" s="87">
        <v>1</v>
      </c>
      <c r="ED18" s="87">
        <v>4</v>
      </c>
      <c r="EE18" s="87">
        <v>5</v>
      </c>
      <c r="EF18" s="5">
        <v>7</v>
      </c>
      <c r="EH18" s="19" t="s">
        <v>62</v>
      </c>
      <c r="EI18" s="515"/>
      <c r="EJ18" s="515"/>
      <c r="EK18" s="514"/>
      <c r="EL18" s="20">
        <v>0.9</v>
      </c>
    </row>
    <row r="19" spans="2:142" x14ac:dyDescent="0.35">
      <c r="B19" s="19" t="s">
        <v>703</v>
      </c>
      <c r="C19" s="17" t="s">
        <v>31</v>
      </c>
      <c r="D19" s="5" t="s">
        <v>32</v>
      </c>
      <c r="F19" s="19" t="s">
        <v>35</v>
      </c>
      <c r="G19" s="17" t="s">
        <v>63</v>
      </c>
      <c r="H19" s="46">
        <v>0.76900000000000002</v>
      </c>
      <c r="I19" s="17">
        <v>-33.340000000000003</v>
      </c>
      <c r="J19" s="17" t="s">
        <v>60</v>
      </c>
      <c r="K19" s="17" t="s">
        <v>64</v>
      </c>
      <c r="L19" s="32" t="s">
        <v>64</v>
      </c>
      <c r="M19" s="17" t="s">
        <v>64</v>
      </c>
      <c r="N19" s="17" t="s">
        <v>64</v>
      </c>
      <c r="O19" s="17" t="s">
        <v>64</v>
      </c>
      <c r="P19" s="17" t="s">
        <v>64</v>
      </c>
      <c r="Q19" s="17" t="s">
        <v>64</v>
      </c>
      <c r="R19" s="20" t="s">
        <v>61</v>
      </c>
      <c r="S19" s="55"/>
      <c r="U19" s="2"/>
      <c r="V19" s="2"/>
      <c r="W19" s="2"/>
      <c r="X19" s="2"/>
      <c r="Y19" s="2"/>
      <c r="AN19" s="40" t="s">
        <v>280</v>
      </c>
      <c r="AO19" s="36" t="s">
        <v>278</v>
      </c>
      <c r="AP19" s="36" t="str">
        <f t="shared" si="0"/>
        <v>CA</v>
      </c>
      <c r="AQ19" s="57" t="s">
        <v>338</v>
      </c>
      <c r="AR19" s="57">
        <v>40</v>
      </c>
      <c r="AS19" s="41">
        <v>25</v>
      </c>
      <c r="AU19" s="19" t="s">
        <v>29</v>
      </c>
      <c r="AV19" s="87" t="s">
        <v>15</v>
      </c>
      <c r="AW19" s="96"/>
      <c r="AX19" s="96"/>
      <c r="AY19" s="96"/>
      <c r="AZ19" s="96"/>
      <c r="BA19" s="96"/>
      <c r="BB19" s="96"/>
      <c r="BC19" s="96"/>
      <c r="BD19" s="96"/>
      <c r="BE19" s="96"/>
      <c r="BF19" s="96"/>
      <c r="BG19" s="96"/>
      <c r="BH19" s="96"/>
      <c r="BI19" s="96"/>
      <c r="BJ19" s="96"/>
      <c r="BK19" s="96"/>
      <c r="BL19" s="98"/>
      <c r="BN19" s="19" t="s">
        <v>28</v>
      </c>
      <c r="BO19" s="87" t="s">
        <v>15</v>
      </c>
      <c r="BP19" s="96"/>
      <c r="BQ19" s="96"/>
      <c r="BR19" s="96"/>
      <c r="BS19" s="96"/>
      <c r="BT19" s="96"/>
      <c r="BU19" s="96"/>
      <c r="BV19" s="96"/>
      <c r="BW19" s="96"/>
      <c r="BX19" s="96"/>
      <c r="BY19" s="96"/>
      <c r="BZ19" s="96"/>
      <c r="CA19" s="96"/>
      <c r="CB19" s="96"/>
      <c r="CC19" s="96"/>
      <c r="CD19" s="96"/>
      <c r="CE19" s="98"/>
      <c r="CW19" s="857"/>
      <c r="CX19" s="36" t="s">
        <v>40</v>
      </c>
      <c r="CY19" s="17">
        <v>5</v>
      </c>
      <c r="CZ19" s="36">
        <v>17146</v>
      </c>
      <c r="DA19" s="36">
        <v>1.25</v>
      </c>
      <c r="DB19" s="36">
        <v>2006.1</v>
      </c>
      <c r="DC19" s="41">
        <v>1.02</v>
      </c>
      <c r="DO19" s="19" t="s">
        <v>125</v>
      </c>
      <c r="DP19" s="514" t="s">
        <v>137</v>
      </c>
      <c r="DQ19" s="87">
        <v>1000</v>
      </c>
      <c r="DR19" s="87">
        <v>2500</v>
      </c>
      <c r="DS19" s="87">
        <v>5000</v>
      </c>
      <c r="DT19" s="5">
        <v>5000</v>
      </c>
      <c r="DV19" s="528" t="s">
        <v>1365</v>
      </c>
      <c r="DW19" s="514">
        <v>3.4</v>
      </c>
      <c r="DX19" s="532" t="s">
        <v>1353</v>
      </c>
      <c r="DY19" s="20">
        <v>28</v>
      </c>
      <c r="EA19" s="19" t="s">
        <v>125</v>
      </c>
      <c r="EB19" s="514" t="s">
        <v>137</v>
      </c>
      <c r="EC19" s="87">
        <v>0</v>
      </c>
      <c r="ED19" s="87">
        <v>0</v>
      </c>
      <c r="EE19" s="87">
        <v>0</v>
      </c>
      <c r="EF19" s="5">
        <v>0</v>
      </c>
      <c r="EH19" s="19" t="s">
        <v>703</v>
      </c>
      <c r="EI19" s="515"/>
      <c r="EJ19" s="515"/>
      <c r="EK19" s="514"/>
      <c r="EL19" s="20">
        <v>1</v>
      </c>
    </row>
    <row r="20" spans="2:142" x14ac:dyDescent="0.35">
      <c r="B20" s="19" t="s">
        <v>67</v>
      </c>
      <c r="C20" s="17" t="s">
        <v>15</v>
      </c>
      <c r="D20" s="5" t="s">
        <v>33</v>
      </c>
      <c r="F20" s="19" t="s">
        <v>700</v>
      </c>
      <c r="G20" s="17">
        <v>2</v>
      </c>
      <c r="H20" s="46">
        <v>71.010000000000005</v>
      </c>
      <c r="I20" s="17">
        <v>-253</v>
      </c>
      <c r="J20" s="17" t="s">
        <v>60</v>
      </c>
      <c r="K20" s="25" t="s">
        <v>269</v>
      </c>
      <c r="L20" s="32">
        <f>M20+N20*$R$39+O20*POWER($R$39,2)+P20*POWER($R$39,3)</f>
        <v>28.989564092338696</v>
      </c>
      <c r="M20" s="17">
        <v>27.1</v>
      </c>
      <c r="N20" s="17">
        <v>9.2700000000000005E-3</v>
      </c>
      <c r="O20" s="17">
        <v>-1.38E-5</v>
      </c>
      <c r="P20" s="17">
        <v>7.6500000000000007E-9</v>
      </c>
      <c r="Q20" s="17" t="s">
        <v>61</v>
      </c>
      <c r="R20" s="20">
        <v>400</v>
      </c>
      <c r="S20" s="55"/>
      <c r="AN20" s="40" t="s">
        <v>280</v>
      </c>
      <c r="AO20" s="36" t="s">
        <v>279</v>
      </c>
      <c r="AP20" s="36" t="str">
        <f t="shared" si="0"/>
        <v>CB</v>
      </c>
      <c r="AQ20" s="57" t="s">
        <v>338</v>
      </c>
      <c r="AR20" s="57">
        <v>40</v>
      </c>
      <c r="AS20" s="41">
        <v>25</v>
      </c>
      <c r="AU20" s="19" t="s">
        <v>62</v>
      </c>
      <c r="AV20" s="87" t="s">
        <v>15</v>
      </c>
      <c r="AW20" s="87"/>
      <c r="AX20" s="87"/>
      <c r="AY20" s="87"/>
      <c r="AZ20" s="87"/>
      <c r="BA20" s="96"/>
      <c r="BB20" s="96"/>
      <c r="BC20" s="96"/>
      <c r="BD20" s="96"/>
      <c r="BE20" s="87"/>
      <c r="BF20" s="87"/>
      <c r="BG20" s="87"/>
      <c r="BH20" s="87"/>
      <c r="BI20" s="96"/>
      <c r="BJ20" s="96"/>
      <c r="BK20" s="96"/>
      <c r="BL20" s="98"/>
      <c r="BN20" s="19" t="s">
        <v>62</v>
      </c>
      <c r="BO20" s="87" t="s">
        <v>15</v>
      </c>
      <c r="BP20" s="96"/>
      <c r="BQ20" s="96"/>
      <c r="BR20" s="96"/>
      <c r="BS20" s="96"/>
      <c r="BT20" s="96"/>
      <c r="BU20" s="96"/>
      <c r="BV20" s="96"/>
      <c r="BW20" s="96"/>
      <c r="BX20" s="96"/>
      <c r="BY20" s="96"/>
      <c r="BZ20" s="96"/>
      <c r="CA20" s="96"/>
      <c r="CB20" s="96"/>
      <c r="CC20" s="96"/>
      <c r="CD20" s="96"/>
      <c r="CE20" s="98"/>
      <c r="CW20" s="857"/>
      <c r="CX20" s="36" t="s">
        <v>40</v>
      </c>
      <c r="CY20" s="17">
        <v>10</v>
      </c>
      <c r="CZ20" s="36">
        <v>23851.3</v>
      </c>
      <c r="DA20" s="36">
        <v>1.24</v>
      </c>
      <c r="DB20" s="36">
        <v>2674.47</v>
      </c>
      <c r="DC20" s="41">
        <v>1.06</v>
      </c>
      <c r="DO20" s="19" t="s">
        <v>125</v>
      </c>
      <c r="DP20" s="514" t="s">
        <v>126</v>
      </c>
      <c r="DQ20" s="87">
        <v>1000</v>
      </c>
      <c r="DR20" s="87">
        <v>2500</v>
      </c>
      <c r="DS20" s="87">
        <v>5000</v>
      </c>
      <c r="DT20" s="5">
        <v>5000</v>
      </c>
      <c r="DV20" s="528" t="s">
        <v>1366</v>
      </c>
      <c r="DW20" s="514">
        <v>3.4</v>
      </c>
      <c r="DX20" s="532" t="s">
        <v>1381</v>
      </c>
      <c r="DY20" s="20">
        <v>29</v>
      </c>
      <c r="EA20" s="19" t="s">
        <v>125</v>
      </c>
      <c r="EB20" s="514" t="s">
        <v>126</v>
      </c>
      <c r="EC20" s="87">
        <v>0</v>
      </c>
      <c r="ED20" s="87">
        <v>0</v>
      </c>
      <c r="EE20" s="87">
        <v>0</v>
      </c>
      <c r="EF20" s="5">
        <v>0</v>
      </c>
      <c r="EH20" s="19" t="s">
        <v>67</v>
      </c>
      <c r="EI20" s="515"/>
      <c r="EJ20" s="515"/>
      <c r="EK20" s="514"/>
      <c r="EL20" s="20">
        <v>1</v>
      </c>
    </row>
    <row r="21" spans="2:142" x14ac:dyDescent="0.35">
      <c r="B21" s="19" t="s">
        <v>704</v>
      </c>
      <c r="C21" s="17" t="s">
        <v>15</v>
      </c>
      <c r="D21" s="5" t="s">
        <v>34</v>
      </c>
      <c r="F21" s="19" t="s">
        <v>535</v>
      </c>
      <c r="G21" s="17">
        <v>34</v>
      </c>
      <c r="H21" s="46">
        <v>993.029</v>
      </c>
      <c r="I21" s="17">
        <v>-59</v>
      </c>
      <c r="J21" s="17" t="s">
        <v>60</v>
      </c>
      <c r="K21" s="25" t="s">
        <v>269</v>
      </c>
      <c r="L21" s="32">
        <f>M21+N21*$R$39+O21*POWER($R$39,2)+P21*POWER($R$39,3)</f>
        <v>34.919400333155671</v>
      </c>
      <c r="M21" s="17">
        <v>31.9</v>
      </c>
      <c r="N21" s="17">
        <v>1.4399999999999999E-3</v>
      </c>
      <c r="O21" s="17">
        <v>2.4300000000000005E-5</v>
      </c>
      <c r="P21" s="17">
        <v>-1.18E-8</v>
      </c>
      <c r="Q21" s="17" t="s">
        <v>61</v>
      </c>
      <c r="R21" s="20">
        <v>260</v>
      </c>
      <c r="S21" s="55"/>
      <c r="AN21" s="40" t="s">
        <v>280</v>
      </c>
      <c r="AO21" s="36" t="s">
        <v>280</v>
      </c>
      <c r="AP21" s="36" t="str">
        <f t="shared" si="0"/>
        <v>CC</v>
      </c>
      <c r="AQ21" s="57" t="s">
        <v>338</v>
      </c>
      <c r="AR21" s="57">
        <v>40</v>
      </c>
      <c r="AS21" s="41">
        <v>25</v>
      </c>
      <c r="AU21" s="19" t="s">
        <v>43</v>
      </c>
      <c r="AV21" s="87" t="s">
        <v>31</v>
      </c>
      <c r="AW21" s="87">
        <v>5.0000000000000001E-3</v>
      </c>
      <c r="AX21" s="87">
        <v>0.90900000000000003</v>
      </c>
      <c r="AY21" s="87">
        <v>340.4</v>
      </c>
      <c r="AZ21" s="87">
        <v>0.93400000000000005</v>
      </c>
      <c r="BA21" s="96"/>
      <c r="BB21" s="96"/>
      <c r="BC21" s="96"/>
      <c r="BD21" s="96"/>
      <c r="BE21" s="87">
        <v>4.4249999999999998</v>
      </c>
      <c r="BF21" s="87">
        <v>0.66700000000000004</v>
      </c>
      <c r="BG21" s="87">
        <v>0.36299999999999999</v>
      </c>
      <c r="BH21" s="87">
        <v>0.9</v>
      </c>
      <c r="BI21" s="96"/>
      <c r="BJ21" s="96"/>
      <c r="BK21" s="96"/>
      <c r="BL21" s="98"/>
      <c r="BN21" s="19" t="s">
        <v>29</v>
      </c>
      <c r="BO21" s="87" t="s">
        <v>31</v>
      </c>
      <c r="BP21" s="96"/>
      <c r="BQ21" s="96"/>
      <c r="BR21" s="96"/>
      <c r="BS21" s="96"/>
      <c r="BT21" s="96"/>
      <c r="BU21" s="96"/>
      <c r="BV21" s="96"/>
      <c r="BW21" s="96"/>
      <c r="BX21" s="96"/>
      <c r="BY21" s="96"/>
      <c r="BZ21" s="96"/>
      <c r="CA21" s="96"/>
      <c r="CB21" s="96"/>
      <c r="CC21" s="96"/>
      <c r="CD21" s="96"/>
      <c r="CE21" s="98"/>
      <c r="CW21" s="857"/>
      <c r="CX21" s="36" t="s">
        <v>40</v>
      </c>
      <c r="CY21" s="17">
        <v>20</v>
      </c>
      <c r="CZ21" s="36">
        <v>31185</v>
      </c>
      <c r="DA21" s="36">
        <v>1.23</v>
      </c>
      <c r="DB21" s="36">
        <v>4112.6499999999996</v>
      </c>
      <c r="DC21" s="41">
        <v>1.06</v>
      </c>
      <c r="DO21" s="19" t="s">
        <v>125</v>
      </c>
      <c r="DP21" s="514" t="s">
        <v>138</v>
      </c>
      <c r="DQ21" s="87">
        <v>1000</v>
      </c>
      <c r="DR21" s="87">
        <v>2500</v>
      </c>
      <c r="DS21" s="87">
        <v>5000</v>
      </c>
      <c r="DT21" s="5">
        <v>10000</v>
      </c>
      <c r="DV21" s="528" t="s">
        <v>1367</v>
      </c>
      <c r="DW21" s="514">
        <v>4.4000000000000004</v>
      </c>
      <c r="DX21" s="532" t="s">
        <v>1354</v>
      </c>
      <c r="DY21" s="20">
        <v>34</v>
      </c>
      <c r="EA21" s="19" t="s">
        <v>125</v>
      </c>
      <c r="EB21" s="514" t="s">
        <v>138</v>
      </c>
      <c r="EC21" s="87">
        <v>0</v>
      </c>
      <c r="ED21" s="87">
        <v>0</v>
      </c>
      <c r="EE21" s="87">
        <v>0</v>
      </c>
      <c r="EF21" s="5">
        <v>0</v>
      </c>
      <c r="EH21" s="19" t="s">
        <v>704</v>
      </c>
      <c r="EI21" s="515"/>
      <c r="EJ21" s="515"/>
      <c r="EK21" s="514"/>
      <c r="EL21" s="20">
        <v>1</v>
      </c>
    </row>
    <row r="22" spans="2:142" x14ac:dyDescent="0.35">
      <c r="B22" s="19" t="s">
        <v>35</v>
      </c>
      <c r="C22" s="17" t="s">
        <v>15</v>
      </c>
      <c r="D22" s="5" t="s">
        <v>35</v>
      </c>
      <c r="F22" s="19" t="s">
        <v>701</v>
      </c>
      <c r="G22" s="17">
        <v>20</v>
      </c>
      <c r="H22" s="46">
        <v>967.03099999999995</v>
      </c>
      <c r="I22" s="17">
        <v>20</v>
      </c>
      <c r="J22" s="17" t="s">
        <v>60</v>
      </c>
      <c r="K22" s="25" t="s">
        <v>269</v>
      </c>
      <c r="L22" s="32">
        <f>M22+N22*$R$39+O22*POWER($R$39,2)+P22*POWER($R$39,3)</f>
        <v>29.190368544527189</v>
      </c>
      <c r="M22" s="17">
        <v>29.1</v>
      </c>
      <c r="N22" s="17">
        <v>6.6100000000000002E-4</v>
      </c>
      <c r="O22" s="17">
        <v>-2.0299999999999996E-6</v>
      </c>
      <c r="P22" s="17">
        <v>2.5000000000000001E-9</v>
      </c>
      <c r="Q22" s="17" t="s">
        <v>61</v>
      </c>
      <c r="R22" s="20">
        <v>17760</v>
      </c>
      <c r="S22" s="55"/>
      <c r="AN22" s="40" t="s">
        <v>278</v>
      </c>
      <c r="AO22" s="36" t="s">
        <v>278</v>
      </c>
      <c r="AP22" s="36" t="str">
        <f t="shared" si="0"/>
        <v>AA</v>
      </c>
      <c r="AQ22" s="57" t="s">
        <v>330</v>
      </c>
      <c r="AR22" s="57">
        <v>5</v>
      </c>
      <c r="AS22" s="41">
        <v>102</v>
      </c>
      <c r="AU22" s="19" t="s">
        <v>700</v>
      </c>
      <c r="AV22" s="87" t="s">
        <v>15</v>
      </c>
      <c r="AW22" s="87">
        <v>13.13</v>
      </c>
      <c r="AX22" s="87">
        <v>0.99199999999999999</v>
      </c>
      <c r="AY22" s="96"/>
      <c r="AZ22" s="96"/>
      <c r="BA22" s="87">
        <v>86.02</v>
      </c>
      <c r="BB22" s="87">
        <v>1</v>
      </c>
      <c r="BC22" s="96"/>
      <c r="BD22" s="96"/>
      <c r="BE22" s="87">
        <v>9.6050000000000004</v>
      </c>
      <c r="BF22" s="87">
        <v>0.65700000000000003</v>
      </c>
      <c r="BG22" s="96"/>
      <c r="BH22" s="96"/>
      <c r="BI22" s="87">
        <v>216.5</v>
      </c>
      <c r="BJ22" s="87">
        <v>0.61799999999999999</v>
      </c>
      <c r="BK22" s="96"/>
      <c r="BL22" s="98"/>
      <c r="BN22" s="19" t="s">
        <v>43</v>
      </c>
      <c r="BO22" s="87" t="s">
        <v>15</v>
      </c>
      <c r="BP22" s="101">
        <v>0</v>
      </c>
      <c r="BQ22" s="101">
        <v>1.008</v>
      </c>
      <c r="BR22" s="101">
        <v>849.9</v>
      </c>
      <c r="BS22" s="101">
        <v>0.90200000000000002</v>
      </c>
      <c r="BT22" s="96"/>
      <c r="BU22" s="96"/>
      <c r="BV22" s="96"/>
      <c r="BW22" s="96"/>
      <c r="BX22" s="101">
        <v>6.0350000000000001</v>
      </c>
      <c r="BY22" s="101">
        <v>0.68799999999999994</v>
      </c>
      <c r="BZ22" s="101">
        <v>1.157</v>
      </c>
      <c r="CA22" s="101">
        <v>0.871</v>
      </c>
      <c r="CB22" s="96"/>
      <c r="CC22" s="96"/>
      <c r="CD22" s="96"/>
      <c r="CE22" s="98"/>
      <c r="CW22" s="857"/>
      <c r="CX22" s="36" t="s">
        <v>40</v>
      </c>
      <c r="CY22" s="17">
        <v>40</v>
      </c>
      <c r="CZ22" s="36">
        <v>35813.699999999997</v>
      </c>
      <c r="DA22" s="36">
        <v>1.22</v>
      </c>
      <c r="DB22" s="36">
        <v>6688.99</v>
      </c>
      <c r="DC22" s="41">
        <v>1.06</v>
      </c>
      <c r="DO22" s="19" t="s">
        <v>127</v>
      </c>
      <c r="DP22" s="514" t="s">
        <v>128</v>
      </c>
      <c r="DQ22" s="87">
        <v>5000</v>
      </c>
      <c r="DR22" s="87">
        <v>0</v>
      </c>
      <c r="DS22" s="87">
        <v>0</v>
      </c>
      <c r="DT22" s="5">
        <v>120000</v>
      </c>
      <c r="DV22" s="528" t="s">
        <v>1368</v>
      </c>
      <c r="DW22" s="514">
        <v>4.8</v>
      </c>
      <c r="DX22" s="532" t="s">
        <v>1382</v>
      </c>
      <c r="DY22" s="20">
        <v>36</v>
      </c>
      <c r="EA22" s="19" t="s">
        <v>127</v>
      </c>
      <c r="EB22" s="514" t="s">
        <v>128</v>
      </c>
      <c r="EC22" s="87">
        <v>5</v>
      </c>
      <c r="ED22" s="87">
        <v>0</v>
      </c>
      <c r="EE22" s="87">
        <v>0</v>
      </c>
      <c r="EF22" s="5">
        <v>50</v>
      </c>
      <c r="EH22" s="19" t="s">
        <v>35</v>
      </c>
      <c r="EI22" s="515"/>
      <c r="EJ22" s="515"/>
      <c r="EK22" s="514"/>
      <c r="EL22" s="20">
        <v>1</v>
      </c>
    </row>
    <row r="23" spans="2:142" ht="15" thickBot="1" x14ac:dyDescent="0.4">
      <c r="B23" s="19" t="s">
        <v>36</v>
      </c>
      <c r="C23" s="17" t="s">
        <v>15</v>
      </c>
      <c r="D23" s="5" t="s">
        <v>36</v>
      </c>
      <c r="F23" s="19" t="s">
        <v>705</v>
      </c>
      <c r="G23" s="17">
        <v>36</v>
      </c>
      <c r="H23" s="46">
        <v>1185.3620000000001</v>
      </c>
      <c r="I23" s="17">
        <v>-85</v>
      </c>
      <c r="J23" s="17" t="s">
        <v>60</v>
      </c>
      <c r="K23" s="17" t="s">
        <v>64</v>
      </c>
      <c r="L23" s="32" t="s">
        <v>64</v>
      </c>
      <c r="M23" s="17" t="s">
        <v>64</v>
      </c>
      <c r="N23" s="17" t="s">
        <v>64</v>
      </c>
      <c r="O23" s="17" t="s">
        <v>64</v>
      </c>
      <c r="P23" s="17" t="s">
        <v>64</v>
      </c>
      <c r="Q23" s="17" t="s">
        <v>64</v>
      </c>
      <c r="R23" s="20" t="s">
        <v>61</v>
      </c>
      <c r="S23" s="55"/>
      <c r="U23" s="2"/>
      <c r="V23" s="2"/>
      <c r="W23" s="2"/>
      <c r="X23" s="2"/>
      <c r="Y23" s="2"/>
      <c r="AN23" s="40" t="s">
        <v>278</v>
      </c>
      <c r="AO23" s="36" t="s">
        <v>279</v>
      </c>
      <c r="AP23" s="36" t="str">
        <f t="shared" si="0"/>
        <v>AB</v>
      </c>
      <c r="AQ23" s="57" t="s">
        <v>333</v>
      </c>
      <c r="AR23" s="57">
        <v>10</v>
      </c>
      <c r="AS23" s="41">
        <v>102</v>
      </c>
      <c r="AU23" s="19" t="s">
        <v>535</v>
      </c>
      <c r="AV23" s="87" t="s">
        <v>15</v>
      </c>
      <c r="AW23" s="87">
        <v>6.5540000000000003</v>
      </c>
      <c r="AX23" s="87">
        <v>1</v>
      </c>
      <c r="AY23" s="96"/>
      <c r="AZ23" s="96"/>
      <c r="BA23" s="87">
        <v>38.11</v>
      </c>
      <c r="BB23" s="87">
        <v>0.89</v>
      </c>
      <c r="BC23" s="96"/>
      <c r="BD23" s="96"/>
      <c r="BE23" s="87">
        <v>22.63</v>
      </c>
      <c r="BF23" s="87">
        <v>0.63</v>
      </c>
      <c r="BG23" s="96"/>
      <c r="BH23" s="96"/>
      <c r="BI23" s="87">
        <v>53.72</v>
      </c>
      <c r="BJ23" s="87">
        <v>0.61</v>
      </c>
      <c r="BK23" s="96"/>
      <c r="BL23" s="98"/>
      <c r="BN23" s="19" t="s">
        <v>700</v>
      </c>
      <c r="BO23" s="87" t="s">
        <v>15</v>
      </c>
      <c r="BP23" s="101">
        <v>32.049999999999997</v>
      </c>
      <c r="BQ23" s="101">
        <v>0.93300000000000005</v>
      </c>
      <c r="BR23" s="96"/>
      <c r="BS23" s="96"/>
      <c r="BT23" s="101">
        <v>228.8</v>
      </c>
      <c r="BU23" s="101">
        <v>1</v>
      </c>
      <c r="BV23" s="96"/>
      <c r="BW23" s="96"/>
      <c r="BX23" s="101">
        <v>18.43</v>
      </c>
      <c r="BY23" s="101">
        <v>0.65200000000000002</v>
      </c>
      <c r="BZ23" s="96"/>
      <c r="CA23" s="96"/>
      <c r="CB23" s="101">
        <v>636.5</v>
      </c>
      <c r="CC23" s="101">
        <v>0.621</v>
      </c>
      <c r="CD23" s="96"/>
      <c r="CE23" s="98"/>
      <c r="CW23" s="857"/>
      <c r="CX23" s="36" t="s">
        <v>40</v>
      </c>
      <c r="CY23" s="17">
        <v>60</v>
      </c>
      <c r="CZ23" s="36">
        <v>38105.800000000003</v>
      </c>
      <c r="DA23" s="36">
        <v>1.22</v>
      </c>
      <c r="DB23" s="36">
        <v>9458.2900000000009</v>
      </c>
      <c r="DC23" s="41">
        <v>1.1200000000000001</v>
      </c>
      <c r="DO23" s="19" t="s">
        <v>127</v>
      </c>
      <c r="DP23" s="514" t="s">
        <v>129</v>
      </c>
      <c r="DQ23" s="87">
        <v>5000</v>
      </c>
      <c r="DR23" s="87">
        <v>12000</v>
      </c>
      <c r="DS23" s="87">
        <v>20000</v>
      </c>
      <c r="DT23" s="5">
        <v>40000</v>
      </c>
      <c r="DV23" s="529" t="s">
        <v>1369</v>
      </c>
      <c r="DW23" s="22">
        <v>5.8</v>
      </c>
      <c r="DX23" s="533" t="s">
        <v>1355</v>
      </c>
      <c r="DY23" s="23">
        <v>535</v>
      </c>
      <c r="EA23" s="19" t="s">
        <v>127</v>
      </c>
      <c r="EB23" s="514" t="s">
        <v>129</v>
      </c>
      <c r="EC23" s="87">
        <v>2</v>
      </c>
      <c r="ED23" s="87">
        <v>3</v>
      </c>
      <c r="EE23" s="87">
        <v>3</v>
      </c>
      <c r="EF23" s="5">
        <v>14</v>
      </c>
      <c r="EH23" s="19" t="s">
        <v>36</v>
      </c>
      <c r="EI23" s="515"/>
      <c r="EJ23" s="515"/>
      <c r="EK23" s="514"/>
      <c r="EL23" s="20">
        <v>1</v>
      </c>
    </row>
    <row r="24" spans="2:142" x14ac:dyDescent="0.35">
      <c r="B24" s="19" t="s">
        <v>65</v>
      </c>
      <c r="C24" s="17" t="s">
        <v>31</v>
      </c>
      <c r="D24" s="5" t="s">
        <v>37</v>
      </c>
      <c r="F24" s="19" t="s">
        <v>65</v>
      </c>
      <c r="G24" s="17">
        <v>28</v>
      </c>
      <c r="H24" s="46">
        <v>800.92</v>
      </c>
      <c r="I24" s="17">
        <v>-191</v>
      </c>
      <c r="J24" s="17" t="s">
        <v>60</v>
      </c>
      <c r="K24" s="17" t="s">
        <v>270</v>
      </c>
      <c r="L24" s="32">
        <f>M24+N24*(POWER((O24/$R$39)/(SINH((O24/$R$39))),2)+P24*(POWER((Q24/$R$39)/(SINH((Q24/$R$39))),2)))</f>
        <v>949533.68881433911</v>
      </c>
      <c r="M24" s="17">
        <v>29100</v>
      </c>
      <c r="N24" s="17">
        <v>8770</v>
      </c>
      <c r="O24" s="17">
        <v>3090</v>
      </c>
      <c r="P24" s="17">
        <v>8460</v>
      </c>
      <c r="Q24" s="17">
        <v>1540</v>
      </c>
      <c r="R24" s="20">
        <v>609</v>
      </c>
      <c r="S24" s="55"/>
      <c r="AN24" s="40" t="s">
        <v>278</v>
      </c>
      <c r="AO24" s="36" t="s">
        <v>280</v>
      </c>
      <c r="AP24" s="36" t="str">
        <f t="shared" si="0"/>
        <v>AC</v>
      </c>
      <c r="AQ24" s="57" t="s">
        <v>336</v>
      </c>
      <c r="AR24" s="57">
        <v>20</v>
      </c>
      <c r="AS24" s="41">
        <v>102</v>
      </c>
      <c r="AU24" s="19" t="s">
        <v>701</v>
      </c>
      <c r="AV24" s="87" t="s">
        <v>15</v>
      </c>
      <c r="AW24" s="96"/>
      <c r="AX24" s="96"/>
      <c r="AY24" s="96"/>
      <c r="AZ24" s="96"/>
      <c r="BA24" s="96"/>
      <c r="BB24" s="96"/>
      <c r="BC24" s="96"/>
      <c r="BD24" s="96"/>
      <c r="BE24" s="96"/>
      <c r="BF24" s="96"/>
      <c r="BG24" s="96"/>
      <c r="BH24" s="96"/>
      <c r="BI24" s="96"/>
      <c r="BJ24" s="96"/>
      <c r="BK24" s="96"/>
      <c r="BL24" s="98"/>
      <c r="BN24" s="19" t="s">
        <v>535</v>
      </c>
      <c r="BO24" s="87" t="s">
        <v>15</v>
      </c>
      <c r="BP24" s="101">
        <v>10.65</v>
      </c>
      <c r="BQ24" s="101">
        <v>1</v>
      </c>
      <c r="BR24" s="96"/>
      <c r="BS24" s="96"/>
      <c r="BT24" s="101">
        <v>73.25</v>
      </c>
      <c r="BU24" s="101">
        <v>0.94</v>
      </c>
      <c r="BV24" s="96"/>
      <c r="BW24" s="96"/>
      <c r="BX24" s="101">
        <v>41.43</v>
      </c>
      <c r="BY24" s="101">
        <v>0.63</v>
      </c>
      <c r="BZ24" s="96"/>
      <c r="CA24" s="96"/>
      <c r="CB24" s="101">
        <v>191.5</v>
      </c>
      <c r="CC24" s="101">
        <v>0.63</v>
      </c>
      <c r="CD24" s="96"/>
      <c r="CE24" s="98"/>
      <c r="CW24" s="857" t="s">
        <v>529</v>
      </c>
      <c r="CX24" s="36" t="s">
        <v>70</v>
      </c>
      <c r="CY24" s="17">
        <v>3</v>
      </c>
      <c r="CZ24" s="36">
        <v>1071.74</v>
      </c>
      <c r="DA24" s="36">
        <v>0.7</v>
      </c>
      <c r="DB24" s="36">
        <v>430</v>
      </c>
      <c r="DC24" s="41">
        <v>0.98</v>
      </c>
      <c r="DO24" s="19" t="s">
        <v>166</v>
      </c>
      <c r="DP24" s="514" t="s">
        <v>1342</v>
      </c>
      <c r="DQ24" s="87">
        <v>1000</v>
      </c>
      <c r="DR24" s="87">
        <v>2000</v>
      </c>
      <c r="DS24" s="87">
        <v>20000</v>
      </c>
      <c r="DT24" s="5">
        <v>60000</v>
      </c>
      <c r="DV24" s="531" t="s">
        <v>1370</v>
      </c>
      <c r="DW24" s="27">
        <v>6.4</v>
      </c>
      <c r="EA24" s="19" t="s">
        <v>166</v>
      </c>
      <c r="EB24" s="514" t="s">
        <v>139</v>
      </c>
      <c r="EC24" s="87">
        <v>2</v>
      </c>
      <c r="ED24" s="87">
        <v>3</v>
      </c>
      <c r="EE24" s="87">
        <v>3</v>
      </c>
      <c r="EF24" s="5">
        <v>10</v>
      </c>
      <c r="EH24" s="19" t="s">
        <v>65</v>
      </c>
      <c r="EI24" s="515"/>
      <c r="EJ24" s="515"/>
      <c r="EK24" s="514"/>
      <c r="EL24" s="20">
        <v>1</v>
      </c>
    </row>
    <row r="25" spans="2:142" x14ac:dyDescent="0.35">
      <c r="B25" s="19" t="s">
        <v>66</v>
      </c>
      <c r="C25" s="17" t="s">
        <v>15</v>
      </c>
      <c r="D25" s="5" t="s">
        <v>38</v>
      </c>
      <c r="F25" s="19" t="s">
        <v>66</v>
      </c>
      <c r="G25" s="17">
        <v>74</v>
      </c>
      <c r="H25" s="46">
        <v>720.82799999999997</v>
      </c>
      <c r="I25" s="17">
        <v>35</v>
      </c>
      <c r="J25" s="17" t="s">
        <v>51</v>
      </c>
      <c r="K25" s="17" t="s">
        <v>270</v>
      </c>
      <c r="L25" s="32">
        <f>M25+N25*(POWER((O25/$R$39)/(SINH((O25/$R$39))),2)+P25*(POWER((Q25/$R$39)/(SINH((Q25/$R$39))),2)))</f>
        <v>11764790771.362106</v>
      </c>
      <c r="M25" s="17">
        <v>86199.999999999985</v>
      </c>
      <c r="N25" s="17">
        <v>254999.99999999997</v>
      </c>
      <c r="O25" s="17">
        <v>1540</v>
      </c>
      <c r="P25" s="17">
        <v>144000</v>
      </c>
      <c r="Q25" s="17">
        <v>-689</v>
      </c>
      <c r="R25" s="20">
        <v>160</v>
      </c>
      <c r="S25" s="55"/>
      <c r="AN25" s="40" t="s">
        <v>279</v>
      </c>
      <c r="AO25" s="36" t="s">
        <v>278</v>
      </c>
      <c r="AP25" s="36" t="str">
        <f t="shared" si="0"/>
        <v>BA</v>
      </c>
      <c r="AQ25" s="57" t="s">
        <v>336</v>
      </c>
      <c r="AR25" s="57">
        <v>20</v>
      </c>
      <c r="AS25" s="41">
        <v>102</v>
      </c>
      <c r="AU25" s="19" t="s">
        <v>65</v>
      </c>
      <c r="AV25" s="87" t="s">
        <v>31</v>
      </c>
      <c r="AW25" s="87">
        <v>0.04</v>
      </c>
      <c r="AX25" s="87">
        <v>1.752</v>
      </c>
      <c r="AY25" s="96"/>
      <c r="AZ25" s="96"/>
      <c r="BA25" s="96"/>
      <c r="BB25" s="96"/>
      <c r="BC25" s="96"/>
      <c r="BD25" s="96"/>
      <c r="BE25" s="87">
        <v>10.97</v>
      </c>
      <c r="BF25" s="87">
        <v>0.66700000000000004</v>
      </c>
      <c r="BG25" s="96"/>
      <c r="BH25" s="96"/>
      <c r="BI25" s="96"/>
      <c r="BJ25" s="96"/>
      <c r="BK25" s="96"/>
      <c r="BL25" s="98"/>
      <c r="BN25" s="19" t="s">
        <v>65</v>
      </c>
      <c r="BO25" s="87" t="s">
        <v>31</v>
      </c>
      <c r="BP25" s="101">
        <v>5.4909999999999997</v>
      </c>
      <c r="BQ25" s="101">
        <v>0.99099999999999999</v>
      </c>
      <c r="BR25" s="96"/>
      <c r="BS25" s="96"/>
      <c r="BT25" s="96"/>
      <c r="BU25" s="96"/>
      <c r="BV25" s="96"/>
      <c r="BW25" s="101">
        <v>16.91</v>
      </c>
      <c r="BX25" s="101">
        <v>0.69199999999999995</v>
      </c>
      <c r="BY25" s="96"/>
      <c r="BZ25" s="96"/>
      <c r="CA25" s="96"/>
      <c r="CB25" s="96"/>
      <c r="CC25" s="96"/>
      <c r="CD25" s="96"/>
      <c r="CE25" s="98"/>
      <c r="CW25" s="857"/>
      <c r="CX25" s="36" t="s">
        <v>70</v>
      </c>
      <c r="CY25" s="17">
        <v>5</v>
      </c>
      <c r="CZ25" s="36">
        <v>1466.57</v>
      </c>
      <c r="DA25" s="36">
        <v>0.68</v>
      </c>
      <c r="DB25" s="36">
        <v>610.30999999999995</v>
      </c>
      <c r="DC25" s="41">
        <v>1.04</v>
      </c>
      <c r="DO25" s="19" t="s">
        <v>166</v>
      </c>
      <c r="DP25" s="514" t="s">
        <v>141</v>
      </c>
      <c r="DQ25" s="87">
        <v>1000</v>
      </c>
      <c r="DR25" s="87">
        <v>2000</v>
      </c>
      <c r="DS25" s="87">
        <v>20000</v>
      </c>
      <c r="DT25" s="5">
        <v>60000</v>
      </c>
      <c r="DV25" s="532" t="s">
        <v>1371</v>
      </c>
      <c r="DW25" s="20">
        <v>6.8</v>
      </c>
      <c r="EA25" s="19" t="s">
        <v>166</v>
      </c>
      <c r="EB25" s="514" t="s">
        <v>141</v>
      </c>
      <c r="EC25" s="87">
        <v>0</v>
      </c>
      <c r="ED25" s="87">
        <v>0</v>
      </c>
      <c r="EE25" s="87">
        <v>2</v>
      </c>
      <c r="EF25" s="5">
        <v>3</v>
      </c>
      <c r="EH25" s="19" t="s">
        <v>66</v>
      </c>
      <c r="EI25" s="515"/>
      <c r="EJ25" s="515"/>
      <c r="EK25" s="514"/>
      <c r="EL25" s="20">
        <v>1</v>
      </c>
    </row>
    <row r="26" spans="2:142" x14ac:dyDescent="0.35">
      <c r="B26" s="19" t="s">
        <v>705</v>
      </c>
      <c r="C26" s="17" t="s">
        <v>31</v>
      </c>
      <c r="D26" s="5" t="s">
        <v>39</v>
      </c>
      <c r="F26" s="19" t="s">
        <v>40</v>
      </c>
      <c r="G26" s="17">
        <v>63</v>
      </c>
      <c r="H26" s="46">
        <v>1521.749</v>
      </c>
      <c r="I26" s="17">
        <v>121</v>
      </c>
      <c r="J26" s="17" t="s">
        <v>51</v>
      </c>
      <c r="K26" s="17" t="s">
        <v>64</v>
      </c>
      <c r="L26" s="32" t="s">
        <v>64</v>
      </c>
      <c r="M26" s="17" t="s">
        <v>64</v>
      </c>
      <c r="N26" s="17" t="s">
        <v>64</v>
      </c>
      <c r="O26" s="17" t="s">
        <v>64</v>
      </c>
      <c r="P26" s="17" t="s">
        <v>64</v>
      </c>
      <c r="Q26" s="17" t="s">
        <v>64</v>
      </c>
      <c r="R26" s="20" t="s">
        <v>61</v>
      </c>
      <c r="S26" s="55"/>
      <c r="U26" s="2"/>
      <c r="V26" s="2"/>
      <c r="W26" s="2"/>
      <c r="X26" s="2"/>
      <c r="Y26" s="2"/>
      <c r="AN26" s="40" t="s">
        <v>279</v>
      </c>
      <c r="AO26" s="36" t="s">
        <v>279</v>
      </c>
      <c r="AP26" s="36" t="str">
        <f t="shared" si="0"/>
        <v>BB</v>
      </c>
      <c r="AQ26" s="57" t="s">
        <v>336</v>
      </c>
      <c r="AR26" s="57">
        <v>20</v>
      </c>
      <c r="AS26" s="41">
        <v>102</v>
      </c>
      <c r="AU26" s="19" t="s">
        <v>66</v>
      </c>
      <c r="AV26" s="87" t="s">
        <v>31</v>
      </c>
      <c r="AW26" s="87">
        <v>9.0719999999999992</v>
      </c>
      <c r="AX26" s="87">
        <v>1.1339999999999999</v>
      </c>
      <c r="AY26" s="87">
        <v>164.2</v>
      </c>
      <c r="AZ26" s="87">
        <v>1.1060000000000001</v>
      </c>
      <c r="BA26" s="87">
        <v>67.42</v>
      </c>
      <c r="BB26" s="87">
        <v>1.0329999999999999</v>
      </c>
      <c r="BC26" s="87">
        <v>976</v>
      </c>
      <c r="BD26" s="87">
        <v>0.64900000000000002</v>
      </c>
      <c r="BE26" s="87">
        <v>24.51</v>
      </c>
      <c r="BF26" s="87">
        <v>0.66700000000000004</v>
      </c>
      <c r="BG26" s="87">
        <v>0.98099999999999998</v>
      </c>
      <c r="BH26" s="87">
        <v>0.91900000000000004</v>
      </c>
      <c r="BI26" s="96"/>
      <c r="BJ26" s="96"/>
      <c r="BK26" s="87">
        <v>1.0900000000000001</v>
      </c>
      <c r="BL26" s="5">
        <v>0.91900000000000004</v>
      </c>
      <c r="BN26" s="19" t="s">
        <v>66</v>
      </c>
      <c r="BO26" s="87" t="s">
        <v>31</v>
      </c>
      <c r="BP26" s="101">
        <v>26.76</v>
      </c>
      <c r="BQ26" s="101">
        <v>1.0249999999999999</v>
      </c>
      <c r="BR26" s="101">
        <v>236.7</v>
      </c>
      <c r="BS26" s="101">
        <v>1.2190000000000001</v>
      </c>
      <c r="BT26" s="101">
        <v>241.5</v>
      </c>
      <c r="BU26" s="101">
        <v>0.997</v>
      </c>
      <c r="BV26" s="101">
        <v>488.9</v>
      </c>
      <c r="BW26" s="101">
        <v>0.86399999999999999</v>
      </c>
      <c r="BX26" s="101">
        <v>31.71</v>
      </c>
      <c r="BY26" s="101">
        <v>0.68200000000000005</v>
      </c>
      <c r="BZ26" s="101">
        <v>8.3330000000000002</v>
      </c>
      <c r="CA26" s="101">
        <v>0.81399999999999995</v>
      </c>
      <c r="CB26" s="101">
        <v>128.30000000000001</v>
      </c>
      <c r="CC26" s="101">
        <v>0.65700000000000003</v>
      </c>
      <c r="CD26" s="101">
        <v>9.2579999999999991</v>
      </c>
      <c r="CE26" s="102">
        <v>0.81399999999999995</v>
      </c>
      <c r="CW26" s="857"/>
      <c r="CX26" s="36" t="s">
        <v>70</v>
      </c>
      <c r="CY26" s="17">
        <v>10</v>
      </c>
      <c r="CZ26" s="36">
        <v>1902.9</v>
      </c>
      <c r="DA26" s="36">
        <v>0.68</v>
      </c>
      <c r="DB26" s="36">
        <v>1340.93</v>
      </c>
      <c r="DC26" s="41">
        <v>1.07</v>
      </c>
      <c r="DO26" s="19" t="s">
        <v>166</v>
      </c>
      <c r="DP26" s="514" t="s">
        <v>139</v>
      </c>
      <c r="DQ26" s="87">
        <v>5000</v>
      </c>
      <c r="DR26" s="87">
        <v>12000</v>
      </c>
      <c r="DS26" s="87">
        <v>20000</v>
      </c>
      <c r="DT26" s="5">
        <v>40000</v>
      </c>
      <c r="DV26" s="532" t="s">
        <v>1372</v>
      </c>
      <c r="DW26" s="20">
        <v>7</v>
      </c>
      <c r="EA26" s="19" t="s">
        <v>166</v>
      </c>
      <c r="EB26" s="514" t="s">
        <v>142</v>
      </c>
      <c r="EC26" s="87">
        <v>0</v>
      </c>
      <c r="ED26" s="87">
        <v>1</v>
      </c>
      <c r="EE26" s="87">
        <v>2</v>
      </c>
      <c r="EF26" s="5">
        <v>3</v>
      </c>
      <c r="EH26" s="19" t="s">
        <v>705</v>
      </c>
      <c r="EI26" s="515"/>
      <c r="EJ26" s="515"/>
      <c r="EK26" s="514"/>
      <c r="EL26" s="20">
        <v>1</v>
      </c>
    </row>
    <row r="27" spans="2:142" x14ac:dyDescent="0.35">
      <c r="B27" s="19" t="s">
        <v>40</v>
      </c>
      <c r="C27" s="17" t="s">
        <v>31</v>
      </c>
      <c r="D27" s="5" t="s">
        <v>40</v>
      </c>
      <c r="F27" s="19" t="s">
        <v>67</v>
      </c>
      <c r="G27" s="17" t="s">
        <v>68</v>
      </c>
      <c r="H27" s="46">
        <v>2434.7979999999998</v>
      </c>
      <c r="I27" s="17">
        <v>194</v>
      </c>
      <c r="J27" s="17" t="s">
        <v>69</v>
      </c>
      <c r="K27" s="17" t="s">
        <v>269</v>
      </c>
      <c r="L27" s="32">
        <f>M27+N27*$R$39+O27*POWER($R$39,2)+P27*POWER($R$39,3)</f>
        <v>1057099866718.6823</v>
      </c>
      <c r="M27" s="17">
        <v>43400</v>
      </c>
      <c r="N27" s="17">
        <v>39700</v>
      </c>
      <c r="O27" s="17">
        <v>417</v>
      </c>
      <c r="P27" s="17">
        <v>24000</v>
      </c>
      <c r="Q27" s="17" t="s">
        <v>61</v>
      </c>
      <c r="R27" s="20">
        <v>558</v>
      </c>
      <c r="S27" s="55"/>
      <c r="AN27" s="40" t="s">
        <v>279</v>
      </c>
      <c r="AO27" s="36" t="s">
        <v>280</v>
      </c>
      <c r="AP27" s="36" t="str">
        <f t="shared" si="0"/>
        <v>BC</v>
      </c>
      <c r="AQ27" s="57" t="s">
        <v>336</v>
      </c>
      <c r="AR27" s="57">
        <v>20</v>
      </c>
      <c r="AS27" s="41">
        <v>102</v>
      </c>
      <c r="AU27" s="19" t="s">
        <v>71</v>
      </c>
      <c r="AV27" s="87" t="s">
        <v>31</v>
      </c>
      <c r="AW27" s="87">
        <v>3.2770000000000001</v>
      </c>
      <c r="AX27" s="87">
        <v>1.1140000000000001</v>
      </c>
      <c r="AY27" s="87">
        <v>257</v>
      </c>
      <c r="AZ27" s="87">
        <v>0.96</v>
      </c>
      <c r="BA27" s="96"/>
      <c r="BB27" s="96"/>
      <c r="BC27" s="96"/>
      <c r="BD27" s="96"/>
      <c r="BE27" s="87">
        <v>10.32</v>
      </c>
      <c r="BF27" s="87">
        <v>0.66700000000000004</v>
      </c>
      <c r="BG27" s="87">
        <v>0.629</v>
      </c>
      <c r="BH27" s="87">
        <v>0.86899999999999999</v>
      </c>
      <c r="BI27" s="96"/>
      <c r="BJ27" s="96"/>
      <c r="BK27" s="96"/>
      <c r="BL27" s="98"/>
      <c r="BN27" s="19" t="s">
        <v>71</v>
      </c>
      <c r="BO27" s="87" t="s">
        <v>31</v>
      </c>
      <c r="BP27" s="101">
        <v>8.2390000000000008</v>
      </c>
      <c r="BQ27" s="101">
        <v>1.0469999999999999</v>
      </c>
      <c r="BR27" s="101">
        <v>352.8</v>
      </c>
      <c r="BS27" s="101">
        <v>0.84</v>
      </c>
      <c r="BT27" s="96"/>
      <c r="BU27" s="96"/>
      <c r="BV27" s="96"/>
      <c r="BW27" s="96"/>
      <c r="BX27" s="101">
        <v>13.33</v>
      </c>
      <c r="BY27" s="101">
        <v>0.68200000000000005</v>
      </c>
      <c r="BZ27" s="101">
        <v>2.7320000000000002</v>
      </c>
      <c r="CA27" s="101">
        <v>0.83399999999999996</v>
      </c>
      <c r="CB27" s="96"/>
      <c r="CC27" s="96"/>
      <c r="CD27" s="96"/>
      <c r="CE27" s="98"/>
      <c r="CW27" s="857"/>
      <c r="CX27" s="36" t="s">
        <v>70</v>
      </c>
      <c r="CY27" s="17">
        <v>20</v>
      </c>
      <c r="CZ27" s="36">
        <v>2338.7600000000002</v>
      </c>
      <c r="DA27" s="36">
        <v>0.72</v>
      </c>
      <c r="DB27" s="36">
        <v>3020.54</v>
      </c>
      <c r="DC27" s="41">
        <v>1.08</v>
      </c>
      <c r="DO27" s="19" t="s">
        <v>166</v>
      </c>
      <c r="DP27" s="514" t="s">
        <v>143</v>
      </c>
      <c r="DQ27" s="87">
        <v>5000</v>
      </c>
      <c r="DR27" s="87">
        <v>12000</v>
      </c>
      <c r="DS27" s="87">
        <v>20000</v>
      </c>
      <c r="DT27" s="5">
        <v>40000</v>
      </c>
      <c r="DV27" s="532" t="s">
        <v>1373</v>
      </c>
      <c r="DW27" s="20">
        <v>7.8</v>
      </c>
      <c r="EA27" s="19" t="s">
        <v>166</v>
      </c>
      <c r="EB27" s="514" t="s">
        <v>143</v>
      </c>
      <c r="EC27" s="87">
        <v>2</v>
      </c>
      <c r="ED27" s="87">
        <v>3</v>
      </c>
      <c r="EE27" s="87">
        <v>3</v>
      </c>
      <c r="EF27" s="5">
        <v>10</v>
      </c>
      <c r="EH27" s="19" t="s">
        <v>40</v>
      </c>
      <c r="EI27" s="515"/>
      <c r="EJ27" s="515"/>
      <c r="EK27" s="514"/>
      <c r="EL27" s="20">
        <v>0.8</v>
      </c>
    </row>
    <row r="28" spans="2:142" x14ac:dyDescent="0.35">
      <c r="B28" s="19" t="s">
        <v>70</v>
      </c>
      <c r="C28" s="17" t="s">
        <v>31</v>
      </c>
      <c r="D28" s="5" t="s">
        <v>41</v>
      </c>
      <c r="F28" s="19" t="s">
        <v>70</v>
      </c>
      <c r="G28" s="17">
        <v>90</v>
      </c>
      <c r="H28" s="46">
        <v>929.06799999999998</v>
      </c>
      <c r="I28" s="17">
        <v>135</v>
      </c>
      <c r="J28" s="17" t="s">
        <v>51</v>
      </c>
      <c r="K28" s="17" t="s">
        <v>64</v>
      </c>
      <c r="L28" s="32" t="s">
        <v>64</v>
      </c>
      <c r="M28" s="17" t="s">
        <v>64</v>
      </c>
      <c r="N28" s="17" t="s">
        <v>64</v>
      </c>
      <c r="O28" s="17" t="s">
        <v>64</v>
      </c>
      <c r="P28" s="17" t="s">
        <v>64</v>
      </c>
      <c r="Q28" s="17" t="s">
        <v>64</v>
      </c>
      <c r="R28" s="20" t="s">
        <v>61</v>
      </c>
      <c r="S28" s="55"/>
      <c r="U28" s="2"/>
      <c r="V28" s="2"/>
      <c r="W28" s="2"/>
      <c r="X28" s="2"/>
      <c r="Y28" s="2"/>
      <c r="AN28" s="40" t="s">
        <v>280</v>
      </c>
      <c r="AO28" s="36" t="s">
        <v>278</v>
      </c>
      <c r="AP28" s="36" t="str">
        <f t="shared" si="0"/>
        <v>CA</v>
      </c>
      <c r="AQ28" s="57" t="s">
        <v>336</v>
      </c>
      <c r="AR28" s="57">
        <v>20</v>
      </c>
      <c r="AS28" s="41">
        <v>102</v>
      </c>
      <c r="AU28" s="19" t="s">
        <v>72</v>
      </c>
      <c r="AV28" s="87" t="s">
        <v>31</v>
      </c>
      <c r="AW28" s="87">
        <v>0</v>
      </c>
      <c r="AX28" s="87">
        <v>1.0349999999999999</v>
      </c>
      <c r="AY28" s="87">
        <v>23.96</v>
      </c>
      <c r="AZ28" s="87">
        <v>0</v>
      </c>
      <c r="BA28" s="96"/>
      <c r="BB28" s="96"/>
      <c r="BC28" s="96"/>
      <c r="BD28" s="96"/>
      <c r="BE28" s="87">
        <v>1.2609999999999999</v>
      </c>
      <c r="BF28" s="87">
        <v>0.66700000000000004</v>
      </c>
      <c r="BG28" s="87">
        <v>14.13</v>
      </c>
      <c r="BH28" s="87">
        <v>0</v>
      </c>
      <c r="BI28" s="96"/>
      <c r="BJ28" s="96"/>
      <c r="BK28" s="96"/>
      <c r="BL28" s="98"/>
      <c r="BN28" s="19" t="s">
        <v>72</v>
      </c>
      <c r="BO28" s="87" t="s">
        <v>31</v>
      </c>
      <c r="BP28" s="101">
        <v>0</v>
      </c>
      <c r="BQ28" s="101">
        <v>0.94599999999999995</v>
      </c>
      <c r="BR28" s="101">
        <v>79.66</v>
      </c>
      <c r="BS28" s="101">
        <v>0.83499999999999996</v>
      </c>
      <c r="BT28" s="96"/>
      <c r="BU28" s="96"/>
      <c r="BV28" s="96"/>
      <c r="BW28" s="96"/>
      <c r="BX28" s="101">
        <v>1.825</v>
      </c>
      <c r="BY28" s="101">
        <v>0.68700000000000006</v>
      </c>
      <c r="BZ28" s="101">
        <v>0.03</v>
      </c>
      <c r="CA28" s="101">
        <v>0.92400000000000004</v>
      </c>
      <c r="CB28" s="96"/>
      <c r="CC28" s="96"/>
      <c r="CD28" s="96"/>
      <c r="CE28" s="98"/>
      <c r="CW28" s="857"/>
      <c r="CX28" s="36" t="s">
        <v>70</v>
      </c>
      <c r="CY28" s="17">
        <v>40</v>
      </c>
      <c r="CZ28" s="36">
        <v>3621.1</v>
      </c>
      <c r="DA28" s="36">
        <v>0.7</v>
      </c>
      <c r="DB28" s="36">
        <v>6110.67</v>
      </c>
      <c r="DC28" s="41">
        <v>1.1200000000000001</v>
      </c>
      <c r="DO28" s="19" t="s">
        <v>166</v>
      </c>
      <c r="DP28" s="514" t="s">
        <v>142</v>
      </c>
      <c r="DQ28" s="87">
        <v>1000</v>
      </c>
      <c r="DR28" s="87">
        <v>2000</v>
      </c>
      <c r="DS28" s="87">
        <v>4000</v>
      </c>
      <c r="DT28" s="5">
        <v>10000</v>
      </c>
      <c r="DV28" s="532" t="s">
        <v>1374</v>
      </c>
      <c r="DW28" s="20">
        <v>8</v>
      </c>
      <c r="EA28" s="19" t="s">
        <v>166</v>
      </c>
      <c r="EB28" s="514" t="s">
        <v>144</v>
      </c>
      <c r="EC28" s="87">
        <v>4</v>
      </c>
      <c r="ED28" s="87">
        <v>6</v>
      </c>
      <c r="EE28" s="87">
        <v>6</v>
      </c>
      <c r="EF28" s="5">
        <v>21</v>
      </c>
      <c r="EH28" s="19" t="s">
        <v>70</v>
      </c>
      <c r="EI28" s="515"/>
      <c r="EJ28" s="515"/>
      <c r="EK28" s="514"/>
      <c r="EL28" s="20">
        <v>0.75</v>
      </c>
    </row>
    <row r="29" spans="2:142" x14ac:dyDescent="0.35">
      <c r="B29" s="19" t="s">
        <v>42</v>
      </c>
      <c r="C29" s="17" t="s">
        <v>15</v>
      </c>
      <c r="D29" s="5" t="s">
        <v>42</v>
      </c>
      <c r="F29" s="19" t="s">
        <v>42</v>
      </c>
      <c r="G29" s="17">
        <v>99</v>
      </c>
      <c r="H29" s="46">
        <v>1377.5830000000001</v>
      </c>
      <c r="I29" s="17">
        <v>83</v>
      </c>
      <c r="J29" s="17" t="s">
        <v>51</v>
      </c>
      <c r="K29" s="17" t="s">
        <v>64</v>
      </c>
      <c r="L29" s="32" t="s">
        <v>64</v>
      </c>
      <c r="M29" s="17" t="s">
        <v>64</v>
      </c>
      <c r="N29" s="17" t="s">
        <v>64</v>
      </c>
      <c r="O29" s="17" t="s">
        <v>64</v>
      </c>
      <c r="P29" s="17" t="s">
        <v>64</v>
      </c>
      <c r="Q29" s="17" t="s">
        <v>64</v>
      </c>
      <c r="R29" s="20" t="s">
        <v>61</v>
      </c>
      <c r="S29" s="55"/>
      <c r="U29" s="2"/>
      <c r="V29" s="2"/>
      <c r="W29" s="2"/>
      <c r="X29" s="2"/>
      <c r="Y29" s="2"/>
      <c r="AN29" s="40" t="s">
        <v>280</v>
      </c>
      <c r="AO29" s="36" t="s">
        <v>279</v>
      </c>
      <c r="AP29" s="36" t="str">
        <f t="shared" si="0"/>
        <v>CB</v>
      </c>
      <c r="AQ29" s="57" t="s">
        <v>336</v>
      </c>
      <c r="AR29" s="57">
        <v>20</v>
      </c>
      <c r="AS29" s="41">
        <v>102</v>
      </c>
      <c r="AU29" s="19" t="s">
        <v>73</v>
      </c>
      <c r="AV29" s="87" t="s">
        <v>31</v>
      </c>
      <c r="AW29" s="87">
        <v>2.5950000000000002</v>
      </c>
      <c r="AX29" s="87">
        <v>1.0049999999999999</v>
      </c>
      <c r="AY29" s="87">
        <v>35.450000000000003</v>
      </c>
      <c r="AZ29" s="87">
        <v>0</v>
      </c>
      <c r="BA29" s="96"/>
      <c r="BB29" s="96"/>
      <c r="BC29" s="96"/>
      <c r="BD29" s="96"/>
      <c r="BE29" s="87">
        <v>6.1189999999999998</v>
      </c>
      <c r="BF29" s="87">
        <v>0.66700000000000004</v>
      </c>
      <c r="BG29" s="87">
        <v>14.79</v>
      </c>
      <c r="BH29" s="87">
        <v>0</v>
      </c>
      <c r="BI29" s="96"/>
      <c r="BJ29" s="96"/>
      <c r="BK29" s="96"/>
      <c r="BL29" s="98"/>
      <c r="BN29" s="19" t="s">
        <v>73</v>
      </c>
      <c r="BO29" s="87" t="s">
        <v>31</v>
      </c>
      <c r="BP29" s="101">
        <v>7.1070000000000002</v>
      </c>
      <c r="BQ29" s="101">
        <v>0.96899999999999997</v>
      </c>
      <c r="BR29" s="101">
        <v>8.1419999999999995</v>
      </c>
      <c r="BS29" s="101">
        <v>0.8</v>
      </c>
      <c r="BT29" s="96"/>
      <c r="BU29" s="96"/>
      <c r="BV29" s="96"/>
      <c r="BW29" s="96"/>
      <c r="BX29" s="101">
        <v>25.36</v>
      </c>
      <c r="BY29" s="101">
        <v>0.66</v>
      </c>
      <c r="BZ29" s="101">
        <v>2.9000000000000001E-2</v>
      </c>
      <c r="CA29" s="101">
        <v>0.92700000000000005</v>
      </c>
      <c r="CB29" s="96"/>
      <c r="CC29" s="96"/>
      <c r="CD29" s="96"/>
      <c r="CE29" s="98"/>
      <c r="CW29" s="857"/>
      <c r="CX29" s="36" t="s">
        <v>70</v>
      </c>
      <c r="CY29" s="17">
        <v>60</v>
      </c>
      <c r="CZ29" s="36">
        <v>4070.48</v>
      </c>
      <c r="DA29" s="36">
        <v>0.71</v>
      </c>
      <c r="DB29" s="36">
        <v>9455.68</v>
      </c>
      <c r="DC29" s="41">
        <v>1.1299999999999999</v>
      </c>
      <c r="DO29" s="19" t="s">
        <v>166</v>
      </c>
      <c r="DP29" s="514" t="s">
        <v>144</v>
      </c>
      <c r="DQ29" s="87">
        <v>10000</v>
      </c>
      <c r="DR29" s="87">
        <v>24000</v>
      </c>
      <c r="DS29" s="87">
        <v>40000</v>
      </c>
      <c r="DT29" s="5">
        <v>80000</v>
      </c>
      <c r="DV29" s="532" t="s">
        <v>1375</v>
      </c>
      <c r="DW29" s="20">
        <v>8.4</v>
      </c>
      <c r="EA29" s="19" t="s">
        <v>166</v>
      </c>
      <c r="EB29" s="514" t="s">
        <v>140</v>
      </c>
      <c r="EC29" s="87">
        <v>3</v>
      </c>
      <c r="ED29" s="87">
        <v>4</v>
      </c>
      <c r="EE29" s="87">
        <v>5</v>
      </c>
      <c r="EF29" s="5">
        <v>21</v>
      </c>
      <c r="EH29" s="19" t="s">
        <v>42</v>
      </c>
      <c r="EI29" s="515"/>
      <c r="EJ29" s="515"/>
      <c r="EK29" s="514"/>
      <c r="EL29" s="20">
        <v>1</v>
      </c>
    </row>
    <row r="30" spans="2:142" ht="15" thickBot="1" x14ac:dyDescent="0.4">
      <c r="B30" s="19" t="s">
        <v>12</v>
      </c>
      <c r="C30" s="17" t="s">
        <v>31</v>
      </c>
      <c r="D30" s="5" t="s">
        <v>14</v>
      </c>
      <c r="F30" s="19" t="s">
        <v>12</v>
      </c>
      <c r="G30" s="17">
        <v>174</v>
      </c>
      <c r="H30" s="46">
        <v>1217.3989999999999</v>
      </c>
      <c r="I30" s="17">
        <v>251</v>
      </c>
      <c r="J30" s="17" t="s">
        <v>51</v>
      </c>
      <c r="K30" s="17" t="s">
        <v>64</v>
      </c>
      <c r="L30" s="32" t="s">
        <v>64</v>
      </c>
      <c r="M30" s="17" t="s">
        <v>64</v>
      </c>
      <c r="N30" s="17" t="s">
        <v>64</v>
      </c>
      <c r="O30" s="17" t="s">
        <v>64</v>
      </c>
      <c r="P30" s="17" t="s">
        <v>64</v>
      </c>
      <c r="Q30" s="17" t="s">
        <v>64</v>
      </c>
      <c r="R30" s="20">
        <v>620</v>
      </c>
      <c r="S30" s="55"/>
      <c r="U30" s="2"/>
      <c r="V30" s="2"/>
      <c r="W30" s="2"/>
      <c r="X30" s="2"/>
      <c r="Y30" s="2"/>
      <c r="AN30" s="43" t="s">
        <v>280</v>
      </c>
      <c r="AO30" s="44" t="s">
        <v>280</v>
      </c>
      <c r="AP30" s="44" t="str">
        <f t="shared" si="0"/>
        <v>CC</v>
      </c>
      <c r="AQ30" s="58" t="s">
        <v>336</v>
      </c>
      <c r="AR30" s="58">
        <v>20</v>
      </c>
      <c r="AS30" s="45">
        <v>102</v>
      </c>
      <c r="AU30" s="19" t="s">
        <v>74</v>
      </c>
      <c r="AV30" s="87" t="s">
        <v>31</v>
      </c>
      <c r="AW30" s="87">
        <v>1.548</v>
      </c>
      <c r="AX30" s="87">
        <v>0.97299999999999998</v>
      </c>
      <c r="AY30" s="87">
        <v>22.12</v>
      </c>
      <c r="AZ30" s="87">
        <v>0</v>
      </c>
      <c r="BA30" s="96"/>
      <c r="BB30" s="96"/>
      <c r="BC30" s="96"/>
      <c r="BD30" s="96"/>
      <c r="BE30" s="87">
        <v>1.0269999999999999</v>
      </c>
      <c r="BF30" s="87">
        <v>0.66700000000000004</v>
      </c>
      <c r="BG30" s="87">
        <v>14.13</v>
      </c>
      <c r="BH30" s="87">
        <v>0</v>
      </c>
      <c r="BI30" s="96"/>
      <c r="BJ30" s="96"/>
      <c r="BK30" s="96"/>
      <c r="BL30" s="98"/>
      <c r="BN30" s="19" t="s">
        <v>74</v>
      </c>
      <c r="BO30" s="87" t="s">
        <v>31</v>
      </c>
      <c r="BP30" s="101">
        <v>5.0419999999999998</v>
      </c>
      <c r="BQ30" s="101">
        <v>0.94699999999999995</v>
      </c>
      <c r="BR30" s="101">
        <v>59.96</v>
      </c>
      <c r="BS30" s="101">
        <v>0.86899999999999999</v>
      </c>
      <c r="BT30" s="96"/>
      <c r="BU30" s="96"/>
      <c r="BV30" s="96"/>
      <c r="BW30" s="96"/>
      <c r="BX30" s="101">
        <v>1.4350000000000001</v>
      </c>
      <c r="BY30" s="101">
        <v>0.68700000000000006</v>
      </c>
      <c r="BZ30" s="101">
        <v>2.7E-2</v>
      </c>
      <c r="CA30" s="101">
        <v>0.92200000000000004</v>
      </c>
      <c r="CB30" s="96"/>
      <c r="CC30" s="96"/>
      <c r="CD30" s="96"/>
      <c r="CE30" s="98"/>
      <c r="CW30" s="857" t="s">
        <v>42</v>
      </c>
      <c r="CX30" s="36" t="s">
        <v>42</v>
      </c>
      <c r="CY30" s="17">
        <v>3</v>
      </c>
      <c r="CZ30" s="36">
        <v>3095.33</v>
      </c>
      <c r="DA30" s="36">
        <v>1.2</v>
      </c>
      <c r="DB30" s="36">
        <v>733.39</v>
      </c>
      <c r="DC30" s="41">
        <v>1.06</v>
      </c>
      <c r="DO30" s="19" t="s">
        <v>166</v>
      </c>
      <c r="DP30" s="514" t="s">
        <v>140</v>
      </c>
      <c r="DQ30" s="87">
        <v>10000</v>
      </c>
      <c r="DR30" s="87">
        <v>25000</v>
      </c>
      <c r="DS30" s="87">
        <v>50000</v>
      </c>
      <c r="DT30" s="5">
        <v>100000</v>
      </c>
      <c r="DV30" s="532" t="s">
        <v>1376</v>
      </c>
      <c r="DW30" s="20">
        <v>8.5</v>
      </c>
      <c r="EA30" s="19" t="s">
        <v>166</v>
      </c>
      <c r="EB30" s="514" t="s">
        <v>145</v>
      </c>
      <c r="EC30" s="87">
        <v>3</v>
      </c>
      <c r="ED30" s="87">
        <v>4</v>
      </c>
      <c r="EE30" s="87">
        <v>5</v>
      </c>
      <c r="EF30" s="5">
        <v>21</v>
      </c>
      <c r="EH30" s="19" t="s">
        <v>12</v>
      </c>
      <c r="EI30" s="515"/>
      <c r="EJ30" s="515"/>
      <c r="EK30" s="514"/>
      <c r="EL30" s="20">
        <v>0.15</v>
      </c>
    </row>
    <row r="31" spans="2:142" ht="15" thickBot="1" x14ac:dyDescent="0.4">
      <c r="B31" s="19" t="s">
        <v>43</v>
      </c>
      <c r="C31" s="17" t="s">
        <v>31</v>
      </c>
      <c r="D31" s="5" t="s">
        <v>43</v>
      </c>
      <c r="F31" s="19" t="s">
        <v>71</v>
      </c>
      <c r="G31" s="17">
        <v>58</v>
      </c>
      <c r="H31" s="46">
        <v>832.95699999999999</v>
      </c>
      <c r="I31" s="17">
        <v>34</v>
      </c>
      <c r="J31" s="17" t="s">
        <v>51</v>
      </c>
      <c r="K31" s="17" t="s">
        <v>270</v>
      </c>
      <c r="L31" s="32">
        <f>M31+N31*(POWER((O31/$R$39)/(SINH((O31/$R$39))),2)+P31*(POWER((Q31/$R$39)/(SINH((Q31/$R$39))),2)))</f>
        <v>6164820944.5906134</v>
      </c>
      <c r="M31" s="17">
        <v>49500</v>
      </c>
      <c r="N31" s="17">
        <v>174000</v>
      </c>
      <c r="O31" s="17">
        <v>1560</v>
      </c>
      <c r="P31" s="17">
        <v>114999.99999999999</v>
      </c>
      <c r="Q31" s="17">
        <v>702</v>
      </c>
      <c r="R31" s="20">
        <v>449</v>
      </c>
      <c r="S31" s="55"/>
      <c r="AN31" t="s">
        <v>278</v>
      </c>
      <c r="AO31" t="s">
        <v>278</v>
      </c>
      <c r="AP31" t="s">
        <v>939</v>
      </c>
      <c r="AQ31" t="s">
        <v>948</v>
      </c>
      <c r="AR31">
        <v>0.57377</v>
      </c>
      <c r="AS31">
        <v>102</v>
      </c>
      <c r="AU31" s="21" t="s">
        <v>75</v>
      </c>
      <c r="AV31" s="94" t="s">
        <v>31</v>
      </c>
      <c r="AW31" s="94">
        <v>6.7119999999999997</v>
      </c>
      <c r="AX31" s="94">
        <v>1.069</v>
      </c>
      <c r="AY31" s="99"/>
      <c r="AZ31" s="99"/>
      <c r="BA31" s="99"/>
      <c r="BB31" s="99"/>
      <c r="BC31" s="99"/>
      <c r="BD31" s="99"/>
      <c r="BE31" s="94">
        <v>21.46</v>
      </c>
      <c r="BF31" s="94">
        <v>0.66700000000000004</v>
      </c>
      <c r="BG31" s="99"/>
      <c r="BH31" s="99"/>
      <c r="BI31" s="99"/>
      <c r="BJ31" s="99"/>
      <c r="BK31" s="99"/>
      <c r="BL31" s="100"/>
      <c r="BN31" s="21" t="s">
        <v>75</v>
      </c>
      <c r="BO31" s="94" t="s">
        <v>31</v>
      </c>
      <c r="BP31" s="103">
        <v>11</v>
      </c>
      <c r="BQ31" s="103">
        <v>1.105</v>
      </c>
      <c r="BR31" s="99"/>
      <c r="BS31" s="99"/>
      <c r="BT31" s="99"/>
      <c r="BU31" s="99"/>
      <c r="BV31" s="99"/>
      <c r="BW31" s="99"/>
      <c r="BX31" s="103">
        <v>34.700000000000003</v>
      </c>
      <c r="BY31" s="103">
        <v>0.66500000000000004</v>
      </c>
      <c r="BZ31" s="99"/>
      <c r="CA31" s="99"/>
      <c r="CB31" s="99"/>
      <c r="CC31" s="99"/>
      <c r="CD31" s="99"/>
      <c r="CE31" s="100"/>
      <c r="CW31" s="857"/>
      <c r="CX31" s="36" t="s">
        <v>42</v>
      </c>
      <c r="CY31" s="17">
        <v>5</v>
      </c>
      <c r="CZ31" s="36">
        <v>5918.49</v>
      </c>
      <c r="DA31" s="36">
        <v>1.29</v>
      </c>
      <c r="DB31" s="36">
        <v>1520.02</v>
      </c>
      <c r="DC31" s="41">
        <v>1.1000000000000001</v>
      </c>
      <c r="DO31" s="19" t="s">
        <v>166</v>
      </c>
      <c r="DP31" s="514" t="s">
        <v>145</v>
      </c>
      <c r="DQ31" s="87">
        <v>10000</v>
      </c>
      <c r="DR31" s="87">
        <v>25000</v>
      </c>
      <c r="DS31" s="87">
        <v>50000</v>
      </c>
      <c r="DT31" s="5">
        <v>100000</v>
      </c>
      <c r="DV31" s="532" t="s">
        <v>1350</v>
      </c>
      <c r="DW31" s="20">
        <v>8.8000000000000007</v>
      </c>
      <c r="EA31" s="21" t="s">
        <v>166</v>
      </c>
      <c r="EB31" s="22" t="s">
        <v>130</v>
      </c>
      <c r="EC31" s="94">
        <v>3</v>
      </c>
      <c r="ED31" s="94">
        <v>4</v>
      </c>
      <c r="EE31" s="94">
        <v>5</v>
      </c>
      <c r="EF31" s="6">
        <v>21</v>
      </c>
      <c r="EH31" s="19" t="s">
        <v>43</v>
      </c>
      <c r="EI31" s="515"/>
      <c r="EJ31" s="515"/>
      <c r="EK31" s="514"/>
      <c r="EL31" s="20">
        <v>1</v>
      </c>
    </row>
    <row r="32" spans="2:142" ht="15.75" customHeight="1" thickBot="1" x14ac:dyDescent="0.4">
      <c r="B32" s="19" t="s">
        <v>71</v>
      </c>
      <c r="C32" s="17" t="s">
        <v>31</v>
      </c>
      <c r="D32" s="5" t="s">
        <v>44</v>
      </c>
      <c r="F32" s="19" t="s">
        <v>72</v>
      </c>
      <c r="G32" s="17">
        <v>132</v>
      </c>
      <c r="H32" s="46">
        <v>977.12300000000005</v>
      </c>
      <c r="I32" s="17">
        <v>156</v>
      </c>
      <c r="J32" s="17" t="s">
        <v>51</v>
      </c>
      <c r="K32" s="17" t="s">
        <v>270</v>
      </c>
      <c r="L32" s="32">
        <f>M32+N32*(POWER((O32/$R$39)/(SINH((O32/$R$39))),2)+P32*(POWER((Q32/$R$39)/(SINH((Q32/$R$39))),2)))</f>
        <v>64175524.468168348</v>
      </c>
      <c r="M32" s="17">
        <v>106000</v>
      </c>
      <c r="N32" s="17">
        <v>240000</v>
      </c>
      <c r="O32" s="17">
        <v>659</v>
      </c>
      <c r="P32" s="17">
        <v>150000</v>
      </c>
      <c r="Q32" s="17">
        <v>1970</v>
      </c>
      <c r="R32" s="20">
        <v>379</v>
      </c>
      <c r="S32" s="55"/>
      <c r="AN32" t="s">
        <v>278</v>
      </c>
      <c r="AO32" t="s">
        <v>279</v>
      </c>
      <c r="AP32" t="s">
        <v>940</v>
      </c>
      <c r="AQ32" t="s">
        <v>948</v>
      </c>
      <c r="AR32">
        <v>0.53791</v>
      </c>
      <c r="AS32">
        <v>102</v>
      </c>
      <c r="CW32" s="857"/>
      <c r="CX32" s="36" t="s">
        <v>42</v>
      </c>
      <c r="CY32" s="17">
        <v>10</v>
      </c>
      <c r="CZ32" s="36">
        <v>12129.3</v>
      </c>
      <c r="DA32" s="36">
        <v>1.24</v>
      </c>
      <c r="DB32" s="36">
        <v>4777.72</v>
      </c>
      <c r="DC32" s="41">
        <v>1.1200000000000001</v>
      </c>
      <c r="DO32" s="21" t="s">
        <v>166</v>
      </c>
      <c r="DP32" s="22" t="s">
        <v>130</v>
      </c>
      <c r="DQ32" s="94">
        <v>10000</v>
      </c>
      <c r="DR32" s="94">
        <v>25000</v>
      </c>
      <c r="DS32" s="94">
        <v>50000</v>
      </c>
      <c r="DT32" s="6">
        <v>100000</v>
      </c>
      <c r="DV32" s="532" t="s">
        <v>1377</v>
      </c>
      <c r="DW32" s="20">
        <v>11</v>
      </c>
      <c r="EA32" s="782" t="s">
        <v>1386</v>
      </c>
      <c r="EB32" s="783"/>
      <c r="EC32" s="783"/>
      <c r="ED32" s="783"/>
      <c r="EE32" s="783"/>
      <c r="EF32" s="784"/>
      <c r="EH32" s="19" t="s">
        <v>71</v>
      </c>
      <c r="EI32" s="515"/>
      <c r="EJ32" s="515"/>
      <c r="EK32" s="514"/>
      <c r="EL32" s="20">
        <v>1</v>
      </c>
    </row>
    <row r="33" spans="2:142" x14ac:dyDescent="0.35">
      <c r="B33" s="19" t="s">
        <v>45</v>
      </c>
      <c r="C33" s="17" t="s">
        <v>31</v>
      </c>
      <c r="D33" s="5" t="s">
        <v>45</v>
      </c>
      <c r="F33" s="19" t="s">
        <v>73</v>
      </c>
      <c r="G33" s="17">
        <v>90</v>
      </c>
      <c r="H33" s="46">
        <v>929.06799999999998</v>
      </c>
      <c r="I33" s="17">
        <v>135</v>
      </c>
      <c r="J33" s="17" t="s">
        <v>51</v>
      </c>
      <c r="K33" s="17" t="s">
        <v>270</v>
      </c>
      <c r="L33" s="32">
        <f>M33+N33*(POWER((O33/$R$39)/(SINH((O33/$R$39))),2)+P33*(POWER((Q33/$R$39)/(SINH((Q33/$R$39))),2)))</f>
        <v>35436975772.67643</v>
      </c>
      <c r="M33" s="17">
        <v>32500</v>
      </c>
      <c r="N33" s="17">
        <v>300000</v>
      </c>
      <c r="O33" s="17">
        <v>1170</v>
      </c>
      <c r="P33" s="17">
        <v>208000</v>
      </c>
      <c r="Q33" s="17">
        <v>473.00000000000006</v>
      </c>
      <c r="R33" s="20">
        <v>235</v>
      </c>
      <c r="S33" s="55"/>
      <c r="AN33" t="s">
        <v>278</v>
      </c>
      <c r="AO33" t="s">
        <v>280</v>
      </c>
      <c r="AP33" t="s">
        <v>941</v>
      </c>
      <c r="AQ33" t="s">
        <v>948</v>
      </c>
      <c r="AR33">
        <v>0.47814000000000001</v>
      </c>
      <c r="AS33">
        <v>102</v>
      </c>
      <c r="BD33" s="49"/>
      <c r="CW33" s="857"/>
      <c r="CX33" s="36" t="s">
        <v>42</v>
      </c>
      <c r="CY33" s="17">
        <v>20</v>
      </c>
      <c r="CZ33" s="36">
        <v>27459.599999999999</v>
      </c>
      <c r="DA33" s="36">
        <v>1.27</v>
      </c>
      <c r="DB33" s="36">
        <v>14727.5</v>
      </c>
      <c r="DC33" s="41">
        <v>1.1599999999999999</v>
      </c>
      <c r="DV33" s="532" t="s">
        <v>1378</v>
      </c>
      <c r="DW33" s="20">
        <v>15</v>
      </c>
      <c r="EA33" s="785"/>
      <c r="EB33" s="786"/>
      <c r="EC33" s="786"/>
      <c r="ED33" s="786"/>
      <c r="EE33" s="786"/>
      <c r="EF33" s="787"/>
      <c r="EH33" s="19" t="s">
        <v>45</v>
      </c>
      <c r="EI33" s="515"/>
      <c r="EJ33" s="515"/>
      <c r="EK33" s="514"/>
      <c r="EL33" s="20">
        <v>0.6</v>
      </c>
    </row>
    <row r="34" spans="2:142" x14ac:dyDescent="0.35">
      <c r="B34" s="19" t="s">
        <v>72</v>
      </c>
      <c r="C34" s="17" t="s">
        <v>31</v>
      </c>
      <c r="D34" s="5" t="s">
        <v>46</v>
      </c>
      <c r="F34" s="19" t="s">
        <v>74</v>
      </c>
      <c r="G34" s="17">
        <v>62</v>
      </c>
      <c r="H34" s="46">
        <v>1105.27</v>
      </c>
      <c r="I34" s="17">
        <v>197</v>
      </c>
      <c r="J34" s="17" t="s">
        <v>51</v>
      </c>
      <c r="K34" s="17" t="s">
        <v>270</v>
      </c>
      <c r="L34" s="32">
        <f>M34+N34*(POWER((O34/$R$39)/(SINH((O34/$R$39))),2)+P34*(POWER((Q34/$R$39)/(SINH((Q34/$R$39))),2)))</f>
        <v>3493964820.3478599</v>
      </c>
      <c r="M34" s="17">
        <v>63000</v>
      </c>
      <c r="N34" s="17">
        <v>146000</v>
      </c>
      <c r="O34" s="17">
        <v>1670</v>
      </c>
      <c r="P34" s="17">
        <v>97300</v>
      </c>
      <c r="Q34" s="17">
        <v>774</v>
      </c>
      <c r="R34" s="20">
        <v>396</v>
      </c>
      <c r="S34" s="55"/>
      <c r="AN34" t="s">
        <v>279</v>
      </c>
      <c r="AO34" t="s">
        <v>278</v>
      </c>
      <c r="AP34" t="s">
        <v>942</v>
      </c>
      <c r="AQ34" t="s">
        <v>948</v>
      </c>
      <c r="AR34">
        <v>0.50627</v>
      </c>
      <c r="AS34">
        <v>102</v>
      </c>
      <c r="CW34" s="857"/>
      <c r="CX34" s="36" t="s">
        <v>42</v>
      </c>
      <c r="CY34" s="17">
        <v>40</v>
      </c>
      <c r="CZ34" s="36">
        <v>63526.400000000001</v>
      </c>
      <c r="DA34" s="36">
        <v>1.3</v>
      </c>
      <c r="DB34" s="36">
        <v>42905</v>
      </c>
      <c r="DC34" s="41">
        <v>1.2</v>
      </c>
      <c r="DV34" s="532" t="s">
        <v>1379</v>
      </c>
      <c r="DW34" s="20">
        <v>15</v>
      </c>
      <c r="EA34" s="785"/>
      <c r="EB34" s="786"/>
      <c r="EC34" s="786"/>
      <c r="ED34" s="786"/>
      <c r="EE34" s="786"/>
      <c r="EF34" s="787"/>
      <c r="EH34" s="19" t="s">
        <v>72</v>
      </c>
      <c r="EI34" s="515"/>
      <c r="EJ34" s="515"/>
      <c r="EK34" s="514"/>
      <c r="EL34" s="20">
        <v>0.65</v>
      </c>
    </row>
    <row r="35" spans="2:142" ht="15" thickBot="1" x14ac:dyDescent="0.4">
      <c r="B35" s="19" t="s">
        <v>73</v>
      </c>
      <c r="C35" s="17" t="s">
        <v>31</v>
      </c>
      <c r="D35" s="5" t="s">
        <v>47</v>
      </c>
      <c r="F35" s="21" t="s">
        <v>75</v>
      </c>
      <c r="G35" s="22">
        <v>44</v>
      </c>
      <c r="H35" s="46">
        <v>881.01300000000003</v>
      </c>
      <c r="I35" s="22">
        <v>11</v>
      </c>
      <c r="J35" s="22" t="s">
        <v>60</v>
      </c>
      <c r="K35" s="17" t="s">
        <v>270</v>
      </c>
      <c r="L35" s="67">
        <f>M35+N35*(POWER((O35/$R$39)/(SINH((O35/$R$39))),2)+P35*(POWER((Q35/$R$39)/(SINH((Q35/$R$39))),2)))</f>
        <v>2757924883.2429667</v>
      </c>
      <c r="M35" s="22">
        <v>33500</v>
      </c>
      <c r="N35" s="22">
        <v>121000</v>
      </c>
      <c r="O35" s="22">
        <v>1610</v>
      </c>
      <c r="P35" s="22">
        <v>82400</v>
      </c>
      <c r="Q35" s="22">
        <v>737</v>
      </c>
      <c r="R35" s="23">
        <v>429</v>
      </c>
      <c r="S35" s="55"/>
      <c r="AN35" t="s">
        <v>279</v>
      </c>
      <c r="AO35" t="s">
        <v>279</v>
      </c>
      <c r="AP35" t="s">
        <v>943</v>
      </c>
      <c r="AQ35" t="s">
        <v>948</v>
      </c>
      <c r="AR35">
        <v>0.50627</v>
      </c>
      <c r="AS35">
        <v>102</v>
      </c>
      <c r="AX35" s="49"/>
      <c r="BB35" s="49"/>
      <c r="CW35" s="857"/>
      <c r="CX35" s="36" t="s">
        <v>42</v>
      </c>
      <c r="CY35" s="17">
        <v>60</v>
      </c>
      <c r="CZ35" s="36">
        <v>96274.2</v>
      </c>
      <c r="DA35" s="36">
        <v>1.31</v>
      </c>
      <c r="DB35" s="114">
        <v>77287.7</v>
      </c>
      <c r="DC35" s="41">
        <v>1.23</v>
      </c>
      <c r="DV35" s="532" t="s">
        <v>1348</v>
      </c>
      <c r="DW35" s="20">
        <v>18</v>
      </c>
      <c r="EA35" s="788"/>
      <c r="EB35" s="789"/>
      <c r="EC35" s="789"/>
      <c r="ED35" s="789"/>
      <c r="EE35" s="789"/>
      <c r="EF35" s="790"/>
      <c r="EH35" s="19" t="s">
        <v>73</v>
      </c>
      <c r="EI35" s="515"/>
      <c r="EJ35" s="515"/>
      <c r="EK35" s="514"/>
      <c r="EL35" s="20">
        <v>0.75</v>
      </c>
    </row>
    <row r="36" spans="2:142" x14ac:dyDescent="0.35">
      <c r="B36" s="19" t="s">
        <v>74</v>
      </c>
      <c r="C36" s="17" t="s">
        <v>31</v>
      </c>
      <c r="D36" s="5" t="s">
        <v>48</v>
      </c>
      <c r="F36" s="7"/>
      <c r="G36" s="8"/>
      <c r="H36" s="8"/>
      <c r="I36" s="8"/>
      <c r="J36" s="8"/>
      <c r="K36" s="8"/>
      <c r="L36" s="8"/>
      <c r="M36" s="8"/>
      <c r="N36" s="8"/>
      <c r="O36" s="8"/>
      <c r="P36" s="8"/>
      <c r="Q36" s="8"/>
      <c r="R36" s="9"/>
      <c r="S36" s="1"/>
      <c r="AN36" t="s">
        <v>279</v>
      </c>
      <c r="AO36" t="s">
        <v>280</v>
      </c>
      <c r="AP36" t="s">
        <v>944</v>
      </c>
      <c r="AQ36" t="s">
        <v>948</v>
      </c>
      <c r="AR36">
        <v>0.64517999999999998</v>
      </c>
      <c r="AS36">
        <v>102</v>
      </c>
      <c r="BW36" s="49"/>
      <c r="CW36" s="857" t="s">
        <v>530</v>
      </c>
      <c r="CX36" s="36" t="s">
        <v>12</v>
      </c>
      <c r="CY36" s="17">
        <v>3</v>
      </c>
      <c r="CZ36" s="36" t="s">
        <v>61</v>
      </c>
      <c r="DA36" s="36" t="s">
        <v>61</v>
      </c>
      <c r="DB36" s="36">
        <v>793.04</v>
      </c>
      <c r="DC36" s="41">
        <v>1.06</v>
      </c>
      <c r="DV36" s="532" t="s">
        <v>1066</v>
      </c>
      <c r="DW36" s="20">
        <v>20</v>
      </c>
      <c r="EH36" s="19" t="s">
        <v>74</v>
      </c>
      <c r="EI36" s="515"/>
      <c r="EJ36" s="515"/>
      <c r="EK36" s="514"/>
      <c r="EL36" s="20">
        <v>0.45</v>
      </c>
    </row>
    <row r="37" spans="2:142" ht="15" thickBot="1" x14ac:dyDescent="0.4">
      <c r="B37" s="21" t="s">
        <v>75</v>
      </c>
      <c r="C37" s="22" t="s">
        <v>31</v>
      </c>
      <c r="D37" s="6" t="s">
        <v>49</v>
      </c>
      <c r="F37" s="30"/>
      <c r="G37" s="1"/>
      <c r="H37" s="1"/>
      <c r="I37" s="1"/>
      <c r="J37" s="1"/>
      <c r="K37" s="1"/>
      <c r="L37" s="1"/>
      <c r="M37" s="1"/>
      <c r="N37" s="1"/>
      <c r="O37" s="1"/>
      <c r="P37" s="1"/>
      <c r="Q37" s="1"/>
      <c r="R37" s="31"/>
      <c r="S37" s="1"/>
      <c r="AN37" t="s">
        <v>280</v>
      </c>
      <c r="AO37" t="s">
        <v>278</v>
      </c>
      <c r="AP37" t="s">
        <v>945</v>
      </c>
      <c r="AQ37" t="s">
        <v>948</v>
      </c>
      <c r="AR37">
        <v>0.64517999999999998</v>
      </c>
      <c r="AS37">
        <v>102</v>
      </c>
      <c r="AX37" s="49"/>
      <c r="BD37" s="49"/>
      <c r="BY37" s="49"/>
      <c r="CA37" s="49"/>
      <c r="CW37" s="857"/>
      <c r="CX37" s="36" t="s">
        <v>12</v>
      </c>
      <c r="CY37" s="17">
        <v>5</v>
      </c>
      <c r="CZ37" s="36" t="s">
        <v>61</v>
      </c>
      <c r="DA37" s="36" t="s">
        <v>61</v>
      </c>
      <c r="DB37" s="36">
        <v>846.54</v>
      </c>
      <c r="DC37" s="41">
        <v>1.0900000000000001</v>
      </c>
      <c r="DV37" s="532" t="s">
        <v>1352</v>
      </c>
      <c r="DW37" s="20">
        <v>20</v>
      </c>
      <c r="EH37" s="21" t="s">
        <v>75</v>
      </c>
      <c r="EI37" s="536"/>
      <c r="EJ37" s="536"/>
      <c r="EK37" s="22"/>
      <c r="EL37" s="23">
        <v>1</v>
      </c>
    </row>
    <row r="38" spans="2:142" ht="15" thickBot="1" x14ac:dyDescent="0.4">
      <c r="B38" s="341"/>
      <c r="C38" s="55"/>
      <c r="D38" s="31"/>
      <c r="F38" s="30"/>
      <c r="G38" s="1"/>
      <c r="H38" s="1"/>
      <c r="I38" s="1"/>
      <c r="J38" s="1"/>
      <c r="K38" s="1"/>
      <c r="L38" s="1"/>
      <c r="M38" s="1"/>
      <c r="N38" s="1"/>
      <c r="O38" s="1"/>
      <c r="P38" s="1"/>
      <c r="Q38" s="1"/>
      <c r="R38" s="31"/>
      <c r="S38" s="1"/>
      <c r="AN38" t="s">
        <v>280</v>
      </c>
      <c r="AO38" t="s">
        <v>279</v>
      </c>
      <c r="AP38" t="s">
        <v>946</v>
      </c>
      <c r="AQ38" t="s">
        <v>948</v>
      </c>
      <c r="AR38">
        <v>0.43032999999999999</v>
      </c>
      <c r="AS38">
        <v>102</v>
      </c>
      <c r="AX38" s="49"/>
      <c r="BF38" s="49"/>
      <c r="BL38" s="49"/>
      <c r="BQ38" s="49"/>
      <c r="BY38" s="49"/>
      <c r="CA38" s="49"/>
      <c r="CE38" s="49"/>
      <c r="CW38" s="857"/>
      <c r="CX38" s="36" t="s">
        <v>12</v>
      </c>
      <c r="CY38" s="17">
        <v>10</v>
      </c>
      <c r="CZ38" s="36" t="s">
        <v>61</v>
      </c>
      <c r="DA38" s="36" t="s">
        <v>61</v>
      </c>
      <c r="DB38" s="36">
        <v>1011.9</v>
      </c>
      <c r="DC38" s="41">
        <v>1.1000000000000001</v>
      </c>
      <c r="DV38" s="532" t="s">
        <v>1380</v>
      </c>
      <c r="DW38" s="20">
        <v>26</v>
      </c>
      <c r="EH38" s="517" t="s">
        <v>1389</v>
      </c>
      <c r="EI38" s="518"/>
      <c r="EJ38" s="518"/>
      <c r="EK38" s="518"/>
      <c r="EL38" s="519"/>
    </row>
    <row r="39" spans="2:142" x14ac:dyDescent="0.35">
      <c r="B39" s="839" t="s">
        <v>3</v>
      </c>
      <c r="C39" s="840"/>
      <c r="D39" s="841"/>
      <c r="F39" s="30"/>
      <c r="G39" s="1"/>
      <c r="H39" s="1"/>
      <c r="I39" s="1"/>
      <c r="J39" s="1"/>
      <c r="K39" s="1"/>
      <c r="L39" s="1"/>
      <c r="M39" s="1"/>
      <c r="N39" s="1"/>
      <c r="O39" s="1"/>
      <c r="P39" s="1"/>
      <c r="Q39" s="1" t="s">
        <v>210</v>
      </c>
      <c r="R39" s="31">
        <f>S39+273.15</f>
        <v>353.15</v>
      </c>
      <c r="S39" s="1">
        <v>80</v>
      </c>
      <c r="AN39" t="s">
        <v>280</v>
      </c>
      <c r="AO39" t="s">
        <v>280</v>
      </c>
      <c r="AP39" t="s">
        <v>947</v>
      </c>
      <c r="AQ39" t="s">
        <v>948</v>
      </c>
      <c r="AR39">
        <v>0.43032999999999999</v>
      </c>
      <c r="AS39">
        <v>102</v>
      </c>
      <c r="AX39" s="49"/>
      <c r="BF39" s="49"/>
      <c r="BW39" s="49"/>
      <c r="CW39" s="857"/>
      <c r="CX39" s="36" t="s">
        <v>12</v>
      </c>
      <c r="CY39" s="17">
        <v>20</v>
      </c>
      <c r="CZ39" s="36" t="s">
        <v>61</v>
      </c>
      <c r="DA39" s="36" t="s">
        <v>61</v>
      </c>
      <c r="DB39" s="36">
        <v>1026.06</v>
      </c>
      <c r="DC39" s="41">
        <v>1.06</v>
      </c>
      <c r="DV39" s="532" t="s">
        <v>1353</v>
      </c>
      <c r="DW39" s="20">
        <v>28</v>
      </c>
    </row>
    <row r="40" spans="2:142" ht="15" thickBot="1" x14ac:dyDescent="0.4">
      <c r="B40" s="842" t="s">
        <v>4</v>
      </c>
      <c r="C40" s="843"/>
      <c r="D40" s="844"/>
      <c r="F40" s="30"/>
      <c r="G40" s="1"/>
      <c r="H40" s="1"/>
      <c r="I40" s="1"/>
      <c r="J40" s="1"/>
      <c r="K40" s="1"/>
      <c r="L40" s="1"/>
      <c r="M40" s="1"/>
      <c r="N40" s="1"/>
      <c r="O40" s="1"/>
      <c r="P40" s="1"/>
      <c r="Q40" s="1"/>
      <c r="R40" s="31"/>
      <c r="S40" s="1"/>
      <c r="BD40" s="49"/>
      <c r="BW40" s="49"/>
      <c r="CW40" s="857"/>
      <c r="CX40" s="36" t="s">
        <v>12</v>
      </c>
      <c r="CY40" s="17">
        <v>40</v>
      </c>
      <c r="CZ40" s="36" t="s">
        <v>61</v>
      </c>
      <c r="DA40" s="36" t="s">
        <v>61</v>
      </c>
      <c r="DB40" s="36">
        <v>1063.8</v>
      </c>
      <c r="DC40" s="41">
        <v>1.06</v>
      </c>
      <c r="DV40" s="532" t="s">
        <v>1381</v>
      </c>
      <c r="DW40" s="20">
        <v>29</v>
      </c>
    </row>
    <row r="41" spans="2:142" ht="15" thickBot="1" x14ac:dyDescent="0.4">
      <c r="F41" s="30"/>
      <c r="G41" s="1"/>
      <c r="H41" s="1"/>
      <c r="I41" s="1"/>
      <c r="J41" s="1"/>
      <c r="K41" s="1"/>
      <c r="L41" s="1"/>
      <c r="M41" s="1"/>
      <c r="N41" s="1"/>
      <c r="O41" s="1"/>
      <c r="P41" s="1"/>
      <c r="Q41" s="1"/>
      <c r="R41" s="31"/>
      <c r="S41" s="1"/>
      <c r="AX41" s="49"/>
      <c r="BD41" s="49"/>
      <c r="BQ41" s="49"/>
      <c r="CW41" s="857"/>
      <c r="CX41" s="36" t="s">
        <v>12</v>
      </c>
      <c r="CY41" s="17">
        <v>60</v>
      </c>
      <c r="CZ41" s="36" t="s">
        <v>61</v>
      </c>
      <c r="DA41" s="36" t="s">
        <v>61</v>
      </c>
      <c r="DB41" s="36">
        <v>1252.57</v>
      </c>
      <c r="DC41" s="41">
        <v>1.03</v>
      </c>
      <c r="DV41" s="532" t="s">
        <v>1354</v>
      </c>
      <c r="DW41" s="20">
        <v>34</v>
      </c>
    </row>
    <row r="42" spans="2:142" ht="15" customHeight="1" x14ac:dyDescent="0.35">
      <c r="F42" s="30"/>
      <c r="G42" s="1"/>
      <c r="H42" s="1"/>
      <c r="I42" s="1"/>
      <c r="J42" s="1"/>
      <c r="K42" s="1"/>
      <c r="L42" s="1"/>
      <c r="M42" s="1"/>
      <c r="N42" s="1"/>
      <c r="O42" s="1"/>
      <c r="P42" s="1"/>
      <c r="Q42" s="1"/>
      <c r="R42" s="31"/>
      <c r="S42" s="1"/>
      <c r="AX42" s="49"/>
      <c r="BQ42" s="49"/>
      <c r="BY42" s="49"/>
      <c r="CA42" s="49"/>
      <c r="CE42" s="49"/>
      <c r="CW42" s="853" t="s">
        <v>531</v>
      </c>
      <c r="CX42" s="36" t="s">
        <v>73</v>
      </c>
      <c r="CY42" s="17">
        <v>1.5</v>
      </c>
      <c r="CZ42" s="36">
        <v>0.89539999999999997</v>
      </c>
      <c r="DA42" s="110">
        <v>1.171</v>
      </c>
      <c r="DB42" s="36" t="s">
        <v>61</v>
      </c>
      <c r="DC42" s="41" t="s">
        <v>61</v>
      </c>
      <c r="DV42" s="532" t="s">
        <v>1382</v>
      </c>
      <c r="DW42" s="20">
        <v>36</v>
      </c>
      <c r="EA42" s="92" t="s">
        <v>115</v>
      </c>
      <c r="EB42" s="223" t="s">
        <v>116</v>
      </c>
      <c r="EC42" s="93" t="s">
        <v>1385</v>
      </c>
      <c r="ED42" s="93">
        <v>3</v>
      </c>
      <c r="EE42" s="93">
        <v>7</v>
      </c>
      <c r="EF42" s="527" t="s">
        <v>1385</v>
      </c>
    </row>
    <row r="43" spans="2:142" ht="15" thickBot="1" x14ac:dyDescent="0.4">
      <c r="F43" s="30"/>
      <c r="G43" s="1"/>
      <c r="H43" s="1"/>
      <c r="I43" s="1"/>
      <c r="J43" s="1"/>
      <c r="K43" s="1"/>
      <c r="L43" s="1"/>
      <c r="M43" s="1"/>
      <c r="N43" s="1"/>
      <c r="O43" s="1"/>
      <c r="P43" s="1"/>
      <c r="Q43" s="1"/>
      <c r="R43" s="31"/>
      <c r="S43" s="1"/>
      <c r="AX43" s="49"/>
      <c r="BF43" s="49"/>
      <c r="BY43" s="49"/>
      <c r="CW43" s="854"/>
      <c r="CX43" s="36" t="s">
        <v>73</v>
      </c>
      <c r="CY43" s="17">
        <v>3</v>
      </c>
      <c r="CZ43" s="111">
        <v>1.7578</v>
      </c>
      <c r="DA43" s="110">
        <v>1.181</v>
      </c>
      <c r="DB43" s="36" t="s">
        <v>61</v>
      </c>
      <c r="DC43" s="41" t="s">
        <v>61</v>
      </c>
      <c r="DV43" s="533" t="s">
        <v>1355</v>
      </c>
      <c r="DW43" s="23">
        <v>535</v>
      </c>
      <c r="EA43" s="19" t="s">
        <v>115</v>
      </c>
      <c r="EB43" s="514" t="s">
        <v>117</v>
      </c>
      <c r="EC43" s="87" t="s">
        <v>1385</v>
      </c>
      <c r="ED43" s="87">
        <v>3</v>
      </c>
      <c r="EE43" s="87">
        <v>7</v>
      </c>
      <c r="EF43" s="5" t="s">
        <v>1385</v>
      </c>
    </row>
    <row r="44" spans="2:142" x14ac:dyDescent="0.35">
      <c r="F44" s="30"/>
      <c r="G44" s="1"/>
      <c r="H44" s="1"/>
      <c r="I44" s="1"/>
      <c r="J44" s="1"/>
      <c r="K44" s="1"/>
      <c r="L44" s="1"/>
      <c r="M44" s="1"/>
      <c r="N44" s="1"/>
      <c r="O44" s="1"/>
      <c r="P44" s="1"/>
      <c r="Q44" s="1"/>
      <c r="R44" s="31"/>
      <c r="S44" s="1"/>
      <c r="AX44" s="49"/>
      <c r="AY44" s="49"/>
      <c r="BC44" s="49"/>
      <c r="BD44" s="49"/>
      <c r="BY44" s="49"/>
      <c r="CW44" s="854"/>
      <c r="CX44" s="36" t="s">
        <v>73</v>
      </c>
      <c r="CY44" s="17">
        <v>5</v>
      </c>
      <c r="CZ44" s="110">
        <v>4.0002000000000004</v>
      </c>
      <c r="DA44" s="110">
        <v>1.1220000000000001</v>
      </c>
      <c r="DB44" s="36" t="s">
        <v>61</v>
      </c>
      <c r="DC44" s="41" t="s">
        <v>61</v>
      </c>
      <c r="DV44" s="538" t="s">
        <v>1390</v>
      </c>
      <c r="EA44" s="19" t="s">
        <v>119</v>
      </c>
      <c r="EB44" s="54" t="s">
        <v>120</v>
      </c>
      <c r="EC44" s="87">
        <v>2</v>
      </c>
      <c r="ED44" s="87">
        <v>3</v>
      </c>
      <c r="EE44" s="87">
        <v>3</v>
      </c>
      <c r="EF44" s="5">
        <v>10</v>
      </c>
    </row>
    <row r="45" spans="2:142" ht="15" thickBot="1" x14ac:dyDescent="0.4">
      <c r="F45" s="10"/>
      <c r="G45" s="11"/>
      <c r="H45" s="11"/>
      <c r="I45" s="11"/>
      <c r="J45" s="11"/>
      <c r="K45" s="11"/>
      <c r="L45" s="11"/>
      <c r="M45" s="11"/>
      <c r="N45" s="11"/>
      <c r="O45" s="11"/>
      <c r="P45" s="11"/>
      <c r="Q45" s="11"/>
      <c r="R45" s="12"/>
      <c r="S45" s="1"/>
      <c r="AX45" s="49"/>
      <c r="AY45" s="49"/>
      <c r="BC45" s="49"/>
      <c r="BD45" s="49"/>
      <c r="CW45" s="854"/>
      <c r="CX45" s="36" t="s">
        <v>73</v>
      </c>
      <c r="CY45" s="17">
        <v>10</v>
      </c>
      <c r="CZ45" s="110">
        <v>7.54</v>
      </c>
      <c r="DA45" s="110">
        <v>1.111</v>
      </c>
      <c r="DB45" s="36">
        <v>0.68569999999999998</v>
      </c>
      <c r="DC45" s="112">
        <v>1.105</v>
      </c>
      <c r="EA45" s="19" t="s">
        <v>119</v>
      </c>
      <c r="EB45" s="514" t="s">
        <v>118</v>
      </c>
      <c r="EC45" s="87">
        <v>2</v>
      </c>
      <c r="ED45" s="87">
        <v>3</v>
      </c>
      <c r="EE45" s="87">
        <v>3</v>
      </c>
      <c r="EF45" s="5">
        <v>10</v>
      </c>
    </row>
    <row r="46" spans="2:142" x14ac:dyDescent="0.35">
      <c r="CW46" s="854"/>
      <c r="CX46" s="36" t="s">
        <v>73</v>
      </c>
      <c r="CY46" s="17">
        <v>20</v>
      </c>
      <c r="CZ46" s="36">
        <v>24.56</v>
      </c>
      <c r="DA46" s="36">
        <v>0.97099999999999997</v>
      </c>
      <c r="DB46" s="111">
        <v>3.6389</v>
      </c>
      <c r="DC46" s="112">
        <v>1.0649999999999999</v>
      </c>
      <c r="EA46" s="19" t="s">
        <v>119</v>
      </c>
      <c r="EB46" s="514" t="s">
        <v>1341</v>
      </c>
      <c r="EC46" s="87" t="s">
        <v>1385</v>
      </c>
      <c r="ED46" s="87" t="s">
        <v>1385</v>
      </c>
      <c r="EE46" s="87" t="s">
        <v>1385</v>
      </c>
      <c r="EF46" s="5" t="s">
        <v>1385</v>
      </c>
    </row>
    <row r="47" spans="2:142" x14ac:dyDescent="0.35">
      <c r="CW47" s="854"/>
      <c r="CX47" s="36" t="s">
        <v>73</v>
      </c>
      <c r="CY47" s="17">
        <v>40</v>
      </c>
      <c r="CZ47" s="36">
        <v>31.22</v>
      </c>
      <c r="DA47" s="36">
        <v>0.995</v>
      </c>
      <c r="DB47" s="111">
        <v>9.8422000000000001</v>
      </c>
      <c r="DC47" s="112">
        <v>1.1319999999999999</v>
      </c>
      <c r="EA47" s="19" t="s">
        <v>121</v>
      </c>
      <c r="EB47" s="514" t="s">
        <v>131</v>
      </c>
      <c r="EC47" s="87">
        <v>0</v>
      </c>
      <c r="ED47" s="87" t="s">
        <v>1385</v>
      </c>
      <c r="EE47" s="87" t="s">
        <v>1385</v>
      </c>
      <c r="EF47" s="5">
        <v>1</v>
      </c>
    </row>
    <row r="48" spans="2:142" x14ac:dyDescent="0.35">
      <c r="I48" s="48"/>
      <c r="J48" s="48"/>
      <c r="K48" s="48"/>
      <c r="L48" s="48"/>
      <c r="CW48" s="855"/>
      <c r="CX48" s="36" t="s">
        <v>73</v>
      </c>
      <c r="CY48" s="17">
        <v>60</v>
      </c>
      <c r="CZ48" s="36">
        <v>59.67</v>
      </c>
      <c r="DA48" s="36">
        <v>0.89900000000000002</v>
      </c>
      <c r="DB48" s="111">
        <v>23.513000000000002</v>
      </c>
      <c r="DC48" s="112">
        <v>1.1040000000000001</v>
      </c>
      <c r="EA48" s="19" t="s">
        <v>121</v>
      </c>
      <c r="EB48" s="514" t="s">
        <v>122</v>
      </c>
      <c r="EC48" s="87">
        <v>0</v>
      </c>
      <c r="ED48" s="87" t="s">
        <v>1385</v>
      </c>
      <c r="EE48" s="87" t="s">
        <v>1385</v>
      </c>
      <c r="EF48" s="5">
        <v>1</v>
      </c>
    </row>
    <row r="49" spans="6:136" ht="15" customHeight="1" x14ac:dyDescent="0.35">
      <c r="H49" s="49"/>
      <c r="J49" s="48"/>
      <c r="K49" s="48"/>
      <c r="L49" s="48"/>
      <c r="BB49" s="49"/>
      <c r="BR49" s="49"/>
      <c r="BU49" s="49"/>
      <c r="BW49" s="49"/>
      <c r="CW49" s="853" t="s">
        <v>532</v>
      </c>
      <c r="CX49" s="36" t="s">
        <v>75</v>
      </c>
      <c r="CY49" s="17">
        <v>1.5</v>
      </c>
      <c r="CZ49" s="36">
        <v>0.50849999999999995</v>
      </c>
      <c r="DA49" s="110">
        <v>1.222</v>
      </c>
      <c r="DB49" s="36" t="s">
        <v>61</v>
      </c>
      <c r="DC49" s="41" t="s">
        <v>61</v>
      </c>
      <c r="EA49" s="19" t="s">
        <v>121</v>
      </c>
      <c r="EB49" s="514" t="s">
        <v>132</v>
      </c>
      <c r="EC49" s="87">
        <v>0</v>
      </c>
      <c r="ED49" s="87">
        <v>1</v>
      </c>
      <c r="EE49" s="87" t="s">
        <v>1385</v>
      </c>
      <c r="EF49" s="5">
        <v>2</v>
      </c>
    </row>
    <row r="50" spans="6:136" x14ac:dyDescent="0.35">
      <c r="F50" s="48"/>
      <c r="J50" s="48"/>
      <c r="K50" s="48"/>
      <c r="L50" s="48"/>
      <c r="BB50" s="49"/>
      <c r="CW50" s="854"/>
      <c r="CX50" s="36" t="s">
        <v>75</v>
      </c>
      <c r="CY50" s="17">
        <v>3</v>
      </c>
      <c r="CZ50" s="111">
        <v>2.972</v>
      </c>
      <c r="DA50" s="110">
        <v>1.2070000000000001</v>
      </c>
      <c r="DB50" s="36" t="s">
        <v>61</v>
      </c>
      <c r="DC50" s="41" t="s">
        <v>61</v>
      </c>
      <c r="EA50" s="19" t="s">
        <v>121</v>
      </c>
      <c r="EB50" s="514" t="s">
        <v>123</v>
      </c>
      <c r="EC50" s="87">
        <v>0</v>
      </c>
      <c r="ED50" s="87">
        <v>1</v>
      </c>
      <c r="EE50" s="87">
        <v>2</v>
      </c>
      <c r="EF50" s="5">
        <v>3</v>
      </c>
    </row>
    <row r="51" spans="6:136" x14ac:dyDescent="0.35">
      <c r="I51" s="48"/>
      <c r="J51" s="48"/>
      <c r="K51" s="48"/>
      <c r="L51" s="48"/>
      <c r="AX51" s="49"/>
      <c r="CW51" s="854"/>
      <c r="CX51" s="36" t="s">
        <v>75</v>
      </c>
      <c r="CY51" s="17">
        <v>5</v>
      </c>
      <c r="CZ51" s="111">
        <v>7.9931000000000001</v>
      </c>
      <c r="DA51" s="110">
        <v>1.2709999999999999</v>
      </c>
      <c r="DB51" s="36" t="s">
        <v>61</v>
      </c>
      <c r="DC51" s="41" t="s">
        <v>61</v>
      </c>
      <c r="EA51" s="19" t="s">
        <v>121</v>
      </c>
      <c r="EB51" s="514" t="s">
        <v>133</v>
      </c>
      <c r="EC51" s="87">
        <v>0</v>
      </c>
      <c r="ED51" s="87">
        <v>2</v>
      </c>
      <c r="EE51" s="87">
        <v>2</v>
      </c>
      <c r="EF51" s="5">
        <v>3</v>
      </c>
    </row>
    <row r="52" spans="6:136" x14ac:dyDescent="0.35">
      <c r="I52" s="48"/>
      <c r="J52" s="48"/>
      <c r="K52" s="48"/>
      <c r="L52" s="48"/>
      <c r="BQ52" s="49"/>
      <c r="CW52" s="854"/>
      <c r="CX52" s="36" t="s">
        <v>75</v>
      </c>
      <c r="CY52" s="17">
        <v>10</v>
      </c>
      <c r="CZ52" s="36">
        <v>47.69</v>
      </c>
      <c r="DA52" s="111">
        <v>1.2908999999999999</v>
      </c>
      <c r="DB52" s="36" t="s">
        <v>61</v>
      </c>
      <c r="DC52" s="41" t="s">
        <v>61</v>
      </c>
      <c r="EA52" s="19" t="s">
        <v>121</v>
      </c>
      <c r="EB52" s="514" t="s">
        <v>134</v>
      </c>
      <c r="EC52" s="87">
        <v>0</v>
      </c>
      <c r="ED52" s="87">
        <v>2</v>
      </c>
      <c r="EE52" s="87">
        <v>2</v>
      </c>
      <c r="EF52" s="5">
        <v>4</v>
      </c>
    </row>
    <row r="53" spans="6:136" x14ac:dyDescent="0.35">
      <c r="I53" s="48"/>
      <c r="J53" s="48"/>
      <c r="K53" s="48"/>
      <c r="L53" s="48"/>
      <c r="AY53" s="49"/>
      <c r="BR53" s="49"/>
      <c r="BT53" s="49"/>
      <c r="CA53" s="49"/>
      <c r="CE53" s="49"/>
      <c r="CW53" s="854"/>
      <c r="CX53" s="36" t="s">
        <v>75</v>
      </c>
      <c r="CY53" s="17">
        <v>20</v>
      </c>
      <c r="CZ53" s="36">
        <v>237.57</v>
      </c>
      <c r="DA53" s="111">
        <v>1.2848999999999999</v>
      </c>
      <c r="DB53" s="36" t="s">
        <v>61</v>
      </c>
      <c r="DC53" s="41" t="s">
        <v>61</v>
      </c>
      <c r="EA53" s="19" t="s">
        <v>121</v>
      </c>
      <c r="EB53" s="514" t="s">
        <v>135</v>
      </c>
      <c r="EC53" s="87">
        <v>1</v>
      </c>
      <c r="ED53" s="87">
        <v>3</v>
      </c>
      <c r="EE53" s="87">
        <v>4</v>
      </c>
      <c r="EF53" s="5">
        <v>4</v>
      </c>
    </row>
    <row r="54" spans="6:136" x14ac:dyDescent="0.35">
      <c r="I54" s="48"/>
      <c r="J54" s="48"/>
      <c r="K54" s="48"/>
      <c r="L54" s="48"/>
      <c r="AX54" s="49"/>
      <c r="AY54" s="49"/>
      <c r="BA54" s="49"/>
      <c r="BC54" s="49"/>
      <c r="BJ54" s="49"/>
      <c r="BQ54" s="49"/>
      <c r="BR54" s="49"/>
      <c r="BW54" s="49"/>
      <c r="CW54" s="854"/>
      <c r="CX54" s="36" t="s">
        <v>75</v>
      </c>
      <c r="CY54" s="17">
        <v>40</v>
      </c>
      <c r="CZ54" s="36">
        <v>1088.4000000000001</v>
      </c>
      <c r="DA54" s="110">
        <v>1.1927000000000001</v>
      </c>
      <c r="DB54" s="36" t="s">
        <v>61</v>
      </c>
      <c r="DC54" s="41" t="s">
        <v>61</v>
      </c>
      <c r="EA54" s="19" t="s">
        <v>121</v>
      </c>
      <c r="EB54" s="514" t="s">
        <v>136</v>
      </c>
      <c r="EC54" s="87">
        <v>1</v>
      </c>
      <c r="ED54" s="87">
        <v>3</v>
      </c>
      <c r="EE54" s="87">
        <v>4</v>
      </c>
      <c r="EF54" s="5">
        <v>5</v>
      </c>
    </row>
    <row r="55" spans="6:136" ht="15" customHeight="1" x14ac:dyDescent="0.35">
      <c r="I55" s="48"/>
      <c r="J55" s="48"/>
      <c r="K55" s="48"/>
      <c r="L55" s="48"/>
      <c r="AX55" s="49"/>
      <c r="AY55" s="49"/>
      <c r="BU55" s="49"/>
      <c r="CW55" s="855"/>
      <c r="CX55" s="36" t="s">
        <v>75</v>
      </c>
      <c r="CY55" s="17">
        <v>60</v>
      </c>
      <c r="CZ55" s="36">
        <v>1767.5</v>
      </c>
      <c r="DA55" s="110">
        <v>1.2030000000000001</v>
      </c>
      <c r="DB55" s="36" t="s">
        <v>61</v>
      </c>
      <c r="DC55" s="41" t="s">
        <v>61</v>
      </c>
      <c r="EA55" s="19" t="s">
        <v>121</v>
      </c>
      <c r="EB55" s="514" t="s">
        <v>124</v>
      </c>
      <c r="EC55" s="87">
        <v>1</v>
      </c>
      <c r="ED55" s="87">
        <v>4</v>
      </c>
      <c r="EE55" s="87">
        <v>5</v>
      </c>
      <c r="EF55" s="5">
        <v>7</v>
      </c>
    </row>
    <row r="56" spans="6:136" ht="30" customHeight="1" x14ac:dyDescent="0.35">
      <c r="I56" s="48"/>
      <c r="J56" s="48"/>
      <c r="K56" s="48"/>
      <c r="L56" s="48"/>
      <c r="AY56" s="49"/>
      <c r="BB56" s="49"/>
      <c r="BQ56" s="49"/>
      <c r="BS56" s="49"/>
      <c r="CW56" s="853" t="s">
        <v>44</v>
      </c>
      <c r="CX56" s="36" t="s">
        <v>71</v>
      </c>
      <c r="CY56" s="17">
        <v>3</v>
      </c>
      <c r="CZ56" s="36">
        <v>8.0000000000000004E-4</v>
      </c>
      <c r="DA56" s="110">
        <v>1.913</v>
      </c>
      <c r="DB56" s="36" t="s">
        <v>61</v>
      </c>
      <c r="DC56" s="41" t="s">
        <v>61</v>
      </c>
      <c r="EA56" s="19" t="s">
        <v>125</v>
      </c>
      <c r="EB56" s="514" t="s">
        <v>137</v>
      </c>
      <c r="EC56" s="87">
        <v>0</v>
      </c>
      <c r="ED56" s="87">
        <v>0</v>
      </c>
      <c r="EE56" s="87">
        <v>0</v>
      </c>
      <c r="EF56" s="5" t="s">
        <v>1385</v>
      </c>
    </row>
    <row r="57" spans="6:136" x14ac:dyDescent="0.35">
      <c r="F57" s="49"/>
      <c r="H57" s="48"/>
      <c r="J57" s="48"/>
      <c r="K57" s="48"/>
      <c r="L57" s="48"/>
      <c r="M57" s="48"/>
      <c r="AX57" s="49"/>
      <c r="AY57" s="49"/>
      <c r="BB57" s="49"/>
      <c r="BQ57" s="49"/>
      <c r="BU57" s="49"/>
      <c r="CW57" s="854"/>
      <c r="CX57" s="36" t="s">
        <v>71</v>
      </c>
      <c r="CY57" s="17">
        <v>5</v>
      </c>
      <c r="CZ57" s="36">
        <v>8.6400000000000005E-2</v>
      </c>
      <c r="DA57" s="110">
        <v>1.2170000000000001</v>
      </c>
      <c r="DB57" s="111">
        <v>2.4083999999999999</v>
      </c>
      <c r="DC57" s="112">
        <v>1.198</v>
      </c>
      <c r="EA57" s="19" t="s">
        <v>125</v>
      </c>
      <c r="EB57" s="514" t="s">
        <v>126</v>
      </c>
      <c r="EC57" s="87">
        <v>0</v>
      </c>
      <c r="ED57" s="87">
        <v>0</v>
      </c>
      <c r="EE57" s="87">
        <v>0</v>
      </c>
      <c r="EF57" s="5" t="s">
        <v>1385</v>
      </c>
    </row>
    <row r="58" spans="6:136" x14ac:dyDescent="0.35">
      <c r="F58" s="49"/>
      <c r="H58" s="48"/>
      <c r="J58" s="48"/>
      <c r="K58" s="48"/>
      <c r="L58" s="48"/>
      <c r="M58" s="48"/>
      <c r="AX58" s="49"/>
      <c r="BB58" s="49"/>
      <c r="BR58" s="49"/>
      <c r="CW58" s="854"/>
      <c r="CX58" s="36" t="s">
        <v>71</v>
      </c>
      <c r="CY58" s="17">
        <v>10</v>
      </c>
      <c r="CZ58" s="36">
        <v>0.17680000000000001</v>
      </c>
      <c r="DA58" s="111">
        <v>1.2202999999999999</v>
      </c>
      <c r="DB58" s="111">
        <v>9.0387000000000004</v>
      </c>
      <c r="DC58" s="112">
        <v>1.111</v>
      </c>
      <c r="EA58" s="19" t="s">
        <v>125</v>
      </c>
      <c r="EB58" s="514" t="s">
        <v>138</v>
      </c>
      <c r="EC58" s="87">
        <v>0</v>
      </c>
      <c r="ED58" s="87">
        <v>0</v>
      </c>
      <c r="EE58" s="87">
        <v>0</v>
      </c>
      <c r="EF58" s="5" t="s">
        <v>1385</v>
      </c>
    </row>
    <row r="59" spans="6:136" x14ac:dyDescent="0.35">
      <c r="F59" s="49"/>
      <c r="H59" s="48"/>
      <c r="J59" s="49"/>
      <c r="K59" s="49"/>
      <c r="L59" s="48"/>
      <c r="M59" s="48"/>
      <c r="AX59" s="49"/>
      <c r="AY59" s="49"/>
      <c r="CW59" s="854"/>
      <c r="CX59" s="36" t="s">
        <v>71</v>
      </c>
      <c r="CY59" s="17">
        <v>20</v>
      </c>
      <c r="CZ59" s="36">
        <v>0.41720000000000002</v>
      </c>
      <c r="DA59" s="111">
        <v>1.2163999999999999</v>
      </c>
      <c r="DB59" s="110">
        <v>17.425000000000001</v>
      </c>
      <c r="DC59" s="112">
        <v>1.1140000000000001</v>
      </c>
      <c r="EA59" s="19" t="s">
        <v>127</v>
      </c>
      <c r="EB59" s="514" t="s">
        <v>128</v>
      </c>
      <c r="EC59" s="87">
        <v>5</v>
      </c>
      <c r="ED59" s="87" t="s">
        <v>1385</v>
      </c>
      <c r="EE59" s="87" t="s">
        <v>1385</v>
      </c>
      <c r="EF59" s="5">
        <v>50</v>
      </c>
    </row>
    <row r="60" spans="6:136" x14ac:dyDescent="0.35">
      <c r="F60" s="49"/>
      <c r="H60" s="48"/>
      <c r="J60" s="48"/>
      <c r="K60" s="48"/>
      <c r="L60" s="48"/>
      <c r="M60" s="48"/>
      <c r="CW60" s="854"/>
      <c r="CX60" s="36" t="s">
        <v>71</v>
      </c>
      <c r="CY60" s="17">
        <v>40</v>
      </c>
      <c r="CZ60" s="36">
        <v>0.95369999999999999</v>
      </c>
      <c r="DA60" s="111">
        <v>1.2097</v>
      </c>
      <c r="DB60" s="110">
        <v>34.255000000000003</v>
      </c>
      <c r="DC60" s="112">
        <v>1.1180000000000001</v>
      </c>
      <c r="EA60" s="19" t="s">
        <v>127</v>
      </c>
      <c r="EB60" s="514" t="s">
        <v>129</v>
      </c>
      <c r="EC60" s="87">
        <v>2</v>
      </c>
      <c r="ED60" s="87">
        <v>3</v>
      </c>
      <c r="EE60" s="87">
        <v>3</v>
      </c>
      <c r="EF60" s="5">
        <v>14</v>
      </c>
    </row>
    <row r="61" spans="6:136" ht="15" thickBot="1" x14ac:dyDescent="0.4">
      <c r="F61" s="49"/>
      <c r="H61" s="48"/>
      <c r="J61" s="49"/>
      <c r="K61" s="49"/>
      <c r="L61" s="48"/>
      <c r="M61" s="48"/>
      <c r="CW61" s="856"/>
      <c r="CX61" s="44" t="s">
        <v>71</v>
      </c>
      <c r="CY61" s="22">
        <v>60</v>
      </c>
      <c r="CZ61" s="113">
        <v>1.2289000000000001</v>
      </c>
      <c r="DA61" s="113">
        <v>1.2522</v>
      </c>
      <c r="DB61" s="44">
        <v>367.06</v>
      </c>
      <c r="DC61" s="45">
        <v>0.98550000000000004</v>
      </c>
      <c r="EA61" s="19" t="s">
        <v>166</v>
      </c>
      <c r="EB61" s="514" t="s">
        <v>139</v>
      </c>
      <c r="EC61" s="87">
        <v>2</v>
      </c>
      <c r="ED61" s="87">
        <v>3</v>
      </c>
      <c r="EE61" s="87">
        <v>3</v>
      </c>
      <c r="EF61" s="5">
        <v>10</v>
      </c>
    </row>
    <row r="62" spans="6:136" x14ac:dyDescent="0.35">
      <c r="F62" s="49"/>
      <c r="H62" s="48"/>
      <c r="J62" s="48"/>
      <c r="K62" s="48"/>
      <c r="L62" s="48"/>
      <c r="M62" s="48"/>
      <c r="EA62" s="19" t="s">
        <v>166</v>
      </c>
      <c r="EB62" s="514" t="s">
        <v>141</v>
      </c>
      <c r="EC62" s="87">
        <v>0</v>
      </c>
      <c r="ED62" s="87">
        <v>0</v>
      </c>
      <c r="EE62" s="87">
        <v>2</v>
      </c>
      <c r="EF62" s="5">
        <v>3</v>
      </c>
    </row>
    <row r="63" spans="6:136" x14ac:dyDescent="0.35">
      <c r="F63" s="49"/>
      <c r="EA63" s="19" t="s">
        <v>166</v>
      </c>
      <c r="EB63" s="514" t="s">
        <v>142</v>
      </c>
      <c r="EC63" s="87">
        <v>0</v>
      </c>
      <c r="ED63" s="87">
        <v>1</v>
      </c>
      <c r="EE63" s="87">
        <v>2</v>
      </c>
      <c r="EF63" s="5">
        <v>3</v>
      </c>
    </row>
    <row r="64" spans="6:136" x14ac:dyDescent="0.35">
      <c r="F64" s="49"/>
      <c r="H64" s="48"/>
      <c r="J64" s="48"/>
      <c r="K64" s="48"/>
      <c r="L64" s="48"/>
      <c r="EA64" s="19" t="s">
        <v>166</v>
      </c>
      <c r="EB64" s="514" t="s">
        <v>143</v>
      </c>
      <c r="EC64" s="87">
        <v>2</v>
      </c>
      <c r="ED64" s="87">
        <v>3</v>
      </c>
      <c r="EE64" s="87">
        <v>3</v>
      </c>
      <c r="EF64" s="5">
        <v>10</v>
      </c>
    </row>
    <row r="65" spans="6:136" x14ac:dyDescent="0.35">
      <c r="F65" s="49"/>
      <c r="H65" s="48"/>
      <c r="J65" s="48"/>
      <c r="K65" s="48"/>
      <c r="L65" s="48"/>
      <c r="EA65" s="19" t="s">
        <v>166</v>
      </c>
      <c r="EB65" s="514" t="s">
        <v>144</v>
      </c>
      <c r="EC65" s="87">
        <v>4</v>
      </c>
      <c r="ED65" s="87">
        <v>6</v>
      </c>
      <c r="EE65" s="87">
        <v>6</v>
      </c>
      <c r="EF65" s="5">
        <v>21</v>
      </c>
    </row>
    <row r="66" spans="6:136" x14ac:dyDescent="0.35">
      <c r="F66" s="49"/>
      <c r="H66" s="48"/>
      <c r="J66" s="48"/>
      <c r="K66" s="48"/>
      <c r="L66" s="48"/>
      <c r="EA66" s="19" t="s">
        <v>166</v>
      </c>
      <c r="EB66" s="514" t="s">
        <v>140</v>
      </c>
      <c r="EC66" s="87">
        <v>3</v>
      </c>
      <c r="ED66" s="87">
        <v>4</v>
      </c>
      <c r="EE66" s="87">
        <v>5</v>
      </c>
      <c r="EF66" s="5">
        <v>21</v>
      </c>
    </row>
    <row r="67" spans="6:136" x14ac:dyDescent="0.35">
      <c r="F67" s="49"/>
      <c r="EA67" s="19" t="s">
        <v>166</v>
      </c>
      <c r="EB67" s="514" t="s">
        <v>145</v>
      </c>
      <c r="EC67" s="87">
        <v>3</v>
      </c>
      <c r="ED67" s="87">
        <v>4</v>
      </c>
      <c r="EE67" s="87">
        <v>5</v>
      </c>
      <c r="EF67" s="5">
        <v>21</v>
      </c>
    </row>
    <row r="68" spans="6:136" ht="15" thickBot="1" x14ac:dyDescent="0.4">
      <c r="F68" s="49"/>
      <c r="H68" s="48"/>
      <c r="J68" s="48"/>
      <c r="K68" s="48"/>
      <c r="L68" s="48"/>
      <c r="M68" s="48"/>
      <c r="EA68" s="21" t="s">
        <v>166</v>
      </c>
      <c r="EB68" s="22" t="s">
        <v>130</v>
      </c>
      <c r="EC68" s="94">
        <v>3</v>
      </c>
      <c r="ED68" s="94">
        <v>4</v>
      </c>
      <c r="EE68" s="94">
        <v>5</v>
      </c>
      <c r="EF68" s="6">
        <v>21</v>
      </c>
    </row>
    <row r="69" spans="6:136" x14ac:dyDescent="0.35">
      <c r="F69" s="49"/>
      <c r="H69" s="48"/>
      <c r="J69" s="48"/>
      <c r="K69" s="48"/>
      <c r="L69" s="48"/>
      <c r="M69" s="48"/>
    </row>
    <row r="70" spans="6:136" x14ac:dyDescent="0.35">
      <c r="F70" s="49"/>
    </row>
    <row r="71" spans="6:136" x14ac:dyDescent="0.35">
      <c r="F71" s="49"/>
      <c r="H71" s="48"/>
      <c r="J71" s="48"/>
      <c r="K71" s="48"/>
      <c r="L71" s="48"/>
    </row>
    <row r="73" spans="6:136" x14ac:dyDescent="0.35">
      <c r="F73" s="49"/>
    </row>
    <row r="74" spans="6:136" x14ac:dyDescent="0.35">
      <c r="F74" s="49"/>
    </row>
    <row r="75" spans="6:136" x14ac:dyDescent="0.35">
      <c r="F75" s="49"/>
      <c r="H75" s="48"/>
      <c r="J75" s="48"/>
      <c r="K75" s="48"/>
      <c r="L75" s="48"/>
      <c r="M75" s="48"/>
    </row>
    <row r="76" spans="6:136" x14ac:dyDescent="0.35">
      <c r="F76" s="49"/>
      <c r="H76" s="48"/>
      <c r="J76" s="48"/>
      <c r="K76" s="48"/>
      <c r="L76" s="48"/>
      <c r="M76" s="48"/>
    </row>
    <row r="77" spans="6:136" x14ac:dyDescent="0.35">
      <c r="F77" s="49"/>
      <c r="H77" s="48"/>
      <c r="J77" s="48"/>
      <c r="K77" s="48"/>
      <c r="L77" s="48"/>
      <c r="M77" s="48"/>
    </row>
    <row r="78" spans="6:136" x14ac:dyDescent="0.35">
      <c r="F78" s="49"/>
      <c r="H78" s="48"/>
      <c r="J78" s="48"/>
      <c r="K78" s="48"/>
      <c r="L78" s="48"/>
      <c r="M78" s="48"/>
    </row>
    <row r="79" spans="6:136" x14ac:dyDescent="0.35">
      <c r="G79" s="49"/>
      <c r="H79" s="48"/>
      <c r="J79" s="48"/>
      <c r="K79" s="48"/>
      <c r="L79" s="48"/>
      <c r="M79" s="48"/>
    </row>
    <row r="80" spans="6:136" x14ac:dyDescent="0.35">
      <c r="F80" s="49"/>
    </row>
    <row r="81" spans="6:6" x14ac:dyDescent="0.35">
      <c r="F81" s="49"/>
    </row>
    <row r="82" spans="6:6" x14ac:dyDescent="0.35">
      <c r="F82" s="49"/>
    </row>
    <row r="83" spans="6:6" x14ac:dyDescent="0.35">
      <c r="F83" s="49"/>
    </row>
    <row r="84" spans="6:6" x14ac:dyDescent="0.35">
      <c r="F84" s="49"/>
    </row>
    <row r="85" spans="6:6" x14ac:dyDescent="0.35">
      <c r="F85" s="49"/>
    </row>
    <row r="86" spans="6:6" x14ac:dyDescent="0.35">
      <c r="F86" s="49"/>
    </row>
    <row r="87" spans="6:6" x14ac:dyDescent="0.35">
      <c r="F87" s="49"/>
    </row>
    <row r="88" spans="6:6" x14ac:dyDescent="0.35">
      <c r="F88" s="49"/>
    </row>
  </sheetData>
  <autoFilter ref="AN3:AS30" xr:uid="{00000000-0009-0000-0000-000021000000}">
    <sortState xmlns:xlrd2="http://schemas.microsoft.com/office/spreadsheetml/2017/richdata2" ref="AN4:AS30">
      <sortCondition ref="AS3:AS30"/>
    </sortState>
  </autoFilter>
  <mergeCells count="81">
    <mergeCell ref="EH2:EL2"/>
    <mergeCell ref="EA3:EA4"/>
    <mergeCell ref="EB3:EB4"/>
    <mergeCell ref="EC3:EF3"/>
    <mergeCell ref="EA32:EF35"/>
    <mergeCell ref="DV2:DY2"/>
    <mergeCell ref="EA2:EF2"/>
    <mergeCell ref="DE2:DM2"/>
    <mergeCell ref="DO2:DT2"/>
    <mergeCell ref="DO3:DO4"/>
    <mergeCell ref="DP3:DP4"/>
    <mergeCell ref="DQ3:DT3"/>
    <mergeCell ref="CW49:CW55"/>
    <mergeCell ref="CW56:CW61"/>
    <mergeCell ref="CK3:CK4"/>
    <mergeCell ref="CL3:CM3"/>
    <mergeCell ref="CN3:CO3"/>
    <mergeCell ref="CQ3:CQ4"/>
    <mergeCell ref="CR3:CS3"/>
    <mergeCell ref="CT3:CU3"/>
    <mergeCell ref="CW36:CW41"/>
    <mergeCell ref="CW42:CW48"/>
    <mergeCell ref="CW6:CW11"/>
    <mergeCell ref="CW12:CW17"/>
    <mergeCell ref="CW18:CW23"/>
    <mergeCell ref="CW24:CW29"/>
    <mergeCell ref="CW30:CW35"/>
    <mergeCell ref="CW3:CW4"/>
    <mergeCell ref="CY3:CY4"/>
    <mergeCell ref="CZ3:DA3"/>
    <mergeCell ref="DB3:DC3"/>
    <mergeCell ref="CW2:DC2"/>
    <mergeCell ref="CK2:CO2"/>
    <mergeCell ref="CQ2:CU2"/>
    <mergeCell ref="AU2:BL2"/>
    <mergeCell ref="AV3:AV6"/>
    <mergeCell ref="BI5:BJ5"/>
    <mergeCell ref="BK5:BL5"/>
    <mergeCell ref="BE4:BH4"/>
    <mergeCell ref="BI4:BL4"/>
    <mergeCell ref="BE3:BL3"/>
    <mergeCell ref="AN2:AS2"/>
    <mergeCell ref="AF2:AG2"/>
    <mergeCell ref="AI3:AJ3"/>
    <mergeCell ref="AI2:AL2"/>
    <mergeCell ref="CG2:CI2"/>
    <mergeCell ref="AU3:AU6"/>
    <mergeCell ref="AW3:BD3"/>
    <mergeCell ref="AW4:AZ4"/>
    <mergeCell ref="BA4:BD4"/>
    <mergeCell ref="AW5:AX5"/>
    <mergeCell ref="AY5:AZ5"/>
    <mergeCell ref="BA5:BB5"/>
    <mergeCell ref="BC5:BD5"/>
    <mergeCell ref="BE5:BF5"/>
    <mergeCell ref="BG5:BH5"/>
    <mergeCell ref="BN2:CE2"/>
    <mergeCell ref="B2:D2"/>
    <mergeCell ref="B39:D39"/>
    <mergeCell ref="B40:D40"/>
    <mergeCell ref="AA3:AB3"/>
    <mergeCell ref="AC3:AD3"/>
    <mergeCell ref="Y2:AD2"/>
    <mergeCell ref="F2:R2"/>
    <mergeCell ref="U2:W2"/>
    <mergeCell ref="BN3:BN6"/>
    <mergeCell ref="BO3:BO6"/>
    <mergeCell ref="BP3:BW3"/>
    <mergeCell ref="BX3:CE3"/>
    <mergeCell ref="BP4:BS4"/>
    <mergeCell ref="BT4:BW4"/>
    <mergeCell ref="BX4:CA4"/>
    <mergeCell ref="CB4:CE4"/>
    <mergeCell ref="BP5:BQ5"/>
    <mergeCell ref="BR5:BS5"/>
    <mergeCell ref="BT5:BU5"/>
    <mergeCell ref="BV5:BW5"/>
    <mergeCell ref="BX5:BY5"/>
    <mergeCell ref="BZ5:CA5"/>
    <mergeCell ref="CB5:CC5"/>
    <mergeCell ref="CD5:CE5"/>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ilha14"/>
  <dimension ref="B1:G78"/>
  <sheetViews>
    <sheetView workbookViewId="0">
      <selection activeCell="C11" sqref="C11"/>
    </sheetView>
  </sheetViews>
  <sheetFormatPr defaultRowHeight="14.5" x14ac:dyDescent="0.35"/>
  <cols>
    <col min="1" max="1" width="3.1796875" customWidth="1"/>
    <col min="2" max="2" width="30.26953125" customWidth="1"/>
    <col min="3" max="3" width="39.81640625" customWidth="1"/>
  </cols>
  <sheetData>
    <row r="1" spans="2:3" ht="9" customHeight="1" x14ac:dyDescent="0.35"/>
    <row r="2" spans="2:3" ht="15" thickBot="1" x14ac:dyDescent="0.4">
      <c r="B2" s="866" t="s">
        <v>167</v>
      </c>
      <c r="C2" s="866"/>
    </row>
    <row r="3" spans="2:3" ht="15" thickBot="1" x14ac:dyDescent="0.4">
      <c r="B3" s="33" t="s">
        <v>168</v>
      </c>
      <c r="C3" s="34" t="s">
        <v>169</v>
      </c>
    </row>
    <row r="4" spans="2:3" x14ac:dyDescent="0.35">
      <c r="B4" s="37" t="s">
        <v>170</v>
      </c>
      <c r="C4" s="38">
        <v>31623</v>
      </c>
    </row>
    <row r="5" spans="2:3" x14ac:dyDescent="0.35">
      <c r="B5" s="64" t="s">
        <v>171</v>
      </c>
      <c r="C5" s="65">
        <v>1000</v>
      </c>
    </row>
    <row r="6" spans="2:3" x14ac:dyDescent="0.35">
      <c r="B6" s="64" t="s">
        <v>172</v>
      </c>
      <c r="C6" s="65">
        <v>4536</v>
      </c>
    </row>
    <row r="7" spans="2:3" x14ac:dyDescent="0.35">
      <c r="B7" s="64" t="s">
        <v>209</v>
      </c>
      <c r="C7" s="65">
        <v>2.2050000000000001</v>
      </c>
    </row>
    <row r="8" spans="2:3" x14ac:dyDescent="0.35">
      <c r="B8" s="64" t="s">
        <v>173</v>
      </c>
      <c r="C8" s="65">
        <v>25.2</v>
      </c>
    </row>
    <row r="9" spans="2:3" x14ac:dyDescent="0.35">
      <c r="B9" s="64" t="s">
        <v>174</v>
      </c>
      <c r="C9" s="65">
        <v>55.6</v>
      </c>
    </row>
    <row r="10" spans="2:3" x14ac:dyDescent="0.35">
      <c r="B10" s="64" t="s">
        <v>175</v>
      </c>
      <c r="C10" s="65">
        <v>9.2899999999999996E-2</v>
      </c>
    </row>
    <row r="11" spans="2:3" x14ac:dyDescent="0.35">
      <c r="B11" s="64" t="s">
        <v>176</v>
      </c>
      <c r="C11" s="65">
        <v>0.123</v>
      </c>
    </row>
    <row r="12" spans="2:3" x14ac:dyDescent="0.35">
      <c r="B12" s="64" t="s">
        <v>177</v>
      </c>
      <c r="C12" s="65">
        <v>9.7439999999999998</v>
      </c>
    </row>
    <row r="13" spans="2:3" x14ac:dyDescent="0.35">
      <c r="B13" s="64" t="s">
        <v>178</v>
      </c>
      <c r="C13" s="65">
        <v>0.14499999999999999</v>
      </c>
    </row>
    <row r="14" spans="2:3" x14ac:dyDescent="0.35">
      <c r="B14" s="64" t="s">
        <v>179</v>
      </c>
      <c r="C14" s="65">
        <v>1.8</v>
      </c>
    </row>
    <row r="15" spans="2:3" x14ac:dyDescent="0.35">
      <c r="B15" s="64" t="s">
        <v>180</v>
      </c>
      <c r="C15" s="65">
        <v>6.29</v>
      </c>
    </row>
    <row r="16" spans="2:3" x14ac:dyDescent="0.35">
      <c r="B16" s="64" t="s">
        <v>181</v>
      </c>
      <c r="C16" s="65">
        <v>1</v>
      </c>
    </row>
    <row r="17" spans="2:7" x14ac:dyDescent="0.35">
      <c r="B17" s="64" t="s">
        <v>182</v>
      </c>
      <c r="C17" s="65">
        <v>4.6849999999999996</v>
      </c>
    </row>
    <row r="18" spans="2:7" x14ac:dyDescent="0.35">
      <c r="B18" s="64" t="s">
        <v>183</v>
      </c>
      <c r="C18" s="65">
        <v>299.44</v>
      </c>
    </row>
    <row r="19" spans="2:7" x14ac:dyDescent="0.35">
      <c r="B19" s="64" t="s">
        <v>184</v>
      </c>
      <c r="C19" s="65">
        <v>1E-3</v>
      </c>
    </row>
    <row r="20" spans="2:7" x14ac:dyDescent="0.35">
      <c r="B20" s="64" t="s">
        <v>185</v>
      </c>
      <c r="C20" s="65">
        <v>5.0000000000000001E-3</v>
      </c>
    </row>
    <row r="21" spans="2:7" x14ac:dyDescent="0.35">
      <c r="B21" s="64" t="s">
        <v>186</v>
      </c>
      <c r="C21" s="65">
        <v>1.085</v>
      </c>
    </row>
    <row r="22" spans="2:7" x14ac:dyDescent="0.35">
      <c r="B22" s="64" t="s">
        <v>187</v>
      </c>
      <c r="C22" s="65">
        <v>1.0129999999999999</v>
      </c>
    </row>
    <row r="23" spans="2:7" x14ac:dyDescent="0.35">
      <c r="B23" s="64" t="s">
        <v>188</v>
      </c>
      <c r="C23" s="65">
        <v>5328</v>
      </c>
    </row>
    <row r="24" spans="2:7" x14ac:dyDescent="0.35">
      <c r="B24" s="64" t="s">
        <v>189</v>
      </c>
      <c r="C24" s="65">
        <v>5.8</v>
      </c>
      <c r="G24" s="49"/>
    </row>
    <row r="25" spans="2:7" x14ac:dyDescent="0.35">
      <c r="B25" s="64" t="s">
        <v>190</v>
      </c>
      <c r="C25" s="65">
        <v>0.45</v>
      </c>
    </row>
    <row r="26" spans="2:7" x14ac:dyDescent="0.35">
      <c r="B26" s="64" t="s">
        <v>191</v>
      </c>
      <c r="C26" s="65">
        <v>2.6</v>
      </c>
    </row>
    <row r="27" spans="2:7" x14ac:dyDescent="0.35">
      <c r="B27" s="64" t="s">
        <v>192</v>
      </c>
      <c r="C27" s="65">
        <v>2.9600000000000001E-2</v>
      </c>
    </row>
    <row r="28" spans="2:7" x14ac:dyDescent="0.35">
      <c r="B28" s="64" t="s">
        <v>193</v>
      </c>
      <c r="C28" s="65">
        <v>100</v>
      </c>
    </row>
    <row r="29" spans="2:7" x14ac:dyDescent="0.35">
      <c r="B29" s="64" t="s">
        <v>194</v>
      </c>
      <c r="C29" s="65">
        <v>1</v>
      </c>
    </row>
    <row r="30" spans="2:7" x14ac:dyDescent="0.35">
      <c r="B30" s="64" t="s">
        <v>195</v>
      </c>
      <c r="C30" s="65">
        <v>1000</v>
      </c>
    </row>
    <row r="31" spans="2:7" x14ac:dyDescent="0.35">
      <c r="B31" s="64" t="s">
        <v>196</v>
      </c>
      <c r="C31" s="66">
        <v>4.303E-4</v>
      </c>
    </row>
    <row r="32" spans="2:7" x14ac:dyDescent="0.35">
      <c r="B32" s="64" t="s">
        <v>197</v>
      </c>
      <c r="C32" s="66">
        <v>2.1500000000000001E-7</v>
      </c>
    </row>
    <row r="33" spans="2:3" x14ac:dyDescent="0.35">
      <c r="B33" s="64" t="s">
        <v>198</v>
      </c>
      <c r="C33" s="65">
        <v>864</v>
      </c>
    </row>
    <row r="34" spans="2:3" x14ac:dyDescent="0.35">
      <c r="B34" s="64" t="s">
        <v>199</v>
      </c>
      <c r="C34" s="65">
        <v>0.54300000000000004</v>
      </c>
    </row>
    <row r="35" spans="2:3" x14ac:dyDescent="0.35">
      <c r="B35" s="64" t="s">
        <v>200</v>
      </c>
      <c r="C35" s="65">
        <v>8.1500000000000003E-2</v>
      </c>
    </row>
    <row r="36" spans="2:3" x14ac:dyDescent="0.35">
      <c r="B36" s="64" t="s">
        <v>201</v>
      </c>
      <c r="C36" s="65">
        <v>86.4</v>
      </c>
    </row>
    <row r="37" spans="2:3" x14ac:dyDescent="0.35">
      <c r="B37" s="64" t="s">
        <v>202</v>
      </c>
      <c r="C37" s="65">
        <v>29.619499999999999</v>
      </c>
    </row>
    <row r="38" spans="2:3" x14ac:dyDescent="0.35">
      <c r="B38" s="64" t="s">
        <v>203</v>
      </c>
      <c r="C38" s="65">
        <v>30.5</v>
      </c>
    </row>
    <row r="39" spans="2:3" x14ac:dyDescent="0.35">
      <c r="B39" s="64" t="s">
        <v>204</v>
      </c>
      <c r="C39" s="66">
        <v>1.4079999999999999E-8</v>
      </c>
    </row>
    <row r="40" spans="2:3" x14ac:dyDescent="0.35">
      <c r="B40" s="64" t="s">
        <v>205</v>
      </c>
      <c r="C40" s="65">
        <v>1.1341000000000001</v>
      </c>
    </row>
    <row r="41" spans="2:3" x14ac:dyDescent="0.35">
      <c r="B41" s="64" t="s">
        <v>206</v>
      </c>
      <c r="C41" s="65">
        <v>3.9365000000000001</v>
      </c>
    </row>
    <row r="42" spans="2:3" x14ac:dyDescent="0.35">
      <c r="B42" s="64" t="s">
        <v>207</v>
      </c>
      <c r="C42" s="65">
        <v>5.9352</v>
      </c>
    </row>
    <row r="43" spans="2:3" ht="15" thickBot="1" x14ac:dyDescent="0.4">
      <c r="B43" s="43" t="s">
        <v>208</v>
      </c>
      <c r="C43" s="44">
        <v>32</v>
      </c>
    </row>
    <row r="61" spans="7:7" x14ac:dyDescent="0.35">
      <c r="G61" s="49"/>
    </row>
    <row r="69" spans="7:7" x14ac:dyDescent="0.35">
      <c r="G69" s="49"/>
    </row>
    <row r="78" spans="7:7" x14ac:dyDescent="0.35">
      <c r="G78" s="49"/>
    </row>
  </sheetData>
  <mergeCells count="1">
    <mergeCell ref="B2:C2"/>
  </mergeCells>
  <pageMargins left="0.511811024" right="0.511811024" top="0.78740157499999996" bottom="0.78740157499999996" header="0.31496062000000002" footer="0.31496062000000002"/>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ilha3"/>
  <dimension ref="E1:S30"/>
  <sheetViews>
    <sheetView topLeftCell="C1" workbookViewId="0">
      <selection activeCell="Q10" sqref="Q10"/>
    </sheetView>
  </sheetViews>
  <sheetFormatPr defaultRowHeight="14.5" x14ac:dyDescent="0.35"/>
  <cols>
    <col min="5" max="5" width="70.81640625" bestFit="1" customWidth="1"/>
    <col min="14" max="14" width="20.81640625" customWidth="1"/>
    <col min="15" max="15" width="17.1796875" customWidth="1"/>
    <col min="16" max="16" width="12.81640625" bestFit="1" customWidth="1"/>
    <col min="17" max="17" width="17.453125" customWidth="1"/>
    <col min="18" max="19" width="8" customWidth="1"/>
  </cols>
  <sheetData>
    <row r="1" spans="5:19" ht="15" thickBot="1" x14ac:dyDescent="0.4">
      <c r="E1" t="s">
        <v>1430</v>
      </c>
    </row>
    <row r="2" spans="5:19" ht="15" thickBot="1" x14ac:dyDescent="0.4">
      <c r="G2" s="808" t="s">
        <v>1460</v>
      </c>
      <c r="H2" s="809"/>
      <c r="I2" s="809"/>
      <c r="J2" s="809"/>
      <c r="K2" s="809"/>
      <c r="L2" s="810"/>
      <c r="N2" s="779" t="s">
        <v>1459</v>
      </c>
      <c r="O2" s="780"/>
      <c r="P2" s="780"/>
      <c r="Q2" s="780"/>
      <c r="R2" s="781"/>
      <c r="S2" s="68"/>
    </row>
    <row r="3" spans="5:19" ht="15.75" customHeight="1" thickBot="1" x14ac:dyDescent="0.4">
      <c r="G3" s="825" t="s">
        <v>712</v>
      </c>
      <c r="H3" s="791" t="s">
        <v>885</v>
      </c>
      <c r="I3" s="792"/>
      <c r="J3" s="792"/>
      <c r="K3" s="792"/>
      <c r="L3" s="793"/>
      <c r="N3" s="556" t="s">
        <v>148</v>
      </c>
      <c r="O3" s="563" t="s">
        <v>149</v>
      </c>
      <c r="P3" s="564" t="s">
        <v>150</v>
      </c>
      <c r="Q3" s="845" t="s">
        <v>151</v>
      </c>
      <c r="R3" s="847"/>
      <c r="S3" s="68"/>
    </row>
    <row r="4" spans="5:19" x14ac:dyDescent="0.35">
      <c r="G4" s="826"/>
      <c r="H4" s="703" t="s">
        <v>886</v>
      </c>
      <c r="I4" s="704"/>
      <c r="J4" s="704"/>
      <c r="K4" s="704"/>
      <c r="L4" s="794"/>
      <c r="N4" s="559">
        <v>1</v>
      </c>
      <c r="O4" s="38" t="s">
        <v>110</v>
      </c>
      <c r="P4" s="557" t="s">
        <v>1461</v>
      </c>
      <c r="Q4" s="38" t="s">
        <v>1465</v>
      </c>
      <c r="R4" s="558">
        <v>3.1749999999999998</v>
      </c>
      <c r="S4" s="569"/>
    </row>
    <row r="5" spans="5:19" ht="15" thickBot="1" x14ac:dyDescent="0.4">
      <c r="G5" s="827"/>
      <c r="H5" s="22" t="s">
        <v>281</v>
      </c>
      <c r="I5" s="22" t="s">
        <v>274</v>
      </c>
      <c r="J5" s="22" t="s">
        <v>280</v>
      </c>
      <c r="K5" s="22" t="s">
        <v>279</v>
      </c>
      <c r="L5" s="23" t="s">
        <v>278</v>
      </c>
      <c r="N5" s="560">
        <v>2</v>
      </c>
      <c r="O5" s="552" t="s">
        <v>111</v>
      </c>
      <c r="P5" s="553" t="s">
        <v>1462</v>
      </c>
      <c r="Q5" s="62" t="s">
        <v>1466</v>
      </c>
      <c r="R5" s="60">
        <v>6.35</v>
      </c>
      <c r="S5" s="570"/>
    </row>
    <row r="6" spans="5:19" x14ac:dyDescent="0.35">
      <c r="G6" s="92">
        <v>0</v>
      </c>
      <c r="H6" s="223">
        <v>0.1</v>
      </c>
      <c r="I6" s="223">
        <v>0.1</v>
      </c>
      <c r="J6" s="223">
        <v>0.1</v>
      </c>
      <c r="K6" s="223">
        <v>0.1</v>
      </c>
      <c r="L6" s="224">
        <v>0.1</v>
      </c>
      <c r="N6" s="560">
        <v>3</v>
      </c>
      <c r="O6" s="552" t="s">
        <v>112</v>
      </c>
      <c r="P6" s="553" t="s">
        <v>1463</v>
      </c>
      <c r="Q6" s="62" t="s">
        <v>1467</v>
      </c>
      <c r="R6" s="60">
        <v>50.8</v>
      </c>
      <c r="S6" s="570"/>
    </row>
    <row r="7" spans="5:19" ht="29.5" thickBot="1" x14ac:dyDescent="0.4">
      <c r="G7" s="19">
        <v>0.05</v>
      </c>
      <c r="H7" s="524">
        <v>4</v>
      </c>
      <c r="I7" s="524">
        <v>1</v>
      </c>
      <c r="J7" s="524">
        <v>0.5</v>
      </c>
      <c r="K7" s="524">
        <v>0.4</v>
      </c>
      <c r="L7" s="20">
        <v>0.3</v>
      </c>
      <c r="N7" s="561">
        <v>4</v>
      </c>
      <c r="O7" s="562" t="s">
        <v>113</v>
      </c>
      <c r="P7" s="58" t="s">
        <v>1464</v>
      </c>
      <c r="Q7" s="63" t="s">
        <v>1469</v>
      </c>
      <c r="R7" s="61" t="s">
        <v>1468</v>
      </c>
      <c r="S7" s="570"/>
    </row>
    <row r="8" spans="5:19" x14ac:dyDescent="0.35">
      <c r="G8" s="19">
        <v>0.1</v>
      </c>
      <c r="H8" s="524">
        <v>14</v>
      </c>
      <c r="I8" s="524">
        <v>3</v>
      </c>
      <c r="J8" s="524">
        <v>1</v>
      </c>
      <c r="K8" s="524">
        <v>0.7</v>
      </c>
      <c r="L8" s="20">
        <v>0.5</v>
      </c>
    </row>
    <row r="9" spans="5:19" x14ac:dyDescent="0.35">
      <c r="G9" s="19">
        <v>0.15</v>
      </c>
      <c r="H9" s="524">
        <v>32</v>
      </c>
      <c r="I9" s="524">
        <v>8</v>
      </c>
      <c r="J9" s="524">
        <v>2</v>
      </c>
      <c r="K9" s="524">
        <v>1</v>
      </c>
      <c r="L9" s="20">
        <v>0.7</v>
      </c>
    </row>
    <row r="10" spans="5:19" x14ac:dyDescent="0.35">
      <c r="G10" s="19">
        <v>0.2</v>
      </c>
      <c r="H10" s="524">
        <v>56</v>
      </c>
      <c r="I10" s="524">
        <v>18</v>
      </c>
      <c r="J10" s="524">
        <v>6</v>
      </c>
      <c r="K10" s="524">
        <v>2</v>
      </c>
      <c r="L10" s="20">
        <v>1</v>
      </c>
    </row>
    <row r="11" spans="5:19" x14ac:dyDescent="0.35">
      <c r="G11" s="19">
        <v>0.25</v>
      </c>
      <c r="H11" s="524">
        <v>87</v>
      </c>
      <c r="I11" s="524">
        <v>32</v>
      </c>
      <c r="J11" s="524">
        <v>11</v>
      </c>
      <c r="K11" s="524">
        <v>4</v>
      </c>
      <c r="L11" s="20">
        <v>3</v>
      </c>
    </row>
    <row r="12" spans="5:19" x14ac:dyDescent="0.35">
      <c r="G12" s="19">
        <v>0.3</v>
      </c>
      <c r="H12" s="524">
        <v>125</v>
      </c>
      <c r="I12" s="524">
        <v>53</v>
      </c>
      <c r="J12" s="524">
        <v>21</v>
      </c>
      <c r="K12" s="524">
        <v>9</v>
      </c>
      <c r="L12" s="20">
        <v>6</v>
      </c>
    </row>
    <row r="13" spans="5:19" x14ac:dyDescent="0.35">
      <c r="G13" s="19">
        <v>0.35</v>
      </c>
      <c r="H13" s="524">
        <v>170</v>
      </c>
      <c r="I13" s="524">
        <v>80</v>
      </c>
      <c r="J13" s="524">
        <v>36</v>
      </c>
      <c r="K13" s="524">
        <v>16</v>
      </c>
      <c r="L13" s="20">
        <v>12</v>
      </c>
    </row>
    <row r="14" spans="5:19" x14ac:dyDescent="0.35">
      <c r="G14" s="19">
        <v>0.4</v>
      </c>
      <c r="H14" s="524">
        <v>222</v>
      </c>
      <c r="I14" s="524">
        <v>115</v>
      </c>
      <c r="J14" s="524">
        <v>57</v>
      </c>
      <c r="K14" s="524">
        <v>29</v>
      </c>
      <c r="L14" s="20">
        <v>21</v>
      </c>
    </row>
    <row r="15" spans="5:19" x14ac:dyDescent="0.35">
      <c r="G15" s="19">
        <v>0.45</v>
      </c>
      <c r="H15" s="524">
        <v>281</v>
      </c>
      <c r="I15" s="524">
        <v>158</v>
      </c>
      <c r="J15" s="524">
        <v>86</v>
      </c>
      <c r="K15" s="524">
        <v>47</v>
      </c>
      <c r="L15" s="20">
        <v>36</v>
      </c>
    </row>
    <row r="16" spans="5:19" x14ac:dyDescent="0.35">
      <c r="G16" s="19">
        <v>0.5</v>
      </c>
      <c r="H16" s="524">
        <v>347</v>
      </c>
      <c r="I16" s="524">
        <v>211</v>
      </c>
      <c r="J16" s="524">
        <v>124</v>
      </c>
      <c r="K16" s="524">
        <v>73</v>
      </c>
      <c r="L16" s="20">
        <v>58</v>
      </c>
    </row>
    <row r="17" spans="7:14" x14ac:dyDescent="0.35">
      <c r="G17" s="19">
        <v>0.55000000000000004</v>
      </c>
      <c r="H17" s="524">
        <v>420</v>
      </c>
      <c r="I17" s="524">
        <v>273</v>
      </c>
      <c r="J17" s="524">
        <v>173</v>
      </c>
      <c r="K17" s="524">
        <v>109</v>
      </c>
      <c r="L17" s="20">
        <v>89</v>
      </c>
    </row>
    <row r="18" spans="7:14" x14ac:dyDescent="0.35">
      <c r="G18" s="19">
        <v>0.6</v>
      </c>
      <c r="H18" s="524">
        <v>500</v>
      </c>
      <c r="I18" s="524">
        <v>346</v>
      </c>
      <c r="J18" s="524">
        <v>234</v>
      </c>
      <c r="K18" s="524">
        <v>158</v>
      </c>
      <c r="L18" s="20">
        <v>133</v>
      </c>
    </row>
    <row r="19" spans="7:14" x14ac:dyDescent="0.35">
      <c r="G19" s="19">
        <v>0.65</v>
      </c>
      <c r="H19" s="524">
        <v>587</v>
      </c>
      <c r="I19" s="524">
        <v>430</v>
      </c>
      <c r="J19" s="524">
        <v>309</v>
      </c>
      <c r="K19" s="524">
        <v>222</v>
      </c>
      <c r="L19" s="20">
        <v>192</v>
      </c>
      <c r="N19" s="2"/>
    </row>
    <row r="20" spans="7:14" x14ac:dyDescent="0.35">
      <c r="G20" s="19">
        <v>0.7</v>
      </c>
      <c r="H20" s="524">
        <v>681</v>
      </c>
      <c r="I20" s="524">
        <v>527</v>
      </c>
      <c r="J20" s="524">
        <v>401</v>
      </c>
      <c r="K20" s="524">
        <v>305</v>
      </c>
      <c r="L20" s="20">
        <v>270</v>
      </c>
    </row>
    <row r="21" spans="7:14" x14ac:dyDescent="0.35">
      <c r="G21" s="19">
        <v>0.75</v>
      </c>
      <c r="H21" s="524">
        <v>782</v>
      </c>
      <c r="I21" s="524">
        <v>635</v>
      </c>
      <c r="J21" s="524">
        <v>510</v>
      </c>
      <c r="K21" s="524">
        <v>409</v>
      </c>
      <c r="L21" s="20">
        <v>370</v>
      </c>
    </row>
    <row r="22" spans="7:14" x14ac:dyDescent="0.35">
      <c r="G22" s="19">
        <v>0.8</v>
      </c>
      <c r="H22" s="524">
        <v>890</v>
      </c>
      <c r="I22" s="524">
        <v>757</v>
      </c>
      <c r="J22" s="524">
        <v>638</v>
      </c>
      <c r="K22" s="524">
        <v>538</v>
      </c>
      <c r="L22" s="20">
        <v>498</v>
      </c>
    </row>
    <row r="23" spans="7:14" x14ac:dyDescent="0.35">
      <c r="G23" s="19">
        <v>0.85</v>
      </c>
      <c r="H23" s="524">
        <v>1005</v>
      </c>
      <c r="I23" s="524">
        <v>893</v>
      </c>
      <c r="J23" s="524">
        <v>789</v>
      </c>
      <c r="K23" s="524">
        <v>696</v>
      </c>
      <c r="L23" s="20">
        <v>658</v>
      </c>
      <c r="N23" s="2"/>
    </row>
    <row r="24" spans="7:14" x14ac:dyDescent="0.35">
      <c r="G24" s="19">
        <v>0.9</v>
      </c>
      <c r="H24" s="524">
        <v>1126</v>
      </c>
      <c r="I24" s="524">
        <v>1044</v>
      </c>
      <c r="J24" s="524">
        <v>963</v>
      </c>
      <c r="K24" s="524">
        <v>888</v>
      </c>
      <c r="L24" s="20">
        <v>856</v>
      </c>
    </row>
    <row r="25" spans="7:14" x14ac:dyDescent="0.35">
      <c r="G25" s="19">
        <v>0.95</v>
      </c>
      <c r="H25" s="524">
        <v>1255</v>
      </c>
      <c r="I25" s="524">
        <v>1209</v>
      </c>
      <c r="J25" s="524">
        <v>1163</v>
      </c>
      <c r="K25" s="524">
        <v>1118</v>
      </c>
      <c r="L25" s="20">
        <v>1098</v>
      </c>
    </row>
    <row r="26" spans="7:14" ht="15" thickBot="1" x14ac:dyDescent="0.4">
      <c r="G26" s="21">
        <v>1</v>
      </c>
      <c r="H26" s="22">
        <v>1390</v>
      </c>
      <c r="I26" s="22">
        <v>1390</v>
      </c>
      <c r="J26" s="22">
        <v>1390</v>
      </c>
      <c r="K26" s="22">
        <v>1390</v>
      </c>
      <c r="L26" s="23">
        <v>1390</v>
      </c>
      <c r="N26" s="2"/>
    </row>
    <row r="28" spans="7:14" x14ac:dyDescent="0.35">
      <c r="N28" s="2"/>
    </row>
    <row r="29" spans="7:14" x14ac:dyDescent="0.35">
      <c r="N29" s="2"/>
    </row>
    <row r="30" spans="7:14" x14ac:dyDescent="0.35">
      <c r="N30" s="2"/>
    </row>
  </sheetData>
  <mergeCells count="6">
    <mergeCell ref="G2:L2"/>
    <mergeCell ref="G3:G5"/>
    <mergeCell ref="H3:L3"/>
    <mergeCell ref="H4:L4"/>
    <mergeCell ref="N2:R2"/>
    <mergeCell ref="Q3:R3"/>
  </mergeCell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ilha22"/>
  <dimension ref="A1"/>
  <sheetViews>
    <sheetView workbookViewId="0">
      <selection activeCell="B8" sqref="B8"/>
    </sheetView>
  </sheetViews>
  <sheetFormatPr defaultRowHeight="14.5" x14ac:dyDescent="0.35"/>
  <sheetData/>
  <pageMargins left="0.511811024" right="0.511811024" top="0.78740157499999996" bottom="0.78740157499999996" header="0.31496062000000002" footer="0.31496062000000002"/>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ilha15"/>
  <dimension ref="A1:H44"/>
  <sheetViews>
    <sheetView topLeftCell="A31" workbookViewId="0">
      <selection activeCell="B8" sqref="B8"/>
    </sheetView>
  </sheetViews>
  <sheetFormatPr defaultRowHeight="14.5" x14ac:dyDescent="0.35"/>
  <sheetData>
    <row r="1" spans="1:2" ht="15" thickBot="1" x14ac:dyDescent="0.4">
      <c r="A1" s="867" t="s">
        <v>708</v>
      </c>
      <c r="B1" s="868"/>
    </row>
    <row r="3" spans="1:2" x14ac:dyDescent="0.35">
      <c r="A3" t="s">
        <v>246</v>
      </c>
    </row>
    <row r="5" spans="1:2" x14ac:dyDescent="0.35">
      <c r="A5" t="s">
        <v>261</v>
      </c>
    </row>
    <row r="6" spans="1:2" x14ac:dyDescent="0.35">
      <c r="A6" t="s">
        <v>247</v>
      </c>
    </row>
    <row r="9" spans="1:2" x14ac:dyDescent="0.35">
      <c r="A9" t="s">
        <v>248</v>
      </c>
      <c r="B9" t="s">
        <v>249</v>
      </c>
    </row>
    <row r="13" spans="1:2" x14ac:dyDescent="0.35">
      <c r="A13" s="133" t="s">
        <v>608</v>
      </c>
    </row>
    <row r="16" spans="1:2" x14ac:dyDescent="0.35">
      <c r="A16" s="133" t="s">
        <v>347</v>
      </c>
    </row>
    <row r="17" spans="1:8" x14ac:dyDescent="0.35">
      <c r="A17" s="133" t="s">
        <v>346</v>
      </c>
    </row>
    <row r="21" spans="1:8" x14ac:dyDescent="0.35">
      <c r="A21" s="104" t="s">
        <v>607</v>
      </c>
      <c r="B21" s="104"/>
      <c r="C21" s="104"/>
      <c r="D21" s="104"/>
      <c r="E21" s="104"/>
      <c r="F21" s="104"/>
    </row>
    <row r="23" spans="1:8" x14ac:dyDescent="0.35">
      <c r="A23" s="133" t="s">
        <v>609</v>
      </c>
      <c r="B23" s="104"/>
      <c r="C23" s="104"/>
      <c r="D23" s="104"/>
      <c r="E23" s="104"/>
      <c r="F23" s="104"/>
    </row>
    <row r="26" spans="1:8" x14ac:dyDescent="0.35">
      <c r="A26" t="s">
        <v>949</v>
      </c>
    </row>
    <row r="27" spans="1:8" ht="15" thickBot="1" x14ac:dyDescent="0.4"/>
    <row r="28" spans="1:8" ht="15" thickBot="1" x14ac:dyDescent="0.4">
      <c r="A28" s="867" t="s">
        <v>709</v>
      </c>
      <c r="B28" s="868"/>
    </row>
    <row r="30" spans="1:8" x14ac:dyDescent="0.35">
      <c r="A30" s="104" t="s">
        <v>827</v>
      </c>
      <c r="B30" s="104"/>
      <c r="C30" s="104"/>
      <c r="D30" s="104"/>
      <c r="E30" s="104"/>
    </row>
    <row r="32" spans="1:8" x14ac:dyDescent="0.35">
      <c r="A32" s="104" t="s">
        <v>930</v>
      </c>
      <c r="B32" s="104"/>
      <c r="C32" s="104"/>
      <c r="D32" s="104"/>
      <c r="E32" s="104"/>
      <c r="F32" s="104"/>
      <c r="G32" s="104"/>
      <c r="H32" s="104"/>
    </row>
    <row r="35" spans="1:2" ht="15" thickBot="1" x14ac:dyDescent="0.4"/>
    <row r="36" spans="1:2" ht="15" thickBot="1" x14ac:dyDescent="0.4">
      <c r="A36" s="867" t="s">
        <v>966</v>
      </c>
      <c r="B36" s="868"/>
    </row>
    <row r="37" spans="1:2" x14ac:dyDescent="0.35">
      <c r="A37" t="s">
        <v>1213</v>
      </c>
    </row>
    <row r="38" spans="1:2" x14ac:dyDescent="0.35">
      <c r="A38" t="s">
        <v>1214</v>
      </c>
    </row>
    <row r="39" spans="1:2" x14ac:dyDescent="0.35">
      <c r="A39" t="s">
        <v>1215</v>
      </c>
    </row>
    <row r="40" spans="1:2" x14ac:dyDescent="0.35">
      <c r="A40" t="s">
        <v>965</v>
      </c>
    </row>
    <row r="41" spans="1:2" x14ac:dyDescent="0.35">
      <c r="A41" t="s">
        <v>967</v>
      </c>
    </row>
    <row r="42" spans="1:2" x14ac:dyDescent="0.35">
      <c r="A42" t="s">
        <v>1216</v>
      </c>
    </row>
    <row r="43" spans="1:2" x14ac:dyDescent="0.35">
      <c r="A43" t="s">
        <v>1217</v>
      </c>
    </row>
    <row r="44" spans="1:2" x14ac:dyDescent="0.35">
      <c r="A44" t="s">
        <v>1218</v>
      </c>
    </row>
  </sheetData>
  <mergeCells count="3">
    <mergeCell ref="A1:B1"/>
    <mergeCell ref="A28:B28"/>
    <mergeCell ref="A36:B36"/>
  </mergeCells>
  <pageMargins left="0.511811024" right="0.511811024" top="0.78740157499999996" bottom="0.78740157499999996" header="0.31496062000000002" footer="0.31496062000000002"/>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ilha16"/>
  <dimension ref="A1"/>
  <sheetViews>
    <sheetView workbookViewId="0">
      <selection activeCell="B8" sqref="B8"/>
    </sheetView>
  </sheetViews>
  <sheetFormatPr defaultRowHeight="14.5" x14ac:dyDescent="0.35"/>
  <sheetData/>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A5943E00B36CB44A7197E176EFF5388" ma:contentTypeVersion="11" ma:contentTypeDescription="Create a new document." ma:contentTypeScope="" ma:versionID="fa1d37c31f39b6daf1e26ccbb052bb84">
  <xsd:schema xmlns:xsd="http://www.w3.org/2001/XMLSchema" xmlns:xs="http://www.w3.org/2001/XMLSchema" xmlns:p="http://schemas.microsoft.com/office/2006/metadata/properties" xmlns:ns3="f7173e8a-56df-44df-bf10-c7773b5f5d1f" xmlns:ns4="ecf3212f-6c91-4dc1-afd8-6d60b0670e7e" targetNamespace="http://schemas.microsoft.com/office/2006/metadata/properties" ma:root="true" ma:fieldsID="5343e6a9f7e3a657ae1c79ff9c033103" ns3:_="" ns4:_="">
    <xsd:import namespace="f7173e8a-56df-44df-bf10-c7773b5f5d1f"/>
    <xsd:import namespace="ecf3212f-6c91-4dc1-afd8-6d60b0670e7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173e8a-56df-44df-bf10-c7773b5f5d1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f3212f-6c91-4dc1-afd8-6d60b0670e7e"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FD7E7E3-D029-4564-A6EA-6088FFA583E6}">
  <ds:schemaRefs>
    <ds:schemaRef ds:uri="http://schemas.microsoft.com/sharepoint/v3/contenttype/forms"/>
  </ds:schemaRefs>
</ds:datastoreItem>
</file>

<file path=customXml/itemProps2.xml><?xml version="1.0" encoding="utf-8"?>
<ds:datastoreItem xmlns:ds="http://schemas.openxmlformats.org/officeDocument/2006/customXml" ds:itemID="{9EC0A36E-2987-4EE2-A59E-96B8BD8BD9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173e8a-56df-44df-bf10-c7773b5f5d1f"/>
    <ds:schemaRef ds:uri="ecf3212f-6c91-4dc1-afd8-6d60b0670e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0522C6-9263-4C23-ADD7-387B602D630C}">
  <ds:schemaRefs>
    <ds:schemaRef ds:uri="http://purl.org/dc/dcmitype/"/>
    <ds:schemaRef ds:uri="f7173e8a-56df-44df-bf10-c7773b5f5d1f"/>
    <ds:schemaRef ds:uri="ecf3212f-6c91-4dc1-afd8-6d60b0670e7e"/>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39</vt:i4>
      </vt:variant>
      <vt:variant>
        <vt:lpstr>Intervalos Nomeados</vt:lpstr>
      </vt:variant>
      <vt:variant>
        <vt:i4>10</vt:i4>
      </vt:variant>
    </vt:vector>
  </HeadingPairs>
  <TitlesOfParts>
    <vt:vector size="49" baseType="lpstr">
      <vt:lpstr>Início</vt:lpstr>
      <vt:lpstr>Cadastro Equipamento</vt:lpstr>
      <vt:lpstr>Dados de Inspeção</vt:lpstr>
      <vt:lpstr>pofUI</vt:lpstr>
      <vt:lpstr>cofUI</vt:lpstr>
      <vt:lpstr>RiskUI</vt:lpstr>
      <vt:lpstr>ThinningUI</vt:lpstr>
      <vt:lpstr>Temp</vt:lpstr>
      <vt:lpstr>Tratamento de Dados</vt:lpstr>
      <vt:lpstr>Results</vt:lpstr>
      <vt:lpstr>Risk</vt:lpstr>
      <vt:lpstr>POF</vt:lpstr>
      <vt:lpstr>Thinning</vt:lpstr>
      <vt:lpstr>Thinning_AST</vt:lpstr>
      <vt:lpstr>Lining</vt:lpstr>
      <vt:lpstr>Caustic_Cracking</vt:lpstr>
      <vt:lpstr>Amine_Cracking</vt:lpstr>
      <vt:lpstr>SCC_Sulfide (SSC)</vt:lpstr>
      <vt:lpstr>HIC-SOHIC-H2S</vt:lpstr>
      <vt:lpstr>SCC_Alkaline_Carbonate</vt:lpstr>
      <vt:lpstr>SCC_Polythionic_Acid</vt:lpstr>
      <vt:lpstr>SCC_Chloride</vt:lpstr>
      <vt:lpstr>HSC_Hydrofluoric_Acid</vt:lpstr>
      <vt:lpstr>HIC-SOHIC-HF</vt:lpstr>
      <vt:lpstr>Ext_Corr_Ferritic</vt:lpstr>
      <vt:lpstr>CUI_Ferritic</vt:lpstr>
      <vt:lpstr>Ext_SCC_Chloride</vt:lpstr>
      <vt:lpstr>CUI_SCC_Chloride</vt:lpstr>
      <vt:lpstr>COF</vt:lpstr>
      <vt:lpstr>Test_Fluid</vt:lpstr>
      <vt:lpstr>Planilha1</vt:lpstr>
      <vt:lpstr>Tables - Part 1</vt:lpstr>
      <vt:lpstr>Tables - Part 2</vt:lpstr>
      <vt:lpstr>Tables - Part 3</vt:lpstr>
      <vt:lpstr>Tables - Part 3.B</vt:lpstr>
      <vt:lpstr>Tables - Part 5</vt:lpstr>
      <vt:lpstr>Figures - Part 2</vt:lpstr>
      <vt:lpstr>Revisar</vt:lpstr>
      <vt:lpstr>Consultas</vt:lpstr>
      <vt:lpstr>Compressor</vt:lpstr>
      <vt:lpstr>CP</vt:lpstr>
      <vt:lpstr>HE</vt:lpstr>
      <vt:lpstr>Heat_exchanger</vt:lpstr>
      <vt:lpstr>Permutador</vt:lpstr>
      <vt:lpstr>PIPE</vt:lpstr>
      <vt:lpstr>PUMP</vt:lpstr>
      <vt:lpstr>Tank650</vt:lpstr>
      <vt:lpstr>Vessel</vt:lpstr>
      <vt:lpstr>Vessel_FinFan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Holanda Monteiro</dc:creator>
  <cp:lastModifiedBy>Vinicius Holanda Monteiro</cp:lastModifiedBy>
  <dcterms:created xsi:type="dcterms:W3CDTF">2020-02-27T14:13:51Z</dcterms:created>
  <dcterms:modified xsi:type="dcterms:W3CDTF">2022-03-19T19:39:11Z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iteId">
    <vt:lpwstr>5b6f6241-9a57-4be4-8e50-1dfa72e79a57</vt:lpwstr>
  </property>
  <property fmtid="{D5CDD505-2E9C-101B-9397-08002B2CF9AE}" pid="4" name="MSIP_Label_8e61996e-cafd-4c9a-8a94-2dc1b82131ae_Owner">
    <vt:lpwstr>viniciusholanda@petrobras.com.br</vt:lpwstr>
  </property>
  <property fmtid="{D5CDD505-2E9C-101B-9397-08002B2CF9AE}" pid="5" name="MSIP_Label_8e61996e-cafd-4c9a-8a94-2dc1b82131ae_SetDate">
    <vt:lpwstr>2020-02-27T14:15:04.9846803Z</vt:lpwstr>
  </property>
  <property fmtid="{D5CDD505-2E9C-101B-9397-08002B2CF9AE}" pid="6" name="MSIP_Label_8e61996e-cafd-4c9a-8a94-2dc1b82131ae_Name">
    <vt:lpwstr>NP-1</vt:lpwstr>
  </property>
  <property fmtid="{D5CDD505-2E9C-101B-9397-08002B2CF9AE}" pid="7" name="MSIP_Label_8e61996e-cafd-4c9a-8a94-2dc1b82131ae_Application">
    <vt:lpwstr>Microsoft Azure Information Protection</vt:lpwstr>
  </property>
  <property fmtid="{D5CDD505-2E9C-101B-9397-08002B2CF9AE}" pid="8" name="MSIP_Label_8e61996e-cafd-4c9a-8a94-2dc1b82131ae_ActionId">
    <vt:lpwstr>01480af9-a4c7-46d0-8c9c-99adc29aac83</vt:lpwstr>
  </property>
  <property fmtid="{D5CDD505-2E9C-101B-9397-08002B2CF9AE}" pid="9" name="MSIP_Label_8e61996e-cafd-4c9a-8a94-2dc1b82131ae_Extended_MSFT_Method">
    <vt:lpwstr>Automatic</vt:lpwstr>
  </property>
  <property fmtid="{D5CDD505-2E9C-101B-9397-08002B2CF9AE}" pid="10" name="Sensitivity">
    <vt:lpwstr>NP-1</vt:lpwstr>
  </property>
  <property fmtid="{D5CDD505-2E9C-101B-9397-08002B2CF9AE}" pid="11" name="ContentTypeId">
    <vt:lpwstr>0x0101000A5943E00B36CB44A7197E176EFF5388</vt:lpwstr>
  </property>
</Properties>
</file>