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ollinucci\Documents\GitHub\CIVICS\CIVICS_Ghana\IO_Ghana\Pumpfed Irrigation for Maize\"/>
    </mc:Choice>
  </mc:AlternateContent>
  <xr:revisionPtr revIDLastSave="0" documentId="13_ncr:1_{21057CA3-7C42-45FB-90B8-FBED45866927}" xr6:coauthVersionLast="45" xr6:coauthVersionMax="45" xr10:uidLastSave="{00000000-0000-0000-0000-000000000000}"/>
  <bookViews>
    <workbookView xWindow="-38520" yWindow="-5445" windowWidth="38640" windowHeight="21240" xr2:uid="{00000000-000D-0000-FFFF-FFFF00000000}"/>
  </bookViews>
  <sheets>
    <sheet name="Main" sheetId="1" r:id="rId1"/>
    <sheet name="Paramete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Z20" i="1" l="1"/>
  <c r="BB13" i="1"/>
  <c r="BA13" i="1"/>
  <c r="C13" i="3" l="1"/>
  <c r="C12" i="3"/>
  <c r="AM3" i="1" l="1"/>
  <c r="AC8" i="1"/>
  <c r="AR4" i="1"/>
  <c r="AR9" i="1"/>
  <c r="AM8" i="1"/>
  <c r="AM10" i="1"/>
  <c r="AM11" i="1"/>
  <c r="AR3" i="1"/>
  <c r="AH4" i="1"/>
  <c r="AH5" i="1"/>
  <c r="AR5" i="1" s="1"/>
  <c r="AH6" i="1"/>
  <c r="AR6" i="1" s="1"/>
  <c r="AH7" i="1"/>
  <c r="AR7" i="1" s="1"/>
  <c r="AH9" i="1"/>
  <c r="AH10" i="1"/>
  <c r="AR10" i="1" s="1"/>
  <c r="AH11" i="1"/>
  <c r="AR11" i="1" s="1"/>
  <c r="AH3" i="1"/>
  <c r="AC4" i="1"/>
  <c r="AM4" i="1" s="1"/>
  <c r="AC5" i="1"/>
  <c r="AM5" i="1" s="1"/>
  <c r="AC6" i="1"/>
  <c r="AM6" i="1" s="1"/>
  <c r="AC7" i="1"/>
  <c r="AM7" i="1" s="1"/>
  <c r="AC9" i="1"/>
  <c r="AM9" i="1" s="1"/>
  <c r="AC10" i="1"/>
  <c r="AC11" i="1"/>
  <c r="AC12" i="1"/>
  <c r="AM12" i="1" s="1"/>
  <c r="AC3" i="1"/>
  <c r="Z11" i="1"/>
  <c r="Y11" i="1"/>
  <c r="X11" i="1"/>
  <c r="W11" i="1"/>
  <c r="V11" i="1"/>
  <c r="U11" i="1"/>
  <c r="T11" i="1"/>
  <c r="S11" i="1"/>
  <c r="R11" i="1"/>
  <c r="Q11" i="1"/>
  <c r="P11" i="1"/>
  <c r="O11" i="1"/>
  <c r="V7" i="1"/>
  <c r="Z7" i="1"/>
  <c r="Y7" i="1"/>
  <c r="X7" i="1"/>
  <c r="W7" i="1"/>
  <c r="U7" i="1"/>
  <c r="T7" i="1"/>
  <c r="R7" i="1"/>
  <c r="AD3" i="1" s="1" a="1"/>
  <c r="Q7" i="1"/>
  <c r="P7" i="1"/>
  <c r="O7" i="1"/>
  <c r="Z12" i="1"/>
  <c r="Y12" i="1"/>
  <c r="X12" i="1"/>
  <c r="W12" i="1"/>
  <c r="V12" i="1"/>
  <c r="AH12" i="1" s="1"/>
  <c r="AR12" i="1" s="1"/>
  <c r="U12" i="1"/>
  <c r="T12" i="1"/>
  <c r="S12" i="1"/>
  <c r="R12" i="1"/>
  <c r="Q12" i="1"/>
  <c r="P12" i="1"/>
  <c r="O12" i="1"/>
  <c r="Z8" i="1"/>
  <c r="Y8" i="1"/>
  <c r="X8" i="1"/>
  <c r="W8" i="1"/>
  <c r="V8" i="1"/>
  <c r="AH8" i="1" s="1"/>
  <c r="AR8" i="1" s="1"/>
  <c r="U8" i="1"/>
  <c r="T8" i="1"/>
  <c r="S8" i="1"/>
  <c r="R8" i="1"/>
  <c r="Q8" i="1"/>
  <c r="P8" i="1"/>
  <c r="O8" i="1"/>
  <c r="AD10" i="1" l="1"/>
  <c r="AN10" i="1" s="1"/>
  <c r="AF8" i="1"/>
  <c r="AP8" i="1" s="1"/>
  <c r="AD11" i="1"/>
  <c r="AN11" i="1" s="1"/>
  <c r="AG12" i="1"/>
  <c r="AQ12" i="1" s="1"/>
  <c r="AD6" i="1"/>
  <c r="AN6" i="1" s="1"/>
  <c r="AF6" i="1"/>
  <c r="AP6" i="1" s="1"/>
  <c r="AD9" i="1"/>
  <c r="AN9" i="1" s="1"/>
  <c r="AG10" i="1"/>
  <c r="AQ10" i="1" s="1"/>
  <c r="AE4" i="1"/>
  <c r="AO4" i="1" s="1"/>
  <c r="AG9" i="1"/>
  <c r="AQ9" i="1" s="1"/>
  <c r="AE10" i="1"/>
  <c r="AO10" i="1" s="1"/>
  <c r="AD7" i="1"/>
  <c r="AN7" i="1" s="1"/>
  <c r="AT7" i="1" s="1" a="1"/>
  <c r="AD3" i="1"/>
  <c r="AN3" i="1" s="1"/>
  <c r="AG4" i="1"/>
  <c r="AQ4" i="1" s="1"/>
  <c r="AG5" i="1"/>
  <c r="AQ5" i="1" s="1"/>
  <c r="AD12" i="1"/>
  <c r="AN12" i="1" s="1"/>
  <c r="AD5" i="1"/>
  <c r="AN5" i="1" s="1"/>
  <c r="AT5" i="1" s="1" a="1"/>
  <c r="AG3" i="1"/>
  <c r="AQ3" i="1" s="1"/>
  <c r="AF9" i="1"/>
  <c r="AP9" i="1" s="1"/>
  <c r="AG11" i="1"/>
  <c r="AQ11" i="1" s="1"/>
  <c r="AF7" i="1"/>
  <c r="AP7" i="1" s="1"/>
  <c r="AG7" i="1"/>
  <c r="AQ7" i="1" s="1"/>
  <c r="AD4" i="1"/>
  <c r="AN4" i="1" s="1"/>
  <c r="AF11" i="1"/>
  <c r="AP11" i="1" s="1"/>
  <c r="AD8" i="1"/>
  <c r="AN8" i="1" s="1"/>
  <c r="AF5" i="1"/>
  <c r="AP5" i="1" s="1"/>
  <c r="AF4" i="1"/>
  <c r="AP4" i="1" s="1"/>
  <c r="AF3" i="1"/>
  <c r="AP3" i="1" s="1"/>
  <c r="AE9" i="1"/>
  <c r="AO9" i="1" s="1"/>
  <c r="AG6" i="1"/>
  <c r="AQ6" i="1" s="1"/>
  <c r="AE3" i="1"/>
  <c r="AO3" i="1" s="1"/>
  <c r="AE11" i="1"/>
  <c r="AO11" i="1" s="1"/>
  <c r="AE12" i="1"/>
  <c r="AO12" i="1" s="1"/>
  <c r="AG8" i="1"/>
  <c r="AQ8" i="1" s="1"/>
  <c r="AE7" i="1"/>
  <c r="AO7" i="1" s="1"/>
  <c r="AE8" i="1"/>
  <c r="AO8" i="1" s="1"/>
  <c r="AE5" i="1"/>
  <c r="AO5" i="1" s="1"/>
  <c r="AE6" i="1"/>
  <c r="AO6" i="1" s="1"/>
  <c r="AF12" i="1"/>
  <c r="AP12" i="1" s="1"/>
  <c r="AF10" i="1"/>
  <c r="AP10" i="1" s="1"/>
  <c r="AT10" i="1" l="1" a="1"/>
  <c r="AU5" i="1"/>
  <c r="AT5" i="1"/>
  <c r="AV5" i="1"/>
  <c r="AW5" i="1"/>
  <c r="AT8" i="1" a="1"/>
  <c r="AT3" i="1" a="1"/>
  <c r="AV7" i="1"/>
  <c r="AU7" i="1"/>
  <c r="AT7" i="1"/>
  <c r="AW7" i="1"/>
  <c r="AT9" i="1" a="1"/>
  <c r="AT4" i="1" a="1"/>
  <c r="AT6" i="1" a="1"/>
  <c r="AT12" i="1" a="1"/>
  <c r="AT11" i="1" a="1"/>
  <c r="AW3" i="1" l="1"/>
  <c r="AT3" i="1"/>
  <c r="AV3" i="1"/>
  <c r="AU3" i="1"/>
  <c r="AT8" i="1"/>
  <c r="AW8" i="1"/>
  <c r="AU8" i="1"/>
  <c r="AV8" i="1"/>
  <c r="AW11" i="1"/>
  <c r="AV11" i="1"/>
  <c r="AU11" i="1"/>
  <c r="AT11" i="1"/>
  <c r="AV4" i="1"/>
  <c r="AU4" i="1"/>
  <c r="AW4" i="1"/>
  <c r="AT4" i="1"/>
  <c r="AW12" i="1"/>
  <c r="AV12" i="1"/>
  <c r="AT12" i="1"/>
  <c r="AU12" i="1"/>
  <c r="AT9" i="1"/>
  <c r="AW9" i="1"/>
  <c r="AU9" i="1"/>
  <c r="AV9" i="1"/>
  <c r="AT6" i="1"/>
  <c r="AU6" i="1"/>
  <c r="AV6" i="1"/>
  <c r="AW6" i="1"/>
  <c r="AW10" i="1"/>
  <c r="AV10" i="1"/>
  <c r="AU10" i="1"/>
  <c r="AT10" i="1"/>
  <c r="AW35" i="1" l="1"/>
  <c r="I8" i="3" s="1"/>
  <c r="C14" i="3" s="1"/>
  <c r="AT16" i="1" a="1"/>
  <c r="AW34" i="1"/>
  <c r="G8" i="3" s="1"/>
  <c r="B14" i="3" s="1"/>
  <c r="AW33" i="1"/>
  <c r="H8" i="3" s="1"/>
  <c r="D14" i="3" s="1"/>
  <c r="AZ3" i="1" a="1"/>
  <c r="AT16" i="1" l="1"/>
  <c r="AU21" i="1"/>
  <c r="AT24" i="1"/>
  <c r="AU17" i="1"/>
  <c r="AT20" i="1"/>
  <c r="AT17" i="1"/>
  <c r="AU16" i="1"/>
  <c r="AU23" i="1"/>
  <c r="AT25" i="1"/>
  <c r="AU19" i="1"/>
  <c r="AT21" i="1"/>
  <c r="AT23" i="1"/>
  <c r="AU24" i="1"/>
  <c r="AT19" i="1"/>
  <c r="AU20" i="1"/>
  <c r="AU18" i="1"/>
  <c r="AU22" i="1"/>
  <c r="AT18" i="1"/>
  <c r="AT22" i="1"/>
  <c r="AU25" i="1"/>
  <c r="BA8" i="1"/>
  <c r="AZ3" i="1"/>
  <c r="BB9" i="1"/>
  <c r="BA6" i="1"/>
  <c r="BC12" i="1"/>
  <c r="BB7" i="1"/>
  <c r="BA4" i="1"/>
  <c r="BC10" i="1"/>
  <c r="BB5" i="1"/>
  <c r="AZ12" i="1"/>
  <c r="BC8" i="1"/>
  <c r="BB3" i="1"/>
  <c r="BB12" i="1"/>
  <c r="AZ8" i="1"/>
  <c r="BC4" i="1"/>
  <c r="BA9" i="1"/>
  <c r="BB10" i="1"/>
  <c r="AZ6" i="1"/>
  <c r="BC11" i="1"/>
  <c r="BA7" i="1"/>
  <c r="BB8" i="1"/>
  <c r="BC9" i="1"/>
  <c r="BA3" i="1"/>
  <c r="AZ10" i="1"/>
  <c r="BC6" i="1"/>
  <c r="BA11" i="1"/>
  <c r="AZ4" i="1"/>
  <c r="BB6" i="1"/>
  <c r="AZ11" i="1"/>
  <c r="BC7" i="1"/>
  <c r="AZ5" i="1"/>
  <c r="BA5" i="1"/>
  <c r="BB4" i="1"/>
  <c r="AZ9" i="1"/>
  <c r="BC5" i="1"/>
  <c r="BA12" i="1"/>
  <c r="AZ7" i="1"/>
  <c r="BC3" i="1"/>
  <c r="BA10" i="1"/>
  <c r="BB11" i="1"/>
  <c r="BH4" i="1" l="1"/>
  <c r="E8" i="3" s="1"/>
  <c r="D12" i="3" s="1"/>
  <c r="BH3" i="1"/>
  <c r="D8" i="3" s="1"/>
  <c r="B12" i="3" s="1"/>
  <c r="BH5" i="1"/>
  <c r="F8" i="3" s="1"/>
  <c r="AW16" i="1" a="1"/>
  <c r="AX16" i="1" a="1"/>
  <c r="AY16" i="1" a="1"/>
  <c r="AY25" i="1" l="1"/>
  <c r="AY16" i="1"/>
  <c r="AY17" i="1"/>
  <c r="AY18" i="1"/>
  <c r="AY19" i="1"/>
  <c r="AY20" i="1"/>
  <c r="AY21" i="1"/>
  <c r="AY24" i="1"/>
  <c r="AY22" i="1"/>
  <c r="AY23" i="1"/>
  <c r="AX16" i="1"/>
  <c r="AX17" i="1"/>
  <c r="AX18" i="1"/>
  <c r="AX19" i="1"/>
  <c r="AX20" i="1"/>
  <c r="AX22" i="1"/>
  <c r="AX25" i="1"/>
  <c r="AX23" i="1"/>
  <c r="AX24" i="1"/>
  <c r="AX21" i="1"/>
  <c r="AW16" i="1"/>
  <c r="AW17" i="1"/>
  <c r="AW18" i="1"/>
  <c r="AW19" i="1"/>
  <c r="AW20" i="1"/>
  <c r="AW21" i="1"/>
  <c r="AW22" i="1"/>
  <c r="AW23" i="1"/>
  <c r="AW24" i="1"/>
  <c r="AW25" i="1"/>
  <c r="AW30" i="1" l="1"/>
  <c r="A8" i="3" s="1"/>
  <c r="B13" i="3" s="1"/>
  <c r="AW29" i="1"/>
  <c r="C8" i="3" s="1"/>
  <c r="AW31" i="1"/>
  <c r="B8" i="3" s="1"/>
  <c r="D13" i="3" s="1"/>
</calcChain>
</file>

<file path=xl/sharedStrings.xml><?xml version="1.0" encoding="utf-8"?>
<sst xmlns="http://schemas.openxmlformats.org/spreadsheetml/2006/main" count="143" uniqueCount="91">
  <si>
    <t>Ashanti</t>
  </si>
  <si>
    <t>Brong Ahafo</t>
  </si>
  <si>
    <t>Central</t>
  </si>
  <si>
    <t>Eastern</t>
  </si>
  <si>
    <t>Upper East</t>
  </si>
  <si>
    <t>Upper West</t>
  </si>
  <si>
    <t>Province</t>
  </si>
  <si>
    <t>Rainfed maize croplands area (ha)</t>
  </si>
  <si>
    <t>-</t>
  </si>
  <si>
    <t>Jan</t>
  </si>
  <si>
    <t>Feb</t>
  </si>
  <si>
    <t>March</t>
  </si>
  <si>
    <t>April</t>
  </si>
  <si>
    <t>May</t>
  </si>
  <si>
    <t>Jun</t>
  </si>
  <si>
    <t>July</t>
  </si>
  <si>
    <t>Aug</t>
  </si>
  <si>
    <t>Sep</t>
  </si>
  <si>
    <t>Oct</t>
  </si>
  <si>
    <t>Nov</t>
  </si>
  <si>
    <t>Dec</t>
  </si>
  <si>
    <t>Avg daily percipitation during a month (mm/day)</t>
  </si>
  <si>
    <t>Northern*</t>
  </si>
  <si>
    <t>*Northern evaporation values coming from the avg among Yamale,Bole and Yendi stations</t>
  </si>
  <si>
    <t>Western**</t>
  </si>
  <si>
    <t>** avg among Takoradi,Axim and Sefwi-Berkwai stations</t>
  </si>
  <si>
    <t>Greater Accra***</t>
  </si>
  <si>
    <t>*** avg among Accra and Ada</t>
  </si>
  <si>
    <t>Volta****</t>
  </si>
  <si>
    <t>**** avg among Krachi and HO stations</t>
  </si>
  <si>
    <t>Avg daily local evapotranspiration during a month (mm/day)</t>
  </si>
  <si>
    <t>Pecipitation data: https://climateserv.servirglobal.net/</t>
  </si>
  <si>
    <t>Local evapotranspiration: FAO, CLIMWAT interface</t>
  </si>
  <si>
    <t>Planting stage</t>
  </si>
  <si>
    <t>first of March</t>
  </si>
  <si>
    <t>first of April</t>
  </si>
  <si>
    <t>second stage</t>
  </si>
  <si>
    <t xml:space="preserve">late stage </t>
  </si>
  <si>
    <t>first of August</t>
  </si>
  <si>
    <t xml:space="preserve"> supplementary irrigation period</t>
  </si>
  <si>
    <t>end of August</t>
  </si>
  <si>
    <t>Avg daily actual evapotranspiration during a month (mm/day)</t>
  </si>
  <si>
    <r>
      <t>method:</t>
    </r>
    <r>
      <rPr>
        <sz val="11"/>
        <color rgb="FFFF0000"/>
        <rFont val="Calibri"/>
        <family val="2"/>
        <scheme val="minor"/>
      </rPr>
      <t xml:space="preserve"> surface</t>
    </r>
    <r>
      <rPr>
        <sz val="11"/>
        <color theme="1"/>
        <rFont val="Calibri"/>
        <family val="2"/>
        <scheme val="minor"/>
      </rPr>
      <t>/sprinkle irrigation</t>
    </r>
  </si>
  <si>
    <t>root absorption efficiency</t>
  </si>
  <si>
    <t xml:space="preserve">*** water need </t>
  </si>
  <si>
    <t>Water gap(mm/day)***</t>
  </si>
  <si>
    <t>Water gap(L/day)***</t>
  </si>
  <si>
    <t>Electicity required per m of depth</t>
  </si>
  <si>
    <t>GWh</t>
  </si>
  <si>
    <t>Million USD</t>
  </si>
  <si>
    <t>Capacity regquired per province (qubic meter/h)</t>
  </si>
  <si>
    <t>Base_line</t>
  </si>
  <si>
    <t>Sensitivity Parameters</t>
  </si>
  <si>
    <t>Supplemental irrigation share</t>
  </si>
  <si>
    <t>depth of the groundwater resource</t>
  </si>
  <si>
    <t>capacity of the wells</t>
  </si>
  <si>
    <t>Productivity increase</t>
  </si>
  <si>
    <t>5%-14%</t>
  </si>
  <si>
    <t>25%-35%</t>
  </si>
  <si>
    <t>7-43 (cubic meters/hour)</t>
  </si>
  <si>
    <t>Critical Month(high well capacity)</t>
  </si>
  <si>
    <t>cost of wells_mean</t>
  </si>
  <si>
    <t>cost of wells_low</t>
  </si>
  <si>
    <t>cost of wells_high</t>
  </si>
  <si>
    <t>Water usge_high</t>
  </si>
  <si>
    <t>Water usge_mean</t>
  </si>
  <si>
    <t>Water usge_low</t>
  </si>
  <si>
    <t>Considering an acceptable aquifier productivity</t>
  </si>
  <si>
    <t>electricity required_mean</t>
  </si>
  <si>
    <t>electricity required_low</t>
  </si>
  <si>
    <t>electricity required_high</t>
  </si>
  <si>
    <t>10m-60m</t>
  </si>
  <si>
    <t>Scenarios/Parameters</t>
  </si>
  <si>
    <t>Optimistic</t>
  </si>
  <si>
    <t>Pessimistic</t>
  </si>
  <si>
    <t>Electricity</t>
  </si>
  <si>
    <t>Investment</t>
  </si>
  <si>
    <t>Blue Water</t>
  </si>
  <si>
    <t>Productivity</t>
  </si>
  <si>
    <t>mean cost(Million USD_2012)</t>
  </si>
  <si>
    <t>High Cost(Million USD_2012)</t>
  </si>
  <si>
    <t>Low Cost(Million USD_2012)</t>
  </si>
  <si>
    <t>mean electricity demand (Gwh)</t>
  </si>
  <si>
    <t>High electricty demand (Gwh)</t>
  </si>
  <si>
    <t>Low electricity demand  (Gwh)</t>
  </si>
  <si>
    <t>mean water usage (million cubic meters)</t>
  </si>
  <si>
    <t>High water usage (million cubic meters)</t>
  </si>
  <si>
    <t>Low water usage (million cubic meters)</t>
  </si>
  <si>
    <t>Range</t>
  </si>
  <si>
    <t>2.725 kwh per 1 meter of lifing 1 ML</t>
  </si>
  <si>
    <t>M m^3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</si>
</sst>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 applyFill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0" fontId="0" fillId="2" borderId="1" xfId="0" applyFill="1" applyBorder="1"/>
    <xf numFmtId="0" fontId="0" fillId="2" borderId="3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0" xfId="0" applyFill="1"/>
    <xf numFmtId="0" fontId="0" fillId="0" borderId="9" xfId="0" applyBorder="1"/>
    <xf numFmtId="0" fontId="1" fillId="0" borderId="9" xfId="0" applyFont="1" applyBorder="1"/>
    <xf numFmtId="164" fontId="0" fillId="0" borderId="9" xfId="0" applyNumberFormat="1" applyFill="1" applyBorder="1"/>
    <xf numFmtId="164" fontId="0" fillId="0" borderId="9" xfId="0" applyNumberFormat="1" applyBorder="1"/>
    <xf numFmtId="0" fontId="0" fillId="4" borderId="10" xfId="0" applyFill="1" applyBorder="1"/>
    <xf numFmtId="0" fontId="0" fillId="5" borderId="9" xfId="0" applyFill="1" applyBorder="1"/>
    <xf numFmtId="164" fontId="0" fillId="0" borderId="11" xfId="0" applyNumberFormat="1" applyFill="1" applyBorder="1"/>
    <xf numFmtId="164" fontId="0" fillId="0" borderId="11" xfId="0" applyNumberFormat="1" applyBorder="1"/>
    <xf numFmtId="0" fontId="0" fillId="4" borderId="12" xfId="0" applyFill="1" applyBorder="1"/>
    <xf numFmtId="0" fontId="0" fillId="4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2" fillId="0" borderId="0" xfId="0" applyFont="1"/>
    <xf numFmtId="0" fontId="0" fillId="6" borderId="12" xfId="0" applyFill="1" applyBorder="1"/>
    <xf numFmtId="0" fontId="0" fillId="6" borderId="10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9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7" borderId="9" xfId="0" applyFill="1" applyBorder="1"/>
    <xf numFmtId="0" fontId="0" fillId="7" borderId="0" xfId="0" applyFill="1"/>
    <xf numFmtId="0" fontId="0" fillId="2" borderId="0" xfId="0" applyFill="1"/>
    <xf numFmtId="10" fontId="0" fillId="0" borderId="0" xfId="0" applyNumberFormat="1"/>
    <xf numFmtId="16" fontId="0" fillId="0" borderId="0" xfId="0" applyNumberFormat="1"/>
    <xf numFmtId="0" fontId="0" fillId="2" borderId="9" xfId="0" applyFill="1" applyBorder="1"/>
    <xf numFmtId="16" fontId="0" fillId="0" borderId="9" xfId="0" applyNumberFormat="1" applyBorder="1"/>
    <xf numFmtId="0" fontId="2" fillId="8" borderId="9" xfId="0" applyFont="1" applyFill="1" applyBorder="1"/>
    <xf numFmtId="9" fontId="0" fillId="0" borderId="9" xfId="0" applyNumberFormat="1" applyBorder="1"/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5"/>
  <sheetViews>
    <sheetView tabSelected="1" zoomScaleNormal="100" workbookViewId="0">
      <pane xSplit="2" topLeftCell="AW1" activePane="topRight" state="frozen"/>
      <selection pane="topRight" activeCell="BB17" sqref="BB17:BD23"/>
    </sheetView>
  </sheetViews>
  <sheetFormatPr defaultRowHeight="14.4" x14ac:dyDescent="0.3"/>
  <cols>
    <col min="1" max="1" width="43.21875" customWidth="1"/>
    <col min="2" max="2" width="47.77734375" customWidth="1"/>
    <col min="3" max="3" width="38.6640625" customWidth="1"/>
    <col min="17" max="17" width="29.5546875" customWidth="1"/>
    <col min="18" max="18" width="19.88671875" customWidth="1"/>
    <col min="19" max="19" width="19.33203125" customWidth="1"/>
    <col min="21" max="21" width="20" customWidth="1"/>
    <col min="26" max="26" width="25.77734375" customWidth="1"/>
    <col min="39" max="39" width="22.77734375" customWidth="1"/>
    <col min="46" max="46" width="22.44140625" customWidth="1"/>
    <col min="47" max="47" width="17.33203125" customWidth="1"/>
    <col min="48" max="48" width="11.21875" bestFit="1" customWidth="1"/>
    <col min="49" max="49" width="30.44140625" customWidth="1"/>
    <col min="50" max="50" width="14.44140625" customWidth="1"/>
    <col min="51" max="51" width="36.109375" customWidth="1"/>
    <col min="52" max="52" width="32.6640625" customWidth="1"/>
    <col min="53" max="53" width="38.5546875" customWidth="1"/>
    <col min="58" max="58" width="18" customWidth="1"/>
    <col min="59" max="59" width="23.21875" customWidth="1"/>
  </cols>
  <sheetData>
    <row r="1" spans="1:63" x14ac:dyDescent="0.3">
      <c r="A1" s="12" t="s">
        <v>6</v>
      </c>
      <c r="B1" s="13" t="s">
        <v>7</v>
      </c>
      <c r="C1" s="54" t="s">
        <v>21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  <c r="O1" s="54" t="s">
        <v>30</v>
      </c>
      <c r="P1" s="55"/>
      <c r="Q1" s="55"/>
      <c r="R1" s="55"/>
      <c r="S1" s="55"/>
      <c r="T1" s="55"/>
      <c r="U1" s="55"/>
      <c r="V1" s="55"/>
      <c r="W1" s="55"/>
      <c r="X1" s="55"/>
      <c r="Y1" s="55"/>
      <c r="Z1" s="56"/>
      <c r="AA1" s="54" t="s">
        <v>41</v>
      </c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7" t="s">
        <v>45</v>
      </c>
      <c r="AN1" s="58"/>
      <c r="AO1" s="58"/>
      <c r="AP1" s="58"/>
      <c r="AQ1" s="58"/>
      <c r="AR1" s="59"/>
      <c r="AS1" s="51" t="s">
        <v>46</v>
      </c>
      <c r="AT1" s="52"/>
      <c r="AU1" s="52"/>
      <c r="AV1" s="52"/>
      <c r="AW1" s="52"/>
      <c r="AX1" s="53"/>
      <c r="AY1" s="51" t="s">
        <v>47</v>
      </c>
      <c r="AZ1" s="52"/>
      <c r="BA1" s="52"/>
      <c r="BB1" s="52"/>
      <c r="BC1" s="52"/>
      <c r="BD1" s="53"/>
    </row>
    <row r="2" spans="1:63" x14ac:dyDescent="0.3">
      <c r="A2" s="14" t="s">
        <v>8</v>
      </c>
      <c r="B2" s="15" t="s">
        <v>8</v>
      </c>
      <c r="C2" s="1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3" t="s">
        <v>20</v>
      </c>
      <c r="O2" s="1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19</v>
      </c>
      <c r="Z2" s="3" t="s">
        <v>20</v>
      </c>
      <c r="AA2" s="1" t="s">
        <v>9</v>
      </c>
      <c r="AB2" s="2" t="s">
        <v>10</v>
      </c>
      <c r="AC2" s="21" t="s">
        <v>11</v>
      </c>
      <c r="AD2" s="21" t="s">
        <v>12</v>
      </c>
      <c r="AE2" s="21" t="s">
        <v>13</v>
      </c>
      <c r="AF2" s="21" t="s">
        <v>14</v>
      </c>
      <c r="AG2" s="21" t="s">
        <v>15</v>
      </c>
      <c r="AH2" s="21" t="s">
        <v>16</v>
      </c>
      <c r="AI2" s="2" t="s">
        <v>17</v>
      </c>
      <c r="AJ2" s="2" t="s">
        <v>18</v>
      </c>
      <c r="AK2" s="2" t="s">
        <v>19</v>
      </c>
      <c r="AL2" s="2" t="s">
        <v>20</v>
      </c>
      <c r="AM2" s="32" t="s">
        <v>11</v>
      </c>
      <c r="AN2" s="33" t="s">
        <v>12</v>
      </c>
      <c r="AO2" s="33" t="s">
        <v>13</v>
      </c>
      <c r="AP2" s="33" t="s">
        <v>14</v>
      </c>
      <c r="AQ2" s="33" t="s">
        <v>15</v>
      </c>
      <c r="AR2" s="34" t="s">
        <v>16</v>
      </c>
      <c r="AS2" s="25" t="s">
        <v>11</v>
      </c>
      <c r="AT2" s="21" t="s">
        <v>12</v>
      </c>
      <c r="AU2" s="21" t="s">
        <v>13</v>
      </c>
      <c r="AV2" s="21" t="s">
        <v>14</v>
      </c>
      <c r="AW2" s="21" t="s">
        <v>15</v>
      </c>
      <c r="AX2" s="26" t="s">
        <v>16</v>
      </c>
      <c r="AY2" s="25" t="s">
        <v>11</v>
      </c>
      <c r="AZ2" s="21" t="s">
        <v>12</v>
      </c>
      <c r="BA2" s="21" t="s">
        <v>13</v>
      </c>
      <c r="BB2" s="21" t="s">
        <v>14</v>
      </c>
      <c r="BC2" s="21" t="s">
        <v>15</v>
      </c>
      <c r="BD2" s="26" t="s">
        <v>16</v>
      </c>
    </row>
    <row r="3" spans="1:63" x14ac:dyDescent="0.3">
      <c r="A3" s="1" t="s">
        <v>0</v>
      </c>
      <c r="B3" s="3">
        <v>147336.1</v>
      </c>
      <c r="C3" s="1">
        <v>0.34449741138709683</v>
      </c>
      <c r="D3" s="2">
        <v>2.2325649208214289</v>
      </c>
      <c r="E3" s="2">
        <v>3.9921992817741936</v>
      </c>
      <c r="F3" s="2">
        <v>4.1261165731333334</v>
      </c>
      <c r="G3" s="2">
        <v>4.0666666744838711</v>
      </c>
      <c r="H3" s="2">
        <v>5.3840905607000016</v>
      </c>
      <c r="I3" s="2">
        <v>2.6574052671612902</v>
      </c>
      <c r="J3" s="2">
        <v>1.1959929269354836</v>
      </c>
      <c r="K3" s="2">
        <v>2.9189819923666667</v>
      </c>
      <c r="L3" s="2">
        <v>6.2479267805161287</v>
      </c>
      <c r="M3" s="2">
        <v>1.8142428653666665</v>
      </c>
      <c r="N3" s="3">
        <v>0.15773528232258069</v>
      </c>
      <c r="O3" s="7">
        <v>3.55</v>
      </c>
      <c r="P3" s="7">
        <v>4.25</v>
      </c>
      <c r="Q3" s="7">
        <v>4.45</v>
      </c>
      <c r="R3" s="7">
        <v>4.38</v>
      </c>
      <c r="S3" s="7">
        <v>4.04</v>
      </c>
      <c r="T3" s="7">
        <v>3.48</v>
      </c>
      <c r="U3" s="7">
        <v>3.16</v>
      </c>
      <c r="V3" s="7">
        <v>3.01</v>
      </c>
      <c r="W3" s="7">
        <v>3.26</v>
      </c>
      <c r="X3" s="7">
        <v>3.56</v>
      </c>
      <c r="Y3" s="7">
        <v>3.67</v>
      </c>
      <c r="Z3" s="7">
        <v>3.37</v>
      </c>
      <c r="AA3" s="19"/>
      <c r="AB3" s="19"/>
      <c r="AC3" s="19">
        <f>Q3*$T$15</f>
        <v>1.335</v>
      </c>
      <c r="AD3" s="19">
        <f t="array" ref="AD3:AG12">R3:U12*T16</f>
        <v>5.2559999999999993</v>
      </c>
      <c r="AE3" s="19">
        <v>4.8479999999999999</v>
      </c>
      <c r="AF3" s="19">
        <v>4.1760000000000002</v>
      </c>
      <c r="AG3" s="19">
        <v>3.7919999999999998</v>
      </c>
      <c r="AH3" s="19">
        <f>V3*$T$17</f>
        <v>1.0534999999999999</v>
      </c>
      <c r="AI3" s="19"/>
      <c r="AJ3" s="19"/>
      <c r="AK3" s="19"/>
      <c r="AL3" s="23"/>
      <c r="AM3" s="35">
        <f>(AC3-E3*$R$19)/$R$20</f>
        <v>-1.7671992817741937</v>
      </c>
      <c r="AN3" s="36">
        <f t="shared" ref="AN3:AR12" si="0">(AD3-F3*$R$19)/$R$20</f>
        <v>4.6338834268666664</v>
      </c>
      <c r="AO3" s="36">
        <f>(AE3-G3*$R$19)/$R$20</f>
        <v>4.013333325516129</v>
      </c>
      <c r="AP3" s="36">
        <f t="shared" si="0"/>
        <v>1.5759094392999993</v>
      </c>
      <c r="AQ3" s="36">
        <f t="shared" si="0"/>
        <v>3.6625947328387096</v>
      </c>
      <c r="AR3" s="37">
        <f t="shared" si="0"/>
        <v>0.5598404063978496</v>
      </c>
      <c r="AS3" s="27"/>
      <c r="AT3" s="22">
        <f t="array" ref="AT3:AW3">AN3:AQ3*B3*10^4</f>
        <v>6827383119.691699</v>
      </c>
      <c r="AU3" s="22">
        <v>5913088801.8157692</v>
      </c>
      <c r="AV3" s="22">
        <v>2321883507.3964863</v>
      </c>
      <c r="AW3" s="22">
        <v>5396324238.1699743</v>
      </c>
      <c r="AX3" s="28"/>
      <c r="AY3" s="27"/>
      <c r="AZ3" s="22">
        <f t="array" ref="AZ3:BC12">AT3:AW12/10^6*2.725</f>
        <v>18604.619001159881</v>
      </c>
      <c r="BA3" s="22">
        <v>16113.166984947971</v>
      </c>
      <c r="BB3" s="22">
        <v>6327.1325576554264</v>
      </c>
      <c r="BC3" s="22">
        <v>14704.983549013181</v>
      </c>
      <c r="BD3" s="28"/>
      <c r="BG3" s="43" t="s">
        <v>68</v>
      </c>
      <c r="BH3" s="31">
        <f>SUM($BA$3:$BB$12)*30*30*0.3/10^6</f>
        <v>54.028321036709023</v>
      </c>
      <c r="BI3" t="s">
        <v>48</v>
      </c>
      <c r="BK3" t="s">
        <v>67</v>
      </c>
    </row>
    <row r="4" spans="1:63" x14ac:dyDescent="0.3">
      <c r="A4" s="1" t="s">
        <v>1</v>
      </c>
      <c r="B4" s="3">
        <v>236126.6</v>
      </c>
      <c r="C4" s="1">
        <v>9.3487517710299631E-2</v>
      </c>
      <c r="D4" s="2">
        <v>1.2257943103745554</v>
      </c>
      <c r="E4" s="2">
        <v>2.5796960252744427</v>
      </c>
      <c r="F4" s="2">
        <v>3.0882470894616176</v>
      </c>
      <c r="G4" s="2">
        <v>3.6382151402001686</v>
      </c>
      <c r="H4" s="2">
        <v>3.3321597942194709</v>
      </c>
      <c r="I4" s="2">
        <v>3.3654425673625856</v>
      </c>
      <c r="J4" s="2">
        <v>2.2568372463237569</v>
      </c>
      <c r="K4" s="2">
        <v>3.7309401030525935</v>
      </c>
      <c r="L4" s="2">
        <v>5.9146596847902995</v>
      </c>
      <c r="M4" s="2">
        <v>1.0075225987925451</v>
      </c>
      <c r="N4" s="3">
        <v>5.8124751823368542E-2</v>
      </c>
      <c r="O4" s="8">
        <v>4</v>
      </c>
      <c r="P4" s="7">
        <v>4.84</v>
      </c>
      <c r="Q4" s="7">
        <v>4.68</v>
      </c>
      <c r="R4" s="7">
        <v>4.4000000000000004</v>
      </c>
      <c r="S4" s="7">
        <v>3.86</v>
      </c>
      <c r="T4" s="7">
        <v>3.46</v>
      </c>
      <c r="U4" s="7">
        <v>3.12</v>
      </c>
      <c r="V4" s="7">
        <v>3</v>
      </c>
      <c r="W4" s="7">
        <v>3.1</v>
      </c>
      <c r="X4" s="7">
        <v>3.45</v>
      </c>
      <c r="Y4" s="7">
        <v>3.52</v>
      </c>
      <c r="Z4" s="9">
        <v>3.55</v>
      </c>
      <c r="AA4" s="20"/>
      <c r="AB4" s="19"/>
      <c r="AC4" s="19">
        <f t="shared" ref="AC4:AC12" si="1">Q4*$T$15</f>
        <v>1.4039999999999999</v>
      </c>
      <c r="AD4" s="19">
        <v>5.28</v>
      </c>
      <c r="AE4" s="19">
        <v>4.6319999999999997</v>
      </c>
      <c r="AF4" s="19">
        <v>4.1520000000000001</v>
      </c>
      <c r="AG4" s="19">
        <v>3.7439999999999998</v>
      </c>
      <c r="AH4" s="19">
        <f t="shared" ref="AH4:AH12" si="2">V4*$T$17</f>
        <v>1.0499999999999998</v>
      </c>
      <c r="AI4" s="19"/>
      <c r="AJ4" s="19"/>
      <c r="AK4" s="19"/>
      <c r="AL4" s="24"/>
      <c r="AM4" s="35">
        <f t="shared" ref="AM4:AM12" si="3">(AC4-E4*$R$19)/$R$20</f>
        <v>-0.23969602527444289</v>
      </c>
      <c r="AN4" s="36">
        <f>(AD4-F4*$R$19)/$R$20</f>
        <v>5.7117529105383831</v>
      </c>
      <c r="AO4" s="36">
        <f t="shared" si="0"/>
        <v>4.0817848597998312</v>
      </c>
      <c r="AP4" s="36">
        <f t="shared" si="0"/>
        <v>3.5878402057805299</v>
      </c>
      <c r="AQ4" s="36">
        <f t="shared" si="0"/>
        <v>2.8745574326374141</v>
      </c>
      <c r="AR4" s="37">
        <f t="shared" si="0"/>
        <v>-0.50683724632375737</v>
      </c>
      <c r="AS4" s="27"/>
      <c r="AT4" s="22">
        <f t="array" ref="AT4:AW4">AN4:AQ4*B4*10^4</f>
        <v>13486967948.055326</v>
      </c>
      <c r="AU4" s="22">
        <v>9638179808.7601089</v>
      </c>
      <c r="AV4" s="22">
        <v>8471845091.3425684</v>
      </c>
      <c r="AW4" s="22">
        <v>6787594730.7340164</v>
      </c>
      <c r="AX4" s="28"/>
      <c r="AY4" s="27"/>
      <c r="AZ4" s="22">
        <v>36751.987658450766</v>
      </c>
      <c r="BA4" s="22">
        <v>26264.039978871297</v>
      </c>
      <c r="BB4" s="22">
        <v>23085.777873908497</v>
      </c>
      <c r="BC4" s="22">
        <v>18496.195641250197</v>
      </c>
      <c r="BD4" s="28"/>
      <c r="BF4" s="31"/>
      <c r="BG4" s="43" t="s">
        <v>70</v>
      </c>
      <c r="BH4" s="31">
        <f>SUM($BA$3:$BB$12)*60*30*0.35/10^6</f>
        <v>126.06608241898772</v>
      </c>
      <c r="BI4" t="s">
        <v>48</v>
      </c>
      <c r="BK4" s="45" t="s">
        <v>71</v>
      </c>
    </row>
    <row r="5" spans="1:63" x14ac:dyDescent="0.3">
      <c r="A5" s="1" t="s">
        <v>2</v>
      </c>
      <c r="B5" s="3">
        <v>99584</v>
      </c>
      <c r="C5" s="1">
        <v>0.54348135967821176</v>
      </c>
      <c r="D5" s="2">
        <v>2.9418254668333472</v>
      </c>
      <c r="E5" s="2">
        <v>4.4516813286193244</v>
      </c>
      <c r="F5" s="2">
        <v>3.2438191056026935</v>
      </c>
      <c r="G5" s="2">
        <v>4.7720945515396993</v>
      </c>
      <c r="H5" s="2">
        <v>7.6658234212807006</v>
      </c>
      <c r="I5" s="2">
        <v>2.4088017543808684</v>
      </c>
      <c r="J5" s="2">
        <v>0.95696328432372368</v>
      </c>
      <c r="K5" s="2">
        <v>1.0010024341935224</v>
      </c>
      <c r="L5" s="2">
        <v>5.006602755678303</v>
      </c>
      <c r="M5" s="2">
        <v>3.1231547559497406</v>
      </c>
      <c r="N5" s="3">
        <v>0.2991097432593296</v>
      </c>
      <c r="O5" s="8">
        <v>3.71</v>
      </c>
      <c r="P5" s="7">
        <v>4.08</v>
      </c>
      <c r="Q5" s="7">
        <v>4.32</v>
      </c>
      <c r="R5" s="7">
        <v>4.2</v>
      </c>
      <c r="S5" s="7">
        <v>3.85</v>
      </c>
      <c r="T5" s="7">
        <v>3.15</v>
      </c>
      <c r="U5" s="7">
        <v>3.07</v>
      </c>
      <c r="V5" s="7">
        <v>3.08</v>
      </c>
      <c r="W5" s="7">
        <v>3.34</v>
      </c>
      <c r="X5" s="7">
        <v>3.91</v>
      </c>
      <c r="Y5" s="7">
        <v>4.05</v>
      </c>
      <c r="Z5" s="9">
        <v>3.82</v>
      </c>
      <c r="AA5" s="20"/>
      <c r="AB5" s="19"/>
      <c r="AC5" s="19">
        <f t="shared" si="1"/>
        <v>1.296</v>
      </c>
      <c r="AD5" s="19">
        <v>5.04</v>
      </c>
      <c r="AE5" s="19">
        <v>4.62</v>
      </c>
      <c r="AF5" s="19">
        <v>3.78</v>
      </c>
      <c r="AG5" s="19">
        <v>3.6839999999999997</v>
      </c>
      <c r="AH5" s="19">
        <f t="shared" si="2"/>
        <v>1.0779999999999998</v>
      </c>
      <c r="AI5" s="19"/>
      <c r="AJ5" s="19"/>
      <c r="AK5" s="19"/>
      <c r="AL5" s="24"/>
      <c r="AM5" s="35">
        <f t="shared" si="3"/>
        <v>-2.2916813286193243</v>
      </c>
      <c r="AN5" s="36">
        <f t="shared" si="0"/>
        <v>5.1561808943973064</v>
      </c>
      <c r="AO5" s="36">
        <f t="shared" si="0"/>
        <v>2.9279054484603013</v>
      </c>
      <c r="AP5" s="36">
        <f t="shared" si="0"/>
        <v>-1.3658234212807001</v>
      </c>
      <c r="AQ5" s="36">
        <f t="shared" si="0"/>
        <v>3.7311982456191313</v>
      </c>
      <c r="AR5" s="37">
        <f t="shared" si="0"/>
        <v>0.83970338234294284</v>
      </c>
      <c r="AS5" s="27"/>
      <c r="AT5" s="22">
        <f t="array" ref="AT5:AW5">AN5:AQ5*B5*10^4</f>
        <v>5134731181.8766136</v>
      </c>
      <c r="AU5" s="22">
        <v>2915725361.7947063</v>
      </c>
      <c r="AV5" s="22">
        <v>-1360141595.8481724</v>
      </c>
      <c r="AW5" s="22">
        <v>3715676460.9173555</v>
      </c>
      <c r="AX5" s="28"/>
      <c r="AY5" s="27"/>
      <c r="AZ5" s="22">
        <v>13992.142470613773</v>
      </c>
      <c r="BA5" s="22">
        <v>7945.3516108905751</v>
      </c>
      <c r="BB5" s="22">
        <v>-3706.38584868627</v>
      </c>
      <c r="BC5" s="22">
        <v>10125.218355999794</v>
      </c>
      <c r="BD5" s="28"/>
      <c r="BF5" s="44"/>
      <c r="BG5" s="43" t="s">
        <v>69</v>
      </c>
      <c r="BH5" s="31">
        <f>SUM($BA$3:$BB$12)*10*30*0.3/10^6</f>
        <v>18.009440345569679</v>
      </c>
      <c r="BI5" t="s">
        <v>48</v>
      </c>
    </row>
    <row r="6" spans="1:63" x14ac:dyDescent="0.3">
      <c r="A6" s="1" t="s">
        <v>3</v>
      </c>
      <c r="B6" s="3">
        <v>176008.7</v>
      </c>
      <c r="C6" s="1">
        <v>0.51145581123474126</v>
      </c>
      <c r="D6" s="2">
        <v>2.09702247943564</v>
      </c>
      <c r="E6" s="2">
        <v>5.2572439936037778</v>
      </c>
      <c r="F6" s="2">
        <v>3.6858638313691268</v>
      </c>
      <c r="G6" s="2">
        <v>3.6576566946702864</v>
      </c>
      <c r="H6" s="2">
        <v>5.5181794145981904</v>
      </c>
      <c r="I6" s="2">
        <v>2.5334690997871103</v>
      </c>
      <c r="J6" s="2">
        <v>0.9996794935887271</v>
      </c>
      <c r="K6" s="2">
        <v>2.3252918288576172</v>
      </c>
      <c r="L6" s="2">
        <v>5.5918298891952256</v>
      </c>
      <c r="M6" s="2">
        <v>2.2588937037625731</v>
      </c>
      <c r="N6" s="3">
        <v>0.17900472003806608</v>
      </c>
      <c r="O6" s="8">
        <v>3.95</v>
      </c>
      <c r="P6" s="7">
        <v>4.63</v>
      </c>
      <c r="Q6" s="7">
        <v>4.72</v>
      </c>
      <c r="R6" s="7">
        <v>4.33</v>
      </c>
      <c r="S6" s="7">
        <v>4.2300000000000004</v>
      </c>
      <c r="T6" s="7">
        <v>3.47</v>
      </c>
      <c r="U6" s="7">
        <v>3.36</v>
      </c>
      <c r="V6" s="7">
        <v>3.61</v>
      </c>
      <c r="W6" s="7">
        <v>3.76</v>
      </c>
      <c r="X6" s="7">
        <v>3.89</v>
      </c>
      <c r="Y6" s="7">
        <v>3.96</v>
      </c>
      <c r="Z6" s="9">
        <v>3.72</v>
      </c>
      <c r="AA6" s="20"/>
      <c r="AB6" s="19"/>
      <c r="AC6" s="19">
        <f t="shared" si="1"/>
        <v>1.4159999999999999</v>
      </c>
      <c r="AD6" s="19">
        <v>5.1959999999999997</v>
      </c>
      <c r="AE6" s="19">
        <v>5.0760000000000005</v>
      </c>
      <c r="AF6" s="19">
        <v>4.1639999999999997</v>
      </c>
      <c r="AG6" s="19">
        <v>4.032</v>
      </c>
      <c r="AH6" s="19">
        <f t="shared" si="2"/>
        <v>1.2634999999999998</v>
      </c>
      <c r="AI6" s="19"/>
      <c r="AJ6" s="19"/>
      <c r="AK6" s="19"/>
      <c r="AL6" s="24"/>
      <c r="AM6" s="35">
        <f t="shared" si="3"/>
        <v>-2.8972439936037775</v>
      </c>
      <c r="AN6" s="36">
        <f>(AD6-F6*$R$19)/$R$20</f>
        <v>4.9741361686308734</v>
      </c>
      <c r="AO6" s="36">
        <f t="shared" si="0"/>
        <v>4.8023433053297149</v>
      </c>
      <c r="AP6" s="36">
        <f t="shared" si="0"/>
        <v>1.4218205854018096</v>
      </c>
      <c r="AQ6" s="36">
        <f t="shared" si="0"/>
        <v>4.1865309002128903</v>
      </c>
      <c r="AR6" s="37">
        <f t="shared" si="0"/>
        <v>1.106153839744606</v>
      </c>
      <c r="AS6" s="27"/>
      <c r="AT6" s="22">
        <f t="array" ref="AT6:AW6">AN6:AQ6*B6*10^4</f>
        <v>8754912406.6370087</v>
      </c>
      <c r="AU6" s="22">
        <v>8452542021.2478619</v>
      </c>
      <c r="AV6" s="22">
        <v>2502527928.6981149</v>
      </c>
      <c r="AW6" s="22">
        <v>7368658612.5630054</v>
      </c>
      <c r="AX6" s="28"/>
      <c r="AY6" s="27"/>
      <c r="AZ6" s="22">
        <v>23857.13630808585</v>
      </c>
      <c r="BA6" s="22">
        <v>23033.177007900424</v>
      </c>
      <c r="BB6" s="22">
        <v>6819.3886057023637</v>
      </c>
      <c r="BC6" s="22">
        <v>20079.594719234192</v>
      </c>
      <c r="BD6" s="28"/>
    </row>
    <row r="7" spans="1:63" x14ac:dyDescent="0.3">
      <c r="A7" s="1" t="s">
        <v>26</v>
      </c>
      <c r="B7" s="3">
        <v>3934</v>
      </c>
      <c r="C7" s="1">
        <v>0.43704437080704794</v>
      </c>
      <c r="D7" s="2">
        <v>1.8021365816142658</v>
      </c>
      <c r="E7" s="2">
        <v>5.1106805575005456</v>
      </c>
      <c r="F7" s="2">
        <v>2.6862727444658945</v>
      </c>
      <c r="G7" s="2">
        <v>3.2836055400840372</v>
      </c>
      <c r="H7" s="2">
        <v>5.3497687264796099</v>
      </c>
      <c r="I7" s="2">
        <v>1.7600338605390495</v>
      </c>
      <c r="J7" s="2">
        <v>0.49803769600875147</v>
      </c>
      <c r="K7" s="2">
        <v>0.90778605758502762</v>
      </c>
      <c r="L7" s="2">
        <v>3.13273463047009</v>
      </c>
      <c r="M7" s="2">
        <v>1.4429968818541463</v>
      </c>
      <c r="N7" s="3">
        <v>0.20459491504466726</v>
      </c>
      <c r="O7" s="8">
        <f>(3.97+3.89)/2</f>
        <v>3.93</v>
      </c>
      <c r="P7" s="9">
        <f>(4.34+4.29)/2</f>
        <v>4.3149999999999995</v>
      </c>
      <c r="Q7" s="9">
        <f>(4.41+4.58)/2</f>
        <v>4.4950000000000001</v>
      </c>
      <c r="R7" s="9">
        <f>(4.26+4.34)/2</f>
        <v>4.3</v>
      </c>
      <c r="S7" s="7">
        <v>4.05</v>
      </c>
      <c r="T7" s="9">
        <f>(3.33+3.42)/2</f>
        <v>3.375</v>
      </c>
      <c r="U7" s="9">
        <f>(3.21+3.18)/2</f>
        <v>3.1950000000000003</v>
      </c>
      <c r="V7" s="9">
        <f>(3.3+3.2)/2</f>
        <v>3.25</v>
      </c>
      <c r="W7" s="9">
        <f>(3.64+3.66)/2</f>
        <v>3.6500000000000004</v>
      </c>
      <c r="X7" s="9">
        <f>(3.94+4.24)/2</f>
        <v>4.09</v>
      </c>
      <c r="Y7" s="9">
        <f>(4.07+4.29)/2</f>
        <v>4.18</v>
      </c>
      <c r="Z7" s="9">
        <f>(3.82+4.02)/2</f>
        <v>3.92</v>
      </c>
      <c r="AA7" s="20"/>
      <c r="AB7" s="20"/>
      <c r="AC7" s="19">
        <f t="shared" si="1"/>
        <v>1.3485</v>
      </c>
      <c r="AD7" s="20">
        <v>5.1599999999999993</v>
      </c>
      <c r="AE7" s="19">
        <v>4.8599999999999994</v>
      </c>
      <c r="AF7" s="20">
        <v>4.05</v>
      </c>
      <c r="AG7" s="20">
        <v>3.8340000000000001</v>
      </c>
      <c r="AH7" s="19">
        <f t="shared" si="2"/>
        <v>1.1375</v>
      </c>
      <c r="AI7" s="20"/>
      <c r="AJ7" s="20"/>
      <c r="AK7" s="20"/>
      <c r="AL7" s="24"/>
      <c r="AM7" s="35">
        <f t="shared" si="3"/>
        <v>-2.863180557500546</v>
      </c>
      <c r="AN7" s="36">
        <f t="shared" si="0"/>
        <v>5.9137272555341047</v>
      </c>
      <c r="AO7" s="36">
        <f t="shared" si="0"/>
        <v>4.816394459915962</v>
      </c>
      <c r="AP7" s="36">
        <f t="shared" si="0"/>
        <v>1.4002312735203901</v>
      </c>
      <c r="AQ7" s="36">
        <f t="shared" si="0"/>
        <v>4.6299661394609517</v>
      </c>
      <c r="AR7" s="37">
        <f t="shared" si="0"/>
        <v>1.3977956373245819</v>
      </c>
      <c r="AS7" s="27"/>
      <c r="AT7" s="22">
        <f t="array" ref="AT7:AW7">AN7:AQ7*10^4*B7</f>
        <v>232646030.23271167</v>
      </c>
      <c r="AU7" s="22">
        <v>189476958.05309394</v>
      </c>
      <c r="AV7" s="22">
        <v>55085098.300292149</v>
      </c>
      <c r="AW7" s="22">
        <v>182142867.92639384</v>
      </c>
      <c r="AX7" s="28"/>
      <c r="AY7" s="27"/>
      <c r="AZ7" s="22">
        <v>633.96043238413927</v>
      </c>
      <c r="BA7" s="22">
        <v>516.32471069468102</v>
      </c>
      <c r="BB7" s="22">
        <v>150.10689286829611</v>
      </c>
      <c r="BC7" s="22">
        <v>496.33931509942323</v>
      </c>
      <c r="BD7" s="28"/>
    </row>
    <row r="8" spans="1:63" x14ac:dyDescent="0.3">
      <c r="A8" s="1" t="s">
        <v>22</v>
      </c>
      <c r="B8" s="3">
        <v>115356.6</v>
      </c>
      <c r="C8" s="1">
        <v>8.3393906745363351E-3</v>
      </c>
      <c r="D8" s="2">
        <v>0.40922847637430504</v>
      </c>
      <c r="E8" s="2">
        <v>0.98504572068115637</v>
      </c>
      <c r="F8" s="2">
        <v>1.4228424694695232</v>
      </c>
      <c r="G8" s="2">
        <v>2.5623562844670209</v>
      </c>
      <c r="H8" s="2">
        <v>2.6899265704906345</v>
      </c>
      <c r="I8" s="2">
        <v>5.4284532297508177</v>
      </c>
      <c r="J8" s="2">
        <v>6.4691030255809192</v>
      </c>
      <c r="K8" s="2">
        <v>5.9566164008963662</v>
      </c>
      <c r="L8" s="2">
        <v>3.9854876015792522</v>
      </c>
      <c r="M8" s="2">
        <v>0.20845429874837335</v>
      </c>
      <c r="N8" s="3">
        <v>1.4632389218091478E-2</v>
      </c>
      <c r="O8" s="8">
        <f>(4.31+4.72+5.28)/3</f>
        <v>4.7699999999999996</v>
      </c>
      <c r="P8" s="9">
        <f>(4.61+5.11+5.7)/3</f>
        <v>5.1400000000000006</v>
      </c>
      <c r="Q8" s="9">
        <f>(4.84+5.4+5.74)/3</f>
        <v>5.3266666666666671</v>
      </c>
      <c r="R8" s="9">
        <f>(4.54+5.07+5.27)/3</f>
        <v>4.96</v>
      </c>
      <c r="S8" s="9">
        <f>(4.33+4.66+4.83)/3</f>
        <v>4.6066666666666665</v>
      </c>
      <c r="T8" s="9">
        <f>(3.76+4.04+4)/3</f>
        <v>3.9333333333333336</v>
      </c>
      <c r="U8" s="9">
        <f>(3.33+3.66+3.6)/3</f>
        <v>3.53</v>
      </c>
      <c r="V8" s="9">
        <f>(3+3.37+3.33)/3</f>
        <v>3.2333333333333329</v>
      </c>
      <c r="W8" s="9">
        <f>(3.13+3.44+3.47)/3</f>
        <v>3.3466666666666671</v>
      </c>
      <c r="X8" s="9">
        <f>(3.82+3.99+4.21)/3</f>
        <v>4.0066666666666668</v>
      </c>
      <c r="Y8" s="9">
        <f>(3.82+4.16+4.26)/3</f>
        <v>4.08</v>
      </c>
      <c r="Z8" s="9">
        <f>(3.64+4.14+4.33)/3</f>
        <v>4.0366666666666662</v>
      </c>
      <c r="AA8" s="20"/>
      <c r="AB8" s="20"/>
      <c r="AC8" s="19">
        <f>Q8*$T$15</f>
        <v>1.5980000000000001</v>
      </c>
      <c r="AD8" s="20">
        <v>5.952</v>
      </c>
      <c r="AE8" s="20">
        <v>5.5279999999999996</v>
      </c>
      <c r="AF8" s="20">
        <v>4.72</v>
      </c>
      <c r="AG8" s="20">
        <v>4.2359999999999998</v>
      </c>
      <c r="AH8" s="19">
        <f t="shared" si="2"/>
        <v>1.1316666666666664</v>
      </c>
      <c r="AI8" s="20"/>
      <c r="AJ8" s="20"/>
      <c r="AK8" s="20"/>
      <c r="AL8" s="24"/>
      <c r="AM8" s="35">
        <f t="shared" si="3"/>
        <v>1.6782876126521771</v>
      </c>
      <c r="AN8" s="36">
        <f>(AD8-F8*$R$19)/$R$20</f>
        <v>8.4971575305304778</v>
      </c>
      <c r="AO8" s="36">
        <f t="shared" si="0"/>
        <v>6.650977048866312</v>
      </c>
      <c r="AP8" s="36">
        <f t="shared" si="0"/>
        <v>5.1767400961760313</v>
      </c>
      <c r="AQ8" s="36">
        <f t="shared" si="0"/>
        <v>1.6315467702491824</v>
      </c>
      <c r="AR8" s="37">
        <f t="shared" si="0"/>
        <v>-4.5829919144698081</v>
      </c>
      <c r="AS8" s="27"/>
      <c r="AT8" s="22">
        <f t="array" ref="AT8:AW8">AN8:AQ8*10^4*B8</f>
        <v>9802032023.8639221</v>
      </c>
      <c r="AU8" s="22">
        <v>7672340990.3525171</v>
      </c>
      <c r="AV8" s="22">
        <v>5971711365.7854004</v>
      </c>
      <c r="AW8" s="22">
        <v>1882096881.5692685</v>
      </c>
      <c r="AX8" s="28"/>
      <c r="AY8" s="27"/>
      <c r="AZ8" s="22">
        <v>26710.537265029187</v>
      </c>
      <c r="BA8" s="22">
        <v>20907.129198710609</v>
      </c>
      <c r="BB8" s="22">
        <v>16272.913471765218</v>
      </c>
      <c r="BC8" s="22">
        <v>5128.7140022762569</v>
      </c>
      <c r="BD8" s="28"/>
    </row>
    <row r="9" spans="1:63" x14ac:dyDescent="0.3">
      <c r="A9" s="1" t="s">
        <v>4</v>
      </c>
      <c r="B9" s="3">
        <v>50044.9</v>
      </c>
      <c r="C9" s="1">
        <v>5.3302764214621103E-4</v>
      </c>
      <c r="D9" s="2">
        <v>1.9196672578865964E-2</v>
      </c>
      <c r="E9" s="2">
        <v>0.42851953323754666</v>
      </c>
      <c r="F9" s="2">
        <v>0.78753735371407452</v>
      </c>
      <c r="G9" s="2">
        <v>1.7026325147720496</v>
      </c>
      <c r="H9" s="2">
        <v>3.2344337592005417</v>
      </c>
      <c r="I9" s="2">
        <v>5.4822941614179657</v>
      </c>
      <c r="J9" s="2">
        <v>10.48771989690084</v>
      </c>
      <c r="K9" s="2">
        <v>6.6201540110887445</v>
      </c>
      <c r="L9" s="2">
        <v>2.2080152926995358</v>
      </c>
      <c r="M9" s="2">
        <v>1.8319373082563338E-2</v>
      </c>
      <c r="N9" s="3">
        <v>4.5999825156359593E-2</v>
      </c>
      <c r="O9" s="8">
        <v>4.54</v>
      </c>
      <c r="P9" s="7">
        <v>5.14</v>
      </c>
      <c r="Q9" s="7">
        <v>5.54</v>
      </c>
      <c r="R9" s="7">
        <v>5.62</v>
      </c>
      <c r="S9" s="7">
        <v>5.42</v>
      </c>
      <c r="T9" s="7">
        <v>4.5999999999999996</v>
      </c>
      <c r="U9" s="7">
        <v>3.97</v>
      </c>
      <c r="V9" s="7">
        <v>3.56</v>
      </c>
      <c r="W9" s="7">
        <v>3.74</v>
      </c>
      <c r="X9" s="7">
        <v>4.3600000000000003</v>
      </c>
      <c r="Y9" s="7">
        <v>4.21</v>
      </c>
      <c r="Z9" s="9">
        <v>3.99</v>
      </c>
      <c r="AA9" s="20"/>
      <c r="AB9" s="19"/>
      <c r="AC9" s="19">
        <f t="shared" si="1"/>
        <v>1.6619999999999999</v>
      </c>
      <c r="AD9" s="19">
        <v>6.7439999999999998</v>
      </c>
      <c r="AE9" s="19">
        <v>6.5039999999999996</v>
      </c>
      <c r="AF9" s="19">
        <v>5.52</v>
      </c>
      <c r="AG9" s="19">
        <v>4.7640000000000002</v>
      </c>
      <c r="AH9" s="19">
        <f t="shared" si="2"/>
        <v>1.246</v>
      </c>
      <c r="AI9" s="19"/>
      <c r="AJ9" s="19"/>
      <c r="AK9" s="19"/>
      <c r="AL9" s="24"/>
      <c r="AM9" s="35">
        <f t="shared" si="3"/>
        <v>2.3414804667624534</v>
      </c>
      <c r="AN9" s="36">
        <f t="shared" si="0"/>
        <v>10.452462646285925</v>
      </c>
      <c r="AO9" s="36">
        <f t="shared" si="0"/>
        <v>9.1373674852279496</v>
      </c>
      <c r="AP9" s="36">
        <f t="shared" si="0"/>
        <v>5.9655662407994576</v>
      </c>
      <c r="AQ9" s="36">
        <f t="shared" si="0"/>
        <v>2.4577058385820347</v>
      </c>
      <c r="AR9" s="37">
        <f t="shared" si="0"/>
        <v>-8.4110532302341738</v>
      </c>
      <c r="AS9" s="27"/>
      <c r="AT9" s="22">
        <f t="array" ref="AT9:AW9">AN9:AQ9*10^4*B9</f>
        <v>5230924478.8711452</v>
      </c>
      <c r="AU9" s="22">
        <v>4572786420.6148424</v>
      </c>
      <c r="AV9" s="22">
        <v>2985461659.6418476</v>
      </c>
      <c r="AW9" s="22">
        <v>1229956429.2125406</v>
      </c>
      <c r="AX9" s="28"/>
      <c r="AY9" s="27"/>
      <c r="AZ9" s="22">
        <v>14254.26920492387</v>
      </c>
      <c r="BA9" s="22">
        <v>12460.842996175446</v>
      </c>
      <c r="BB9" s="22">
        <v>8135.3830225240354</v>
      </c>
      <c r="BC9" s="22">
        <v>3351.6312696041732</v>
      </c>
      <c r="BD9" s="28"/>
    </row>
    <row r="10" spans="1:63" x14ac:dyDescent="0.3">
      <c r="A10" s="1" t="s">
        <v>5</v>
      </c>
      <c r="B10" s="3">
        <v>70001.2</v>
      </c>
      <c r="C10" s="1">
        <v>1.8150426869915708E-4</v>
      </c>
      <c r="D10" s="2">
        <v>0.12791413254958267</v>
      </c>
      <c r="E10" s="2">
        <v>0.37598977234786574</v>
      </c>
      <c r="F10" s="2">
        <v>0.77613031991600745</v>
      </c>
      <c r="G10" s="2">
        <v>2.7528858869149513</v>
      </c>
      <c r="H10" s="2">
        <v>2.6220899895166587</v>
      </c>
      <c r="I10" s="2">
        <v>5.3322833881074923</v>
      </c>
      <c r="J10" s="2">
        <v>9.481072186190449</v>
      </c>
      <c r="K10" s="2">
        <v>7.3575345712685722</v>
      </c>
      <c r="L10" s="2">
        <v>2.2145941519147505</v>
      </c>
      <c r="M10" s="2">
        <v>4.0686216182912606E-2</v>
      </c>
      <c r="N10" s="3">
        <v>3.6233843782709718E-2</v>
      </c>
      <c r="O10" s="8">
        <v>5.22</v>
      </c>
      <c r="P10" s="7">
        <v>5.51</v>
      </c>
      <c r="Q10" s="7">
        <v>5.62</v>
      </c>
      <c r="R10" s="9">
        <v>5.27</v>
      </c>
      <c r="S10" s="9">
        <v>4.75</v>
      </c>
      <c r="T10" s="9">
        <v>4.21</v>
      </c>
      <c r="U10" s="9">
        <v>3.79</v>
      </c>
      <c r="V10" s="9">
        <v>3.4</v>
      </c>
      <c r="W10" s="9">
        <v>3.6</v>
      </c>
      <c r="X10" s="9">
        <v>4.18</v>
      </c>
      <c r="Y10" s="9">
        <v>4.49</v>
      </c>
      <c r="Z10" s="9">
        <v>4.59</v>
      </c>
      <c r="AA10" s="20"/>
      <c r="AB10" s="19"/>
      <c r="AC10" s="19">
        <f t="shared" si="1"/>
        <v>1.6859999999999999</v>
      </c>
      <c r="AD10" s="20">
        <v>6.323999999999999</v>
      </c>
      <c r="AE10" s="20">
        <v>5.7</v>
      </c>
      <c r="AF10" s="20">
        <v>5.0519999999999996</v>
      </c>
      <c r="AG10" s="20">
        <v>4.548</v>
      </c>
      <c r="AH10" s="19">
        <f t="shared" si="2"/>
        <v>1.19</v>
      </c>
      <c r="AI10" s="20"/>
      <c r="AJ10" s="20"/>
      <c r="AK10" s="20"/>
      <c r="AL10" s="24"/>
      <c r="AM10" s="35">
        <f t="shared" si="3"/>
        <v>2.4340102276521343</v>
      </c>
      <c r="AN10" s="36">
        <f t="shared" si="0"/>
        <v>9.7638696800839924</v>
      </c>
      <c r="AO10" s="36">
        <f t="shared" si="0"/>
        <v>6.7471141130850487</v>
      </c>
      <c r="AP10" s="36">
        <f t="shared" si="0"/>
        <v>5.7979100104833403</v>
      </c>
      <c r="AQ10" s="36">
        <f t="shared" si="0"/>
        <v>2.2477166118925083</v>
      </c>
      <c r="AR10" s="37">
        <f t="shared" si="0"/>
        <v>-7.4977388528571165</v>
      </c>
      <c r="AS10" s="27"/>
      <c r="AT10" s="22">
        <f t="array" ref="AT10:AW10">AN10:AQ10*10^4*B10</f>
        <v>6834825942.494956</v>
      </c>
      <c r="AU10" s="22">
        <v>4723060844.5288916</v>
      </c>
      <c r="AV10" s="22">
        <v>4058606582.2584639</v>
      </c>
      <c r="AW10" s="22">
        <v>1573428600.9240985</v>
      </c>
      <c r="AX10" s="28"/>
      <c r="AY10" s="27"/>
      <c r="AZ10" s="22">
        <v>18624.900693298754</v>
      </c>
      <c r="BA10" s="22">
        <v>12870.34080134123</v>
      </c>
      <c r="BB10" s="22">
        <v>11059.702936654314</v>
      </c>
      <c r="BC10" s="22">
        <v>4287.5929375181686</v>
      </c>
      <c r="BD10" s="28"/>
    </row>
    <row r="11" spans="1:63" x14ac:dyDescent="0.3">
      <c r="A11" s="1" t="s">
        <v>28</v>
      </c>
      <c r="B11" s="3">
        <v>58635.5</v>
      </c>
      <c r="C11" s="1">
        <v>0.29279734569386096</v>
      </c>
      <c r="D11" s="2">
        <v>1.3286376698805926</v>
      </c>
      <c r="E11" s="2">
        <v>4.7613879544277093</v>
      </c>
      <c r="F11" s="2">
        <v>2.5705199724055978</v>
      </c>
      <c r="G11" s="2">
        <v>3.8335670360138034</v>
      </c>
      <c r="H11" s="2">
        <v>4.7479147322827773</v>
      </c>
      <c r="I11" s="2">
        <v>3.9174980397762211</v>
      </c>
      <c r="J11" s="2">
        <v>2.979410666688139</v>
      </c>
      <c r="K11" s="2">
        <v>3.9014335771427451</v>
      </c>
      <c r="L11" s="2">
        <v>5.993987361508383</v>
      </c>
      <c r="M11" s="2">
        <v>1.5475479008679141</v>
      </c>
      <c r="N11" s="3">
        <v>0.11773863358407365</v>
      </c>
      <c r="O11" s="8">
        <f>(3.86+3.84)/2</f>
        <v>3.8499999999999996</v>
      </c>
      <c r="P11" s="9">
        <f>(4.73+4.42)/2</f>
        <v>4.5750000000000002</v>
      </c>
      <c r="Q11" s="9">
        <f>(5.13+4.48)/2</f>
        <v>4.8049999999999997</v>
      </c>
      <c r="R11" s="9">
        <f>(4.87+4.33)/2</f>
        <v>4.5999999999999996</v>
      </c>
      <c r="S11" s="9">
        <f>(4.44+4.13)/2</f>
        <v>4.2850000000000001</v>
      </c>
      <c r="T11" s="9">
        <f>(3.82+3.57)/2</f>
        <v>3.6949999999999998</v>
      </c>
      <c r="U11" s="9">
        <f>(3.17+3.38)/2</f>
        <v>3.2749999999999999</v>
      </c>
      <c r="V11" s="9">
        <f>(3.18+3.43)/2</f>
        <v>3.3050000000000002</v>
      </c>
      <c r="W11" s="9">
        <f>(3.53+3.44)/2</f>
        <v>3.4849999999999999</v>
      </c>
      <c r="X11" s="9">
        <f>(3.89+4.03)/2</f>
        <v>3.96</v>
      </c>
      <c r="Y11" s="9">
        <f>(4.18+4.07)/2</f>
        <v>4.125</v>
      </c>
      <c r="Z11" s="9">
        <f>(3.87+3.76)/2</f>
        <v>3.8149999999999999</v>
      </c>
      <c r="AA11" s="20"/>
      <c r="AB11" s="20"/>
      <c r="AC11" s="19">
        <f t="shared" si="1"/>
        <v>1.4414999999999998</v>
      </c>
      <c r="AD11" s="20">
        <v>5.52</v>
      </c>
      <c r="AE11" s="20">
        <v>5.1420000000000003</v>
      </c>
      <c r="AF11" s="20">
        <v>4.4339999999999993</v>
      </c>
      <c r="AG11" s="20">
        <v>3.9299999999999997</v>
      </c>
      <c r="AH11" s="19">
        <f t="shared" si="2"/>
        <v>1.1567499999999999</v>
      </c>
      <c r="AI11" s="20"/>
      <c r="AJ11" s="20"/>
      <c r="AK11" s="20"/>
      <c r="AL11" s="24"/>
      <c r="AM11" s="35">
        <f t="shared" si="3"/>
        <v>-2.3588879544277099</v>
      </c>
      <c r="AN11" s="36">
        <f t="shared" si="0"/>
        <v>6.6294800275944024</v>
      </c>
      <c r="AO11" s="36">
        <f t="shared" si="0"/>
        <v>4.7364329639861982</v>
      </c>
      <c r="AP11" s="36">
        <f t="shared" si="0"/>
        <v>2.642085267717222</v>
      </c>
      <c r="AQ11" s="36">
        <f t="shared" si="0"/>
        <v>2.6325019602237787</v>
      </c>
      <c r="AR11" s="37">
        <f t="shared" si="0"/>
        <v>-1.0514940000214723</v>
      </c>
      <c r="AS11" s="27"/>
      <c r="AT11" s="22">
        <f t="array" ref="AT11:AW11">AN11:AQ11*10^4*B11</f>
        <v>3887228761.5801163</v>
      </c>
      <c r="AU11" s="22">
        <v>2777231150.5981269</v>
      </c>
      <c r="AV11" s="22">
        <v>1549199907.1523318</v>
      </c>
      <c r="AW11" s="22">
        <v>1543580686.8870137</v>
      </c>
      <c r="AX11" s="28"/>
      <c r="AY11" s="27"/>
      <c r="AZ11" s="22">
        <v>10592.698375305818</v>
      </c>
      <c r="BA11" s="22">
        <v>7567.954885379896</v>
      </c>
      <c r="BB11" s="22">
        <v>4221.5697469901042</v>
      </c>
      <c r="BC11" s="22">
        <v>4206.2573717671121</v>
      </c>
      <c r="BD11" s="28"/>
    </row>
    <row r="12" spans="1:63" ht="15" thickBot="1" x14ac:dyDescent="0.35">
      <c r="A12" s="4" t="s">
        <v>24</v>
      </c>
      <c r="B12" s="6">
        <v>65435.5</v>
      </c>
      <c r="C12" s="4">
        <v>0.4722528026999554</v>
      </c>
      <c r="D12" s="5">
        <v>2.7859606708719147</v>
      </c>
      <c r="E12" s="5">
        <v>4.3816241589760248</v>
      </c>
      <c r="F12" s="5">
        <v>3.5288771729117081</v>
      </c>
      <c r="G12" s="5">
        <v>6.0399203748226444</v>
      </c>
      <c r="H12" s="5">
        <v>8.1058837303289604</v>
      </c>
      <c r="I12" s="5">
        <v>2.7478225580733375</v>
      </c>
      <c r="J12" s="5">
        <v>1.2589398745540479</v>
      </c>
      <c r="K12" s="5">
        <v>1.1861107325730884</v>
      </c>
      <c r="L12" s="5">
        <v>6.7163518810355081</v>
      </c>
      <c r="M12" s="5">
        <v>3.7187969790626698</v>
      </c>
      <c r="N12" s="6">
        <v>0.37111773128629938</v>
      </c>
      <c r="O12" s="10">
        <f>(3.14+3.78+3.58)/3</f>
        <v>3.5</v>
      </c>
      <c r="P12" s="11">
        <f>(4.14+3.98+3.81)/3</f>
        <v>3.9766666666666666</v>
      </c>
      <c r="Q12" s="11">
        <f>(3.82+4.35+4.21)/3</f>
        <v>4.126666666666666</v>
      </c>
      <c r="R12" s="11">
        <f>(4.04+4.18+4.13)/3</f>
        <v>4.1166666666666663</v>
      </c>
      <c r="S12" s="11">
        <f>(3.96+3.86+3.75)/3</f>
        <v>3.8566666666666669</v>
      </c>
      <c r="T12" s="11">
        <f>(3.46+3.05+3.19)/3</f>
        <v>3.2333333333333329</v>
      </c>
      <c r="U12" s="11">
        <f>(3.07+3.21+3.17)/3</f>
        <v>3.15</v>
      </c>
      <c r="V12" s="11">
        <f>(2.89+3.13+3.09)/3</f>
        <v>3.0366666666666666</v>
      </c>
      <c r="W12" s="11">
        <f>(3.1+3.33+3.24)/3</f>
        <v>3.2233333333333332</v>
      </c>
      <c r="X12" s="11">
        <f>(3.61+3.67+3.64)/3</f>
        <v>3.64</v>
      </c>
      <c r="Y12" s="11">
        <f>(3.62+3.83+3.81)/3</f>
        <v>3.7533333333333334</v>
      </c>
      <c r="Z12" s="11">
        <f>(3.27+3.5+3.64)/3</f>
        <v>3.47</v>
      </c>
      <c r="AA12" s="20"/>
      <c r="AB12" s="20"/>
      <c r="AC12" s="19">
        <f t="shared" si="1"/>
        <v>1.2379999999999998</v>
      </c>
      <c r="AD12" s="20">
        <v>4.9399999999999995</v>
      </c>
      <c r="AE12" s="20">
        <v>4.6280000000000001</v>
      </c>
      <c r="AF12" s="20">
        <v>3.8799999999999994</v>
      </c>
      <c r="AG12" s="20">
        <v>3.78</v>
      </c>
      <c r="AH12" s="19">
        <f t="shared" si="2"/>
        <v>1.0628333333333333</v>
      </c>
      <c r="AI12" s="20"/>
      <c r="AJ12" s="20"/>
      <c r="AK12" s="20"/>
      <c r="AL12" s="24"/>
      <c r="AM12" s="38">
        <f t="shared" si="3"/>
        <v>-2.3182908256426917</v>
      </c>
      <c r="AN12" s="39">
        <f t="shared" si="0"/>
        <v>4.7044561604216248</v>
      </c>
      <c r="AO12" s="39">
        <f t="shared" si="0"/>
        <v>1.6734129585106894</v>
      </c>
      <c r="AP12" s="39">
        <f t="shared" si="0"/>
        <v>-1.6392170636622949</v>
      </c>
      <c r="AQ12" s="39">
        <f t="shared" si="0"/>
        <v>3.5521774419266627</v>
      </c>
      <c r="AR12" s="40">
        <f t="shared" si="0"/>
        <v>0.51244901433484091</v>
      </c>
      <c r="AS12" s="29"/>
      <c r="AT12" s="22">
        <f t="array" ref="AT12:AW12">AN12:AQ12*10^4*B12</f>
        <v>3078384410.8526926</v>
      </c>
      <c r="AU12" s="22">
        <v>1095006136.4662621</v>
      </c>
      <c r="AV12" s="22">
        <v>-1072629881.6927409</v>
      </c>
      <c r="AW12" s="22">
        <v>2324385070.0119214</v>
      </c>
      <c r="AX12" s="30"/>
      <c r="AY12" s="29"/>
      <c r="AZ12" s="22">
        <v>8388.5975195735882</v>
      </c>
      <c r="BA12" s="22">
        <v>2983.8917218705647</v>
      </c>
      <c r="BB12" s="22">
        <v>-2922.916427612719</v>
      </c>
      <c r="BC12" s="22">
        <v>6333.9493157824863</v>
      </c>
      <c r="BD12" s="30"/>
    </row>
    <row r="13" spans="1:63" x14ac:dyDescent="0.3">
      <c r="BA13" s="60">
        <f>SUM(BA3:BA12)</f>
        <v>130662.21989678268</v>
      </c>
      <c r="BB13">
        <f>SUM(BB3:BB12)</f>
        <v>69442.672831769276</v>
      </c>
    </row>
    <row r="15" spans="1:63" x14ac:dyDescent="0.3">
      <c r="Q15" s="17" t="s">
        <v>33</v>
      </c>
      <c r="R15" s="17" t="s">
        <v>34</v>
      </c>
      <c r="S15" s="17" t="s">
        <v>35</v>
      </c>
      <c r="T15" s="17">
        <v>0.3</v>
      </c>
      <c r="U15" s="17"/>
      <c r="AT15" s="50" t="s">
        <v>50</v>
      </c>
      <c r="AU15" s="50"/>
      <c r="AW15" s="17" t="s">
        <v>60</v>
      </c>
      <c r="AX15" s="17" t="s">
        <v>60</v>
      </c>
      <c r="AY15" s="17" t="s">
        <v>60</v>
      </c>
      <c r="AZ15" t="s">
        <v>89</v>
      </c>
    </row>
    <row r="16" spans="1:63" x14ac:dyDescent="0.3">
      <c r="Q16" s="18" t="s">
        <v>36</v>
      </c>
      <c r="R16" s="18" t="s">
        <v>35</v>
      </c>
      <c r="S16" s="18" t="s">
        <v>38</v>
      </c>
      <c r="T16" s="18">
        <v>1.2</v>
      </c>
      <c r="U16" s="18" t="s">
        <v>39</v>
      </c>
      <c r="AM16" t="s">
        <v>44</v>
      </c>
      <c r="AT16" s="41">
        <f t="array" ref="AT16:AU25">AU3:AV12/1000/24</f>
        <v>246378.70007565708</v>
      </c>
      <c r="AU16" s="41">
        <v>96745.14614152025</v>
      </c>
      <c r="AV16" s="42"/>
      <c r="AW16" s="41">
        <f t="array" ref="AW16:AW25">AT16:AT25/43</f>
        <v>5729.7372110617926</v>
      </c>
      <c r="AX16" s="41">
        <f t="array" ref="AX16:AX25">AT16:AT25/25</f>
        <v>9855.1480030262828</v>
      </c>
      <c r="AY16" s="41">
        <f t="array" ref="AY16:AY25">AT16:AT25/7</f>
        <v>35196.957153665295</v>
      </c>
    </row>
    <row r="17" spans="1:53" x14ac:dyDescent="0.3">
      <c r="Q17" s="17" t="s">
        <v>37</v>
      </c>
      <c r="R17" s="17" t="s">
        <v>38</v>
      </c>
      <c r="S17" s="17" t="s">
        <v>40</v>
      </c>
      <c r="T17" s="17">
        <v>0.35</v>
      </c>
      <c r="U17" s="17"/>
      <c r="AT17" s="41">
        <v>401590.82536500454</v>
      </c>
      <c r="AU17" s="41">
        <v>352993.54547260702</v>
      </c>
      <c r="AV17" s="42"/>
      <c r="AW17" s="41">
        <v>9339.3215201163839</v>
      </c>
      <c r="AX17" s="41">
        <v>16063.633014600182</v>
      </c>
      <c r="AY17" s="41">
        <v>57370.11790928636</v>
      </c>
    </row>
    <row r="18" spans="1:53" x14ac:dyDescent="0.3">
      <c r="AT18" s="41">
        <v>121488.5567414461</v>
      </c>
      <c r="AU18" s="41">
        <v>-56672.566493673854</v>
      </c>
      <c r="AV18" s="42"/>
      <c r="AW18" s="41">
        <v>2825.3152730568859</v>
      </c>
      <c r="AX18" s="41">
        <v>4859.5422696578435</v>
      </c>
      <c r="AY18" s="41">
        <v>17355.508105920871</v>
      </c>
    </row>
    <row r="19" spans="1:53" x14ac:dyDescent="0.3">
      <c r="A19" t="s">
        <v>23</v>
      </c>
      <c r="Q19" t="s">
        <v>42</v>
      </c>
      <c r="R19">
        <v>0.6</v>
      </c>
      <c r="AT19" s="41">
        <v>352189.25088532758</v>
      </c>
      <c r="AU19" s="41">
        <v>104271.99702908813</v>
      </c>
      <c r="AV19" s="42"/>
      <c r="AW19" s="41">
        <v>8190.4476950076178</v>
      </c>
      <c r="AX19" s="41">
        <v>14087.570035413104</v>
      </c>
      <c r="AY19" s="41">
        <v>50312.750126475366</v>
      </c>
    </row>
    <row r="20" spans="1:53" x14ac:dyDescent="0.3">
      <c r="A20" t="s">
        <v>25</v>
      </c>
      <c r="Q20" t="s">
        <v>43</v>
      </c>
      <c r="R20">
        <v>0.6</v>
      </c>
      <c r="AT20" s="41">
        <v>7894.8732522122473</v>
      </c>
      <c r="AU20" s="41">
        <v>2295.2124291788396</v>
      </c>
      <c r="AV20" s="42"/>
      <c r="AW20" s="41">
        <v>183.60170353981971</v>
      </c>
      <c r="AX20" s="41">
        <v>315.79493008848988</v>
      </c>
      <c r="AY20" s="41">
        <v>1127.839036030321</v>
      </c>
      <c r="AZ20">
        <f>SUM(AU3:AV12)*30*0.35/10^9</f>
        <v>771.0463756513011</v>
      </c>
      <c r="BA20" t="s">
        <v>90</v>
      </c>
    </row>
    <row r="21" spans="1:53" x14ac:dyDescent="0.3">
      <c r="A21" t="s">
        <v>27</v>
      </c>
      <c r="AT21" s="41">
        <v>319680.87459802156</v>
      </c>
      <c r="AU21" s="41">
        <v>248821.30690772503</v>
      </c>
      <c r="AV21" s="42"/>
      <c r="AW21" s="41">
        <v>7434.4389441400363</v>
      </c>
      <c r="AX21" s="41">
        <v>12787.234983920862</v>
      </c>
      <c r="AY21" s="41">
        <v>45668.696371145939</v>
      </c>
    </row>
    <row r="22" spans="1:53" x14ac:dyDescent="0.3">
      <c r="A22" t="s">
        <v>29</v>
      </c>
      <c r="AT22" s="41">
        <v>190532.76752561843</v>
      </c>
      <c r="AU22" s="41">
        <v>124394.23581841031</v>
      </c>
      <c r="AV22" s="42"/>
      <c r="AW22" s="41">
        <v>4430.9945936190334</v>
      </c>
      <c r="AX22" s="41">
        <v>7621.3107010247368</v>
      </c>
      <c r="AY22" s="41">
        <v>27218.966789374063</v>
      </c>
    </row>
    <row r="23" spans="1:53" x14ac:dyDescent="0.3">
      <c r="AT23" s="41">
        <v>196794.20185537045</v>
      </c>
      <c r="AU23" s="41">
        <v>169108.60759410265</v>
      </c>
      <c r="AV23" s="42"/>
      <c r="AW23" s="41">
        <v>4576.6093454737311</v>
      </c>
      <c r="AX23" s="41">
        <v>7871.7680742148186</v>
      </c>
      <c r="AY23" s="41">
        <v>28113.457407910064</v>
      </c>
    </row>
    <row r="24" spans="1:53" x14ac:dyDescent="0.3">
      <c r="AT24" s="41">
        <v>115717.96460825529</v>
      </c>
      <c r="AU24" s="41">
        <v>64549.996131347165</v>
      </c>
      <c r="AV24" s="42"/>
      <c r="AW24" s="41">
        <v>2691.1154560059372</v>
      </c>
      <c r="AX24" s="41">
        <v>4628.7185843302113</v>
      </c>
      <c r="AY24" s="41">
        <v>16531.137801179328</v>
      </c>
    </row>
    <row r="25" spans="1:53" x14ac:dyDescent="0.3">
      <c r="AT25" s="41">
        <v>45625.255686094257</v>
      </c>
      <c r="AU25" s="41">
        <v>-44692.911737197537</v>
      </c>
      <c r="AV25" s="42"/>
      <c r="AW25" s="41">
        <v>1061.0524578161455</v>
      </c>
      <c r="AX25" s="41">
        <v>1825.0102274437702</v>
      </c>
      <c r="AY25" s="41">
        <v>6517.8936694420363</v>
      </c>
    </row>
    <row r="26" spans="1:53" x14ac:dyDescent="0.3">
      <c r="A26" s="16" t="s">
        <v>31</v>
      </c>
    </row>
    <row r="27" spans="1:53" x14ac:dyDescent="0.3">
      <c r="A27" s="16" t="s">
        <v>32</v>
      </c>
    </row>
    <row r="29" spans="1:53" x14ac:dyDescent="0.3">
      <c r="AV29" s="43" t="s">
        <v>62</v>
      </c>
      <c r="AW29">
        <f>SUM(AW16:AW25)*9000/10^6</f>
        <v>418.16370779853639</v>
      </c>
      <c r="AX29" t="s">
        <v>49</v>
      </c>
    </row>
    <row r="30" spans="1:53" x14ac:dyDescent="0.3">
      <c r="AV30" s="43" t="s">
        <v>61</v>
      </c>
      <c r="AW30">
        <f>SUM(AX16:AX25)*9000/10^6</f>
        <v>719.24157741348267</v>
      </c>
      <c r="AX30" t="s">
        <v>49</v>
      </c>
    </row>
    <row r="31" spans="1:53" x14ac:dyDescent="0.3">
      <c r="AV31" s="43" t="s">
        <v>63</v>
      </c>
      <c r="AW31">
        <f>SUM(AY16:AY25)*9000/10^6</f>
        <v>2568.719919333867</v>
      </c>
      <c r="AX31" t="s">
        <v>49</v>
      </c>
    </row>
    <row r="33" spans="48:49" x14ac:dyDescent="0.3">
      <c r="AV33" s="43" t="s">
        <v>64</v>
      </c>
      <c r="AW33">
        <f>SUM($AU$3:$AV$12)*30*0.35/10^9</f>
        <v>771.0463756513011</v>
      </c>
    </row>
    <row r="34" spans="48:49" x14ac:dyDescent="0.3">
      <c r="AV34" s="43" t="s">
        <v>65</v>
      </c>
      <c r="AW34">
        <f>SUM($AU$3:$AV$12)*30*0.3/10^9</f>
        <v>660.896893415401</v>
      </c>
    </row>
    <row r="35" spans="48:49" x14ac:dyDescent="0.3">
      <c r="AV35" s="43" t="s">
        <v>66</v>
      </c>
      <c r="AW35">
        <f>SUM($AU$3:$AV$12)*30*0.25/10^9</f>
        <v>550.74741117950089</v>
      </c>
    </row>
  </sheetData>
  <mergeCells count="7">
    <mergeCell ref="AT15:AU15"/>
    <mergeCell ref="AY1:BD1"/>
    <mergeCell ref="C1:N1"/>
    <mergeCell ref="O1:Z1"/>
    <mergeCell ref="AA1:AL1"/>
    <mergeCell ref="AM1:AR1"/>
    <mergeCell ref="AS1:A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C10" sqref="C10"/>
    </sheetView>
  </sheetViews>
  <sheetFormatPr defaultRowHeight="14.4" x14ac:dyDescent="0.3"/>
  <cols>
    <col min="1" max="1" width="29" customWidth="1"/>
    <col min="2" max="2" width="26.44140625" customWidth="1"/>
    <col min="3" max="3" width="14.21875" customWidth="1"/>
    <col min="4" max="4" width="30.21875" customWidth="1"/>
    <col min="5" max="5" width="35.109375" customWidth="1"/>
    <col min="6" max="6" width="24.109375" customWidth="1"/>
    <col min="7" max="8" width="19.33203125" customWidth="1"/>
    <col min="9" max="9" width="21.5546875" customWidth="1"/>
    <col min="10" max="10" width="22.44140625" customWidth="1"/>
    <col min="11" max="11" width="21.6640625" customWidth="1"/>
  </cols>
  <sheetData>
    <row r="1" spans="1:12" x14ac:dyDescent="0.3">
      <c r="A1" s="46" t="s">
        <v>52</v>
      </c>
      <c r="B1" s="17" t="s">
        <v>88</v>
      </c>
      <c r="L1" s="42"/>
    </row>
    <row r="2" spans="1:12" x14ac:dyDescent="0.3">
      <c r="A2" s="17" t="s">
        <v>53</v>
      </c>
      <c r="B2" s="17" t="s">
        <v>58</v>
      </c>
    </row>
    <row r="3" spans="1:12" x14ac:dyDescent="0.3">
      <c r="A3" s="17" t="s">
        <v>54</v>
      </c>
      <c r="B3" s="47" t="s">
        <v>71</v>
      </c>
    </row>
    <row r="4" spans="1:12" x14ac:dyDescent="0.3">
      <c r="A4" s="17" t="s">
        <v>55</v>
      </c>
      <c r="B4" s="17" t="s">
        <v>59</v>
      </c>
    </row>
    <row r="5" spans="1:12" x14ac:dyDescent="0.3">
      <c r="A5" s="17" t="s">
        <v>56</v>
      </c>
      <c r="B5" s="17" t="s">
        <v>57</v>
      </c>
    </row>
    <row r="7" spans="1:12" x14ac:dyDescent="0.3">
      <c r="A7" s="46" t="s">
        <v>79</v>
      </c>
      <c r="B7" s="46" t="s">
        <v>80</v>
      </c>
      <c r="C7" s="46" t="s">
        <v>81</v>
      </c>
      <c r="D7" s="46" t="s">
        <v>82</v>
      </c>
      <c r="E7" s="46" t="s">
        <v>83</v>
      </c>
      <c r="F7" s="46" t="s">
        <v>84</v>
      </c>
      <c r="G7" s="46" t="s">
        <v>85</v>
      </c>
      <c r="H7" s="46" t="s">
        <v>86</v>
      </c>
      <c r="I7" s="46" t="s">
        <v>87</v>
      </c>
    </row>
    <row r="8" spans="1:12" x14ac:dyDescent="0.3">
      <c r="A8" s="17">
        <f>Main!AW30</f>
        <v>719.24157741348267</v>
      </c>
      <c r="B8" s="17">
        <f>Main!AW31</f>
        <v>2568.719919333867</v>
      </c>
      <c r="C8" s="17">
        <f>Main!AW29</f>
        <v>418.16370779853639</v>
      </c>
      <c r="D8" s="17">
        <f>Main!BH3</f>
        <v>54.028321036709023</v>
      </c>
      <c r="E8" s="17">
        <f>Main!BH4</f>
        <v>126.06608241898772</v>
      </c>
      <c r="F8" s="17">
        <f>Main!BH5</f>
        <v>18.009440345569679</v>
      </c>
      <c r="G8" s="17">
        <f>Main!AW34</f>
        <v>660.896893415401</v>
      </c>
      <c r="H8" s="17">
        <f>Main!AW33</f>
        <v>771.0463756513011</v>
      </c>
      <c r="I8" s="17">
        <f>Main!AW35</f>
        <v>550.74741117950089</v>
      </c>
    </row>
    <row r="11" spans="1:12" x14ac:dyDescent="0.3">
      <c r="A11" s="48" t="s">
        <v>72</v>
      </c>
      <c r="B11" s="46" t="s">
        <v>51</v>
      </c>
      <c r="C11" s="46" t="s">
        <v>73</v>
      </c>
      <c r="D11" s="46" t="s">
        <v>74</v>
      </c>
    </row>
    <row r="12" spans="1:12" x14ac:dyDescent="0.3">
      <c r="A12" s="17" t="s">
        <v>75</v>
      </c>
      <c r="B12" s="17">
        <f>D8</f>
        <v>54.028321036709023</v>
      </c>
      <c r="C12" s="17">
        <f>F8</f>
        <v>18.009440345569679</v>
      </c>
      <c r="D12" s="17">
        <f>E8</f>
        <v>126.06608241898772</v>
      </c>
    </row>
    <row r="13" spans="1:12" x14ac:dyDescent="0.3">
      <c r="A13" s="17" t="s">
        <v>76</v>
      </c>
      <c r="B13" s="17">
        <f>A8</f>
        <v>719.24157741348267</v>
      </c>
      <c r="C13" s="17">
        <f>C8</f>
        <v>418.16370779853639</v>
      </c>
      <c r="D13" s="17">
        <f>B8</f>
        <v>2568.719919333867</v>
      </c>
    </row>
    <row r="14" spans="1:12" x14ac:dyDescent="0.3">
      <c r="A14" s="17" t="s">
        <v>77</v>
      </c>
      <c r="B14" s="17">
        <f>G8</f>
        <v>660.896893415401</v>
      </c>
      <c r="C14" s="17">
        <f>I8</f>
        <v>550.74741117950089</v>
      </c>
      <c r="D14" s="17">
        <f>H8</f>
        <v>771.0463756513011</v>
      </c>
    </row>
    <row r="15" spans="1:12" x14ac:dyDescent="0.3">
      <c r="A15" s="17" t="s">
        <v>78</v>
      </c>
      <c r="B15" s="49">
        <v>0.1</v>
      </c>
      <c r="C15" s="49">
        <v>0.14000000000000001</v>
      </c>
      <c r="D15" s="4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 Namazifard</dc:creator>
  <cp:lastModifiedBy>Golinucci</cp:lastModifiedBy>
  <dcterms:created xsi:type="dcterms:W3CDTF">2020-11-16T08:58:09Z</dcterms:created>
  <dcterms:modified xsi:type="dcterms:W3CDTF">2020-12-11T19:04:33Z</dcterms:modified>
</cp:coreProperties>
</file>